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activeTab="4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81" l="1"/>
  <c r="E365" i="92" l="1"/>
  <c r="E325" i="92"/>
  <c r="E326" i="92"/>
  <c r="E327" i="92"/>
  <c r="E328" i="92"/>
  <c r="E329" i="92"/>
  <c r="E330" i="92"/>
  <c r="E331" i="92"/>
  <c r="E332" i="92"/>
  <c r="E333" i="92"/>
  <c r="E334" i="92"/>
  <c r="E335" i="92"/>
  <c r="E336" i="92"/>
  <c r="E337" i="92"/>
  <c r="E338" i="92"/>
  <c r="E339" i="92"/>
  <c r="E340" i="92"/>
  <c r="E341" i="92"/>
  <c r="E342" i="92"/>
  <c r="E343" i="92"/>
  <c r="E344" i="92"/>
  <c r="E345" i="92"/>
  <c r="E346" i="92"/>
  <c r="E347" i="92"/>
  <c r="E348" i="92"/>
  <c r="E349" i="92"/>
  <c r="E350" i="92"/>
  <c r="E351" i="92"/>
  <c r="E352" i="92"/>
  <c r="E353" i="92"/>
  <c r="E354" i="92"/>
  <c r="E355" i="92"/>
  <c r="E356" i="92"/>
  <c r="E357" i="92"/>
  <c r="E358" i="92"/>
  <c r="E359" i="92"/>
  <c r="E360" i="92"/>
  <c r="E361" i="92"/>
  <c r="E362" i="92"/>
  <c r="E363" i="92"/>
  <c r="E364" i="92"/>
  <c r="E324" i="92"/>
  <c r="D325" i="92"/>
  <c r="D326" i="92"/>
  <c r="D327" i="92"/>
  <c r="D328" i="92"/>
  <c r="D329" i="92"/>
  <c r="D330" i="92"/>
  <c r="D331" i="92"/>
  <c r="D332" i="92"/>
  <c r="D333" i="92"/>
  <c r="D334" i="92"/>
  <c r="D335" i="92"/>
  <c r="D336" i="92"/>
  <c r="D337" i="92"/>
  <c r="D338" i="92"/>
  <c r="D339" i="92"/>
  <c r="D340" i="92"/>
  <c r="D341" i="92"/>
  <c r="D342" i="92"/>
  <c r="D343" i="92"/>
  <c r="D344" i="92"/>
  <c r="D345" i="92"/>
  <c r="D346" i="92"/>
  <c r="D347" i="92"/>
  <c r="D348" i="92"/>
  <c r="D349" i="92"/>
  <c r="D350" i="92"/>
  <c r="D351" i="92"/>
  <c r="D352" i="92"/>
  <c r="D353" i="92"/>
  <c r="D354" i="92"/>
  <c r="D355" i="92"/>
  <c r="D356" i="92"/>
  <c r="D357" i="92"/>
  <c r="D358" i="92"/>
  <c r="D359" i="92"/>
  <c r="D360" i="92"/>
  <c r="D361" i="92"/>
  <c r="D362" i="92"/>
  <c r="D363" i="92"/>
  <c r="D364" i="92"/>
  <c r="D365" i="92"/>
  <c r="D324" i="92"/>
  <c r="D270" i="92"/>
  <c r="E298" i="92"/>
  <c r="E299" i="92"/>
  <c r="E300" i="92"/>
  <c r="E301" i="92"/>
  <c r="E313" i="92"/>
  <c r="D297" i="92"/>
  <c r="D298" i="92"/>
  <c r="D299" i="92"/>
  <c r="D300" i="92"/>
  <c r="D301" i="92"/>
  <c r="D302" i="92"/>
  <c r="E302" i="92" s="1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F294" i="92"/>
  <c r="F272" i="92"/>
  <c r="F273" i="92"/>
  <c r="F274" i="92"/>
  <c r="F275" i="92"/>
  <c r="F276" i="92"/>
  <c r="F277" i="92"/>
  <c r="F278" i="92"/>
  <c r="F279" i="92"/>
  <c r="F280" i="92"/>
  <c r="F281" i="92"/>
  <c r="F282" i="92"/>
  <c r="F283" i="92"/>
  <c r="F284" i="92"/>
  <c r="F285" i="92"/>
  <c r="F286" i="92"/>
  <c r="F287" i="92"/>
  <c r="F288" i="92"/>
  <c r="F289" i="92"/>
  <c r="F290" i="92"/>
  <c r="F291" i="92"/>
  <c r="F292" i="92"/>
  <c r="F293" i="92"/>
  <c r="F271" i="92"/>
  <c r="E270" i="92"/>
  <c r="E272" i="92"/>
  <c r="E273" i="92"/>
  <c r="E274" i="92"/>
  <c r="E275" i="92"/>
  <c r="E276" i="92"/>
  <c r="E277" i="92"/>
  <c r="E278" i="92"/>
  <c r="E279" i="92"/>
  <c r="E280" i="92"/>
  <c r="E281" i="92"/>
  <c r="E282" i="92"/>
  <c r="E283" i="92"/>
  <c r="E284" i="92"/>
  <c r="E285" i="92"/>
  <c r="E286" i="92"/>
  <c r="E287" i="92"/>
  <c r="E288" i="92"/>
  <c r="E289" i="92"/>
  <c r="E290" i="92"/>
  <c r="E291" i="92"/>
  <c r="E292" i="92"/>
  <c r="E293" i="92"/>
  <c r="E294" i="92"/>
  <c r="E271" i="92"/>
  <c r="D294" i="92"/>
  <c r="D293" i="92"/>
  <c r="D292" i="92"/>
  <c r="D291" i="92"/>
  <c r="D290" i="92"/>
  <c r="D289" i="92"/>
  <c r="D288" i="92"/>
  <c r="D287" i="92"/>
  <c r="D286" i="92"/>
  <c r="D285" i="92"/>
  <c r="D284" i="92"/>
  <c r="D283" i="92"/>
  <c r="D282" i="92"/>
  <c r="D281" i="92"/>
  <c r="D280" i="92"/>
  <c r="D279" i="92"/>
  <c r="D278" i="92"/>
  <c r="D277" i="92"/>
  <c r="D276" i="92"/>
  <c r="D275" i="92"/>
  <c r="D274" i="92"/>
  <c r="D273" i="92"/>
  <c r="D272" i="92"/>
  <c r="D271" i="92"/>
  <c r="D251" i="92"/>
  <c r="F268" i="92"/>
  <c r="F253" i="92"/>
  <c r="F254" i="92"/>
  <c r="F255" i="92"/>
  <c r="F256" i="92"/>
  <c r="F257" i="92"/>
  <c r="F258" i="92"/>
  <c r="F259" i="92"/>
  <c r="F260" i="92"/>
  <c r="F261" i="92"/>
  <c r="F262" i="92"/>
  <c r="F263" i="92"/>
  <c r="F264" i="92"/>
  <c r="F265" i="92"/>
  <c r="F266" i="92"/>
  <c r="F267" i="92"/>
  <c r="F252" i="92"/>
  <c r="E251" i="92"/>
  <c r="E253" i="92"/>
  <c r="E254" i="92"/>
  <c r="E255" i="92"/>
  <c r="E256" i="92"/>
  <c r="E257" i="92"/>
  <c r="E258" i="92"/>
  <c r="E259" i="92"/>
  <c r="E260" i="92"/>
  <c r="E261" i="92"/>
  <c r="E262" i="92"/>
  <c r="E263" i="92"/>
  <c r="E264" i="92"/>
  <c r="E265" i="92"/>
  <c r="E266" i="92"/>
  <c r="E267" i="92"/>
  <c r="E268" i="92"/>
  <c r="E252" i="92"/>
  <c r="D253" i="92"/>
  <c r="D254" i="92"/>
  <c r="D255" i="92"/>
  <c r="D256" i="92"/>
  <c r="D257" i="92"/>
  <c r="D258" i="92"/>
  <c r="D259" i="92"/>
  <c r="D260" i="92"/>
  <c r="D261" i="92"/>
  <c r="D262" i="92"/>
  <c r="D263" i="92"/>
  <c r="D264" i="92"/>
  <c r="D265" i="92"/>
  <c r="D266" i="92"/>
  <c r="D267" i="92"/>
  <c r="D268" i="92"/>
  <c r="D252" i="92"/>
  <c r="F249" i="92"/>
  <c r="F233" i="92"/>
  <c r="F234" i="92"/>
  <c r="F235" i="92"/>
  <c r="F236" i="92"/>
  <c r="F237" i="92"/>
  <c r="F238" i="92"/>
  <c r="F239" i="92"/>
  <c r="F240" i="92"/>
  <c r="F241" i="92"/>
  <c r="F242" i="92"/>
  <c r="F243" i="92"/>
  <c r="F244" i="92"/>
  <c r="F245" i="92"/>
  <c r="F246" i="92"/>
  <c r="F247" i="92"/>
  <c r="F248" i="92"/>
  <c r="F232" i="92"/>
  <c r="E231" i="92"/>
  <c r="E233" i="92"/>
  <c r="E234" i="92"/>
  <c r="E235" i="92"/>
  <c r="E236" i="92"/>
  <c r="E237" i="92"/>
  <c r="E238" i="92"/>
  <c r="E239" i="92"/>
  <c r="E240" i="92"/>
  <c r="E241" i="92"/>
  <c r="E242" i="92"/>
  <c r="E243" i="92"/>
  <c r="E244" i="92"/>
  <c r="E245" i="92"/>
  <c r="E246" i="92"/>
  <c r="E247" i="92"/>
  <c r="E248" i="92"/>
  <c r="E249" i="92"/>
  <c r="E232" i="92"/>
  <c r="D233" i="92"/>
  <c r="D234" i="92"/>
  <c r="D235" i="92"/>
  <c r="D236" i="92"/>
  <c r="D237" i="92"/>
  <c r="D238" i="92"/>
  <c r="D239" i="92"/>
  <c r="D240" i="92"/>
  <c r="D241" i="92"/>
  <c r="D242" i="92"/>
  <c r="D243" i="92"/>
  <c r="D244" i="92"/>
  <c r="D245" i="92"/>
  <c r="D246" i="92"/>
  <c r="D247" i="92"/>
  <c r="D248" i="92"/>
  <c r="D249" i="92"/>
  <c r="D232" i="92"/>
  <c r="E323" i="92" l="1"/>
  <c r="F352" i="92" s="1"/>
  <c r="E297" i="92"/>
  <c r="F342" i="92" l="1"/>
  <c r="F358" i="92"/>
  <c r="F336" i="92"/>
  <c r="F326" i="92"/>
  <c r="F337" i="92"/>
  <c r="F331" i="92"/>
  <c r="F339" i="92"/>
  <c r="F355" i="92"/>
  <c r="F363" i="92"/>
  <c r="F347" i="92"/>
  <c r="F324" i="92"/>
  <c r="F327" i="92"/>
  <c r="F335" i="92"/>
  <c r="F343" i="92"/>
  <c r="F351" i="92"/>
  <c r="F359" i="92"/>
  <c r="F329" i="92"/>
  <c r="F345" i="92"/>
  <c r="F353" i="92"/>
  <c r="F361" i="92"/>
  <c r="D323" i="92"/>
  <c r="F349" i="92"/>
  <c r="F330" i="92"/>
  <c r="F346" i="92"/>
  <c r="F362" i="92"/>
  <c r="F340" i="92"/>
  <c r="F356" i="92"/>
  <c r="F325" i="92"/>
  <c r="F357" i="92"/>
  <c r="F334" i="92"/>
  <c r="F350" i="92"/>
  <c r="F328" i="92"/>
  <c r="F344" i="92"/>
  <c r="F360" i="92"/>
  <c r="F333" i="92"/>
  <c r="F338" i="92"/>
  <c r="F354" i="92"/>
  <c r="F332" i="92"/>
  <c r="F348" i="92"/>
  <c r="F364" i="92"/>
  <c r="F341" i="92"/>
  <c r="E296" i="92"/>
  <c r="F297" i="92" s="1"/>
  <c r="F365" i="92" l="1"/>
  <c r="F302" i="92"/>
  <c r="F303" i="92"/>
  <c r="F307" i="92"/>
  <c r="F311" i="92"/>
  <c r="F315" i="92"/>
  <c r="F319" i="92"/>
  <c r="F304" i="92"/>
  <c r="F308" i="92"/>
  <c r="F312" i="92"/>
  <c r="F316" i="92"/>
  <c r="F320" i="92"/>
  <c r="F299" i="92"/>
  <c r="F300" i="92"/>
  <c r="F305" i="92"/>
  <c r="F309" i="92"/>
  <c r="F313" i="92"/>
  <c r="F317" i="92"/>
  <c r="F314" i="92"/>
  <c r="F306" i="92"/>
  <c r="F301" i="92"/>
  <c r="F298" i="92"/>
  <c r="F310" i="92"/>
  <c r="F318" i="92"/>
  <c r="D296" i="92"/>
  <c r="F321" i="92" l="1"/>
  <c r="F229" i="92" l="1"/>
  <c r="F215" i="92"/>
  <c r="F216" i="92"/>
  <c r="F217" i="92"/>
  <c r="F218" i="92"/>
  <c r="F219" i="92"/>
  <c r="F220" i="92"/>
  <c r="F221" i="92"/>
  <c r="F222" i="92"/>
  <c r="F223" i="92"/>
  <c r="F224" i="92"/>
  <c r="F225" i="92"/>
  <c r="F226" i="92"/>
  <c r="F227" i="92"/>
  <c r="F228" i="92"/>
  <c r="F214" i="92"/>
  <c r="E213" i="92"/>
  <c r="E215" i="92"/>
  <c r="E216" i="92"/>
  <c r="E217" i="92"/>
  <c r="E218" i="92"/>
  <c r="E219" i="92"/>
  <c r="E220" i="92"/>
  <c r="E221" i="92"/>
  <c r="E222" i="92"/>
  <c r="E223" i="92"/>
  <c r="E224" i="92"/>
  <c r="E225" i="92"/>
  <c r="E226" i="92"/>
  <c r="E227" i="92"/>
  <c r="E228" i="92"/>
  <c r="E229" i="92"/>
  <c r="E214" i="92"/>
  <c r="D215" i="92"/>
  <c r="D216" i="92"/>
  <c r="D217" i="92"/>
  <c r="D218" i="92"/>
  <c r="D219" i="92"/>
  <c r="D220" i="92"/>
  <c r="D221" i="92"/>
  <c r="D222" i="92"/>
  <c r="D223" i="92"/>
  <c r="D224" i="92"/>
  <c r="D225" i="92"/>
  <c r="D226" i="92"/>
  <c r="D227" i="92"/>
  <c r="D228" i="92"/>
  <c r="D229" i="92"/>
  <c r="D214" i="92"/>
  <c r="F179" i="92" l="1"/>
  <c r="F180" i="92"/>
  <c r="F181" i="92"/>
  <c r="F182" i="92"/>
  <c r="F183" i="92"/>
  <c r="F184" i="92"/>
  <c r="F185" i="92"/>
  <c r="F186" i="92"/>
  <c r="F187" i="92"/>
  <c r="F188" i="92"/>
  <c r="F189" i="92"/>
  <c r="F190" i="92"/>
  <c r="F191" i="92"/>
  <c r="F192" i="92"/>
  <c r="F193" i="92"/>
  <c r="F194" i="92"/>
  <c r="F195" i="92"/>
  <c r="F196" i="92"/>
  <c r="F197" i="92"/>
  <c r="F198" i="92"/>
  <c r="F199" i="92"/>
  <c r="F200" i="92"/>
  <c r="F201" i="92"/>
  <c r="F202" i="92"/>
  <c r="F203" i="92"/>
  <c r="F204" i="92"/>
  <c r="F205" i="92"/>
  <c r="F206" i="92"/>
  <c r="F207" i="92"/>
  <c r="F208" i="92"/>
  <c r="F209" i="92"/>
  <c r="F210" i="92"/>
  <c r="F178" i="92"/>
  <c r="D211" i="92"/>
  <c r="E211" i="92" s="1"/>
  <c r="D210" i="92"/>
  <c r="E210" i="92" s="1"/>
  <c r="E209" i="92"/>
  <c r="D209" i="92"/>
  <c r="D208" i="92"/>
  <c r="E208" i="92" s="1"/>
  <c r="D207" i="92"/>
  <c r="E207" i="92" s="1"/>
  <c r="D206" i="92"/>
  <c r="E206" i="92" s="1"/>
  <c r="E205" i="92"/>
  <c r="D205" i="92"/>
  <c r="D204" i="92"/>
  <c r="E204" i="92" s="1"/>
  <c r="D203" i="92"/>
  <c r="E203" i="92" s="1"/>
  <c r="D202" i="92"/>
  <c r="E202" i="92" s="1"/>
  <c r="E201" i="92"/>
  <c r="D201" i="92"/>
  <c r="D200" i="92"/>
  <c r="E200" i="92" s="1"/>
  <c r="D199" i="92"/>
  <c r="E199" i="92" s="1"/>
  <c r="D198" i="92"/>
  <c r="E198" i="92" s="1"/>
  <c r="E197" i="92"/>
  <c r="D197" i="92"/>
  <c r="D196" i="92"/>
  <c r="E196" i="92" s="1"/>
  <c r="D195" i="92"/>
  <c r="E195" i="92" s="1"/>
  <c r="D194" i="92"/>
  <c r="E194" i="92" s="1"/>
  <c r="E193" i="92"/>
  <c r="D193" i="92"/>
  <c r="D192" i="92"/>
  <c r="E192" i="92" s="1"/>
  <c r="D191" i="92"/>
  <c r="E191" i="92" s="1"/>
  <c r="D190" i="92"/>
  <c r="E190" i="92" s="1"/>
  <c r="E189" i="92"/>
  <c r="D189" i="92"/>
  <c r="D188" i="92"/>
  <c r="E188" i="92" s="1"/>
  <c r="D187" i="92"/>
  <c r="E187" i="92" s="1"/>
  <c r="D186" i="92"/>
  <c r="E186" i="92" s="1"/>
  <c r="E185" i="92"/>
  <c r="D185" i="92"/>
  <c r="D184" i="92"/>
  <c r="E184" i="92" s="1"/>
  <c r="D183" i="92"/>
  <c r="E183" i="92" s="1"/>
  <c r="D182" i="92"/>
  <c r="E182" i="92" s="1"/>
  <c r="E181" i="92"/>
  <c r="D181" i="92"/>
  <c r="D180" i="92"/>
  <c r="E180" i="92" s="1"/>
  <c r="D179" i="92"/>
  <c r="E179" i="92" s="1"/>
  <c r="D178" i="92"/>
  <c r="E178" i="92" s="1"/>
  <c r="F175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F164" i="92"/>
  <c r="F165" i="92"/>
  <c r="F166" i="92"/>
  <c r="F167" i="92"/>
  <c r="F168" i="92"/>
  <c r="F169" i="92"/>
  <c r="F170" i="92"/>
  <c r="F171" i="92"/>
  <c r="F172" i="92"/>
  <c r="F173" i="92"/>
  <c r="F174" i="92"/>
  <c r="F142" i="92"/>
  <c r="E141" i="92"/>
  <c r="E143" i="92"/>
  <c r="E144" i="92"/>
  <c r="E145" i="92"/>
  <c r="E146" i="92"/>
  <c r="E147" i="92"/>
  <c r="E148" i="92"/>
  <c r="E149" i="92"/>
  <c r="E150" i="92"/>
  <c r="E151" i="92"/>
  <c r="E152" i="92"/>
  <c r="E153" i="92"/>
  <c r="E154" i="92"/>
  <c r="E155" i="92"/>
  <c r="E156" i="92"/>
  <c r="E157" i="92"/>
  <c r="E158" i="92"/>
  <c r="E159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64" i="92"/>
  <c r="D165" i="92"/>
  <c r="D166" i="92"/>
  <c r="D167" i="92"/>
  <c r="D168" i="92"/>
  <c r="D169" i="92"/>
  <c r="D170" i="92"/>
  <c r="D171" i="92"/>
  <c r="D172" i="92"/>
  <c r="D173" i="92"/>
  <c r="D174" i="92"/>
  <c r="D175" i="92"/>
  <c r="D142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7" i="92"/>
  <c r="E108" i="92"/>
  <c r="E109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06" i="92"/>
  <c r="E177" i="92" l="1"/>
  <c r="F211" i="92"/>
  <c r="E105" i="92"/>
  <c r="F107" i="92" l="1"/>
  <c r="F111" i="92"/>
  <c r="F115" i="92"/>
  <c r="F119" i="92"/>
  <c r="F123" i="92"/>
  <c r="F127" i="92"/>
  <c r="F131" i="92"/>
  <c r="F135" i="92"/>
  <c r="F106" i="92"/>
  <c r="F109" i="92"/>
  <c r="F113" i="92"/>
  <c r="F117" i="92"/>
  <c r="F121" i="92"/>
  <c r="F125" i="92"/>
  <c r="F129" i="92"/>
  <c r="F133" i="92"/>
  <c r="F137" i="92"/>
  <c r="F110" i="92"/>
  <c r="F118" i="92"/>
  <c r="F126" i="92"/>
  <c r="F130" i="92"/>
  <c r="F138" i="92"/>
  <c r="F108" i="92"/>
  <c r="F112" i="92"/>
  <c r="F116" i="92"/>
  <c r="F120" i="92"/>
  <c r="F128" i="92"/>
  <c r="F132" i="92"/>
  <c r="F136" i="92"/>
  <c r="F114" i="92"/>
  <c r="F122" i="92"/>
  <c r="F134" i="92"/>
  <c r="F124" i="92"/>
  <c r="F139" i="92" l="1"/>
  <c r="E63" i="92" l="1"/>
  <c r="E64" i="92"/>
  <c r="E67" i="92"/>
  <c r="E68" i="92"/>
  <c r="E71" i="92"/>
  <c r="E72" i="92"/>
  <c r="E75" i="92"/>
  <c r="E76" i="92"/>
  <c r="E79" i="92"/>
  <c r="E80" i="92"/>
  <c r="E83" i="92"/>
  <c r="E84" i="92"/>
  <c r="E87" i="92"/>
  <c r="E62" i="92"/>
  <c r="D63" i="92"/>
  <c r="D64" i="92"/>
  <c r="D65" i="92"/>
  <c r="E65" i="92" s="1"/>
  <c r="D66" i="92"/>
  <c r="E66" i="92" s="1"/>
  <c r="D67" i="92"/>
  <c r="D68" i="92"/>
  <c r="D69" i="92"/>
  <c r="E69" i="92" s="1"/>
  <c r="D70" i="92"/>
  <c r="E70" i="92" s="1"/>
  <c r="D71" i="92"/>
  <c r="D72" i="92"/>
  <c r="D73" i="92"/>
  <c r="E73" i="92" s="1"/>
  <c r="D74" i="92"/>
  <c r="E74" i="92" s="1"/>
  <c r="D75" i="92"/>
  <c r="D76" i="92"/>
  <c r="D77" i="92"/>
  <c r="E77" i="92" s="1"/>
  <c r="D78" i="92"/>
  <c r="E78" i="92" s="1"/>
  <c r="D79" i="92"/>
  <c r="D80" i="92"/>
  <c r="D81" i="92"/>
  <c r="E81" i="92" s="1"/>
  <c r="D82" i="92"/>
  <c r="E82" i="92" s="1"/>
  <c r="D83" i="92"/>
  <c r="D84" i="92"/>
  <c r="D85" i="92"/>
  <c r="E85" i="92" s="1"/>
  <c r="D86" i="92"/>
  <c r="E86" i="92" s="1"/>
  <c r="D87" i="92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62" i="92"/>
  <c r="E36" i="92"/>
  <c r="E37" i="92"/>
  <c r="E40" i="92"/>
  <c r="E41" i="92"/>
  <c r="E44" i="92"/>
  <c r="E45" i="92"/>
  <c r="E48" i="92"/>
  <c r="E49" i="92"/>
  <c r="E52" i="92"/>
  <c r="E53" i="92"/>
  <c r="E56" i="92"/>
  <c r="E57" i="92"/>
  <c r="E34" i="92"/>
  <c r="D35" i="92"/>
  <c r="E35" i="92" s="1"/>
  <c r="D36" i="92"/>
  <c r="D37" i="92"/>
  <c r="D38" i="92"/>
  <c r="E38" i="92" s="1"/>
  <c r="D39" i="92"/>
  <c r="E39" i="92" s="1"/>
  <c r="D40" i="92"/>
  <c r="D41" i="92"/>
  <c r="D42" i="92"/>
  <c r="E42" i="92" s="1"/>
  <c r="D43" i="92"/>
  <c r="E43" i="92" s="1"/>
  <c r="D44" i="92"/>
  <c r="D45" i="92"/>
  <c r="D46" i="92"/>
  <c r="E46" i="92" s="1"/>
  <c r="D47" i="92"/>
  <c r="E47" i="92" s="1"/>
  <c r="D48" i="92"/>
  <c r="D49" i="92"/>
  <c r="D50" i="92"/>
  <c r="E50" i="92" s="1"/>
  <c r="D51" i="92"/>
  <c r="E51" i="92" s="1"/>
  <c r="D52" i="92"/>
  <c r="D53" i="92"/>
  <c r="D54" i="92"/>
  <c r="E54" i="92" s="1"/>
  <c r="D55" i="92"/>
  <c r="E55" i="92" s="1"/>
  <c r="D56" i="92"/>
  <c r="D57" i="92"/>
  <c r="D58" i="92"/>
  <c r="E58" i="92" s="1"/>
  <c r="D59" i="92"/>
  <c r="E59" i="92" s="1"/>
  <c r="D34" i="92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24" i="92"/>
  <c r="E24" i="92" s="1"/>
  <c r="F76" i="92" l="1"/>
  <c r="F95" i="92"/>
  <c r="F74" i="92"/>
  <c r="F70" i="92"/>
  <c r="F80" i="92"/>
  <c r="F72" i="92"/>
  <c r="F88" i="92"/>
  <c r="F84" i="92"/>
  <c r="F91" i="92"/>
  <c r="F83" i="92"/>
  <c r="F102" i="92"/>
  <c r="F94" i="92"/>
  <c r="F82" i="92"/>
  <c r="F101" i="92"/>
  <c r="F97" i="92"/>
  <c r="F89" i="92"/>
  <c r="F85" i="92"/>
  <c r="F81" i="92"/>
  <c r="F73" i="92"/>
  <c r="F69" i="92"/>
  <c r="F65" i="92"/>
  <c r="F79" i="92"/>
  <c r="F71" i="92"/>
  <c r="F63" i="92"/>
  <c r="E61" i="92"/>
  <c r="F96" i="92" s="1"/>
  <c r="F41" i="92"/>
  <c r="F55" i="92"/>
  <c r="F39" i="92"/>
  <c r="F37" i="92"/>
  <c r="F46" i="92"/>
  <c r="E33" i="92"/>
  <c r="F56" i="92" s="1"/>
  <c r="F52" i="92"/>
  <c r="F34" i="92"/>
  <c r="E22" i="92"/>
  <c r="F29" i="92" s="1"/>
  <c r="F87" i="92" l="1"/>
  <c r="F77" i="92"/>
  <c r="F93" i="92"/>
  <c r="F86" i="92"/>
  <c r="F67" i="92"/>
  <c r="F99" i="92"/>
  <c r="F100" i="92"/>
  <c r="F62" i="92"/>
  <c r="F103" i="92" s="1"/>
  <c r="F78" i="92"/>
  <c r="F92" i="92"/>
  <c r="F90" i="92"/>
  <c r="F75" i="92"/>
  <c r="F68" i="92"/>
  <c r="F64" i="92"/>
  <c r="F66" i="92"/>
  <c r="F98" i="92"/>
  <c r="F50" i="92"/>
  <c r="F45" i="92"/>
  <c r="F43" i="92"/>
  <c r="F40" i="92"/>
  <c r="F49" i="92"/>
  <c r="F36" i="92"/>
  <c r="F38" i="92"/>
  <c r="F54" i="92"/>
  <c r="F53" i="92"/>
  <c r="F47" i="92"/>
  <c r="F48" i="92"/>
  <c r="F57" i="92"/>
  <c r="F44" i="92"/>
  <c r="F42" i="92"/>
  <c r="F58" i="92"/>
  <c r="F35" i="92"/>
  <c r="F59" i="92" s="1"/>
  <c r="F51" i="92"/>
  <c r="F26" i="92"/>
  <c r="F30" i="92"/>
  <c r="F25" i="92"/>
  <c r="F24" i="92"/>
  <c r="F31" i="92" s="1"/>
  <c r="F27" i="92"/>
  <c r="F28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Q146" i="90" l="1"/>
  <c r="AQ132" i="90"/>
  <c r="AQ92" i="90"/>
  <c r="AQ49" i="90"/>
  <c r="AN148" i="90"/>
  <c r="AQ147" i="90" s="1"/>
  <c r="AN147" i="90"/>
  <c r="AM146" i="90"/>
  <c r="AN138" i="90"/>
  <c r="AQ138" i="90" s="1"/>
  <c r="AN137" i="90"/>
  <c r="AM136" i="90"/>
  <c r="AN128" i="90"/>
  <c r="AQ129" i="90" s="1"/>
  <c r="AN127" i="90"/>
  <c r="AM126" i="90"/>
  <c r="AN118" i="90"/>
  <c r="AQ118" i="90" s="1"/>
  <c r="AN117" i="90"/>
  <c r="AM116" i="90"/>
  <c r="AN108" i="90"/>
  <c r="AQ109" i="90" s="1"/>
  <c r="AN107" i="90"/>
  <c r="AM106" i="90"/>
  <c r="AN98" i="90"/>
  <c r="AQ98" i="90" s="1"/>
  <c r="AN97" i="90"/>
  <c r="AM96" i="90"/>
  <c r="AN88" i="90"/>
  <c r="AQ86" i="90" s="1"/>
  <c r="AN87" i="90"/>
  <c r="AM86" i="90"/>
  <c r="AN78" i="90"/>
  <c r="AQ78" i="90" s="1"/>
  <c r="AN77" i="90"/>
  <c r="AM76" i="90"/>
  <c r="AN68" i="90"/>
  <c r="AQ66" i="90" s="1"/>
  <c r="AN67" i="90"/>
  <c r="AM66" i="90"/>
  <c r="AN58" i="90"/>
  <c r="AQ58" i="90" s="1"/>
  <c r="AN57" i="90"/>
  <c r="AM56" i="90"/>
  <c r="AN48" i="90"/>
  <c r="AQ46" i="90" s="1"/>
  <c r="AN47" i="90"/>
  <c r="AM46" i="90"/>
  <c r="AN38" i="90"/>
  <c r="AQ38" i="90" s="1"/>
  <c r="AN37" i="90"/>
  <c r="AM36" i="90"/>
  <c r="AN28" i="90"/>
  <c r="AQ26" i="90" s="1"/>
  <c r="AN27" i="90"/>
  <c r="AM26" i="90"/>
  <c r="AN18" i="90"/>
  <c r="AQ18" i="90" s="1"/>
  <c r="AN8" i="90"/>
  <c r="AQ8" i="90" s="1"/>
  <c r="AN17" i="90"/>
  <c r="AM16" i="90"/>
  <c r="AN7" i="90"/>
  <c r="AM6" i="90"/>
  <c r="AB5" i="90"/>
  <c r="AQ93" i="90" l="1"/>
  <c r="AQ89" i="90"/>
  <c r="AQ125" i="90"/>
  <c r="AQ131" i="90"/>
  <c r="AQ128" i="90"/>
  <c r="AQ127" i="90"/>
  <c r="AQ153" i="90"/>
  <c r="AQ150" i="90"/>
  <c r="AQ17" i="90"/>
  <c r="AQ149" i="90"/>
  <c r="AQ16" i="90"/>
  <c r="AQ135" i="90"/>
  <c r="AQ52" i="90"/>
  <c r="AQ144" i="90"/>
  <c r="AQ141" i="90"/>
  <c r="AQ140" i="90"/>
  <c r="AQ137" i="90"/>
  <c r="AQ136" i="90"/>
  <c r="AQ88" i="90"/>
  <c r="AQ154" i="90"/>
  <c r="AQ15" i="90"/>
  <c r="AQ24" i="90"/>
  <c r="AQ21" i="90"/>
  <c r="AQ20" i="90"/>
  <c r="AQ152" i="90"/>
  <c r="AQ148" i="90"/>
  <c r="AQ145" i="90"/>
  <c r="AQ151" i="90"/>
  <c r="AQ143" i="90"/>
  <c r="AQ139" i="90"/>
  <c r="AQ142" i="90"/>
  <c r="AQ134" i="90"/>
  <c r="AQ130" i="90"/>
  <c r="AQ126" i="90"/>
  <c r="AQ133" i="90"/>
  <c r="AQ121" i="90"/>
  <c r="AQ117" i="90"/>
  <c r="AQ115" i="90"/>
  <c r="AQ124" i="90"/>
  <c r="AQ120" i="90"/>
  <c r="AQ116" i="90"/>
  <c r="AQ123" i="90"/>
  <c r="AQ119" i="90"/>
  <c r="AQ122" i="90"/>
  <c r="AQ112" i="90"/>
  <c r="AQ108" i="90"/>
  <c r="AQ105" i="90"/>
  <c r="AQ111" i="90"/>
  <c r="AQ107" i="90"/>
  <c r="AQ114" i="90"/>
  <c r="AQ110" i="90"/>
  <c r="AQ106" i="90"/>
  <c r="AQ113" i="90"/>
  <c r="AQ101" i="90"/>
  <c r="AQ104" i="90"/>
  <c r="AQ100" i="90"/>
  <c r="AQ103" i="90"/>
  <c r="AQ99" i="90"/>
  <c r="AQ95" i="90"/>
  <c r="AQ97" i="90"/>
  <c r="AQ96" i="90"/>
  <c r="AQ102" i="90"/>
  <c r="AQ85" i="90"/>
  <c r="AQ91" i="90"/>
  <c r="AQ87" i="90"/>
  <c r="AQ94" i="90"/>
  <c r="AQ90" i="90"/>
  <c r="AQ76" i="90"/>
  <c r="AQ75" i="90"/>
  <c r="AQ77" i="90"/>
  <c r="AQ84" i="90"/>
  <c r="AQ81" i="90"/>
  <c r="AQ80" i="90"/>
  <c r="AQ83" i="90"/>
  <c r="AQ79" i="90"/>
  <c r="AQ82" i="90"/>
  <c r="AQ73" i="90"/>
  <c r="AQ61" i="90"/>
  <c r="AQ60" i="90"/>
  <c r="AQ72" i="90"/>
  <c r="AQ69" i="90"/>
  <c r="AQ68" i="90"/>
  <c r="AQ55" i="90"/>
  <c r="AQ57" i="90"/>
  <c r="AQ64" i="90"/>
  <c r="AQ56" i="90"/>
  <c r="AQ48" i="90"/>
  <c r="AQ53" i="90"/>
  <c r="AQ37" i="90"/>
  <c r="AQ36" i="90"/>
  <c r="AQ41" i="90"/>
  <c r="AQ35" i="90"/>
  <c r="AQ44" i="90"/>
  <c r="AQ40" i="90"/>
  <c r="AQ33" i="90"/>
  <c r="AQ32" i="90"/>
  <c r="AQ29" i="90"/>
  <c r="AQ28" i="90"/>
  <c r="AQ7" i="90"/>
  <c r="AQ5" i="90"/>
  <c r="AQ6" i="90"/>
  <c r="AQ11" i="90"/>
  <c r="AQ23" i="90"/>
  <c r="AQ19" i="90"/>
  <c r="AQ25" i="90"/>
  <c r="AQ31" i="90"/>
  <c r="AQ27" i="90"/>
  <c r="AQ43" i="90"/>
  <c r="AQ39" i="90"/>
  <c r="AQ45" i="90"/>
  <c r="AQ51" i="90"/>
  <c r="AQ47" i="90"/>
  <c r="AQ63" i="90"/>
  <c r="AQ59" i="90"/>
  <c r="AQ65" i="90"/>
  <c r="AQ71" i="90"/>
  <c r="AQ67" i="90"/>
  <c r="AQ10" i="90"/>
  <c r="AQ14" i="90"/>
  <c r="AQ22" i="90"/>
  <c r="AQ34" i="90"/>
  <c r="AQ30" i="90"/>
  <c r="AQ42" i="90"/>
  <c r="AQ54" i="90"/>
  <c r="AQ50" i="90"/>
  <c r="AQ62" i="90"/>
  <c r="AQ74" i="90"/>
  <c r="AQ70" i="90"/>
  <c r="AQ13" i="90"/>
  <c r="AQ9" i="90"/>
  <c r="AQ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I24" i="92"/>
  <c r="AE9" i="92" l="1"/>
  <c r="AE6" i="92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L38" i="90" l="1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N254" i="90" s="1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N398" i="90" s="1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B7" i="90" s="1"/>
  <c r="H8" i="82"/>
  <c r="AB8" i="90" s="1"/>
  <c r="H9" i="82"/>
  <c r="AB9" i="90" s="1"/>
  <c r="H10" i="82"/>
  <c r="AB10" i="90" s="1"/>
  <c r="H11" i="82"/>
  <c r="AB11" i="90" s="1"/>
  <c r="H12" i="82"/>
  <c r="AB12" i="90" s="1"/>
  <c r="H13" i="82"/>
  <c r="AB13" i="90" s="1"/>
  <c r="H14" i="82"/>
  <c r="H15" i="82"/>
  <c r="AB15" i="90" s="1"/>
  <c r="H16" i="82"/>
  <c r="AB16" i="90" s="1"/>
  <c r="H17" i="82"/>
  <c r="AB17" i="90" s="1"/>
  <c r="H18" i="82"/>
  <c r="AB18" i="90" s="1"/>
  <c r="H19" i="82"/>
  <c r="AB19" i="90" s="1"/>
  <c r="H20" i="82"/>
  <c r="H6" i="82"/>
  <c r="BB33" i="82" l="1"/>
  <c r="BB40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26" i="82"/>
  <c r="AS30" i="82"/>
  <c r="AS31" i="82"/>
  <c r="AS100" i="82"/>
  <c r="AE14" i="82"/>
  <c r="AB14" i="90"/>
  <c r="BA201" i="82"/>
  <c r="O88" i="81"/>
  <c r="R6" i="82"/>
  <c r="AB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BC36" i="82" s="1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C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25" i="82"/>
  <c r="BC139" i="82"/>
  <c r="BC28" i="82"/>
  <c r="BC151" i="82"/>
  <c r="BC138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91" i="82" l="1"/>
  <c r="BC88" i="82"/>
  <c r="BC89" i="82"/>
  <c r="AU158" i="82"/>
  <c r="BC93" i="82"/>
  <c r="BC153" i="82"/>
  <c r="BC90" i="82"/>
  <c r="BC94" i="82"/>
  <c r="BC98" i="82"/>
  <c r="BC100" i="82"/>
  <c r="BC160" i="82"/>
  <c r="BC95" i="82"/>
  <c r="BC158" i="82"/>
  <c r="BC97" i="82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L208" i="82"/>
  <c r="BC32" i="82"/>
  <c r="BC92" i="82"/>
  <c r="BC96" i="82"/>
  <c r="BC39" i="82"/>
  <c r="AL166" i="82"/>
  <c r="AL103" i="82"/>
  <c r="BC37" i="82"/>
  <c r="BC99" i="82"/>
  <c r="AM9" i="82"/>
  <c r="AD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D5" i="90" l="1"/>
  <c r="AG5" i="90" s="1"/>
  <c r="AI5" i="90" s="1"/>
  <c r="AN6" i="90" s="1"/>
  <c r="AD16" i="90"/>
  <c r="AF18" i="90"/>
  <c r="AF17" i="90"/>
  <c r="AF6" i="90"/>
  <c r="AF11" i="90"/>
  <c r="AF7" i="90"/>
  <c r="AF13" i="90"/>
  <c r="AF8" i="90"/>
  <c r="AD17" i="90"/>
  <c r="AD19" i="90"/>
  <c r="AD10" i="90"/>
  <c r="AD15" i="90"/>
  <c r="AF12" i="90"/>
  <c r="AD18" i="90"/>
  <c r="AG18" i="90" s="1"/>
  <c r="AI18" i="90" s="1"/>
  <c r="AN136" i="90" s="1"/>
  <c r="AF19" i="90"/>
  <c r="AD13" i="90"/>
  <c r="AD7" i="90"/>
  <c r="AF14" i="90"/>
  <c r="AF10" i="90"/>
  <c r="AF15" i="90"/>
  <c r="AD14" i="90"/>
  <c r="AD8" i="90"/>
  <c r="AD12" i="90"/>
  <c r="AF9" i="90"/>
  <c r="AG9" i="90" s="1"/>
  <c r="AI9" i="90" s="1"/>
  <c r="AN46" i="90" s="1"/>
  <c r="AF16" i="90"/>
  <c r="AG16" i="90" s="1"/>
  <c r="AI16" i="90" s="1"/>
  <c r="AN116" i="90" s="1"/>
  <c r="AS8" i="90"/>
  <c r="AS9" i="90"/>
  <c r="AS10" i="90"/>
  <c r="AS11" i="90"/>
  <c r="AS12" i="90"/>
  <c r="AS13" i="90"/>
  <c r="AS14" i="90"/>
  <c r="AS5" i="90"/>
  <c r="AS6" i="90"/>
  <c r="AS7" i="90"/>
  <c r="AD11" i="90"/>
  <c r="AD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AG6" i="90" l="1"/>
  <c r="AI6" i="90" s="1"/>
  <c r="AN16" i="90" s="1"/>
  <c r="AG17" i="90"/>
  <c r="AI17" i="90" s="1"/>
  <c r="AN126" i="90" s="1"/>
  <c r="AS129" i="90" s="1"/>
  <c r="AG11" i="90"/>
  <c r="AI11" i="90" s="1"/>
  <c r="AN66" i="90" s="1"/>
  <c r="AS71" i="90" s="1"/>
  <c r="AG8" i="90"/>
  <c r="AI8" i="90" s="1"/>
  <c r="AN36" i="90" s="1"/>
  <c r="AS41" i="90" s="1"/>
  <c r="AG12" i="90"/>
  <c r="AI12" i="90" s="1"/>
  <c r="AN76" i="90" s="1"/>
  <c r="AS82" i="90" s="1"/>
  <c r="AG7" i="90"/>
  <c r="AI7" i="90" s="1"/>
  <c r="AN26" i="90" s="1"/>
  <c r="AS29" i="90" s="1"/>
  <c r="AG13" i="90"/>
  <c r="AI13" i="90" s="1"/>
  <c r="AN86" i="90" s="1"/>
  <c r="AS92" i="90" s="1"/>
  <c r="AG19" i="90"/>
  <c r="AI19" i="90" s="1"/>
  <c r="AN146" i="90" s="1"/>
  <c r="AS154" i="90" s="1"/>
  <c r="AG10" i="90"/>
  <c r="AI10" i="90" s="1"/>
  <c r="AN56" i="90" s="1"/>
  <c r="AS62" i="90" s="1"/>
  <c r="AS46" i="90"/>
  <c r="AS49" i="90"/>
  <c r="AS50" i="90"/>
  <c r="AS54" i="90"/>
  <c r="AS53" i="90"/>
  <c r="AS45" i="90"/>
  <c r="AS51" i="90"/>
  <c r="AS48" i="90"/>
  <c r="AS47" i="90"/>
  <c r="AS52" i="90"/>
  <c r="AS118" i="90"/>
  <c r="AS119" i="90"/>
  <c r="AS120" i="90"/>
  <c r="AS115" i="90"/>
  <c r="AS116" i="90"/>
  <c r="AS124" i="90"/>
  <c r="AS123" i="90"/>
  <c r="AS122" i="90"/>
  <c r="AS117" i="90"/>
  <c r="AS121" i="90"/>
  <c r="AG14" i="90"/>
  <c r="AI14" i="90" s="1"/>
  <c r="AN96" i="90" s="1"/>
  <c r="AS16" i="90"/>
  <c r="AS17" i="90"/>
  <c r="AS18" i="90"/>
  <c r="AS19" i="90"/>
  <c r="AS20" i="90"/>
  <c r="AS21" i="90"/>
  <c r="AS23" i="90"/>
  <c r="AS24" i="90"/>
  <c r="AS15" i="90"/>
  <c r="AS22" i="90"/>
  <c r="AS66" i="90"/>
  <c r="AS74" i="90"/>
  <c r="AS69" i="90"/>
  <c r="AS70" i="90"/>
  <c r="AS67" i="90"/>
  <c r="AS72" i="90"/>
  <c r="AS138" i="90"/>
  <c r="AS141" i="90"/>
  <c r="AS136" i="90"/>
  <c r="AS142" i="90"/>
  <c r="AS143" i="90"/>
  <c r="AS137" i="90"/>
  <c r="AS140" i="90"/>
  <c r="AS144" i="90"/>
  <c r="AS139" i="90"/>
  <c r="AS135" i="90"/>
  <c r="AG15" i="90"/>
  <c r="AI15" i="90" s="1"/>
  <c r="AN106" i="90" s="1"/>
  <c r="S4" i="85"/>
  <c r="R15" i="85"/>
  <c r="D19" i="89" s="1"/>
  <c r="AT8" i="90"/>
  <c r="AT9" i="90"/>
  <c r="AT11" i="90"/>
  <c r="AT7" i="90"/>
  <c r="AT10" i="90"/>
  <c r="AT5" i="90"/>
  <c r="AT12" i="90"/>
  <c r="AT13" i="90"/>
  <c r="AT14" i="90"/>
  <c r="AT6" i="90"/>
  <c r="AS77" i="90"/>
  <c r="B4" i="88"/>
  <c r="O4" i="88" s="1"/>
  <c r="Q4" i="88" s="1"/>
  <c r="R5" i="85"/>
  <c r="R12" i="85"/>
  <c r="J114" i="81" s="1"/>
  <c r="K114" i="81" s="1"/>
  <c r="R16" i="85"/>
  <c r="R8" i="85"/>
  <c r="J61" i="81" s="1"/>
  <c r="K61" i="81" s="1"/>
  <c r="R11" i="85"/>
  <c r="B9" i="92" s="1"/>
  <c r="R6" i="85"/>
  <c r="R17" i="85"/>
  <c r="R7" i="85"/>
  <c r="R10" i="85"/>
  <c r="B8" i="92" s="1"/>
  <c r="R18" i="85"/>
  <c r="R14" i="85"/>
  <c r="R9" i="85"/>
  <c r="B7" i="92" s="1"/>
  <c r="R13" i="85"/>
  <c r="B13" i="92" s="1"/>
  <c r="AS132" i="90" l="1"/>
  <c r="AS73" i="90"/>
  <c r="AS65" i="90"/>
  <c r="AS42" i="90"/>
  <c r="AS68" i="90"/>
  <c r="AS30" i="90"/>
  <c r="AS125" i="90"/>
  <c r="AS26" i="90"/>
  <c r="AS130" i="90"/>
  <c r="S17" i="85"/>
  <c r="B5" i="92"/>
  <c r="J62" i="81"/>
  <c r="K62" i="81" s="1"/>
  <c r="B15" i="88"/>
  <c r="M15" i="88" s="1"/>
  <c r="AS33" i="90"/>
  <c r="AS34" i="90"/>
  <c r="AS58" i="90"/>
  <c r="AS31" i="90"/>
  <c r="AS38" i="90"/>
  <c r="AS126" i="90"/>
  <c r="AS131" i="90"/>
  <c r="AS27" i="90"/>
  <c r="AS127" i="90"/>
  <c r="AS128" i="90"/>
  <c r="AS134" i="90"/>
  <c r="AS78" i="90"/>
  <c r="AS133" i="90"/>
  <c r="AS81" i="90"/>
  <c r="AS83" i="90"/>
  <c r="AS75" i="90"/>
  <c r="AS79" i="90"/>
  <c r="AS80" i="90"/>
  <c r="AS76" i="90"/>
  <c r="AS84" i="90"/>
  <c r="AS35" i="90"/>
  <c r="AS91" i="90"/>
  <c r="AS87" i="90"/>
  <c r="AS89" i="90"/>
  <c r="AS86" i="90"/>
  <c r="AS32" i="90"/>
  <c r="AS25" i="90"/>
  <c r="AS93" i="90"/>
  <c r="AS28" i="90"/>
  <c r="AS43" i="90"/>
  <c r="AS39" i="90"/>
  <c r="AS37" i="90"/>
  <c r="AS40" i="90"/>
  <c r="AS36" i="90"/>
  <c r="AS44" i="90"/>
  <c r="AS151" i="90"/>
  <c r="AS153" i="90"/>
  <c r="AS88" i="90"/>
  <c r="AS149" i="90"/>
  <c r="AS90" i="90"/>
  <c r="AS94" i="90"/>
  <c r="AS85" i="90"/>
  <c r="AS147" i="90"/>
  <c r="AS150" i="90"/>
  <c r="AS146" i="90"/>
  <c r="AS148" i="90"/>
  <c r="AS145" i="90"/>
  <c r="AS152" i="90"/>
  <c r="AS63" i="90"/>
  <c r="AT20" i="90"/>
  <c r="AS57" i="90"/>
  <c r="AS64" i="90"/>
  <c r="AS56" i="90"/>
  <c r="AS55" i="90"/>
  <c r="AS61" i="90"/>
  <c r="AT24" i="90"/>
  <c r="AS59" i="90"/>
  <c r="AT23" i="90"/>
  <c r="AS60" i="90"/>
  <c r="AT15" i="90"/>
  <c r="AT22" i="90"/>
  <c r="AT19" i="90"/>
  <c r="S10" i="85"/>
  <c r="B17" i="92"/>
  <c r="J155" i="81"/>
  <c r="K155" i="81" s="1"/>
  <c r="J156" i="81"/>
  <c r="K156" i="81" s="1"/>
  <c r="S9" i="85"/>
  <c r="J169" i="81"/>
  <c r="K169" i="81" s="1"/>
  <c r="J170" i="81"/>
  <c r="K170" i="81" s="1"/>
  <c r="S18" i="85"/>
  <c r="S8" i="85"/>
  <c r="S6" i="85"/>
  <c r="AT17" i="90"/>
  <c r="AT18" i="90"/>
  <c r="S11" i="85"/>
  <c r="S7" i="85"/>
  <c r="AT21" i="90"/>
  <c r="J115" i="81"/>
  <c r="K115" i="81" s="1"/>
  <c r="J117" i="81" s="1"/>
  <c r="P113" i="81" s="1"/>
  <c r="S16" i="85"/>
  <c r="AS109" i="90"/>
  <c r="AS114" i="90"/>
  <c r="AS112" i="90"/>
  <c r="AS105" i="90"/>
  <c r="AS110" i="90"/>
  <c r="AS113" i="90"/>
  <c r="AS108" i="90"/>
  <c r="AS111" i="90"/>
  <c r="AS107" i="90"/>
  <c r="AS106" i="90"/>
  <c r="J102" i="81"/>
  <c r="K102" i="81" s="1"/>
  <c r="J142" i="81"/>
  <c r="K142" i="81" s="1"/>
  <c r="J141" i="81"/>
  <c r="K141" i="81" s="1"/>
  <c r="B5" i="88"/>
  <c r="O5" i="88" s="1"/>
  <c r="Q5" i="88" s="1"/>
  <c r="S5" i="85"/>
  <c r="AS98" i="90"/>
  <c r="AS103" i="90"/>
  <c r="AS102" i="90"/>
  <c r="AS100" i="90"/>
  <c r="AS99" i="90"/>
  <c r="AS101" i="90"/>
  <c r="AS95" i="90"/>
  <c r="AS96" i="90"/>
  <c r="AS97" i="90"/>
  <c r="AS104" i="90"/>
  <c r="AT16" i="90"/>
  <c r="S15" i="85"/>
  <c r="S12" i="85"/>
  <c r="D8" i="89"/>
  <c r="S14" i="85"/>
  <c r="B20" i="92"/>
  <c r="P16" i="92" s="1"/>
  <c r="J197" i="81"/>
  <c r="K197" i="81" s="1"/>
  <c r="J198" i="81"/>
  <c r="K198" i="81" s="1"/>
  <c r="S13" i="85"/>
  <c r="D9" i="89"/>
  <c r="B19" i="92"/>
  <c r="R15" i="92" s="1"/>
  <c r="J184" i="81"/>
  <c r="K184" i="81" s="1"/>
  <c r="J183" i="81"/>
  <c r="K183" i="81" s="1"/>
  <c r="K24" i="88"/>
  <c r="P5" i="92"/>
  <c r="O5" i="92"/>
  <c r="R5" i="92"/>
  <c r="Q5" i="92"/>
  <c r="B14" i="92"/>
  <c r="C7" i="91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Q15" i="92" l="1"/>
  <c r="P15" i="92"/>
  <c r="O15" i="92"/>
  <c r="AT29" i="90"/>
  <c r="AT26" i="90"/>
  <c r="AT35" i="90"/>
  <c r="AT36" i="90"/>
  <c r="AT30" i="90"/>
  <c r="AT55" i="90"/>
  <c r="AT33" i="90"/>
  <c r="AT37" i="90"/>
  <c r="AT34" i="90"/>
  <c r="AT39" i="90"/>
  <c r="AT25" i="90"/>
  <c r="AT27" i="90"/>
  <c r="AT28" i="90"/>
  <c r="AT32" i="90"/>
  <c r="AT49" i="90"/>
  <c r="AT42" i="90"/>
  <c r="AT31" i="90"/>
  <c r="AT48" i="90"/>
  <c r="AT45" i="90"/>
  <c r="AT44" i="90"/>
  <c r="AT46" i="90"/>
  <c r="AT38" i="90"/>
  <c r="AT57" i="90"/>
  <c r="AT53" i="90"/>
  <c r="AT41" i="90"/>
  <c r="AT47" i="90"/>
  <c r="AT50" i="90"/>
  <c r="AT51" i="90"/>
  <c r="AT52" i="90"/>
  <c r="AT54" i="90"/>
  <c r="AT40" i="90"/>
  <c r="AT43" i="90"/>
  <c r="AT91" i="90"/>
  <c r="J144" i="81"/>
  <c r="AT56" i="90"/>
  <c r="AT58" i="90"/>
  <c r="AT87" i="90"/>
  <c r="AT60" i="90"/>
  <c r="AT78" i="90"/>
  <c r="AT65" i="90"/>
  <c r="AT80" i="90"/>
  <c r="AT76" i="90"/>
  <c r="AT77" i="90"/>
  <c r="AT89" i="90"/>
  <c r="AT72" i="90"/>
  <c r="AT61" i="90"/>
  <c r="AT88" i="90"/>
  <c r="AT90" i="90"/>
  <c r="AT62" i="90"/>
  <c r="AT67" i="90"/>
  <c r="AT79" i="90"/>
  <c r="AT63" i="90"/>
  <c r="AT73" i="90"/>
  <c r="AT59" i="90"/>
  <c r="AT64" i="90"/>
  <c r="AT86" i="90"/>
  <c r="AT93" i="90"/>
  <c r="AT115" i="90"/>
  <c r="AT82" i="90"/>
  <c r="AT92" i="90"/>
  <c r="AT66" i="90"/>
  <c r="AT75" i="90"/>
  <c r="K25" i="88"/>
  <c r="AT68" i="90"/>
  <c r="AT74" i="90"/>
  <c r="AT83" i="90"/>
  <c r="AT81" i="90"/>
  <c r="AT84" i="90"/>
  <c r="AT94" i="90"/>
  <c r="AT69" i="90"/>
  <c r="AT70" i="90"/>
  <c r="AT85" i="90"/>
  <c r="AT71" i="90"/>
  <c r="AT108" i="90"/>
  <c r="AT132" i="90"/>
  <c r="J172" i="81"/>
  <c r="P175" i="81" s="1"/>
  <c r="AT146" i="90"/>
  <c r="AT140" i="90"/>
  <c r="J186" i="81"/>
  <c r="K185" i="81" s="1"/>
  <c r="J200" i="81"/>
  <c r="P199" i="81" s="1"/>
  <c r="AT151" i="90"/>
  <c r="AT125" i="90"/>
  <c r="AT123" i="90"/>
  <c r="AT154" i="90"/>
  <c r="AT147" i="90"/>
  <c r="AT105" i="90"/>
  <c r="AT126" i="90"/>
  <c r="AT98" i="90"/>
  <c r="AT133" i="90"/>
  <c r="AT153" i="90"/>
  <c r="AT119" i="90"/>
  <c r="AT113" i="90"/>
  <c r="AT136" i="90"/>
  <c r="AT101" i="90"/>
  <c r="AT142" i="90"/>
  <c r="AT150" i="90"/>
  <c r="AT134" i="90"/>
  <c r="AT149" i="90"/>
  <c r="AT111" i="90"/>
  <c r="AT118" i="90"/>
  <c r="AT143" i="90"/>
  <c r="AT102" i="90"/>
  <c r="AT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T100" i="90"/>
  <c r="AT148" i="90"/>
  <c r="AT144" i="90"/>
  <c r="AT96" i="90"/>
  <c r="AT104" i="90"/>
  <c r="AT145" i="90"/>
  <c r="R16" i="92"/>
  <c r="AT103" i="90"/>
  <c r="AT131" i="90"/>
  <c r="AT127" i="90"/>
  <c r="AT97" i="90"/>
  <c r="AT138" i="90"/>
  <c r="AT122" i="90"/>
  <c r="AT128" i="90"/>
  <c r="P172" i="81"/>
  <c r="P166" i="81"/>
  <c r="AT110" i="90"/>
  <c r="O16" i="92"/>
  <c r="AT152" i="90"/>
  <c r="AT135" i="90"/>
  <c r="AT99" i="90"/>
  <c r="AT117" i="90"/>
  <c r="AT139" i="90"/>
  <c r="AT124" i="90"/>
  <c r="Q16" i="92"/>
  <c r="AT114" i="90"/>
  <c r="AT121" i="90"/>
  <c r="P139" i="81"/>
  <c r="P143" i="81"/>
  <c r="P144" i="81"/>
  <c r="P145" i="81"/>
  <c r="P138" i="81"/>
  <c r="P142" i="81"/>
  <c r="P147" i="81"/>
  <c r="K143" i="81"/>
  <c r="P146" i="81"/>
  <c r="P140" i="81"/>
  <c r="P141" i="81"/>
  <c r="AT112" i="90"/>
  <c r="AT116" i="90"/>
  <c r="AT141" i="90"/>
  <c r="J104" i="81"/>
  <c r="P107" i="81" s="1"/>
  <c r="AT106" i="90"/>
  <c r="AT130" i="90"/>
  <c r="J158" i="81"/>
  <c r="AT95" i="90"/>
  <c r="AT107" i="90"/>
  <c r="AT109" i="90"/>
  <c r="AT129" i="90"/>
  <c r="O13" i="92"/>
  <c r="P13" i="92"/>
  <c r="R13" i="92"/>
  <c r="Q13" i="92"/>
  <c r="AT120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8" i="92"/>
  <c r="AC58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Q47" i="92" l="1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AJ12" i="89" s="1"/>
  <c r="AL13" i="89" s="1"/>
  <c r="AN13" i="89" s="1"/>
  <c r="AI44" i="89" s="1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F6" i="93" l="1"/>
  <c r="D29" i="93" s="1"/>
  <c r="D34" i="93"/>
  <c r="D15" i="93"/>
  <c r="D16" i="93"/>
  <c r="D14" i="93"/>
  <c r="D17" i="93"/>
  <c r="D18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F16" i="93" l="1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0" i="90"/>
  <c r="D25" i="93"/>
  <c r="D24" i="93"/>
  <c r="D32" i="93"/>
  <c r="D28" i="93"/>
  <c r="O342" i="90"/>
  <c r="D26" i="93"/>
  <c r="D30" i="93"/>
  <c r="D27" i="93"/>
  <c r="O245" i="90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F21" i="93" l="1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l="1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C2" i="84"/>
  <c r="D7" i="84" s="1"/>
  <c r="BD340" i="83" l="1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<sst xmlns="http://schemas.openxmlformats.org/spreadsheetml/2006/main" count="4676" uniqueCount="743">
  <si>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</si>
  <si>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</si>
  <si>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</si>
  <si>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</si>
  <si>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</si>
  <si>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</si>
  <si>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</si>
  <si>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</si>
  <si>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</si>
  <si>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</si>
  <si>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</si>
  <si>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</si>
  <si>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</si>
  <si>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</si>
  <si>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</si>
  <si>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</si>
  <si>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</si>
  <si>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</si>
  <si>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</si>
  <si>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</si>
  <si>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</si>
  <si>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</si>
  <si>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</si>
  <si>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</si>
  <si>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</si>
  <si>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</si>
  <si>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</si>
  <si>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</si>
  <si>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</si>
  <si>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</si>
  <si>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</si>
  <si>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</si>
  <si>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</si>
  <si>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</si>
  <si>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</si>
  <si>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</si>
  <si>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</si>
  <si>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</si>
  <si>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</si>
  <si>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</si>
  <si>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</si>
  <si>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</si>
  <si>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</si>
  <si>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</si>
  <si>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</si>
  <si>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</si>
  <si>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</si>
  <si>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</si>
  <si>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</si>
  <si>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</si>
  <si>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</si>
  <si>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</si>
  <si>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</si>
  <si>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</si>
  <si>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</si>
  <si>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</si>
  <si>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</si>
  <si>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</si>
  <si>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</si>
  <si>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</si>
  <si>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</si>
  <si>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</si>
  <si>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</si>
  <si>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</si>
  <si>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</si>
  <si>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</si>
  <si>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</si>
  <si>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</si>
  <si>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</si>
  <si>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</si>
  <si>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</si>
  <si>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</si>
  <si>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</si>
  <si>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</si>
  <si>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</si>
  <si>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</si>
  <si>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</si>
  <si>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</si>
  <si>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</si>
  <si>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</si>
  <si>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</si>
  <si>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</si>
  <si>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</si>
  <si>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</si>
  <si>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</si>
  <si>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</si>
  <si>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</si>
  <si>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</si>
  <si>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</si>
  <si>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</si>
  <si>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</si>
  <si>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</si>
  <si>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</si>
  <si>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</si>
  <si>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</si>
  <si>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</si>
  <si>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</si>
  <si>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</si>
  <si>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</si>
  <si>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</si>
  <si>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</si>
  <si>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</si>
  <si>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</si>
  <si>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</si>
  <si>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</si>
  <si>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</si>
  <si>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</si>
  <si>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</si>
  <si>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</si>
  <si>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</si>
  <si>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</si>
  <si>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</si>
  <si>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</si>
  <si>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</si>
  <si>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</si>
  <si>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</si>
  <si>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</si>
  <si>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</si>
  <si>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</si>
  <si>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</si>
  <si>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</si>
  <si>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</si>
  <si>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</si>
  <si>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</si>
  <si>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</si>
  <si>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</si>
  <si>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</si>
  <si>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</si>
  <si>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</si>
  <si>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</si>
  <si>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</si>
  <si>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</si>
  <si>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</si>
  <si>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</si>
  <si>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</si>
  <si>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</si>
  <si>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</si>
  <si>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</si>
  <si>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</si>
  <si>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</si>
  <si>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</si>
  <si>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</si>
  <si>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</si>
  <si>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</si>
  <si>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</si>
  <si>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</si>
  <si>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</si>
  <si>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</si>
  <si>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</si>
  <si>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</si>
  <si>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</si>
  <si>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</si>
  <si>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</si>
  <si>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</si>
  <si>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</si>
  <si>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</si>
  <si>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</si>
  <si>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</si>
  <si>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</si>
  <si>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</si>
  <si>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</si>
  <si>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</si>
  <si>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</si>
  <si>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</si>
  <si>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</si>
  <si>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</si>
  <si>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</si>
  <si>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</si>
  <si>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</si>
  <si>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</si>
  <si>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</si>
  <si>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</si>
  <si>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</si>
  <si>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</si>
  <si>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</si>
  <si>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</si>
  <si>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</si>
  <si>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</si>
  <si>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</si>
  <si>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</si>
  <si>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</si>
  <si>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</si>
  <si>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</si>
  <si>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</si>
  <si>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</si>
  <si>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</si>
  <si>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</si>
  <si>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</si>
  <si>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</si>
  <si>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</si>
  <si>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</si>
  <si>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</si>
  <si>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</si>
  <si>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</si>
  <si>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</si>
  <si>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</si>
  <si>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</si>
  <si>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</si>
  <si>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</si>
  <si>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</si>
  <si>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</si>
  <si>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</si>
  <si>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</si>
  <si>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</si>
  <si>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</si>
  <si>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</si>
  <si>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</si>
  <si>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</si>
  <si>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</si>
  <si>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</si>
  <si>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</si>
  <si>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</si>
  <si>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</si>
  <si>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</si>
  <si>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</si>
  <si>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</si>
  <si>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</si>
  <si>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</si>
  <si>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</si>
  <si>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</si>
  <si>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</si>
  <si>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</si>
  <si>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</si>
  <si>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</si>
  <si>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</si>
  <si>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</si>
  <si>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</si>
  <si>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</si>
  <si>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</si>
  <si>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</si>
  <si>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</si>
  <si>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</si>
  <si>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</si>
  <si>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</si>
  <si>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</si>
  <si>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</si>
  <si>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</si>
  <si>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</si>
  <si>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</si>
  <si>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</si>
  <si>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</si>
  <si>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</si>
  <si>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</si>
  <si>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</si>
  <si>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</si>
  <si>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</si>
  <si>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</si>
  <si>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</si>
  <si>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</si>
  <si>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</si>
  <si>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</si>
  <si>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</si>
  <si>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</si>
  <si>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</si>
  <si>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</si>
  <si>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</si>
  <si>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</si>
  <si>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</si>
  <si>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</si>
  <si>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</si>
  <si>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</si>
  <si>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</si>
  <si>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</si>
  <si>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</si>
  <si>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</si>
  <si>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</si>
  <si>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</si>
  <si>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</si>
  <si>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</si>
  <si>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</si>
  <si>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</si>
  <si>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</si>
  <si>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</si>
  <si>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</si>
  <si>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</si>
  <si>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</si>
  <si>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</si>
  <si>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</si>
  <si>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</si>
  <si>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</si>
  <si>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</si>
  <si>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</si>
  <si>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</si>
  <si>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</si>
  <si>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</si>
  <si>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</si>
  <si>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</si>
  <si>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</si>
  <si>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</si>
  <si>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</si>
  <si>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</si>
  <si>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</si>
  <si>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</si>
  <si>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</si>
  <si>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</si>
  <si>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</si>
  <si>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</si>
  <si>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</si>
  <si>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</si>
  <si>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</si>
  <si>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</si>
  <si>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</si>
  <si>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</si>
  <si>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</si>
  <si>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</si>
  <si>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</si>
  <si>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</si>
  <si>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</si>
  <si>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</si>
  <si>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</si>
  <si>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</si>
  <si>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</si>
  <si>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</si>
  <si>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</si>
  <si>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</si>
  <si>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</si>
  <si>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</si>
  <si>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</si>
  <si>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</si>
  <si>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</si>
  <si>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</si>
  <si>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</si>
  <si>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</si>
  <si>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</si>
  <si>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</si>
  <si>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</si>
  <si>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</si>
  <si>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</si>
  <si>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</si>
  <si>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</si>
  <si>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</si>
  <si>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</si>
  <si>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</si>
  <si>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</si>
  <si>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</si>
  <si>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</si>
  <si>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</si>
  <si>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</si>
  <si>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</si>
  <si>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</si>
  <si>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</si>
  <si>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</si>
  <si>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</si>
  <si>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</si>
  <si>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</si>
  <si>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</si>
  <si>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</si>
  <si>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</si>
  <si>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</si>
  <si>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</si>
  <si>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</si>
  <si>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</si>
  <si>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</si>
  <si>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</si>
  <si>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</si>
  <si>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</si>
  <si>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</si>
  <si>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</si>
  <si>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</si>
  <si>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</si>
  <si>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</si>
  <si>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</si>
  <si>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</si>
  <si>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</si>
  <si>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</si>
  <si>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</si>
  <si>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</si>
  <si>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</si>
  <si>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</si>
  <si>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</si>
  <si>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</si>
  <si>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</si>
  <si>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</si>
  <si>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</si>
  <si>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</si>
  <si>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</si>
  <si>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</si>
  <si>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</si>
  <si>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</si>
  <si>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</si>
  <si>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</si>
  <si>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</si>
  <si>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</si>
  <si>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</si>
  <si>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</si>
  <si>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</si>
  <si>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</si>
  <si>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</si>
  <si>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</si>
  <si>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</si>
  <si>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</si>
  <si>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</si>
  <si>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</si>
  <si>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</si>
  <si>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</si>
  <si>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</si>
  <si>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</si>
  <si>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</si>
  <si>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</si>
  <si>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</si>
  <si>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</si>
  <si>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</si>
  <si>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</si>
  <si>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</si>
  <si>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</si>
  <si>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</si>
  <si>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</si>
  <si>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</si>
  <si>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</si>
  <si>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</si>
  <si>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</si>
  <si>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</si>
  <si>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</si>
  <si>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</si>
  <si>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</si>
  <si>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</si>
  <si>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</si>
  <si>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</si>
  <si>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</si>
  <si>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</si>
  <si>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</si>
  <si>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</si>
  <si>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</si>
  <si>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</si>
  <si>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</si>
  <si>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</si>
  <si>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</si>
  <si>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</si>
  <si>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</si>
  <si>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</si>
  <si>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</si>
  <si>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</si>
  <si>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</si>
  <si>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</si>
  <si>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</si>
  <si>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</si>
  <si>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</si>
  <si>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</si>
  <si>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</si>
  <si>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</si>
  <si>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</si>
  <si>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</si>
  <si>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</si>
  <si>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</si>
  <si>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</si>
  <si>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</si>
  <si>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</si>
  <si>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</si>
  <si>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</si>
  <si>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</si>
  <si>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</si>
  <si>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</si>
  <si>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</si>
  <si>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</si>
  <si>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</si>
  <si>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</si>
  <si>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</si>
  <si>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</si>
  <si>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</si>
  <si>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</si>
  <si>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</si>
  <si>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</si>
  <si>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</si>
  <si>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</si>
  <si>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</si>
  <si>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</si>
  <si>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</si>
  <si>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</si>
  <si>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</si>
  <si>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</si>
  <si>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</si>
  <si>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</si>
  <si>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</si>
  <si>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</si>
  <si>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</si>
  <si>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</si>
  <si>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</si>
  <si>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</si>
  <si>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</si>
  <si>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</si>
  <si>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</si>
  <si>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</si>
  <si>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</si>
  <si>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</si>
  <si>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</si>
  <si>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</si>
  <si>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</si>
  <si>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</si>
  <si>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</si>
  <si>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</si>
  <si>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</si>
  <si>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</si>
  <si>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</si>
  <si>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</si>
  <si>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</si>
  <si>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</si>
  <si>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</si>
  <si>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</si>
  <si>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</si>
  <si>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</si>
  <si>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</si>
  <si>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</si>
  <si>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</si>
  <si>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</si>
  <si>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</si>
  <si>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</si>
  <si>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</si>
  <si>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</si>
  <si>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</si>
  <si>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</si>
  <si>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</si>
  <si>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</si>
  <si>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</si>
  <si>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</si>
  <si>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</si>
  <si>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</si>
  <si>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</si>
  <si>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</si>
  <si>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</si>
  <si>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</si>
  <si>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</si>
  <si>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</si>
  <si>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</si>
  <si>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</si>
  <si>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</si>
  <si>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</si>
  <si>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</si>
  <si>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</si>
  <si>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</si>
  <si>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</si>
  <si>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</si>
  <si>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</si>
  <si>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</si>
  <si>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</si>
  <si>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</si>
  <si>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</si>
  <si>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</si>
  <si>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</si>
  <si>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</si>
  <si>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</si>
  <si>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</si>
  <si>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</si>
  <si>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</si>
  <si>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</si>
  <si>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</si>
  <si>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</si>
  <si>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</si>
  <si>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</si>
  <si>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</si>
  <si>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</si>
  <si>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</si>
  <si>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</si>
  <si>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</si>
  <si>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</si>
  <si>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</si>
  <si>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</si>
  <si>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</si>
  <si>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</si>
  <si>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</si>
  <si>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</si>
  <si>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</si>
  <si>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</si>
  <si>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</si>
  <si>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</si>
  <si>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</si>
  <si>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</si>
  <si>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</si>
  <si>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</si>
  <si>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</si>
  <si>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</si>
  <si>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</si>
  <si>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</si>
  <si>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</si>
  <si>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</si>
  <si>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</si>
  <si>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</si>
  <si>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</si>
  <si>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</si>
  <si>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</si>
  <si>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</si>
  <si>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</si>
  <si>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</si>
  <si>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</si>
  <si>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</si>
  <si>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</si>
  <si>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</si>
  <si>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</si>
  <si>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</si>
  <si>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</si>
  <si>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</si>
  <si>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</si>
  <si>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</si>
  <si>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</si>
  <si>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</si>
  <si>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</si>
  <si>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</si>
  <si>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</si>
  <si>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</si>
  <si>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</si>
  <si>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</si>
  <si>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</si>
  <si>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</si>
  <si>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</si>
  <si>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</si>
  <si>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</si>
  <si>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</si>
  <si>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</si>
  <si>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</si>
  <si>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</si>
  <si>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</si>
  <si>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</si>
  <si>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</si>
  <si>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</si>
  <si>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</si>
  <si>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</si>
  <si>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</si>
  <si>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</si>
  <si>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</si>
  <si>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</si>
  <si>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</si>
  <si>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</si>
  <si>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</si>
  <si>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</si>
  <si>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</si>
  <si>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</si>
  <si>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</si>
  <si>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</si>
  <si>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</si>
  <si>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</si>
  <si>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</si>
  <si>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</si>
  <si>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</si>
  <si>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</si>
  <si>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</si>
  <si>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</si>
  <si>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</si>
  <si>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</si>
  <si>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</si>
  <si>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</si>
  <si>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</si>
  <si>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</si>
  <si>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</si>
  <si>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</si>
  <si>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</si>
  <si>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</si>
  <si>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</si>
  <si>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</si>
  <si>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</si>
  <si>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</si>
  <si>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</si>
  <si>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</si>
  <si>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</si>
  <si>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</si>
  <si>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</si>
  <si>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</si>
  <si>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</si>
  <si>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</si>
  <si>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</si>
  <si>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</si>
  <si>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</si>
  <si>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</si>
  <si>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</si>
  <si>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</si>
  <si>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</si>
  <si>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</si>
  <si>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</si>
  <si>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</si>
  <si>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</si>
  <si>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</si>
  <si>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</si>
  <si>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</si>
  <si>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</si>
  <si>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</si>
  <si>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</si>
  <si>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</si>
  <si>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</si>
  <si>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</si>
  <si>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</si>
  <si>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</si>
  <si>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</si>
  <si>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</si>
  <si>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</si>
  <si>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</si>
  <si>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</si>
  <si>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</si>
  <si>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</si>
  <si>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</si>
  <si>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</si>
  <si>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</si>
  <si>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</si>
  <si>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</si>
  <si>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</si>
  <si>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</si>
  <si>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</si>
  <si>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</si>
  <si>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</si>
  <si>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</si>
  <si>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</si>
  <si>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</si>
  <si>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</si>
  <si>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</si>
  <si>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</si>
  <si>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</si>
  <si>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</si>
  <si>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</si>
  <si>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</si>
  <si>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</si>
  <si>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</si>
  <si>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</si>
  <si>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</si>
  <si>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</si>
  <si>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</si>
  <si>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</si>
  <si>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</si>
  <si>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</si>
  <si>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</si>
  <si>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</si>
  <si>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</si>
  <si>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</si>
  <si>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</si>
  <si>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</si>
  <si>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</si>
  <si>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</si>
  <si>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</si>
  <si>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</si>
  <si>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</si>
  <si>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</si>
  <si>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</si>
  <si>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</si>
  <si>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</si>
  <si>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</si>
  <si>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</si>
  <si>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</si>
  <si>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</si>
  <si>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</si>
  <si>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</si>
  <si>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</si>
  <si>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</si>
  <si>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</si>
  <si>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</si>
  <si>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通关第一章，挂机1~4扫荡2小时</t>
    <phoneticPr fontId="2" type="noConversion"/>
  </si>
  <si>
    <t>通关第二章。
通关困难第一章。
芦花-风过4关。
挂机2-8扫荡4小时。</t>
    <phoneticPr fontId="2" type="noConversion"/>
  </si>
  <si>
    <t>普通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</si>
</sst>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1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9" t="s">
        <v>13</v>
      </c>
      <c r="C2" s="80"/>
      <c r="D2" s="80"/>
      <c r="E2" s="81"/>
    </row>
    <row r="3" spans="2:5" ht="35.1" customHeight="1" x14ac:dyDescent="0.2">
      <c r="B3" s="2" t="s">
        <v>0</v>
      </c>
      <c r="C3" s="3" t="s">
        <v>11</v>
      </c>
      <c r="D3" s="82" t="s">
        <v>1</v>
      </c>
      <c r="E3" s="84" t="s">
        <v>14</v>
      </c>
    </row>
    <row r="4" spans="2:5" ht="35.1" customHeight="1" x14ac:dyDescent="0.2">
      <c r="B4" s="2" t="s">
        <v>2</v>
      </c>
      <c r="C4" s="3" t="s">
        <v>12</v>
      </c>
      <c r="D4" s="83"/>
      <c r="E4" s="85"/>
    </row>
    <row r="5" spans="2:5" ht="35.1" customHeight="1" x14ac:dyDescent="0.2">
      <c r="B5" s="4" t="s">
        <v>3</v>
      </c>
      <c r="C5" s="86" t="s">
        <v>15</v>
      </c>
      <c r="D5" s="87"/>
      <c r="E5" s="88"/>
    </row>
    <row r="6" spans="2:5" ht="18" x14ac:dyDescent="0.2">
      <c r="B6" s="89" t="s">
        <v>4</v>
      </c>
      <c r="C6" s="90"/>
      <c r="D6" s="90"/>
      <c r="E6" s="91"/>
    </row>
    <row r="7" spans="2:5" ht="18" x14ac:dyDescent="0.2">
      <c r="B7" s="5" t="s">
        <v>5</v>
      </c>
      <c r="C7" s="6" t="s">
        <v>6</v>
      </c>
      <c r="D7" s="77" t="s">
        <v>7</v>
      </c>
      <c r="E7" s="78"/>
    </row>
    <row r="8" spans="2:5" x14ac:dyDescent="0.2">
      <c r="B8" s="7">
        <v>43490</v>
      </c>
      <c r="C8" s="8" t="s">
        <v>10</v>
      </c>
      <c r="D8" s="92" t="s">
        <v>8</v>
      </c>
      <c r="E8" s="93"/>
    </row>
    <row r="9" spans="2:5" x14ac:dyDescent="0.2">
      <c r="B9" s="7"/>
      <c r="C9" s="8"/>
      <c r="D9" s="92"/>
      <c r="E9" s="93"/>
    </row>
    <row r="10" spans="2:5" x14ac:dyDescent="0.2">
      <c r="B10" s="9"/>
      <c r="C10" s="8"/>
      <c r="D10" s="92"/>
      <c r="E10" s="93"/>
    </row>
    <row r="11" spans="2:5" x14ac:dyDescent="0.2">
      <c r="B11" s="9"/>
      <c r="C11" s="8"/>
      <c r="D11" s="92"/>
      <c r="E11" s="93"/>
    </row>
    <row r="12" spans="2:5" x14ac:dyDescent="0.2">
      <c r="B12" s="9"/>
      <c r="C12" s="8"/>
      <c r="D12" s="92"/>
      <c r="E12" s="93"/>
    </row>
    <row r="13" spans="2:5" x14ac:dyDescent="0.2">
      <c r="B13" s="9"/>
      <c r="C13" s="8"/>
      <c r="D13" s="92"/>
      <c r="E13" s="93"/>
    </row>
    <row r="14" spans="2:5" x14ac:dyDescent="0.2">
      <c r="B14" s="9"/>
      <c r="C14" s="8"/>
      <c r="D14" s="92"/>
      <c r="E14" s="93"/>
    </row>
    <row r="15" spans="2:5" x14ac:dyDescent="0.2">
      <c r="B15" s="9"/>
      <c r="C15" s="8"/>
      <c r="D15" s="92"/>
      <c r="E15" s="93"/>
    </row>
    <row r="16" spans="2:5" x14ac:dyDescent="0.2">
      <c r="B16" s="9"/>
      <c r="C16" s="8"/>
      <c r="D16" s="92"/>
      <c r="E16" s="93"/>
    </row>
    <row r="17" spans="2:5" x14ac:dyDescent="0.2">
      <c r="B17" s="9"/>
      <c r="C17" s="8"/>
      <c r="D17" s="92"/>
      <c r="E17" s="93"/>
    </row>
    <row r="18" spans="2:5" x14ac:dyDescent="0.2">
      <c r="B18" s="9"/>
      <c r="C18" s="8"/>
      <c r="D18" s="92"/>
      <c r="E18" s="93"/>
    </row>
    <row r="19" spans="2:5" x14ac:dyDescent="0.2">
      <c r="B19" s="9"/>
      <c r="C19" s="8"/>
      <c r="D19" s="92"/>
      <c r="E19" s="93"/>
    </row>
    <row r="20" spans="2:5" x14ac:dyDescent="0.2">
      <c r="B20" s="9"/>
      <c r="C20" s="8"/>
      <c r="D20" s="92"/>
      <c r="E20" s="93"/>
    </row>
    <row r="21" spans="2:5" x14ac:dyDescent="0.2">
      <c r="B21" s="9"/>
      <c r="C21" s="8"/>
      <c r="D21" s="92"/>
      <c r="E21" s="93"/>
    </row>
    <row r="22" spans="2:5" x14ac:dyDescent="0.2">
      <c r="B22" s="9"/>
      <c r="C22" s="8"/>
      <c r="D22" s="92"/>
      <c r="E22" s="93"/>
    </row>
    <row r="23" spans="2:5" x14ac:dyDescent="0.2">
      <c r="B23" s="9"/>
      <c r="C23" s="8"/>
      <c r="D23" s="92"/>
      <c r="E23" s="93"/>
    </row>
    <row r="24" spans="2:5" x14ac:dyDescent="0.2">
      <c r="B24" s="9"/>
      <c r="C24" s="8"/>
      <c r="D24" s="92"/>
      <c r="E24" s="93"/>
    </row>
    <row r="25" spans="2:5" x14ac:dyDescent="0.2">
      <c r="B25" s="9"/>
      <c r="C25" s="8"/>
      <c r="D25" s="92"/>
      <c r="E25" s="93"/>
    </row>
    <row r="26" spans="2:5" x14ac:dyDescent="0.2">
      <c r="B26" s="9"/>
      <c r="C26" s="8"/>
      <c r="D26" s="92"/>
      <c r="E26" s="93"/>
    </row>
    <row r="27" spans="2:5" x14ac:dyDescent="0.2">
      <c r="B27" s="9"/>
      <c r="C27" s="8"/>
      <c r="D27" s="92"/>
      <c r="E27" s="93"/>
    </row>
    <row r="28" spans="2:5" ht="18" thickBot="1" x14ac:dyDescent="0.25">
      <c r="B28" s="10"/>
      <c r="C28" s="11"/>
      <c r="D28" s="94"/>
      <c r="E28" s="95"/>
    </row>
    <row r="30" spans="2:5" x14ac:dyDescent="0.2">
      <c r="B30" s="96" t="s">
        <v>9</v>
      </c>
      <c r="C30" s="96"/>
      <c r="D30" s="96"/>
      <c r="E30" s="9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8" sqref="E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226</v>
      </c>
      <c r="S1" s="29">
        <v>3</v>
      </c>
      <c r="T1" s="16"/>
    </row>
    <row r="2" spans="1:47" ht="16.5" x14ac:dyDescent="0.2">
      <c r="A2" s="28" t="s">
        <v>224</v>
      </c>
      <c r="B2" s="29">
        <v>1</v>
      </c>
    </row>
    <row r="3" spans="1:47" ht="20.25" x14ac:dyDescent="0.2">
      <c r="A3" s="97" t="s">
        <v>138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R3" s="97" t="s">
        <v>216</v>
      </c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</row>
    <row r="4" spans="1:47" ht="17.25" x14ac:dyDescent="0.2">
      <c r="A4" s="16"/>
      <c r="B4" s="16"/>
      <c r="C4" s="16"/>
      <c r="D4" s="16"/>
      <c r="E4" s="28" t="s">
        <v>212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192</v>
      </c>
      <c r="S4" s="12" t="s">
        <v>193</v>
      </c>
      <c r="T4" s="12" t="s">
        <v>225</v>
      </c>
      <c r="U4" s="12" t="s">
        <v>202</v>
      </c>
      <c r="V4" s="12" t="s">
        <v>204</v>
      </c>
      <c r="W4" s="12" t="s">
        <v>194</v>
      </c>
      <c r="X4" s="12" t="s">
        <v>195</v>
      </c>
      <c r="Y4" s="12" t="s">
        <v>196</v>
      </c>
      <c r="Z4" s="12" t="s">
        <v>197</v>
      </c>
      <c r="AA4" s="12" t="s">
        <v>214</v>
      </c>
      <c r="AB4" s="12" t="s">
        <v>198</v>
      </c>
      <c r="AC4" s="12" t="s">
        <v>199</v>
      </c>
      <c r="AD4" s="12" t="s">
        <v>200</v>
      </c>
      <c r="AE4" s="12" t="s">
        <v>201</v>
      </c>
      <c r="AJ4" s="12" t="s">
        <v>254</v>
      </c>
      <c r="AK4" s="12" t="s">
        <v>255</v>
      </c>
      <c r="AL4" s="12" t="s">
        <v>256</v>
      </c>
      <c r="AM4" s="12" t="s">
        <v>257</v>
      </c>
      <c r="AN4" s="12" t="s">
        <v>235</v>
      </c>
      <c r="AQ4" s="12" t="s">
        <v>572</v>
      </c>
      <c r="AR4" s="12" t="s">
        <v>255</v>
      </c>
      <c r="AS4" s="12" t="s">
        <v>573</v>
      </c>
      <c r="AT4" s="12" t="s">
        <v>257</v>
      </c>
      <c r="AU4" s="12" t="s">
        <v>77</v>
      </c>
    </row>
    <row r="5" spans="1:47" ht="16.5" x14ac:dyDescent="0.2">
      <c r="A5" s="16"/>
      <c r="B5" s="16"/>
      <c r="C5" s="16"/>
      <c r="D5" s="16"/>
      <c r="E5" s="28" t="s">
        <v>213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203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85779</v>
      </c>
      <c r="AK5" s="20">
        <v>0.1</v>
      </c>
      <c r="AL5" s="15">
        <f>INT(AJ$5*AK5)</f>
        <v>8577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168</v>
      </c>
      <c r="B6" s="12" t="s">
        <v>218</v>
      </c>
      <c r="C6" s="12" t="s">
        <v>217</v>
      </c>
      <c r="D6" s="12" t="s">
        <v>103</v>
      </c>
      <c r="E6" s="12" t="s">
        <v>191</v>
      </c>
      <c r="F6" s="12" t="s">
        <v>184</v>
      </c>
      <c r="G6" s="12" t="s">
        <v>185</v>
      </c>
      <c r="H6" s="12" t="s">
        <v>186</v>
      </c>
      <c r="I6" s="12" t="s">
        <v>187</v>
      </c>
      <c r="J6" s="12" t="s">
        <v>215</v>
      </c>
      <c r="K6" s="12" t="s">
        <v>17</v>
      </c>
      <c r="L6" s="12" t="s">
        <v>18</v>
      </c>
      <c r="M6" s="12" t="s">
        <v>188</v>
      </c>
      <c r="N6" s="12" t="s">
        <v>190</v>
      </c>
      <c r="O6" s="12" t="s">
        <v>237</v>
      </c>
      <c r="P6" s="12" t="s">
        <v>236</v>
      </c>
      <c r="R6" s="29">
        <v>2</v>
      </c>
      <c r="S6" s="29" t="s">
        <v>205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25733</v>
      </c>
      <c r="AM6" s="35">
        <v>1</v>
      </c>
      <c r="AN6" s="15">
        <f t="shared" ref="AN6:AN24" si="1">INT(AL6/AM6/$S$1/500)*500</f>
        <v>8500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205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51467</v>
      </c>
      <c r="AM7" s="35">
        <v>1</v>
      </c>
      <c r="AN7" s="15">
        <f t="shared" si="1"/>
        <v>17000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206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1018327</v>
      </c>
      <c r="AK8" s="20">
        <v>0.1</v>
      </c>
      <c r="AL8" s="15">
        <f>INT(AJ$8*AK8)</f>
        <v>101832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206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254581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207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305498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207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356414</v>
      </c>
      <c r="AM11" s="35">
        <v>1.8</v>
      </c>
      <c r="AN11" s="15">
        <f t="shared" si="1"/>
        <v>66000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208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208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208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208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209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209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209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209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210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210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210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227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210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229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211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230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228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233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231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232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219</v>
      </c>
      <c r="C34" s="12" t="s">
        <v>54</v>
      </c>
      <c r="D34" s="12" t="s">
        <v>223</v>
      </c>
      <c r="E34" s="12" t="s">
        <v>184</v>
      </c>
      <c r="F34" s="12" t="s">
        <v>185</v>
      </c>
      <c r="G34" s="12" t="s">
        <v>186</v>
      </c>
      <c r="H34" s="12" t="s">
        <v>187</v>
      </c>
      <c r="I34" s="12" t="s">
        <v>215</v>
      </c>
      <c r="J34" s="12" t="s">
        <v>220</v>
      </c>
      <c r="K34" s="12" t="s">
        <v>221</v>
      </c>
      <c r="L34" s="12" t="s">
        <v>222</v>
      </c>
      <c r="M34" s="12" t="s">
        <v>189</v>
      </c>
      <c r="N34" s="12" t="s">
        <v>234</v>
      </c>
      <c r="O34" s="12" t="s">
        <v>235</v>
      </c>
      <c r="R34" s="12" t="s">
        <v>192</v>
      </c>
      <c r="S34" s="12" t="s">
        <v>193</v>
      </c>
      <c r="T34" s="12" t="s">
        <v>225</v>
      </c>
      <c r="U34" s="12" t="s">
        <v>202</v>
      </c>
      <c r="V34" s="12" t="s">
        <v>204</v>
      </c>
      <c r="W34" s="12" t="s">
        <v>321</v>
      </c>
      <c r="X34" s="12" t="s">
        <v>322</v>
      </c>
      <c r="Y34" s="12" t="s">
        <v>323</v>
      </c>
      <c r="Z34" s="12" t="s">
        <v>194</v>
      </c>
      <c r="AA34" s="12" t="s">
        <v>195</v>
      </c>
      <c r="AB34" s="12" t="s">
        <v>196</v>
      </c>
      <c r="AC34" s="12" t="s">
        <v>197</v>
      </c>
      <c r="AD34" s="12" t="s">
        <v>214</v>
      </c>
      <c r="AE34" s="12" t="s">
        <v>198</v>
      </c>
      <c r="AF34" s="12" t="s">
        <v>199</v>
      </c>
      <c r="AG34" s="12" t="s">
        <v>200</v>
      </c>
      <c r="AH34" s="12" t="s">
        <v>331</v>
      </c>
      <c r="AI34" s="12" t="s">
        <v>258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324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203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205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205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206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206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207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207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66000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208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208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208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208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209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209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209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209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210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210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210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210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211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77"/>
  <sheetViews>
    <sheetView topLeftCell="A40" workbookViewId="0">
      <selection activeCell="AK26" sqref="AJ26:AK2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8" max="28" width="12.375" customWidth="1"/>
    <col min="29" max="29" width="10.375" customWidth="1"/>
    <col min="30" max="30" width="11.25" customWidth="1"/>
    <col min="33" max="33" width="11.25" customWidth="1"/>
    <col min="35" max="35" width="11.5" customWidth="1"/>
    <col min="36" max="36" width="10.5" customWidth="1"/>
  </cols>
  <sheetData>
    <row r="2" spans="1:46" ht="16.5" x14ac:dyDescent="0.2">
      <c r="G2" s="35" t="s">
        <v>325</v>
      </c>
      <c r="H2" s="35" t="s">
        <v>326</v>
      </c>
      <c r="I2" s="35" t="s">
        <v>327</v>
      </c>
      <c r="J2" s="35" t="s">
        <v>328</v>
      </c>
      <c r="K2" s="35" t="s">
        <v>329</v>
      </c>
      <c r="L2" s="35" t="s">
        <v>330</v>
      </c>
    </row>
    <row r="3" spans="1:46" ht="20.25" x14ac:dyDescent="0.2">
      <c r="A3" s="97" t="s">
        <v>259</v>
      </c>
      <c r="B3" s="97"/>
      <c r="C3" s="97"/>
      <c r="D3" s="97"/>
      <c r="E3" s="97"/>
      <c r="Z3" s="97" t="s">
        <v>569</v>
      </c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46" ht="17.25" x14ac:dyDescent="0.2">
      <c r="A4" s="12" t="s">
        <v>264</v>
      </c>
      <c r="B4" s="12" t="s">
        <v>260</v>
      </c>
      <c r="C4" s="12" t="s">
        <v>261</v>
      </c>
      <c r="D4" s="12" t="s">
        <v>262</v>
      </c>
      <c r="E4" s="12" t="s">
        <v>263</v>
      </c>
      <c r="Z4" s="12" t="s">
        <v>570</v>
      </c>
      <c r="AA4" s="12" t="s">
        <v>571</v>
      </c>
      <c r="AB4" s="12" t="s">
        <v>588</v>
      </c>
      <c r="AC4" s="12" t="s">
        <v>591</v>
      </c>
      <c r="AD4" s="12" t="s">
        <v>590</v>
      </c>
      <c r="AE4" s="12" t="s">
        <v>593</v>
      </c>
      <c r="AF4" s="12" t="s">
        <v>592</v>
      </c>
      <c r="AG4" s="36" t="s">
        <v>594</v>
      </c>
      <c r="AH4" s="36" t="s">
        <v>595</v>
      </c>
      <c r="AI4" s="36" t="s">
        <v>596</v>
      </c>
      <c r="AJ4" s="12" t="s">
        <v>597</v>
      </c>
      <c r="AM4" s="12" t="s">
        <v>598</v>
      </c>
      <c r="AN4" s="12" t="s">
        <v>574</v>
      </c>
      <c r="AO4" s="12" t="s">
        <v>599</v>
      </c>
      <c r="AP4" s="12" t="s">
        <v>600</v>
      </c>
      <c r="AQ4" s="12" t="s">
        <v>601</v>
      </c>
      <c r="AR4" s="12" t="s">
        <v>602</v>
      </c>
      <c r="AS4" s="12" t="s">
        <v>574</v>
      </c>
      <c r="AT4" s="12" t="s">
        <v>574</v>
      </c>
    </row>
    <row r="5" spans="1:46" ht="16.5" x14ac:dyDescent="0.2">
      <c r="A5" s="34" t="s">
        <v>265</v>
      </c>
      <c r="B5" s="20">
        <v>0.5</v>
      </c>
      <c r="C5" s="20">
        <v>0.8</v>
      </c>
      <c r="D5" s="20">
        <v>1</v>
      </c>
      <c r="E5" s="20">
        <v>1.2</v>
      </c>
      <c r="Z5" s="67" t="s">
        <v>575</v>
      </c>
      <c r="AA5" s="67">
        <v>10</v>
      </c>
      <c r="AB5" s="67">
        <f>章节关卡!H5*节奏总表!L4*60</f>
        <v>1200</v>
      </c>
      <c r="AC5" s="67">
        <v>1</v>
      </c>
      <c r="AD5" s="67">
        <f>SUMIFS(章节关卡!$AU$5:$AU$205,章节关卡!$AQ$5:$AQ$205,"="&amp;卡牌消耗!AC5)</f>
        <v>10125</v>
      </c>
      <c r="AE5" s="67"/>
      <c r="AF5" s="67"/>
      <c r="AG5" s="67">
        <f>AB5+AD5+AF5</f>
        <v>11325</v>
      </c>
      <c r="AH5" s="20">
        <v>0.5</v>
      </c>
      <c r="AI5" s="67">
        <f>INT(AG5*AH5)</f>
        <v>5662</v>
      </c>
      <c r="AJ5" s="67">
        <v>1</v>
      </c>
      <c r="AM5" s="67" t="s">
        <v>605</v>
      </c>
      <c r="AN5">
        <v>1</v>
      </c>
      <c r="AO5" s="67">
        <v>1</v>
      </c>
      <c r="AP5" s="67">
        <v>1</v>
      </c>
      <c r="AQ5" s="22">
        <f>AP5/$AN$8</f>
        <v>1.8181818181818181E-2</v>
      </c>
      <c r="AR5" s="67">
        <v>1</v>
      </c>
      <c r="AS5" s="67">
        <f>INT($AN$6*AQ5/AR5/5)*5</f>
        <v>100</v>
      </c>
      <c r="AT5" s="67">
        <f>SUM(AS$5:AS5)</f>
        <v>100</v>
      </c>
    </row>
    <row r="6" spans="1:46" ht="16.5" x14ac:dyDescent="0.2">
      <c r="A6" s="34" t="s">
        <v>266</v>
      </c>
      <c r="B6" s="20">
        <v>0.5</v>
      </c>
      <c r="C6" s="20">
        <v>0.8</v>
      </c>
      <c r="D6" s="20">
        <v>1</v>
      </c>
      <c r="E6" s="20">
        <v>1.2</v>
      </c>
      <c r="Z6" s="67" t="s">
        <v>576</v>
      </c>
      <c r="AA6" s="67">
        <v>20</v>
      </c>
      <c r="AB6" s="67">
        <f>章节关卡!H6*节奏总表!L5*60</f>
        <v>6000</v>
      </c>
      <c r="AC6" s="67">
        <v>2</v>
      </c>
      <c r="AD6" s="67">
        <f>SUMIFS(章节关卡!$AU$5:$AU$205,章节关卡!$AQ$5:$AQ$205,"="&amp;卡牌消耗!AC6)</f>
        <v>17010</v>
      </c>
      <c r="AE6" s="67">
        <v>1</v>
      </c>
      <c r="AF6" s="67">
        <f>SUMIFS(章节关卡!$BC$5:$BC$205,章节关卡!$AY$5:$AY$205,"="&amp;卡牌消耗!AE6)</f>
        <v>20250</v>
      </c>
      <c r="AG6" s="67">
        <f t="shared" ref="AG6:AG19" si="0">AB6+AD6+AF6</f>
        <v>43260</v>
      </c>
      <c r="AH6" s="20">
        <v>0.7</v>
      </c>
      <c r="AI6" s="67">
        <f t="shared" ref="AI6:AI19" si="1">INT(AG6*AH6)</f>
        <v>30282</v>
      </c>
      <c r="AJ6" s="67">
        <v>2</v>
      </c>
      <c r="AM6" s="15" t="str">
        <f>INDEX($Z$5:$Z$19,AN5)</f>
        <v>1~10</v>
      </c>
      <c r="AN6" s="15">
        <f>INDEX($AI$5:$AI$19,AN5)</f>
        <v>5662</v>
      </c>
      <c r="AO6" s="67">
        <v>2</v>
      </c>
      <c r="AP6" s="67">
        <v>2</v>
      </c>
      <c r="AQ6" s="22">
        <f t="shared" ref="AQ6:AQ13" si="2">AP6/$AN$8</f>
        <v>3.6363636363636362E-2</v>
      </c>
      <c r="AR6" s="67">
        <v>1</v>
      </c>
      <c r="AS6" s="67">
        <f t="shared" ref="AS6:AS14" si="3">INT($AN$6*AQ6/AR6/5)*5</f>
        <v>205</v>
      </c>
      <c r="AT6" s="67">
        <f>SUM(AS$5:AS6)</f>
        <v>305</v>
      </c>
    </row>
    <row r="7" spans="1:46" ht="16.5" x14ac:dyDescent="0.2">
      <c r="A7" s="34" t="s">
        <v>267</v>
      </c>
      <c r="B7" s="22">
        <v>1</v>
      </c>
      <c r="C7" s="22">
        <v>1</v>
      </c>
      <c r="D7" s="22">
        <v>1</v>
      </c>
      <c r="E7" s="22">
        <v>1</v>
      </c>
      <c r="Z7" s="67" t="s">
        <v>577</v>
      </c>
      <c r="AA7" s="67">
        <v>30</v>
      </c>
      <c r="AB7" s="67">
        <f>章节关卡!H7*节奏总表!L6*60</f>
        <v>30240</v>
      </c>
      <c r="AC7" s="67">
        <v>3</v>
      </c>
      <c r="AD7" s="67">
        <f>SUMIFS(章节关卡!$AU$5:$AU$205,章节关卡!$AQ$5:$AQ$205,"="&amp;卡牌消耗!AC7)</f>
        <v>28350</v>
      </c>
      <c r="AE7" s="67">
        <v>2</v>
      </c>
      <c r="AF7" s="67">
        <f>SUMIFS(章节关卡!$BC$5:$BC$205,章节关卡!$AY$5:$AY$205,"="&amp;卡牌消耗!AE7)</f>
        <v>34020</v>
      </c>
      <c r="AG7" s="67">
        <f t="shared" si="0"/>
        <v>92610</v>
      </c>
      <c r="AH7" s="20">
        <v>0.85</v>
      </c>
      <c r="AI7" s="67">
        <f t="shared" si="1"/>
        <v>78718</v>
      </c>
      <c r="AJ7" s="67">
        <v>3</v>
      </c>
      <c r="AM7" s="67" t="s">
        <v>603</v>
      </c>
      <c r="AN7" s="15">
        <f>INDEX($AJ$5:$AJ$19,AN5)</f>
        <v>1</v>
      </c>
      <c r="AO7" s="67">
        <v>3</v>
      </c>
      <c r="AP7" s="67">
        <v>3</v>
      </c>
      <c r="AQ7" s="22">
        <f t="shared" si="2"/>
        <v>5.4545454545454543E-2</v>
      </c>
      <c r="AR7" s="67">
        <v>1</v>
      </c>
      <c r="AS7" s="67">
        <f t="shared" si="3"/>
        <v>305</v>
      </c>
      <c r="AT7" s="67">
        <f>SUM(AS$5:AS7)</f>
        <v>610</v>
      </c>
    </row>
    <row r="8" spans="1:46" ht="16.5" x14ac:dyDescent="0.2">
      <c r="A8" s="34" t="s">
        <v>83</v>
      </c>
      <c r="B8" s="22">
        <v>0.5</v>
      </c>
      <c r="C8" s="22">
        <v>0.7</v>
      </c>
      <c r="D8" s="22">
        <v>1</v>
      </c>
      <c r="E8" s="22">
        <v>1.5</v>
      </c>
      <c r="Z8" s="67" t="s">
        <v>604</v>
      </c>
      <c r="AA8" s="67">
        <v>40</v>
      </c>
      <c r="AB8" s="67">
        <f>章节关卡!H8*节奏总表!L7*60</f>
        <v>100800</v>
      </c>
      <c r="AC8" s="67">
        <v>4</v>
      </c>
      <c r="AD8" s="67">
        <f>SUMIFS(章节关卡!$AU$5:$AU$205,章节关卡!$AQ$5:$AQ$205,"="&amp;卡牌消耗!AC8)</f>
        <v>42120</v>
      </c>
      <c r="AE8" s="67">
        <v>3</v>
      </c>
      <c r="AF8" s="67">
        <f>SUMIFS(章节关卡!$BC$5:$BC$205,章节关卡!$AY$5:$AY$205,"="&amp;卡牌消耗!AE8)</f>
        <v>56700</v>
      </c>
      <c r="AG8" s="67">
        <f t="shared" si="0"/>
        <v>199620</v>
      </c>
      <c r="AH8" s="20">
        <v>1</v>
      </c>
      <c r="AI8" s="67">
        <f t="shared" si="1"/>
        <v>199620</v>
      </c>
      <c r="AJ8" s="67">
        <v>3</v>
      </c>
      <c r="AM8" s="16"/>
      <c r="AN8" s="15">
        <f>SUM(AP5:AP14)</f>
        <v>55</v>
      </c>
      <c r="AO8" s="67">
        <v>4</v>
      </c>
      <c r="AP8" s="67">
        <v>4</v>
      </c>
      <c r="AQ8" s="22">
        <f t="shared" si="2"/>
        <v>7.2727272727272724E-2</v>
      </c>
      <c r="AR8" s="67">
        <v>1</v>
      </c>
      <c r="AS8" s="67">
        <f t="shared" si="3"/>
        <v>410</v>
      </c>
      <c r="AT8" s="67">
        <f>SUM(AS$5:AS8)</f>
        <v>1020</v>
      </c>
    </row>
    <row r="9" spans="1:46" ht="16.5" x14ac:dyDescent="0.2">
      <c r="Z9" s="67" t="s">
        <v>578</v>
      </c>
      <c r="AA9" s="67">
        <v>50</v>
      </c>
      <c r="AB9" s="67">
        <f>章节关卡!H9*节奏总表!L8*60</f>
        <v>249600</v>
      </c>
      <c r="AC9" s="67">
        <v>5</v>
      </c>
      <c r="AD9" s="67">
        <f>SUMIFS(章节关卡!$AU$5:$AU$205,章节关卡!$AQ$5:$AQ$205,"="&amp;卡牌消耗!AC9)</f>
        <v>97200</v>
      </c>
      <c r="AE9" s="67">
        <v>4</v>
      </c>
      <c r="AF9" s="67">
        <f>SUMIFS(章节关卡!$BC$5:$BC$205,章节关卡!$AY$5:$AY$205,"="&amp;卡牌消耗!AE9)</f>
        <v>84240</v>
      </c>
      <c r="AG9" s="67">
        <f t="shared" si="0"/>
        <v>431040</v>
      </c>
      <c r="AH9" s="20">
        <v>1</v>
      </c>
      <c r="AI9" s="67">
        <f t="shared" si="1"/>
        <v>431040</v>
      </c>
      <c r="AJ9" s="67">
        <v>4</v>
      </c>
      <c r="AM9" s="16"/>
      <c r="AN9" s="16"/>
      <c r="AO9" s="67">
        <v>5</v>
      </c>
      <c r="AP9" s="67">
        <v>5</v>
      </c>
      <c r="AQ9" s="22">
        <f t="shared" si="2"/>
        <v>9.0909090909090912E-2</v>
      </c>
      <c r="AR9" s="67">
        <v>1</v>
      </c>
      <c r="AS9" s="67">
        <f t="shared" si="3"/>
        <v>510</v>
      </c>
      <c r="AT9" s="67">
        <f>SUM(AS$5:AS9)</f>
        <v>1530</v>
      </c>
    </row>
    <row r="10" spans="1:46" ht="16.5" x14ac:dyDescent="0.2">
      <c r="Z10" s="67" t="s">
        <v>579</v>
      </c>
      <c r="AA10" s="67">
        <v>60</v>
      </c>
      <c r="AB10" s="67">
        <f>章节关卡!H10*节奏总表!L9*60</f>
        <v>518400</v>
      </c>
      <c r="AC10" s="67">
        <v>6</v>
      </c>
      <c r="AD10" s="67">
        <f>SUMIFS(章节关卡!$AU$5:$AU$205,章节关卡!$AQ$5:$AQ$205,"="&amp;卡牌消耗!AC10)</f>
        <v>135000</v>
      </c>
      <c r="AE10" s="67">
        <v>5</v>
      </c>
      <c r="AF10" s="67">
        <f>SUMIFS(章节关卡!$BC$5:$BC$205,章节关卡!$AY$5:$AY$205,"="&amp;卡牌消耗!AE10)</f>
        <v>194400</v>
      </c>
      <c r="AG10" s="67">
        <f t="shared" si="0"/>
        <v>847800</v>
      </c>
      <c r="AH10" s="20">
        <v>1</v>
      </c>
      <c r="AI10" s="67">
        <f t="shared" si="1"/>
        <v>847800</v>
      </c>
      <c r="AJ10" s="67">
        <v>5</v>
      </c>
      <c r="AM10" s="16"/>
      <c r="AN10" s="16"/>
      <c r="AO10" s="67">
        <v>6</v>
      </c>
      <c r="AP10" s="67">
        <v>6</v>
      </c>
      <c r="AQ10" s="22">
        <f t="shared" si="2"/>
        <v>0.10909090909090909</v>
      </c>
      <c r="AR10" s="67">
        <v>1</v>
      </c>
      <c r="AS10" s="67">
        <f t="shared" si="3"/>
        <v>615</v>
      </c>
      <c r="AT10" s="67">
        <f>SUM(AS$5:AS10)</f>
        <v>2145</v>
      </c>
    </row>
    <row r="11" spans="1:46" ht="16.5" x14ac:dyDescent="0.2">
      <c r="A11" s="38" t="s">
        <v>285</v>
      </c>
      <c r="B11">
        <v>20</v>
      </c>
      <c r="C11">
        <v>30</v>
      </c>
      <c r="D11">
        <v>45</v>
      </c>
      <c r="Z11" s="67" t="s">
        <v>580</v>
      </c>
      <c r="AA11" s="67">
        <v>70</v>
      </c>
      <c r="AB11" s="67">
        <f>章节关卡!H11*节奏总表!L10*60</f>
        <v>960000</v>
      </c>
      <c r="AC11" s="67">
        <v>7</v>
      </c>
      <c r="AD11" s="67">
        <f>SUMIFS(章节关卡!$AU$5:$AU$205,章节关卡!$AQ$5:$AQ$205,"="&amp;卡牌消耗!AC11)</f>
        <v>185625</v>
      </c>
      <c r="AE11" s="67">
        <v>6</v>
      </c>
      <c r="AF11" s="67">
        <f>SUMIFS(章节关卡!$BC$5:$BC$205,章节关卡!$AY$5:$AY$205,"="&amp;卡牌消耗!AE11)</f>
        <v>270000</v>
      </c>
      <c r="AG11" s="67">
        <f t="shared" si="0"/>
        <v>1415625</v>
      </c>
      <c r="AH11" s="20">
        <v>1</v>
      </c>
      <c r="AI11" s="67">
        <f t="shared" si="1"/>
        <v>1415625</v>
      </c>
      <c r="AJ11" s="67">
        <v>6</v>
      </c>
      <c r="AM11" s="16"/>
      <c r="AN11" s="16"/>
      <c r="AO11" s="67">
        <v>7</v>
      </c>
      <c r="AP11" s="67">
        <v>7</v>
      </c>
      <c r="AQ11" s="22">
        <f t="shared" si="2"/>
        <v>0.12727272727272726</v>
      </c>
      <c r="AR11" s="67">
        <v>1</v>
      </c>
      <c r="AS11" s="67">
        <f t="shared" si="3"/>
        <v>720</v>
      </c>
      <c r="AT11" s="67">
        <f>SUM(AS$5:AS11)</f>
        <v>2865</v>
      </c>
    </row>
    <row r="12" spans="1:46" ht="17.25" x14ac:dyDescent="0.2">
      <c r="A12" s="12" t="s">
        <v>268</v>
      </c>
      <c r="B12" s="12" t="s">
        <v>269</v>
      </c>
      <c r="C12" s="12" t="s">
        <v>270</v>
      </c>
      <c r="D12" s="12" t="s">
        <v>271</v>
      </c>
      <c r="E12" s="12" t="s">
        <v>272</v>
      </c>
      <c r="F12" s="12" t="s">
        <v>273</v>
      </c>
      <c r="G12" s="12" t="s">
        <v>274</v>
      </c>
      <c r="H12" s="12" t="s">
        <v>403</v>
      </c>
      <c r="Z12" s="67" t="s">
        <v>581</v>
      </c>
      <c r="AA12" s="67">
        <v>80</v>
      </c>
      <c r="AB12" s="67">
        <f>章节关卡!H12*节奏总表!L11*60</f>
        <v>1650000</v>
      </c>
      <c r="AC12" s="67">
        <v>8</v>
      </c>
      <c r="AD12" s="67">
        <f>SUMIFS(章节关卡!$AU$5:$AU$205,章节关卡!$AQ$5:$AQ$205,"="&amp;卡牌消耗!AC12)</f>
        <v>243000</v>
      </c>
      <c r="AE12" s="67">
        <v>7</v>
      </c>
      <c r="AF12" s="67">
        <f>SUMIFS(章节关卡!$BC$5:$BC$205,章节关卡!$AY$5:$AY$205,"="&amp;卡牌消耗!AE12)</f>
        <v>371250</v>
      </c>
      <c r="AG12" s="67">
        <f t="shared" si="0"/>
        <v>2264250</v>
      </c>
      <c r="AH12" s="20">
        <v>1</v>
      </c>
      <c r="AI12" s="67">
        <f t="shared" si="1"/>
        <v>2264250</v>
      </c>
      <c r="AJ12" s="67">
        <v>6</v>
      </c>
      <c r="AM12" s="16"/>
      <c r="AN12" s="16"/>
      <c r="AO12" s="67">
        <v>8</v>
      </c>
      <c r="AP12" s="67">
        <v>8</v>
      </c>
      <c r="AQ12" s="22">
        <f t="shared" si="2"/>
        <v>0.14545454545454545</v>
      </c>
      <c r="AR12" s="67">
        <v>1</v>
      </c>
      <c r="AS12" s="67">
        <f t="shared" si="3"/>
        <v>820</v>
      </c>
      <c r="AT12" s="67">
        <f>SUM(AS$5:AS12)</f>
        <v>3685</v>
      </c>
    </row>
    <row r="13" spans="1:46" ht="16.5" x14ac:dyDescent="0.2">
      <c r="A13" s="15">
        <v>1102001</v>
      </c>
      <c r="B13" s="15" t="s">
        <v>286</v>
      </c>
      <c r="C13" s="15">
        <v>4</v>
      </c>
      <c r="D13" s="15">
        <v>45</v>
      </c>
      <c r="E13" s="15">
        <v>1</v>
      </c>
      <c r="F13" s="35" t="s">
        <v>278</v>
      </c>
      <c r="G13" s="35" t="str">
        <f t="shared" ref="G13:G33" si="4">F13&amp;"修身材料"</f>
        <v>土修身材料</v>
      </c>
      <c r="H13" s="49">
        <v>1501001</v>
      </c>
      <c r="Z13" s="67" t="s">
        <v>582</v>
      </c>
      <c r="AA13" s="67">
        <v>90</v>
      </c>
      <c r="AB13" s="67">
        <f>章节关卡!H13*节奏总表!L12*60</f>
        <v>3240000</v>
      </c>
      <c r="AC13" s="67">
        <v>9</v>
      </c>
      <c r="AD13" s="67">
        <f>SUMIFS(章节关卡!$AU$5:$AU$205,章节关卡!$AQ$5:$AQ$205,"="&amp;卡牌消耗!AC13)</f>
        <v>315900</v>
      </c>
      <c r="AE13" s="67">
        <v>8</v>
      </c>
      <c r="AF13" s="67">
        <f>SUMIFS(章节关卡!$BC$5:$BC$205,章节关卡!$AY$5:$AY$205,"="&amp;卡牌消耗!AE13)</f>
        <v>486000</v>
      </c>
      <c r="AG13" s="67">
        <f t="shared" si="0"/>
        <v>4041900</v>
      </c>
      <c r="AH13" s="20">
        <v>1</v>
      </c>
      <c r="AI13" s="67">
        <f t="shared" si="1"/>
        <v>4041900</v>
      </c>
      <c r="AJ13" s="67">
        <v>7</v>
      </c>
      <c r="AM13" s="16"/>
      <c r="AN13" s="16"/>
      <c r="AO13" s="67">
        <v>9</v>
      </c>
      <c r="AP13" s="67">
        <v>9</v>
      </c>
      <c r="AQ13" s="22">
        <f t="shared" si="2"/>
        <v>0.16363636363636364</v>
      </c>
      <c r="AR13" s="67">
        <v>1</v>
      </c>
      <c r="AS13" s="67">
        <f t="shared" si="3"/>
        <v>925</v>
      </c>
      <c r="AT13" s="67">
        <f>SUM(AS$5:AS13)</f>
        <v>4610</v>
      </c>
    </row>
    <row r="14" spans="1:46" ht="16.5" x14ac:dyDescent="0.2">
      <c r="A14" s="15">
        <v>1102002</v>
      </c>
      <c r="B14" s="15" t="s">
        <v>287</v>
      </c>
      <c r="C14" s="15">
        <v>3</v>
      </c>
      <c r="D14" s="15">
        <v>30</v>
      </c>
      <c r="E14" s="15">
        <v>1</v>
      </c>
      <c r="F14" s="35" t="s">
        <v>276</v>
      </c>
      <c r="G14" s="35" t="str">
        <f t="shared" si="4"/>
        <v>雷修身材料</v>
      </c>
      <c r="H14" s="49">
        <v>1501002</v>
      </c>
      <c r="Z14" s="67" t="s">
        <v>583</v>
      </c>
      <c r="AA14" s="67">
        <v>100</v>
      </c>
      <c r="AB14" s="67">
        <f>章节关卡!H14*节奏总表!L13*60</f>
        <v>7020000</v>
      </c>
      <c r="AC14" s="67">
        <v>10</v>
      </c>
      <c r="AD14" s="67">
        <f>SUMIFS(章节关卡!$AU$5:$AU$205,章节关卡!$AQ$5:$AQ$205,"="&amp;卡牌消耗!AC14)</f>
        <v>415800</v>
      </c>
      <c r="AE14" s="67">
        <v>9</v>
      </c>
      <c r="AF14" s="67">
        <f>SUMIFS(章节关卡!$BC$5:$BC$205,章节关卡!$AY$5:$AY$205,"="&amp;卡牌消耗!AE14)</f>
        <v>631800</v>
      </c>
      <c r="AG14" s="67">
        <f t="shared" si="0"/>
        <v>8067600</v>
      </c>
      <c r="AH14" s="20">
        <v>1</v>
      </c>
      <c r="AI14" s="67">
        <f t="shared" si="1"/>
        <v>8067600</v>
      </c>
      <c r="AJ14" s="67">
        <v>8</v>
      </c>
      <c r="AO14" s="67">
        <v>10</v>
      </c>
      <c r="AP14" s="67">
        <v>10</v>
      </c>
      <c r="AQ14" s="22">
        <f>AP14/$AN$8</f>
        <v>0.18181818181818182</v>
      </c>
      <c r="AR14" s="67">
        <v>1</v>
      </c>
      <c r="AS14" s="67">
        <f t="shared" si="3"/>
        <v>1025</v>
      </c>
      <c r="AT14" s="67">
        <f>SUM(AS$5:AS14)</f>
        <v>5635</v>
      </c>
    </row>
    <row r="15" spans="1:46" ht="16.5" x14ac:dyDescent="0.2">
      <c r="A15" s="15">
        <v>1102003</v>
      </c>
      <c r="B15" s="15" t="s">
        <v>288</v>
      </c>
      <c r="C15" s="15">
        <v>3</v>
      </c>
      <c r="D15" s="15">
        <v>30</v>
      </c>
      <c r="E15" s="15">
        <v>2</v>
      </c>
      <c r="F15" s="35" t="s">
        <v>276</v>
      </c>
      <c r="G15" s="35" t="str">
        <f t="shared" si="4"/>
        <v>雷修身材料</v>
      </c>
      <c r="H15" s="49">
        <v>1501003</v>
      </c>
      <c r="Z15" s="67" t="s">
        <v>584</v>
      </c>
      <c r="AA15" s="67">
        <v>110</v>
      </c>
      <c r="AB15" s="67">
        <f>章节关卡!H15*节奏总表!L14*60</f>
        <v>14784000</v>
      </c>
      <c r="AC15" s="67">
        <v>11</v>
      </c>
      <c r="AD15" s="67">
        <f>SUMIFS(章节关卡!$AU$5:$AU$205,章节关卡!$AQ$5:$AQ$205,"="&amp;卡牌消耗!AC15)</f>
        <v>536625</v>
      </c>
      <c r="AE15" s="67">
        <v>10</v>
      </c>
      <c r="AF15" s="67">
        <f>SUMIFS(章节关卡!$BC$5:$BC$205,章节关卡!$AY$5:$AY$205,"="&amp;卡牌消耗!AE15)</f>
        <v>831600</v>
      </c>
      <c r="AG15" s="67">
        <f t="shared" si="0"/>
        <v>16152225</v>
      </c>
      <c r="AH15" s="20">
        <v>1</v>
      </c>
      <c r="AI15" s="67">
        <f t="shared" si="1"/>
        <v>16152225</v>
      </c>
      <c r="AJ15" s="67">
        <v>9</v>
      </c>
      <c r="AM15" s="67" t="s">
        <v>605</v>
      </c>
      <c r="AN15" s="67">
        <v>2</v>
      </c>
      <c r="AO15" s="67">
        <v>11</v>
      </c>
      <c r="AP15" s="67">
        <v>5</v>
      </c>
      <c r="AQ15" s="22">
        <f>AP15/$AN$18</f>
        <v>0.05</v>
      </c>
      <c r="AR15" s="67">
        <v>1.1000000000000001</v>
      </c>
      <c r="AS15" s="67">
        <f>INT(AN$16*AQ15/AR15/5)*5</f>
        <v>1375</v>
      </c>
      <c r="AT15" s="67">
        <f>SUM(AS$5:AS15)</f>
        <v>7010</v>
      </c>
    </row>
    <row r="16" spans="1:46" ht="16.5" x14ac:dyDescent="0.2">
      <c r="A16" s="15">
        <v>1102004</v>
      </c>
      <c r="B16" s="15" t="s">
        <v>289</v>
      </c>
      <c r="C16" s="15">
        <v>2</v>
      </c>
      <c r="D16" s="15">
        <v>20</v>
      </c>
      <c r="E16" s="15">
        <v>2</v>
      </c>
      <c r="F16" s="35" t="s">
        <v>279</v>
      </c>
      <c r="G16" s="35" t="str">
        <f t="shared" si="4"/>
        <v>风修身材料</v>
      </c>
      <c r="H16" s="49">
        <v>1501004</v>
      </c>
      <c r="Z16" s="67" t="s">
        <v>585</v>
      </c>
      <c r="AA16" s="67">
        <v>120</v>
      </c>
      <c r="AB16" s="67">
        <f>章节关卡!H16*节奏总表!L15*60</f>
        <v>26235000</v>
      </c>
      <c r="AC16" s="67">
        <v>12</v>
      </c>
      <c r="AD16" s="67">
        <f>SUMIFS(章节关卡!$AU$5:$AU$205,章节关卡!$AQ$5:$AQ$205,"="&amp;卡牌消耗!AC16)</f>
        <v>702000</v>
      </c>
      <c r="AE16" s="67">
        <v>11</v>
      </c>
      <c r="AF16" s="67">
        <f>SUMIFS(章节关卡!$BC$5:$BC$205,章节关卡!$AY$5:$AY$205,"="&amp;卡牌消耗!AE16)</f>
        <v>1073250</v>
      </c>
      <c r="AG16" s="67">
        <f t="shared" si="0"/>
        <v>28010250</v>
      </c>
      <c r="AH16" s="20">
        <v>1</v>
      </c>
      <c r="AI16" s="67">
        <f t="shared" si="1"/>
        <v>28010250</v>
      </c>
      <c r="AJ16" s="67">
        <v>9</v>
      </c>
      <c r="AM16" s="15" t="str">
        <f>INDEX($Z$5:$Z$19,AN15)</f>
        <v>10~20</v>
      </c>
      <c r="AN16" s="15">
        <f>INDEX($AI$5:$AI$19,AN15)</f>
        <v>30282</v>
      </c>
      <c r="AO16" s="67">
        <v>12</v>
      </c>
      <c r="AP16" s="67">
        <v>6</v>
      </c>
      <c r="AQ16" s="22">
        <f t="shared" ref="AQ16:AQ24" si="5">AP16/$AN$18</f>
        <v>0.06</v>
      </c>
      <c r="AR16" s="67">
        <v>1.2</v>
      </c>
      <c r="AS16" s="67">
        <f t="shared" ref="AS16:AS24" si="6">INT(AN$16*AQ16/AR16/5)*5</f>
        <v>1510</v>
      </c>
      <c r="AT16" s="67">
        <f>SUM(AS$5:AS16)</f>
        <v>8520</v>
      </c>
    </row>
    <row r="17" spans="1:46" ht="16.5" x14ac:dyDescent="0.2">
      <c r="A17" s="15">
        <v>1102005</v>
      </c>
      <c r="B17" s="15" t="s">
        <v>290</v>
      </c>
      <c r="C17" s="15">
        <v>3</v>
      </c>
      <c r="D17" s="15">
        <v>30</v>
      </c>
      <c r="E17" s="15">
        <v>3</v>
      </c>
      <c r="F17" s="35" t="s">
        <v>276</v>
      </c>
      <c r="G17" s="35" t="str">
        <f t="shared" si="4"/>
        <v>雷修身材料</v>
      </c>
      <c r="H17" s="49">
        <v>1501005</v>
      </c>
      <c r="Z17" s="67" t="s">
        <v>586</v>
      </c>
      <c r="AA17" s="67">
        <v>130</v>
      </c>
      <c r="AB17" s="67">
        <f>章节关卡!H17*节奏总表!L16*60</f>
        <v>43680000</v>
      </c>
      <c r="AC17" s="67">
        <v>13</v>
      </c>
      <c r="AD17" s="67">
        <f>SUMIFS(章节关卡!$AU$5:$AU$205,章节关卡!$AQ$5:$AQ$205,"="&amp;卡牌消耗!AC17)</f>
        <v>918000</v>
      </c>
      <c r="AE17" s="67">
        <v>12</v>
      </c>
      <c r="AF17" s="67">
        <f>SUMIFS(章节关卡!$BC$5:$BC$205,章节关卡!$AY$5:$AY$205,"="&amp;卡牌消耗!AE17)</f>
        <v>1404000</v>
      </c>
      <c r="AG17" s="67">
        <f t="shared" si="0"/>
        <v>46002000</v>
      </c>
      <c r="AH17" s="20">
        <v>1</v>
      </c>
      <c r="AI17" s="67">
        <f t="shared" si="1"/>
        <v>46002000</v>
      </c>
      <c r="AJ17" s="67">
        <v>9</v>
      </c>
      <c r="AM17" s="67" t="s">
        <v>603</v>
      </c>
      <c r="AN17" s="15">
        <f>INDEX($AJ$5:$AJ$19,AN15)</f>
        <v>2</v>
      </c>
      <c r="AO17" s="67">
        <v>13</v>
      </c>
      <c r="AP17" s="67">
        <v>7</v>
      </c>
      <c r="AQ17" s="22">
        <f t="shared" si="5"/>
        <v>7.0000000000000007E-2</v>
      </c>
      <c r="AR17" s="67">
        <v>1.3</v>
      </c>
      <c r="AS17" s="67">
        <f t="shared" si="6"/>
        <v>1630</v>
      </c>
      <c r="AT17" s="67">
        <f>SUM(AS$5:AS17)</f>
        <v>10150</v>
      </c>
    </row>
    <row r="18" spans="1:46" ht="18.75" customHeight="1" x14ac:dyDescent="0.2">
      <c r="A18" s="15">
        <v>1102006</v>
      </c>
      <c r="B18" s="15" t="s">
        <v>291</v>
      </c>
      <c r="C18" s="15">
        <v>4</v>
      </c>
      <c r="D18" s="15">
        <v>45</v>
      </c>
      <c r="E18" s="15">
        <v>2</v>
      </c>
      <c r="F18" s="35" t="s">
        <v>277</v>
      </c>
      <c r="G18" s="35" t="str">
        <f t="shared" si="4"/>
        <v>水修身材料</v>
      </c>
      <c r="H18" s="49">
        <v>1501006</v>
      </c>
      <c r="Z18" s="67" t="s">
        <v>589</v>
      </c>
      <c r="AA18" s="67">
        <v>140</v>
      </c>
      <c r="AB18" s="67">
        <f>章节关卡!H18*节奏总表!L17*60</f>
        <v>81600000</v>
      </c>
      <c r="AC18" s="67">
        <v>14</v>
      </c>
      <c r="AD18" s="67">
        <f>SUMIFS(章节关卡!$AU$5:$AU$205,章节关卡!$AQ$5:$AQ$205,"="&amp;卡牌消耗!AC18)</f>
        <v>1215000</v>
      </c>
      <c r="AE18" s="67">
        <v>13</v>
      </c>
      <c r="AF18" s="67">
        <f>SUMIFS(章节关卡!$BC$5:$BC$205,章节关卡!$AY$5:$AY$205,"="&amp;卡牌消耗!AE18)</f>
        <v>1836000</v>
      </c>
      <c r="AG18" s="67">
        <f t="shared" si="0"/>
        <v>84651000</v>
      </c>
      <c r="AH18" s="20">
        <v>1</v>
      </c>
      <c r="AI18" s="67">
        <f t="shared" si="1"/>
        <v>84651000</v>
      </c>
      <c r="AJ18" s="67">
        <v>9</v>
      </c>
      <c r="AM18" s="16"/>
      <c r="AN18" s="15">
        <f>SUM(AP15:AP24)</f>
        <v>100</v>
      </c>
      <c r="AO18" s="67">
        <v>14</v>
      </c>
      <c r="AP18" s="67">
        <v>8</v>
      </c>
      <c r="AQ18" s="22">
        <f t="shared" si="5"/>
        <v>0.08</v>
      </c>
      <c r="AR18" s="67">
        <v>1.4</v>
      </c>
      <c r="AS18" s="67">
        <f t="shared" si="6"/>
        <v>1730</v>
      </c>
      <c r="AT18" s="67">
        <f>SUM(AS$5:AS18)</f>
        <v>11880</v>
      </c>
    </row>
    <row r="19" spans="1:46" ht="16.5" x14ac:dyDescent="0.2">
      <c r="A19" s="15">
        <v>1102007</v>
      </c>
      <c r="B19" s="15" t="s">
        <v>292</v>
      </c>
      <c r="C19" s="15">
        <v>4</v>
      </c>
      <c r="D19" s="15">
        <v>30</v>
      </c>
      <c r="E19" s="15">
        <v>1</v>
      </c>
      <c r="F19" s="35" t="s">
        <v>279</v>
      </c>
      <c r="G19" s="35" t="str">
        <f t="shared" si="4"/>
        <v>风修身材料</v>
      </c>
      <c r="H19" s="49">
        <v>1501007</v>
      </c>
      <c r="Z19" s="67" t="s">
        <v>587</v>
      </c>
      <c r="AA19" s="67">
        <v>150</v>
      </c>
      <c r="AB19" s="67">
        <f>章节关卡!H19*节奏总表!L18*60</f>
        <v>162000000</v>
      </c>
      <c r="AC19" s="67">
        <v>15</v>
      </c>
      <c r="AD19" s="67">
        <f>SUMIFS(章节关卡!$AU$5:$AU$205,章节关卡!$AQ$5:$AQ$205,"="&amp;卡牌消耗!AC19)</f>
        <v>1687500</v>
      </c>
      <c r="AE19" s="67">
        <v>14</v>
      </c>
      <c r="AF19" s="67">
        <f>SUMIFS(章节关卡!$BC$5:$BC$205,章节关卡!$AY$5:$AY$205,"="&amp;卡牌消耗!AE19)</f>
        <v>2430000</v>
      </c>
      <c r="AG19" s="67">
        <f t="shared" si="0"/>
        <v>166117500</v>
      </c>
      <c r="AH19" s="20">
        <v>1</v>
      </c>
      <c r="AI19" s="67">
        <f t="shared" si="1"/>
        <v>166117500</v>
      </c>
      <c r="AJ19" s="67">
        <v>9</v>
      </c>
      <c r="AM19" s="16"/>
      <c r="AN19" s="16"/>
      <c r="AO19" s="67">
        <v>15</v>
      </c>
      <c r="AP19" s="67">
        <v>9</v>
      </c>
      <c r="AQ19" s="22">
        <f t="shared" si="5"/>
        <v>0.09</v>
      </c>
      <c r="AR19" s="67">
        <v>1.5</v>
      </c>
      <c r="AS19" s="67">
        <f t="shared" si="6"/>
        <v>1815</v>
      </c>
      <c r="AT19" s="67">
        <f>SUM(AS$5:AS19)</f>
        <v>13695</v>
      </c>
    </row>
    <row r="20" spans="1:46" ht="16.5" x14ac:dyDescent="0.2">
      <c r="A20" s="15">
        <v>1102008</v>
      </c>
      <c r="B20" s="15" t="s">
        <v>293</v>
      </c>
      <c r="C20" s="15">
        <v>3</v>
      </c>
      <c r="D20" s="15">
        <v>45</v>
      </c>
      <c r="E20" s="15">
        <v>1</v>
      </c>
      <c r="F20" s="35" t="s">
        <v>279</v>
      </c>
      <c r="G20" s="35" t="str">
        <f t="shared" si="4"/>
        <v>风修身材料</v>
      </c>
      <c r="H20" s="49">
        <v>1501008</v>
      </c>
      <c r="AM20" s="16"/>
      <c r="AN20" s="16"/>
      <c r="AO20" s="67">
        <v>16</v>
      </c>
      <c r="AP20" s="67">
        <v>11</v>
      </c>
      <c r="AQ20" s="22">
        <f t="shared" si="5"/>
        <v>0.11</v>
      </c>
      <c r="AR20" s="67">
        <v>1.6</v>
      </c>
      <c r="AS20" s="67">
        <f t="shared" si="6"/>
        <v>2080</v>
      </c>
      <c r="AT20" s="67">
        <f>SUM(AS$5:AS20)</f>
        <v>15775</v>
      </c>
    </row>
    <row r="21" spans="1:46" ht="16.5" x14ac:dyDescent="0.2">
      <c r="A21" s="15">
        <v>1102009</v>
      </c>
      <c r="B21" s="15" t="s">
        <v>294</v>
      </c>
      <c r="C21" s="15">
        <v>4</v>
      </c>
      <c r="D21" s="15">
        <v>45</v>
      </c>
      <c r="E21" s="15">
        <v>2</v>
      </c>
      <c r="F21" s="35" t="s">
        <v>277</v>
      </c>
      <c r="G21" s="35" t="str">
        <f t="shared" si="4"/>
        <v>水修身材料</v>
      </c>
      <c r="H21" s="49">
        <v>1501009</v>
      </c>
      <c r="AM21" s="16"/>
      <c r="AN21" s="16"/>
      <c r="AO21" s="67">
        <v>17</v>
      </c>
      <c r="AP21" s="67">
        <v>12</v>
      </c>
      <c r="AQ21" s="22">
        <f t="shared" si="5"/>
        <v>0.12</v>
      </c>
      <c r="AR21" s="67">
        <v>1.7</v>
      </c>
      <c r="AS21" s="67">
        <f t="shared" si="6"/>
        <v>2135</v>
      </c>
      <c r="AT21" s="67">
        <f>SUM(AS$5:AS21)</f>
        <v>17910</v>
      </c>
    </row>
    <row r="22" spans="1:46" ht="16.5" x14ac:dyDescent="0.2">
      <c r="A22" s="15">
        <v>1102010</v>
      </c>
      <c r="B22" s="15" t="s">
        <v>295</v>
      </c>
      <c r="C22" s="15">
        <v>4</v>
      </c>
      <c r="D22" s="15">
        <v>45</v>
      </c>
      <c r="E22" s="15">
        <v>3</v>
      </c>
      <c r="F22" s="35" t="s">
        <v>280</v>
      </c>
      <c r="G22" s="35" t="str">
        <f t="shared" si="4"/>
        <v>火修身材料</v>
      </c>
      <c r="H22" s="49">
        <v>1501010</v>
      </c>
      <c r="AM22" s="16"/>
      <c r="AN22" s="16"/>
      <c r="AO22" s="67">
        <v>18</v>
      </c>
      <c r="AP22" s="67">
        <v>13</v>
      </c>
      <c r="AQ22" s="22">
        <f t="shared" si="5"/>
        <v>0.13</v>
      </c>
      <c r="AR22" s="67">
        <v>1.8</v>
      </c>
      <c r="AS22" s="67">
        <f t="shared" si="6"/>
        <v>2185</v>
      </c>
      <c r="AT22" s="67">
        <f>SUM(AS$5:AS22)</f>
        <v>20095</v>
      </c>
    </row>
    <row r="23" spans="1:46" ht="16.5" x14ac:dyDescent="0.2">
      <c r="A23" s="15">
        <v>1102011</v>
      </c>
      <c r="B23" s="15" t="s">
        <v>296</v>
      </c>
      <c r="C23" s="15">
        <v>4</v>
      </c>
      <c r="D23" s="15">
        <v>45</v>
      </c>
      <c r="E23" s="15">
        <v>2</v>
      </c>
      <c r="F23" s="35" t="s">
        <v>275</v>
      </c>
      <c r="G23" s="35" t="str">
        <f t="shared" si="4"/>
        <v>火修身材料</v>
      </c>
      <c r="H23" s="49">
        <v>1501011</v>
      </c>
      <c r="AM23" s="16"/>
      <c r="AN23" s="16"/>
      <c r="AO23" s="67">
        <v>19</v>
      </c>
      <c r="AP23" s="67">
        <v>14</v>
      </c>
      <c r="AQ23" s="22">
        <f t="shared" si="5"/>
        <v>0.14000000000000001</v>
      </c>
      <c r="AR23" s="67">
        <v>1.9</v>
      </c>
      <c r="AS23" s="67">
        <f t="shared" si="6"/>
        <v>2230</v>
      </c>
      <c r="AT23" s="67">
        <f>SUM(AS$5:AS23)</f>
        <v>22325</v>
      </c>
    </row>
    <row r="24" spans="1:46" ht="16.5" x14ac:dyDescent="0.2">
      <c r="A24" s="15">
        <v>1102012</v>
      </c>
      <c r="B24" s="15" t="s">
        <v>297</v>
      </c>
      <c r="C24" s="15">
        <v>4</v>
      </c>
      <c r="D24" s="15">
        <v>45</v>
      </c>
      <c r="E24" s="15">
        <v>1</v>
      </c>
      <c r="F24" s="35" t="s">
        <v>276</v>
      </c>
      <c r="G24" s="35" t="str">
        <f t="shared" si="4"/>
        <v>雷修身材料</v>
      </c>
      <c r="H24" s="49">
        <v>1501012</v>
      </c>
      <c r="AM24" s="16"/>
      <c r="AN24" s="16"/>
      <c r="AO24" s="67">
        <v>20</v>
      </c>
      <c r="AP24" s="67">
        <v>15</v>
      </c>
      <c r="AQ24" s="22">
        <f t="shared" si="5"/>
        <v>0.15</v>
      </c>
      <c r="AR24" s="67">
        <v>2</v>
      </c>
      <c r="AS24" s="67">
        <f t="shared" si="6"/>
        <v>2270</v>
      </c>
      <c r="AT24" s="67">
        <f>SUM(AS$5:AS24)</f>
        <v>24595</v>
      </c>
    </row>
    <row r="25" spans="1:46" ht="16.5" x14ac:dyDescent="0.2">
      <c r="A25" s="15">
        <v>1102013</v>
      </c>
      <c r="B25" s="15" t="s">
        <v>298</v>
      </c>
      <c r="C25" s="15">
        <v>2</v>
      </c>
      <c r="D25" s="15">
        <v>20</v>
      </c>
      <c r="E25" s="15">
        <v>3</v>
      </c>
      <c r="F25" s="35" t="s">
        <v>277</v>
      </c>
      <c r="G25" s="35" t="str">
        <f t="shared" si="4"/>
        <v>水修身材料</v>
      </c>
      <c r="H25" s="49">
        <v>1501013</v>
      </c>
      <c r="AM25" s="67" t="s">
        <v>605</v>
      </c>
      <c r="AN25" s="67">
        <v>3</v>
      </c>
      <c r="AO25" s="67">
        <v>21</v>
      </c>
      <c r="AP25" s="67">
        <v>10</v>
      </c>
      <c r="AQ25" s="22">
        <f>AP25/AN$28</f>
        <v>6.8493150684931503E-2</v>
      </c>
      <c r="AR25" s="67">
        <v>2.1</v>
      </c>
      <c r="AS25" s="67">
        <f>INT(AN$26*AQ25/AR25/5)*5</f>
        <v>2565</v>
      </c>
      <c r="AT25" s="67">
        <f>SUM(AS$5:AS25)</f>
        <v>27160</v>
      </c>
    </row>
    <row r="26" spans="1:46" ht="16.5" x14ac:dyDescent="0.2">
      <c r="A26" s="15">
        <v>1102014</v>
      </c>
      <c r="B26" s="15" t="s">
        <v>299</v>
      </c>
      <c r="C26" s="15">
        <v>3</v>
      </c>
      <c r="D26" s="15">
        <v>30</v>
      </c>
      <c r="E26" s="15">
        <v>1</v>
      </c>
      <c r="F26" s="35" t="s">
        <v>278</v>
      </c>
      <c r="G26" s="35" t="str">
        <f t="shared" si="4"/>
        <v>土修身材料</v>
      </c>
      <c r="H26" s="49">
        <v>1501014</v>
      </c>
      <c r="AM26" s="15" t="str">
        <f>INDEX($Z$5:$Z$19,AN25)</f>
        <v>20~30</v>
      </c>
      <c r="AN26" s="15">
        <f>INDEX($AI$5:$AI$19,AN25)</f>
        <v>78718</v>
      </c>
      <c r="AO26" s="67">
        <v>22</v>
      </c>
      <c r="AP26" s="67">
        <v>11</v>
      </c>
      <c r="AQ26" s="22">
        <f t="shared" ref="AQ26:AQ34" si="7">AP26/AN$28</f>
        <v>7.5342465753424653E-2</v>
      </c>
      <c r="AR26" s="67">
        <v>2.2000000000000002</v>
      </c>
      <c r="AS26" s="67">
        <f t="shared" ref="AS26:AS34" si="8">INT(AN$26*AQ26/AR26/5)*5</f>
        <v>2695</v>
      </c>
      <c r="AT26" s="67">
        <f>SUM(AS$5:AS26)</f>
        <v>29855</v>
      </c>
    </row>
    <row r="27" spans="1:46" ht="16.5" x14ac:dyDescent="0.2">
      <c r="A27" s="15">
        <v>1102015</v>
      </c>
      <c r="B27" s="15" t="s">
        <v>300</v>
      </c>
      <c r="C27" s="15">
        <v>2</v>
      </c>
      <c r="D27" s="15">
        <v>20</v>
      </c>
      <c r="E27" s="15">
        <v>1</v>
      </c>
      <c r="F27" s="35" t="s">
        <v>275</v>
      </c>
      <c r="G27" s="35" t="str">
        <f t="shared" si="4"/>
        <v>火修身材料</v>
      </c>
      <c r="H27" s="49">
        <v>1501015</v>
      </c>
      <c r="AM27" s="67" t="s">
        <v>603</v>
      </c>
      <c r="AN27" s="15">
        <f>INDEX($AJ$5:$AJ$19,AN25)</f>
        <v>3</v>
      </c>
      <c r="AO27" s="67">
        <v>23</v>
      </c>
      <c r="AP27" s="67">
        <v>12</v>
      </c>
      <c r="AQ27" s="22">
        <f t="shared" si="7"/>
        <v>8.2191780821917804E-2</v>
      </c>
      <c r="AR27" s="67">
        <v>2.2999999999999998</v>
      </c>
      <c r="AS27" s="67">
        <f t="shared" si="8"/>
        <v>2810</v>
      </c>
      <c r="AT27" s="67">
        <f>SUM(AS$5:AS27)</f>
        <v>32665</v>
      </c>
    </row>
    <row r="28" spans="1:46" ht="16.5" x14ac:dyDescent="0.2">
      <c r="A28" s="15">
        <v>1102016</v>
      </c>
      <c r="B28" s="15" t="s">
        <v>301</v>
      </c>
      <c r="C28" s="15">
        <v>4</v>
      </c>
      <c r="D28" s="15">
        <v>45</v>
      </c>
      <c r="E28" s="15">
        <v>2</v>
      </c>
      <c r="F28" s="35" t="s">
        <v>281</v>
      </c>
      <c r="G28" s="35" t="str">
        <f t="shared" si="4"/>
        <v>火修身材料</v>
      </c>
      <c r="H28" s="49">
        <v>1501016</v>
      </c>
      <c r="AM28" s="16"/>
      <c r="AN28" s="15">
        <f>SUM(AP25:AP34)</f>
        <v>146</v>
      </c>
      <c r="AO28" s="67">
        <v>24</v>
      </c>
      <c r="AP28" s="67">
        <v>13</v>
      </c>
      <c r="AQ28" s="22">
        <f t="shared" si="7"/>
        <v>8.9041095890410954E-2</v>
      </c>
      <c r="AR28" s="67">
        <v>2.4</v>
      </c>
      <c r="AS28" s="67">
        <f t="shared" si="8"/>
        <v>2920</v>
      </c>
      <c r="AT28" s="67">
        <f>SUM(AS$5:AS28)</f>
        <v>35585</v>
      </c>
    </row>
    <row r="29" spans="1:46" ht="16.5" x14ac:dyDescent="0.2">
      <c r="A29" s="15">
        <v>1102017</v>
      </c>
      <c r="B29" s="15" t="s">
        <v>302</v>
      </c>
      <c r="C29" s="15">
        <v>3</v>
      </c>
      <c r="D29" s="15">
        <v>30</v>
      </c>
      <c r="E29" s="15">
        <v>3</v>
      </c>
      <c r="F29" s="35" t="s">
        <v>282</v>
      </c>
      <c r="G29" s="35" t="str">
        <f t="shared" si="4"/>
        <v>雷修身材料</v>
      </c>
      <c r="H29" s="49">
        <v>1501017</v>
      </c>
      <c r="AM29" s="16"/>
      <c r="AN29" s="16"/>
      <c r="AO29" s="67">
        <v>25</v>
      </c>
      <c r="AP29" s="67">
        <v>14</v>
      </c>
      <c r="AQ29" s="22">
        <f t="shared" si="7"/>
        <v>9.5890410958904104E-2</v>
      </c>
      <c r="AR29" s="67">
        <v>2.5</v>
      </c>
      <c r="AS29" s="67">
        <f t="shared" si="8"/>
        <v>3015</v>
      </c>
      <c r="AT29" s="67">
        <f>SUM(AS$5:AS29)</f>
        <v>38600</v>
      </c>
    </row>
    <row r="30" spans="1:46" ht="16.5" x14ac:dyDescent="0.2">
      <c r="A30" s="15">
        <v>1102018</v>
      </c>
      <c r="B30" s="15" t="s">
        <v>303</v>
      </c>
      <c r="C30" s="15">
        <v>3</v>
      </c>
      <c r="D30" s="15">
        <v>20</v>
      </c>
      <c r="E30" s="15">
        <v>2</v>
      </c>
      <c r="F30" s="35" t="s">
        <v>283</v>
      </c>
      <c r="G30" s="35" t="str">
        <f t="shared" si="4"/>
        <v>风修身材料</v>
      </c>
      <c r="H30" s="49">
        <v>1501018</v>
      </c>
      <c r="AM30" s="16"/>
      <c r="AN30" s="16"/>
      <c r="AO30" s="67">
        <v>26</v>
      </c>
      <c r="AP30" s="67">
        <v>15</v>
      </c>
      <c r="AQ30" s="22">
        <f t="shared" si="7"/>
        <v>0.10273972602739725</v>
      </c>
      <c r="AR30" s="67">
        <v>2.6</v>
      </c>
      <c r="AS30" s="67">
        <f t="shared" si="8"/>
        <v>3110</v>
      </c>
      <c r="AT30" s="67">
        <f>SUM(AS$5:AS30)</f>
        <v>41710</v>
      </c>
    </row>
    <row r="31" spans="1:46" ht="16.5" x14ac:dyDescent="0.2">
      <c r="A31" s="15">
        <v>1102019</v>
      </c>
      <c r="B31" s="15" t="s">
        <v>304</v>
      </c>
      <c r="C31" s="15">
        <v>3</v>
      </c>
      <c r="D31" s="15">
        <v>20</v>
      </c>
      <c r="E31" s="15">
        <v>1</v>
      </c>
      <c r="F31" s="35" t="s">
        <v>277</v>
      </c>
      <c r="G31" s="35" t="str">
        <f t="shared" si="4"/>
        <v>水修身材料</v>
      </c>
      <c r="H31" s="49">
        <v>1501019</v>
      </c>
      <c r="AM31" s="16"/>
      <c r="AN31" s="16"/>
      <c r="AO31" s="67">
        <v>27</v>
      </c>
      <c r="AP31" s="67">
        <v>16</v>
      </c>
      <c r="AQ31" s="22">
        <f t="shared" si="7"/>
        <v>0.1095890410958904</v>
      </c>
      <c r="AR31" s="67">
        <v>2.7</v>
      </c>
      <c r="AS31" s="67">
        <f t="shared" si="8"/>
        <v>3195</v>
      </c>
      <c r="AT31" s="67">
        <f>SUM(AS$5:AS31)</f>
        <v>44905</v>
      </c>
    </row>
    <row r="32" spans="1:46" ht="16.5" x14ac:dyDescent="0.2">
      <c r="A32" s="15">
        <v>1102020</v>
      </c>
      <c r="B32" s="15" t="s">
        <v>305</v>
      </c>
      <c r="C32" s="15">
        <v>3</v>
      </c>
      <c r="D32" s="15">
        <v>30</v>
      </c>
      <c r="E32" s="15">
        <v>2</v>
      </c>
      <c r="F32" s="35" t="s">
        <v>284</v>
      </c>
      <c r="G32" s="35" t="str">
        <f t="shared" si="4"/>
        <v>火修身材料</v>
      </c>
      <c r="H32" s="49">
        <v>1501020</v>
      </c>
      <c r="AO32" s="67">
        <v>28</v>
      </c>
      <c r="AP32" s="67">
        <v>17</v>
      </c>
      <c r="AQ32" s="22">
        <f t="shared" si="7"/>
        <v>0.11643835616438356</v>
      </c>
      <c r="AR32" s="67">
        <v>2.8</v>
      </c>
      <c r="AS32" s="67">
        <f t="shared" si="8"/>
        <v>3270</v>
      </c>
      <c r="AT32" s="67">
        <f>SUM(AS$5:AS32)</f>
        <v>48175</v>
      </c>
    </row>
    <row r="33" spans="1:46" ht="16.5" x14ac:dyDescent="0.2">
      <c r="A33" s="15">
        <v>1102021</v>
      </c>
      <c r="B33" s="15" t="s">
        <v>306</v>
      </c>
      <c r="C33" s="15">
        <v>2</v>
      </c>
      <c r="D33" s="15">
        <v>20</v>
      </c>
      <c r="E33" s="15">
        <v>2</v>
      </c>
      <c r="F33" s="35" t="s">
        <v>278</v>
      </c>
      <c r="G33" s="35" t="str">
        <f t="shared" si="4"/>
        <v>土修身材料</v>
      </c>
      <c r="H33" s="49">
        <v>1501021</v>
      </c>
      <c r="AO33" s="67">
        <v>29</v>
      </c>
      <c r="AP33" s="67">
        <v>18</v>
      </c>
      <c r="AQ33" s="22">
        <f t="shared" si="7"/>
        <v>0.12328767123287671</v>
      </c>
      <c r="AR33" s="67">
        <v>2.9</v>
      </c>
      <c r="AS33" s="67">
        <f t="shared" si="8"/>
        <v>3345</v>
      </c>
      <c r="AT33" s="67">
        <f>SUM(AS$5:AS33)</f>
        <v>51520</v>
      </c>
    </row>
    <row r="34" spans="1:46" ht="16.5" x14ac:dyDescent="0.2">
      <c r="AO34" s="67">
        <v>30</v>
      </c>
      <c r="AP34" s="67">
        <v>20</v>
      </c>
      <c r="AQ34" s="22">
        <f t="shared" si="7"/>
        <v>0.13698630136986301</v>
      </c>
      <c r="AR34" s="67">
        <v>3</v>
      </c>
      <c r="AS34" s="67">
        <f t="shared" si="8"/>
        <v>3590</v>
      </c>
      <c r="AT34" s="67">
        <f>SUM(AS$5:AS34)</f>
        <v>55110</v>
      </c>
    </row>
    <row r="35" spans="1:46" ht="20.25" x14ac:dyDescent="0.2">
      <c r="I35" s="97" t="s">
        <v>315</v>
      </c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AM35" s="67" t="s">
        <v>605</v>
      </c>
      <c r="AN35" s="67">
        <v>4</v>
      </c>
      <c r="AO35" s="67">
        <v>31</v>
      </c>
      <c r="AP35" s="67">
        <v>8</v>
      </c>
      <c r="AQ35" s="22">
        <f>AP35/AN$38</f>
        <v>6.4000000000000001E-2</v>
      </c>
      <c r="AR35" s="67">
        <v>3</v>
      </c>
      <c r="AS35" s="67">
        <f>INT(AN$36*AQ35/AR35)</f>
        <v>4258</v>
      </c>
      <c r="AT35" s="67">
        <f>SUM(AS$5:AS35)</f>
        <v>59368</v>
      </c>
    </row>
    <row r="36" spans="1:46" ht="17.25" x14ac:dyDescent="0.2">
      <c r="I36" s="12" t="s">
        <v>307</v>
      </c>
      <c r="J36" s="12" t="s">
        <v>308</v>
      </c>
      <c r="K36" s="12" t="s">
        <v>309</v>
      </c>
      <c r="L36" s="12" t="s">
        <v>310</v>
      </c>
      <c r="M36" s="12" t="s">
        <v>272</v>
      </c>
      <c r="N36" s="12" t="s">
        <v>333</v>
      </c>
      <c r="O36" s="12" t="s">
        <v>334</v>
      </c>
      <c r="P36" s="12" t="s">
        <v>311</v>
      </c>
      <c r="Q36" s="12" t="s">
        <v>312</v>
      </c>
      <c r="R36" s="12" t="s">
        <v>313</v>
      </c>
      <c r="S36" s="12" t="s">
        <v>314</v>
      </c>
      <c r="T36" s="12" t="s">
        <v>332</v>
      </c>
      <c r="U36" s="12" t="s">
        <v>312</v>
      </c>
      <c r="AM36" s="15" t="str">
        <f>INDEX($Z$5:$Z$19,AN35)</f>
        <v>30~40</v>
      </c>
      <c r="AN36" s="15">
        <f>INDEX($AI$5:$AI$19,AN35)</f>
        <v>199620</v>
      </c>
      <c r="AO36" s="67">
        <v>32</v>
      </c>
      <c r="AP36" s="67">
        <v>9</v>
      </c>
      <c r="AQ36" s="22">
        <f t="shared" ref="AQ36:AQ44" si="9">AP36/AN$38</f>
        <v>7.1999999999999995E-2</v>
      </c>
      <c r="AR36" s="67">
        <v>3</v>
      </c>
      <c r="AS36" s="67">
        <f t="shared" ref="AS36:AS44" si="10">INT(AN$36*AQ36/AR36)</f>
        <v>4790</v>
      </c>
      <c r="AT36" s="67">
        <f>SUM(AS$5:AS36)</f>
        <v>64158</v>
      </c>
    </row>
    <row r="37" spans="1:46" ht="16.5" x14ac:dyDescent="0.2">
      <c r="I37" s="35">
        <v>1</v>
      </c>
      <c r="J37" s="15">
        <f t="shared" ref="J37:J100" si="11">INDEX($A$13:$A$33,INT((I37-1)/21)+1)</f>
        <v>1102001</v>
      </c>
      <c r="K37" s="15">
        <f t="shared" ref="K37:K100" si="12">VLOOKUP(J37,$A$13:$D$33,3)</f>
        <v>4</v>
      </c>
      <c r="L37" s="15">
        <f>MOD((I37-1),21)+1</f>
        <v>1</v>
      </c>
      <c r="M37" s="15" t="str">
        <f t="shared" ref="M37:M100" si="1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  <c r="AM37" s="67" t="s">
        <v>603</v>
      </c>
      <c r="AN37" s="15">
        <f>INDEX($AJ$5:$AJ$19,AN35)</f>
        <v>3</v>
      </c>
      <c r="AO37" s="67">
        <v>33</v>
      </c>
      <c r="AP37" s="67">
        <v>10</v>
      </c>
      <c r="AQ37" s="22">
        <f t="shared" si="9"/>
        <v>0.08</v>
      </c>
      <c r="AR37" s="67">
        <v>3</v>
      </c>
      <c r="AS37" s="67">
        <f t="shared" si="10"/>
        <v>5323</v>
      </c>
      <c r="AT37" s="67">
        <f>SUM(AS$5:AS37)</f>
        <v>69481</v>
      </c>
    </row>
    <row r="38" spans="1:46" ht="16.5" x14ac:dyDescent="0.2">
      <c r="I38" s="35">
        <v>2</v>
      </c>
      <c r="J38" s="15">
        <f t="shared" si="11"/>
        <v>1102001</v>
      </c>
      <c r="K38" s="15">
        <f t="shared" si="12"/>
        <v>4</v>
      </c>
      <c r="L38" s="15">
        <f t="shared" ref="L38:L101" si="14">MOD((I38-1),21)+1</f>
        <v>2</v>
      </c>
      <c r="M38" s="15" t="str">
        <f t="shared" si="13"/>
        <v>红</v>
      </c>
      <c r="N38" s="15" t="str">
        <f t="shared" ref="N38:N101" si="1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AM38" s="16"/>
      <c r="AN38" s="15">
        <f>SUM(AP35:AP44)</f>
        <v>125</v>
      </c>
      <c r="AO38" s="67">
        <v>34</v>
      </c>
      <c r="AP38" s="67">
        <v>11</v>
      </c>
      <c r="AQ38" s="22">
        <f t="shared" si="9"/>
        <v>8.7999999999999995E-2</v>
      </c>
      <c r="AR38" s="67">
        <v>3</v>
      </c>
      <c r="AS38" s="67">
        <f t="shared" si="10"/>
        <v>5855</v>
      </c>
      <c r="AT38" s="67">
        <f>SUM(AS$5:AS38)</f>
        <v>75336</v>
      </c>
    </row>
    <row r="39" spans="1:46" ht="16.5" x14ac:dyDescent="0.2">
      <c r="I39" s="35">
        <v>3</v>
      </c>
      <c r="J39" s="15">
        <f t="shared" si="11"/>
        <v>1102001</v>
      </c>
      <c r="K39" s="15">
        <f t="shared" si="12"/>
        <v>4</v>
      </c>
      <c r="L39" s="15">
        <f t="shared" si="14"/>
        <v>3</v>
      </c>
      <c r="M39" s="15" t="str">
        <f t="shared" si="13"/>
        <v>红</v>
      </c>
      <c r="N39" s="15" t="str">
        <f t="shared" si="1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AO39" s="67">
        <v>35</v>
      </c>
      <c r="AP39" s="67">
        <v>12</v>
      </c>
      <c r="AQ39" s="22">
        <f t="shared" si="9"/>
        <v>9.6000000000000002E-2</v>
      </c>
      <c r="AR39" s="67">
        <v>3</v>
      </c>
      <c r="AS39" s="67">
        <f t="shared" si="10"/>
        <v>6387</v>
      </c>
      <c r="AT39" s="67">
        <f>SUM(AS$5:AS39)</f>
        <v>81723</v>
      </c>
    </row>
    <row r="40" spans="1:46" ht="16.5" x14ac:dyDescent="0.2">
      <c r="I40" s="35">
        <v>4</v>
      </c>
      <c r="J40" s="15">
        <f t="shared" si="11"/>
        <v>1102001</v>
      </c>
      <c r="K40" s="15">
        <f t="shared" si="12"/>
        <v>4</v>
      </c>
      <c r="L40" s="15">
        <f t="shared" si="14"/>
        <v>4</v>
      </c>
      <c r="M40" s="15" t="str">
        <f t="shared" si="13"/>
        <v>红</v>
      </c>
      <c r="N40" s="15" t="str">
        <f t="shared" si="1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AO40" s="67">
        <v>36</v>
      </c>
      <c r="AP40" s="67">
        <v>13</v>
      </c>
      <c r="AQ40" s="22">
        <f t="shared" si="9"/>
        <v>0.104</v>
      </c>
      <c r="AR40" s="67">
        <v>3</v>
      </c>
      <c r="AS40" s="67">
        <f t="shared" si="10"/>
        <v>6920</v>
      </c>
      <c r="AT40" s="67">
        <f>SUM(AS$5:AS40)</f>
        <v>88643</v>
      </c>
    </row>
    <row r="41" spans="1:46" ht="16.5" x14ac:dyDescent="0.2">
      <c r="I41" s="35">
        <v>5</v>
      </c>
      <c r="J41" s="15">
        <f t="shared" si="11"/>
        <v>1102001</v>
      </c>
      <c r="K41" s="15">
        <f t="shared" si="12"/>
        <v>4</v>
      </c>
      <c r="L41" s="15">
        <f t="shared" si="14"/>
        <v>5</v>
      </c>
      <c r="M41" s="15" t="str">
        <f t="shared" si="13"/>
        <v>红</v>
      </c>
      <c r="N41" s="15" t="str">
        <f t="shared" si="1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AO41" s="67">
        <v>37</v>
      </c>
      <c r="AP41" s="67">
        <v>14</v>
      </c>
      <c r="AQ41" s="22">
        <f t="shared" si="9"/>
        <v>0.112</v>
      </c>
      <c r="AR41" s="67">
        <v>3</v>
      </c>
      <c r="AS41" s="67">
        <f t="shared" si="10"/>
        <v>7452</v>
      </c>
      <c r="AT41" s="67">
        <f>SUM(AS$5:AS41)</f>
        <v>96095</v>
      </c>
    </row>
    <row r="42" spans="1:46" ht="16.5" x14ac:dyDescent="0.2">
      <c r="I42" s="35">
        <v>6</v>
      </c>
      <c r="J42" s="15">
        <f t="shared" si="11"/>
        <v>1102001</v>
      </c>
      <c r="K42" s="15">
        <f t="shared" si="12"/>
        <v>4</v>
      </c>
      <c r="L42" s="15">
        <f t="shared" si="14"/>
        <v>6</v>
      </c>
      <c r="M42" s="15" t="str">
        <f t="shared" si="13"/>
        <v>红</v>
      </c>
      <c r="N42" s="15" t="str">
        <f t="shared" si="1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AO42" s="67">
        <v>38</v>
      </c>
      <c r="AP42" s="67">
        <v>15</v>
      </c>
      <c r="AQ42" s="22">
        <f t="shared" si="9"/>
        <v>0.12</v>
      </c>
      <c r="AR42" s="67">
        <v>3</v>
      </c>
      <c r="AS42" s="67">
        <f t="shared" si="10"/>
        <v>7984</v>
      </c>
      <c r="AT42" s="67">
        <f>SUM(AS$5:AS42)</f>
        <v>104079</v>
      </c>
    </row>
    <row r="43" spans="1:46" ht="16.5" x14ac:dyDescent="0.2">
      <c r="I43" s="35">
        <v>7</v>
      </c>
      <c r="J43" s="15">
        <f t="shared" si="11"/>
        <v>1102001</v>
      </c>
      <c r="K43" s="15">
        <f t="shared" si="12"/>
        <v>4</v>
      </c>
      <c r="L43" s="15">
        <f t="shared" si="14"/>
        <v>7</v>
      </c>
      <c r="M43" s="15" t="str">
        <f t="shared" si="13"/>
        <v>红</v>
      </c>
      <c r="N43" s="15" t="str">
        <f t="shared" si="1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AO43" s="67">
        <v>39</v>
      </c>
      <c r="AP43" s="67">
        <v>16</v>
      </c>
      <c r="AQ43" s="22">
        <f t="shared" si="9"/>
        <v>0.128</v>
      </c>
      <c r="AR43" s="67">
        <v>3</v>
      </c>
      <c r="AS43" s="67">
        <f t="shared" si="10"/>
        <v>8517</v>
      </c>
      <c r="AT43" s="67">
        <f>SUM(AS$5:AS43)</f>
        <v>112596</v>
      </c>
    </row>
    <row r="44" spans="1:46" ht="16.5" x14ac:dyDescent="0.2">
      <c r="I44" s="35">
        <v>8</v>
      </c>
      <c r="J44" s="15">
        <f t="shared" si="11"/>
        <v>1102001</v>
      </c>
      <c r="K44" s="15">
        <f t="shared" si="12"/>
        <v>4</v>
      </c>
      <c r="L44" s="15">
        <f t="shared" si="14"/>
        <v>8</v>
      </c>
      <c r="M44" s="15" t="str">
        <f t="shared" si="13"/>
        <v>红</v>
      </c>
      <c r="N44" s="15" t="str">
        <f t="shared" si="15"/>
        <v>金币</v>
      </c>
      <c r="O44" s="15">
        <f>IF(L44&gt;1,INDEX(挂机升级突破!$AI$35:$AI$55,卡牌消耗!L44),"")</f>
        <v>66000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AO44" s="67">
        <v>40</v>
      </c>
      <c r="AP44" s="67">
        <v>17</v>
      </c>
      <c r="AQ44" s="22">
        <f t="shared" si="9"/>
        <v>0.13600000000000001</v>
      </c>
      <c r="AR44" s="67">
        <v>3</v>
      </c>
      <c r="AS44" s="67">
        <f t="shared" si="10"/>
        <v>9049</v>
      </c>
      <c r="AT44" s="67">
        <f>SUM(AS$5:AS44)</f>
        <v>121645</v>
      </c>
    </row>
    <row r="45" spans="1:46" ht="16.5" x14ac:dyDescent="0.2">
      <c r="I45" s="35">
        <v>9</v>
      </c>
      <c r="J45" s="15">
        <f t="shared" si="11"/>
        <v>1102001</v>
      </c>
      <c r="K45" s="15">
        <f t="shared" si="12"/>
        <v>4</v>
      </c>
      <c r="L45" s="15">
        <f t="shared" si="14"/>
        <v>9</v>
      </c>
      <c r="M45" s="15" t="str">
        <f t="shared" si="13"/>
        <v>红</v>
      </c>
      <c r="N45" s="15" t="str">
        <f t="shared" si="1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AM45" s="67" t="s">
        <v>605</v>
      </c>
      <c r="AN45" s="67">
        <v>5</v>
      </c>
      <c r="AO45" s="67">
        <v>41</v>
      </c>
      <c r="AP45" s="67">
        <v>10</v>
      </c>
      <c r="AQ45" s="22">
        <f>AP45/AN$48</f>
        <v>6.8493150684931503E-2</v>
      </c>
      <c r="AR45" s="67">
        <v>3.1</v>
      </c>
      <c r="AS45" s="67">
        <f>INT(AN$46*AQ45/AR45)</f>
        <v>9523</v>
      </c>
      <c r="AT45" s="67">
        <f>SUM(AS$5:AS45)</f>
        <v>131168</v>
      </c>
    </row>
    <row r="46" spans="1:46" ht="16.5" x14ac:dyDescent="0.2">
      <c r="I46" s="35">
        <v>10</v>
      </c>
      <c r="J46" s="15">
        <f t="shared" si="11"/>
        <v>1102001</v>
      </c>
      <c r="K46" s="15">
        <f t="shared" si="12"/>
        <v>4</v>
      </c>
      <c r="L46" s="15">
        <f t="shared" si="14"/>
        <v>10</v>
      </c>
      <c r="M46" s="15" t="str">
        <f t="shared" si="13"/>
        <v>红</v>
      </c>
      <c r="N46" s="15" t="str">
        <f t="shared" si="1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AM46" s="15" t="str">
        <f>INDEX($Z$5:$Z$19,AN45)</f>
        <v>40~50</v>
      </c>
      <c r="AN46" s="15">
        <f>INDEX($AI$5:$AI$19,AN45)</f>
        <v>431040</v>
      </c>
      <c r="AO46" s="67">
        <v>42</v>
      </c>
      <c r="AP46" s="67">
        <v>11</v>
      </c>
      <c r="AQ46" s="22">
        <f t="shared" ref="AQ46:AQ54" si="16">AP46/AN$48</f>
        <v>7.5342465753424653E-2</v>
      </c>
      <c r="AR46" s="67">
        <v>3.2</v>
      </c>
      <c r="AS46" s="67">
        <f t="shared" ref="AS46:AS54" si="17">INT(AN$46*AQ46/AR46)</f>
        <v>10148</v>
      </c>
      <c r="AT46" s="67">
        <f>SUM(AS$5:AS46)</f>
        <v>141316</v>
      </c>
    </row>
    <row r="47" spans="1:46" ht="16.5" x14ac:dyDescent="0.2">
      <c r="I47" s="35">
        <v>11</v>
      </c>
      <c r="J47" s="15">
        <f t="shared" si="11"/>
        <v>1102001</v>
      </c>
      <c r="K47" s="15">
        <f t="shared" si="12"/>
        <v>4</v>
      </c>
      <c r="L47" s="15">
        <f t="shared" si="14"/>
        <v>11</v>
      </c>
      <c r="M47" s="15" t="str">
        <f t="shared" si="13"/>
        <v>红</v>
      </c>
      <c r="N47" s="15" t="str">
        <f t="shared" si="1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AM47" s="67" t="s">
        <v>603</v>
      </c>
      <c r="AN47" s="15">
        <f>INDEX($AJ$5:$AJ$19,AN45)</f>
        <v>4</v>
      </c>
      <c r="AO47" s="67">
        <v>43</v>
      </c>
      <c r="AP47" s="67">
        <v>12</v>
      </c>
      <c r="AQ47" s="22">
        <f t="shared" si="16"/>
        <v>8.2191780821917804E-2</v>
      </c>
      <c r="AR47" s="67">
        <v>3.3</v>
      </c>
      <c r="AS47" s="67">
        <f t="shared" si="17"/>
        <v>10735</v>
      </c>
      <c r="AT47" s="67">
        <f>SUM(AS$5:AS47)</f>
        <v>152051</v>
      </c>
    </row>
    <row r="48" spans="1:46" ht="16.5" x14ac:dyDescent="0.2">
      <c r="I48" s="35">
        <v>12</v>
      </c>
      <c r="J48" s="15">
        <f t="shared" si="11"/>
        <v>1102001</v>
      </c>
      <c r="K48" s="15">
        <f t="shared" si="12"/>
        <v>4</v>
      </c>
      <c r="L48" s="15">
        <f t="shared" si="14"/>
        <v>12</v>
      </c>
      <c r="M48" s="15" t="str">
        <f t="shared" si="13"/>
        <v>红</v>
      </c>
      <c r="N48" s="15" t="str">
        <f t="shared" si="1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AM48" s="16"/>
      <c r="AN48" s="15">
        <f>SUM(AP45:AP54)</f>
        <v>146</v>
      </c>
      <c r="AO48" s="67">
        <v>44</v>
      </c>
      <c r="AP48" s="67">
        <v>13</v>
      </c>
      <c r="AQ48" s="22">
        <f t="shared" si="16"/>
        <v>8.9041095890410954E-2</v>
      </c>
      <c r="AR48" s="67">
        <v>3.4</v>
      </c>
      <c r="AS48" s="67">
        <f t="shared" si="17"/>
        <v>11288</v>
      </c>
      <c r="AT48" s="67">
        <f>SUM(AS$5:AS48)</f>
        <v>163339</v>
      </c>
    </row>
    <row r="49" spans="9:46" ht="16.5" x14ac:dyDescent="0.2">
      <c r="I49" s="35">
        <v>13</v>
      </c>
      <c r="J49" s="15">
        <f t="shared" si="11"/>
        <v>1102001</v>
      </c>
      <c r="K49" s="15">
        <f t="shared" si="12"/>
        <v>4</v>
      </c>
      <c r="L49" s="15">
        <f t="shared" si="14"/>
        <v>13</v>
      </c>
      <c r="M49" s="15" t="str">
        <f t="shared" si="13"/>
        <v>红</v>
      </c>
      <c r="N49" s="15" t="str">
        <f t="shared" si="1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AO49" s="67">
        <v>45</v>
      </c>
      <c r="AP49" s="67">
        <v>14</v>
      </c>
      <c r="AQ49" s="22">
        <f t="shared" si="16"/>
        <v>9.5890410958904104E-2</v>
      </c>
      <c r="AR49" s="67">
        <v>3.5</v>
      </c>
      <c r="AS49" s="67">
        <f t="shared" si="17"/>
        <v>11809</v>
      </c>
      <c r="AT49" s="67">
        <f>SUM(AS$5:AS49)</f>
        <v>175148</v>
      </c>
    </row>
    <row r="50" spans="9:46" ht="16.5" x14ac:dyDescent="0.2">
      <c r="I50" s="35">
        <v>14</v>
      </c>
      <c r="J50" s="15">
        <f t="shared" si="11"/>
        <v>1102001</v>
      </c>
      <c r="K50" s="15">
        <f t="shared" si="12"/>
        <v>4</v>
      </c>
      <c r="L50" s="15">
        <f t="shared" si="14"/>
        <v>14</v>
      </c>
      <c r="M50" s="15" t="str">
        <f t="shared" si="13"/>
        <v>红</v>
      </c>
      <c r="N50" s="15" t="str">
        <f t="shared" si="1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AO50" s="67">
        <v>46</v>
      </c>
      <c r="AP50" s="67">
        <v>15</v>
      </c>
      <c r="AQ50" s="22">
        <f t="shared" si="16"/>
        <v>0.10273972602739725</v>
      </c>
      <c r="AR50" s="67">
        <v>3.6</v>
      </c>
      <c r="AS50" s="67">
        <f t="shared" si="17"/>
        <v>12301</v>
      </c>
      <c r="AT50" s="67">
        <f>SUM(AS$5:AS50)</f>
        <v>187449</v>
      </c>
    </row>
    <row r="51" spans="9:46" ht="16.5" x14ac:dyDescent="0.2">
      <c r="I51" s="35">
        <v>15</v>
      </c>
      <c r="J51" s="15">
        <f t="shared" si="11"/>
        <v>1102001</v>
      </c>
      <c r="K51" s="15">
        <f t="shared" si="12"/>
        <v>4</v>
      </c>
      <c r="L51" s="15">
        <f t="shared" si="14"/>
        <v>15</v>
      </c>
      <c r="M51" s="15" t="str">
        <f t="shared" si="13"/>
        <v>红</v>
      </c>
      <c r="N51" s="15" t="str">
        <f t="shared" si="1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AO51" s="67">
        <v>47</v>
      </c>
      <c r="AP51" s="67">
        <v>16</v>
      </c>
      <c r="AQ51" s="22">
        <f t="shared" si="16"/>
        <v>0.1095890410958904</v>
      </c>
      <c r="AR51" s="67">
        <v>3.7</v>
      </c>
      <c r="AS51" s="67">
        <f t="shared" si="17"/>
        <v>12766</v>
      </c>
      <c r="AT51" s="67">
        <f>SUM(AS$5:AS51)</f>
        <v>200215</v>
      </c>
    </row>
    <row r="52" spans="9:46" ht="16.5" x14ac:dyDescent="0.2">
      <c r="I52" s="35">
        <v>16</v>
      </c>
      <c r="J52" s="15">
        <f t="shared" si="11"/>
        <v>1102001</v>
      </c>
      <c r="K52" s="15">
        <f t="shared" si="12"/>
        <v>4</v>
      </c>
      <c r="L52" s="15">
        <f t="shared" si="14"/>
        <v>16</v>
      </c>
      <c r="M52" s="15" t="str">
        <f t="shared" si="13"/>
        <v>红</v>
      </c>
      <c r="N52" s="15" t="str">
        <f t="shared" si="1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AO52" s="67">
        <v>48</v>
      </c>
      <c r="AP52" s="67">
        <v>17</v>
      </c>
      <c r="AQ52" s="22">
        <f t="shared" si="16"/>
        <v>0.11643835616438356</v>
      </c>
      <c r="AR52" s="67">
        <v>3.8</v>
      </c>
      <c r="AS52" s="67">
        <f t="shared" si="17"/>
        <v>13207</v>
      </c>
      <c r="AT52" s="67">
        <f>SUM(AS$5:AS52)</f>
        <v>213422</v>
      </c>
    </row>
    <row r="53" spans="9:46" ht="16.5" x14ac:dyDescent="0.2">
      <c r="I53" s="35">
        <v>17</v>
      </c>
      <c r="J53" s="15">
        <f t="shared" si="11"/>
        <v>1102001</v>
      </c>
      <c r="K53" s="15">
        <f t="shared" si="12"/>
        <v>4</v>
      </c>
      <c r="L53" s="15">
        <f t="shared" si="14"/>
        <v>17</v>
      </c>
      <c r="M53" s="15" t="str">
        <f t="shared" si="13"/>
        <v>红</v>
      </c>
      <c r="N53" s="15" t="str">
        <f t="shared" si="1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  <c r="AO53" s="67">
        <v>49</v>
      </c>
      <c r="AP53" s="67">
        <v>18</v>
      </c>
      <c r="AQ53" s="22">
        <f t="shared" si="16"/>
        <v>0.12328767123287671</v>
      </c>
      <c r="AR53" s="67">
        <v>3.9</v>
      </c>
      <c r="AS53" s="67">
        <f t="shared" si="17"/>
        <v>13626</v>
      </c>
      <c r="AT53" s="67">
        <f>SUM(AS$5:AS53)</f>
        <v>227048</v>
      </c>
    </row>
    <row r="54" spans="9:46" ht="16.5" x14ac:dyDescent="0.2">
      <c r="I54" s="35">
        <v>18</v>
      </c>
      <c r="J54" s="15">
        <f t="shared" si="11"/>
        <v>1102001</v>
      </c>
      <c r="K54" s="15">
        <f t="shared" si="12"/>
        <v>4</v>
      </c>
      <c r="L54" s="15">
        <f t="shared" si="14"/>
        <v>18</v>
      </c>
      <c r="M54" s="15" t="str">
        <f t="shared" si="13"/>
        <v>红</v>
      </c>
      <c r="N54" s="15" t="str">
        <f t="shared" si="1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  <c r="AO54" s="67">
        <v>50</v>
      </c>
      <c r="AP54" s="67">
        <v>20</v>
      </c>
      <c r="AQ54" s="22">
        <f t="shared" si="16"/>
        <v>0.13698630136986301</v>
      </c>
      <c r="AR54" s="67">
        <v>4</v>
      </c>
      <c r="AS54" s="67">
        <f t="shared" si="17"/>
        <v>14761</v>
      </c>
      <c r="AT54" s="67">
        <f>SUM(AS$5:AS54)</f>
        <v>241809</v>
      </c>
    </row>
    <row r="55" spans="9:46" ht="16.5" x14ac:dyDescent="0.2">
      <c r="I55" s="35">
        <v>19</v>
      </c>
      <c r="J55" s="15">
        <f t="shared" si="11"/>
        <v>1102001</v>
      </c>
      <c r="K55" s="15">
        <f t="shared" si="12"/>
        <v>4</v>
      </c>
      <c r="L55" s="15">
        <f t="shared" si="14"/>
        <v>19</v>
      </c>
      <c r="M55" s="15" t="str">
        <f t="shared" si="13"/>
        <v>红</v>
      </c>
      <c r="N55" s="15" t="str">
        <f t="shared" si="1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  <c r="AM55" s="67" t="s">
        <v>605</v>
      </c>
      <c r="AN55" s="67">
        <v>6</v>
      </c>
      <c r="AO55" s="67">
        <v>51</v>
      </c>
      <c r="AP55" s="67">
        <v>15</v>
      </c>
      <c r="AQ55" s="22">
        <f>AP55/AN$58</f>
        <v>7.6923076923076927E-2</v>
      </c>
      <c r="AR55" s="67">
        <v>4.0999999999999996</v>
      </c>
      <c r="AS55" s="67">
        <f>INT(AN$56*AQ55/AR55)</f>
        <v>15906</v>
      </c>
      <c r="AT55" s="67">
        <f>SUM(AS$5:AS55)</f>
        <v>257715</v>
      </c>
    </row>
    <row r="56" spans="9:46" ht="16.5" x14ac:dyDescent="0.2">
      <c r="I56" s="35">
        <v>20</v>
      </c>
      <c r="J56" s="15">
        <f t="shared" si="11"/>
        <v>1102001</v>
      </c>
      <c r="K56" s="15">
        <f t="shared" si="12"/>
        <v>4</v>
      </c>
      <c r="L56" s="15">
        <f t="shared" si="14"/>
        <v>20</v>
      </c>
      <c r="M56" s="15" t="str">
        <f t="shared" si="13"/>
        <v>红</v>
      </c>
      <c r="N56" s="15" t="str">
        <f t="shared" si="1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  <c r="AM56" s="15" t="str">
        <f>INDEX($Z$5:$Z$19,AN55)</f>
        <v>50~60</v>
      </c>
      <c r="AN56" s="15">
        <f>INDEX($AI$5:$AI$19,AN55)</f>
        <v>847800</v>
      </c>
      <c r="AO56" s="67">
        <v>52</v>
      </c>
      <c r="AP56" s="67">
        <v>16</v>
      </c>
      <c r="AQ56" s="22">
        <f t="shared" ref="AQ56:AQ64" si="18">AP56/AN$58</f>
        <v>8.2051282051282051E-2</v>
      </c>
      <c r="AR56" s="67">
        <v>4.2</v>
      </c>
      <c r="AS56" s="67">
        <f t="shared" ref="AS56:AS64" si="19">INT(AN$56*AQ56/AR56)</f>
        <v>16562</v>
      </c>
      <c r="AT56" s="67">
        <f>SUM(AS$5:AS56)</f>
        <v>274277</v>
      </c>
    </row>
    <row r="57" spans="9:46" ht="16.5" x14ac:dyDescent="0.2">
      <c r="I57" s="35">
        <v>21</v>
      </c>
      <c r="J57" s="15">
        <f t="shared" si="11"/>
        <v>1102001</v>
      </c>
      <c r="K57" s="15">
        <f t="shared" si="12"/>
        <v>4</v>
      </c>
      <c r="L57" s="15">
        <f t="shared" si="14"/>
        <v>21</v>
      </c>
      <c r="M57" s="15" t="str">
        <f t="shared" si="13"/>
        <v>红</v>
      </c>
      <c r="N57" s="15" t="str">
        <f t="shared" si="1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  <c r="AM57" s="67" t="s">
        <v>603</v>
      </c>
      <c r="AN57" s="15">
        <f>INDEX($AJ$5:$AJ$19,AN55)</f>
        <v>5</v>
      </c>
      <c r="AO57" s="67">
        <v>53</v>
      </c>
      <c r="AP57" s="67">
        <v>17</v>
      </c>
      <c r="AQ57" s="22">
        <f t="shared" si="18"/>
        <v>8.7179487179487175E-2</v>
      </c>
      <c r="AR57" s="67">
        <v>4.3</v>
      </c>
      <c r="AS57" s="67">
        <f t="shared" si="19"/>
        <v>17188</v>
      </c>
      <c r="AT57" s="67">
        <f>SUM(AS$5:AS57)</f>
        <v>291465</v>
      </c>
    </row>
    <row r="58" spans="9:46" ht="16.5" x14ac:dyDescent="0.2">
      <c r="I58" s="35">
        <v>22</v>
      </c>
      <c r="J58" s="15">
        <f t="shared" si="11"/>
        <v>1102002</v>
      </c>
      <c r="K58" s="15">
        <f t="shared" si="12"/>
        <v>3</v>
      </c>
      <c r="L58" s="15">
        <f t="shared" si="14"/>
        <v>1</v>
      </c>
      <c r="M58" s="15" t="str">
        <f t="shared" si="13"/>
        <v>红</v>
      </c>
      <c r="N58" s="15" t="str">
        <f t="shared" si="1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  <c r="AM58" s="16"/>
      <c r="AN58" s="15">
        <f>SUM(AP55:AP64)</f>
        <v>195</v>
      </c>
      <c r="AO58" s="67">
        <v>54</v>
      </c>
      <c r="AP58" s="67">
        <v>18</v>
      </c>
      <c r="AQ58" s="22">
        <f t="shared" si="18"/>
        <v>9.2307692307692313E-2</v>
      </c>
      <c r="AR58" s="67">
        <v>4.4000000000000004</v>
      </c>
      <c r="AS58" s="67">
        <f t="shared" si="19"/>
        <v>17786</v>
      </c>
      <c r="AT58" s="67">
        <f>SUM(AS$5:AS58)</f>
        <v>309251</v>
      </c>
    </row>
    <row r="59" spans="9:46" ht="16.5" x14ac:dyDescent="0.2">
      <c r="I59" s="35">
        <v>23</v>
      </c>
      <c r="J59" s="15">
        <f t="shared" si="11"/>
        <v>1102002</v>
      </c>
      <c r="K59" s="15">
        <f t="shared" si="12"/>
        <v>3</v>
      </c>
      <c r="L59" s="15">
        <f t="shared" si="14"/>
        <v>2</v>
      </c>
      <c r="M59" s="15" t="str">
        <f t="shared" si="13"/>
        <v>红</v>
      </c>
      <c r="N59" s="15" t="str">
        <f t="shared" si="1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AO59" s="67">
        <v>55</v>
      </c>
      <c r="AP59" s="67">
        <v>19</v>
      </c>
      <c r="AQ59" s="22">
        <f t="shared" si="18"/>
        <v>9.7435897435897437E-2</v>
      </c>
      <c r="AR59" s="67">
        <v>4.5</v>
      </c>
      <c r="AS59" s="67">
        <f t="shared" si="19"/>
        <v>18356</v>
      </c>
      <c r="AT59" s="67">
        <f>SUM(AS$5:AS59)</f>
        <v>327607</v>
      </c>
    </row>
    <row r="60" spans="9:46" ht="16.5" x14ac:dyDescent="0.2">
      <c r="I60" s="35">
        <v>24</v>
      </c>
      <c r="J60" s="15">
        <f t="shared" si="11"/>
        <v>1102002</v>
      </c>
      <c r="K60" s="15">
        <f t="shared" si="12"/>
        <v>3</v>
      </c>
      <c r="L60" s="15">
        <f t="shared" si="14"/>
        <v>3</v>
      </c>
      <c r="M60" s="15" t="str">
        <f t="shared" si="13"/>
        <v>红</v>
      </c>
      <c r="N60" s="15" t="str">
        <f t="shared" si="1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AO60" s="67">
        <v>56</v>
      </c>
      <c r="AP60" s="67">
        <v>20</v>
      </c>
      <c r="AQ60" s="22">
        <f t="shared" si="18"/>
        <v>0.10256410256410256</v>
      </c>
      <c r="AR60" s="67">
        <v>4.5999999999999996</v>
      </c>
      <c r="AS60" s="67">
        <f t="shared" si="19"/>
        <v>18903</v>
      </c>
      <c r="AT60" s="67">
        <f>SUM(AS$5:AS60)</f>
        <v>346510</v>
      </c>
    </row>
    <row r="61" spans="9:46" ht="16.5" x14ac:dyDescent="0.2">
      <c r="I61" s="35">
        <v>25</v>
      </c>
      <c r="J61" s="15">
        <f t="shared" si="11"/>
        <v>1102002</v>
      </c>
      <c r="K61" s="15">
        <f t="shared" si="12"/>
        <v>3</v>
      </c>
      <c r="L61" s="15">
        <f t="shared" si="14"/>
        <v>4</v>
      </c>
      <c r="M61" s="15" t="str">
        <f t="shared" si="13"/>
        <v>红</v>
      </c>
      <c r="N61" s="15" t="str">
        <f t="shared" si="1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AO61" s="67">
        <v>57</v>
      </c>
      <c r="AP61" s="67">
        <v>21</v>
      </c>
      <c r="AQ61" s="22">
        <f t="shared" si="18"/>
        <v>0.1076923076923077</v>
      </c>
      <c r="AR61" s="67">
        <v>4.7</v>
      </c>
      <c r="AS61" s="67">
        <f t="shared" si="19"/>
        <v>19425</v>
      </c>
      <c r="AT61" s="67">
        <f>SUM(AS$5:AS61)</f>
        <v>365935</v>
      </c>
    </row>
    <row r="62" spans="9:46" ht="16.5" x14ac:dyDescent="0.2">
      <c r="I62" s="35">
        <v>26</v>
      </c>
      <c r="J62" s="15">
        <f t="shared" si="11"/>
        <v>1102002</v>
      </c>
      <c r="K62" s="15">
        <f t="shared" si="12"/>
        <v>3</v>
      </c>
      <c r="L62" s="15">
        <f t="shared" si="14"/>
        <v>5</v>
      </c>
      <c r="M62" s="15" t="str">
        <f t="shared" si="13"/>
        <v>红</v>
      </c>
      <c r="N62" s="15" t="str">
        <f t="shared" si="1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AO62" s="67">
        <v>58</v>
      </c>
      <c r="AP62" s="67">
        <v>22</v>
      </c>
      <c r="AQ62" s="22">
        <f t="shared" si="18"/>
        <v>0.11282051282051282</v>
      </c>
      <c r="AR62" s="67">
        <v>4.8</v>
      </c>
      <c r="AS62" s="67">
        <f t="shared" si="19"/>
        <v>19926</v>
      </c>
      <c r="AT62" s="67">
        <f>SUM(AS$5:AS62)</f>
        <v>385861</v>
      </c>
    </row>
    <row r="63" spans="9:46" ht="16.5" x14ac:dyDescent="0.2">
      <c r="I63" s="35">
        <v>27</v>
      </c>
      <c r="J63" s="15">
        <f t="shared" si="11"/>
        <v>1102002</v>
      </c>
      <c r="K63" s="15">
        <f t="shared" si="12"/>
        <v>3</v>
      </c>
      <c r="L63" s="15">
        <f t="shared" si="14"/>
        <v>6</v>
      </c>
      <c r="M63" s="15" t="str">
        <f t="shared" si="13"/>
        <v>红</v>
      </c>
      <c r="N63" s="15" t="str">
        <f t="shared" si="1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AO63" s="67">
        <v>59</v>
      </c>
      <c r="AP63" s="67">
        <v>23</v>
      </c>
      <c r="AQ63" s="22">
        <f t="shared" si="18"/>
        <v>0.11794871794871795</v>
      </c>
      <c r="AR63" s="67">
        <v>4.9000000000000004</v>
      </c>
      <c r="AS63" s="67">
        <f t="shared" si="19"/>
        <v>20407</v>
      </c>
      <c r="AT63" s="67">
        <f>SUM(AS$5:AS63)</f>
        <v>406268</v>
      </c>
    </row>
    <row r="64" spans="9:46" ht="16.5" x14ac:dyDescent="0.2">
      <c r="I64" s="35">
        <v>28</v>
      </c>
      <c r="J64" s="15">
        <f t="shared" si="11"/>
        <v>1102002</v>
      </c>
      <c r="K64" s="15">
        <f t="shared" si="12"/>
        <v>3</v>
      </c>
      <c r="L64" s="15">
        <f t="shared" si="14"/>
        <v>7</v>
      </c>
      <c r="M64" s="15" t="str">
        <f t="shared" si="13"/>
        <v>红</v>
      </c>
      <c r="N64" s="15" t="str">
        <f t="shared" si="1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AO64" s="67">
        <v>60</v>
      </c>
      <c r="AP64" s="67">
        <v>24</v>
      </c>
      <c r="AQ64" s="22">
        <f t="shared" si="18"/>
        <v>0.12307692307692308</v>
      </c>
      <c r="AR64" s="67">
        <v>5</v>
      </c>
      <c r="AS64" s="67">
        <f t="shared" si="19"/>
        <v>20868</v>
      </c>
      <c r="AT64" s="67">
        <f>SUM(AS$5:AS64)</f>
        <v>427136</v>
      </c>
    </row>
    <row r="65" spans="9:46" ht="16.5" x14ac:dyDescent="0.2">
      <c r="I65" s="35">
        <v>29</v>
      </c>
      <c r="J65" s="15">
        <f t="shared" si="11"/>
        <v>1102002</v>
      </c>
      <c r="K65" s="15">
        <f t="shared" si="12"/>
        <v>3</v>
      </c>
      <c r="L65" s="15">
        <f t="shared" si="14"/>
        <v>8</v>
      </c>
      <c r="M65" s="15" t="str">
        <f t="shared" si="13"/>
        <v>红</v>
      </c>
      <c r="N65" s="15" t="str">
        <f t="shared" si="15"/>
        <v>金币</v>
      </c>
      <c r="O65" s="15">
        <f>IF(L65&gt;1,INDEX(挂机升级突破!$AI$35:$AI$55,卡牌消耗!L65),"")</f>
        <v>66000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AM65" s="67" t="s">
        <v>605</v>
      </c>
      <c r="AN65" s="67">
        <v>7</v>
      </c>
      <c r="AO65" s="67">
        <v>61</v>
      </c>
      <c r="AP65" s="67">
        <v>15</v>
      </c>
      <c r="AQ65" s="22">
        <f>AP65/AN$68</f>
        <v>7.6923076923076927E-2</v>
      </c>
      <c r="AR65" s="67">
        <v>5.0999999999999996</v>
      </c>
      <c r="AS65" s="67">
        <f>INT(AN$66*AQ65/AR65)</f>
        <v>21351</v>
      </c>
      <c r="AT65" s="67">
        <f>SUM(AS$5:AS65)</f>
        <v>448487</v>
      </c>
    </row>
    <row r="66" spans="9:46" ht="16.5" x14ac:dyDescent="0.2">
      <c r="I66" s="35">
        <v>30</v>
      </c>
      <c r="J66" s="15">
        <f t="shared" si="11"/>
        <v>1102002</v>
      </c>
      <c r="K66" s="15">
        <f t="shared" si="12"/>
        <v>3</v>
      </c>
      <c r="L66" s="15">
        <f t="shared" si="14"/>
        <v>9</v>
      </c>
      <c r="M66" s="15" t="str">
        <f t="shared" si="13"/>
        <v>红</v>
      </c>
      <c r="N66" s="15" t="str">
        <f t="shared" si="1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AM66" s="15" t="str">
        <f>INDEX($Z$5:$Z$19,AN65)</f>
        <v>60~70</v>
      </c>
      <c r="AN66" s="15">
        <f>INDEX($AI$5:$AI$19,AN65)</f>
        <v>1415625</v>
      </c>
      <c r="AO66" s="67">
        <v>62</v>
      </c>
      <c r="AP66" s="67">
        <v>16</v>
      </c>
      <c r="AQ66" s="22">
        <f t="shared" ref="AQ66:AQ73" si="20">AP66/AN$68</f>
        <v>8.2051282051282051E-2</v>
      </c>
      <c r="AR66" s="67">
        <v>5.2</v>
      </c>
      <c r="AS66" s="67">
        <f t="shared" ref="AS66:AS74" si="21">INT(AN$66*AQ66/AR66)</f>
        <v>22337</v>
      </c>
      <c r="AT66" s="67">
        <f>SUM(AS$5:AS66)</f>
        <v>470824</v>
      </c>
    </row>
    <row r="67" spans="9:46" ht="16.5" x14ac:dyDescent="0.2">
      <c r="I67" s="35">
        <v>31</v>
      </c>
      <c r="J67" s="15">
        <f t="shared" si="11"/>
        <v>1102002</v>
      </c>
      <c r="K67" s="15">
        <f t="shared" si="12"/>
        <v>3</v>
      </c>
      <c r="L67" s="15">
        <f t="shared" si="14"/>
        <v>10</v>
      </c>
      <c r="M67" s="15" t="str">
        <f t="shared" si="13"/>
        <v>红</v>
      </c>
      <c r="N67" s="15" t="str">
        <f t="shared" si="1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AM67" s="67" t="s">
        <v>603</v>
      </c>
      <c r="AN67" s="15">
        <f>INDEX($AJ$5:$AJ$19,AN65)</f>
        <v>6</v>
      </c>
      <c r="AO67" s="67">
        <v>63</v>
      </c>
      <c r="AP67" s="67">
        <v>17</v>
      </c>
      <c r="AQ67" s="22">
        <f t="shared" si="20"/>
        <v>8.7179487179487175E-2</v>
      </c>
      <c r="AR67" s="67">
        <v>5.3</v>
      </c>
      <c r="AS67" s="67">
        <f t="shared" si="21"/>
        <v>23285</v>
      </c>
      <c r="AT67" s="67">
        <f>SUM(AS$5:AS67)</f>
        <v>494109</v>
      </c>
    </row>
    <row r="68" spans="9:46" ht="16.5" x14ac:dyDescent="0.2">
      <c r="I68" s="35">
        <v>32</v>
      </c>
      <c r="J68" s="15">
        <f t="shared" si="11"/>
        <v>1102002</v>
      </c>
      <c r="K68" s="15">
        <f t="shared" si="12"/>
        <v>3</v>
      </c>
      <c r="L68" s="15">
        <f t="shared" si="14"/>
        <v>11</v>
      </c>
      <c r="M68" s="15" t="str">
        <f t="shared" si="13"/>
        <v>红</v>
      </c>
      <c r="N68" s="15" t="str">
        <f t="shared" si="1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AM68" s="16"/>
      <c r="AN68" s="15">
        <f>SUM(AP65:AP74)</f>
        <v>195</v>
      </c>
      <c r="AO68" s="67">
        <v>64</v>
      </c>
      <c r="AP68" s="67">
        <v>18</v>
      </c>
      <c r="AQ68" s="22">
        <f t="shared" si="20"/>
        <v>9.2307692307692313E-2</v>
      </c>
      <c r="AR68" s="67">
        <v>5.4</v>
      </c>
      <c r="AS68" s="67">
        <f t="shared" si="21"/>
        <v>24198</v>
      </c>
      <c r="AT68" s="67">
        <f>SUM(AS$5:AS68)</f>
        <v>518307</v>
      </c>
    </row>
    <row r="69" spans="9:46" ht="16.5" x14ac:dyDescent="0.2">
      <c r="I69" s="35">
        <v>33</v>
      </c>
      <c r="J69" s="15">
        <f t="shared" si="11"/>
        <v>1102002</v>
      </c>
      <c r="K69" s="15">
        <f t="shared" si="12"/>
        <v>3</v>
      </c>
      <c r="L69" s="15">
        <f t="shared" si="14"/>
        <v>12</v>
      </c>
      <c r="M69" s="15" t="str">
        <f t="shared" si="13"/>
        <v>红</v>
      </c>
      <c r="N69" s="15" t="str">
        <f t="shared" si="1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AO69" s="67">
        <v>65</v>
      </c>
      <c r="AP69" s="67">
        <v>19</v>
      </c>
      <c r="AQ69" s="22">
        <f t="shared" si="20"/>
        <v>9.7435897435897437E-2</v>
      </c>
      <c r="AR69" s="67">
        <v>5.5</v>
      </c>
      <c r="AS69" s="67">
        <f t="shared" si="21"/>
        <v>25078</v>
      </c>
      <c r="AT69" s="67">
        <f>SUM(AS$5:AS69)</f>
        <v>543385</v>
      </c>
    </row>
    <row r="70" spans="9:46" ht="16.5" x14ac:dyDescent="0.2">
      <c r="I70" s="35">
        <v>34</v>
      </c>
      <c r="J70" s="15">
        <f t="shared" si="11"/>
        <v>1102002</v>
      </c>
      <c r="K70" s="15">
        <f t="shared" si="12"/>
        <v>3</v>
      </c>
      <c r="L70" s="15">
        <f t="shared" si="14"/>
        <v>13</v>
      </c>
      <c r="M70" s="15" t="str">
        <f t="shared" si="13"/>
        <v>红</v>
      </c>
      <c r="N70" s="15" t="str">
        <f t="shared" si="1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AO70" s="67">
        <v>66</v>
      </c>
      <c r="AP70" s="67">
        <v>20</v>
      </c>
      <c r="AQ70" s="22">
        <f t="shared" si="20"/>
        <v>0.10256410256410256</v>
      </c>
      <c r="AR70" s="67">
        <v>5.6</v>
      </c>
      <c r="AS70" s="67">
        <f t="shared" si="21"/>
        <v>25927</v>
      </c>
      <c r="AT70" s="67">
        <f>SUM(AS$5:AS70)</f>
        <v>569312</v>
      </c>
    </row>
    <row r="71" spans="9:46" ht="16.5" x14ac:dyDescent="0.2">
      <c r="I71" s="35">
        <v>35</v>
      </c>
      <c r="J71" s="15">
        <f t="shared" si="11"/>
        <v>1102002</v>
      </c>
      <c r="K71" s="15">
        <f t="shared" si="12"/>
        <v>3</v>
      </c>
      <c r="L71" s="15">
        <f t="shared" si="14"/>
        <v>14</v>
      </c>
      <c r="M71" s="15" t="str">
        <f t="shared" si="13"/>
        <v>红</v>
      </c>
      <c r="N71" s="15" t="str">
        <f t="shared" si="1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AO71" s="67">
        <v>67</v>
      </c>
      <c r="AP71" s="67">
        <v>21</v>
      </c>
      <c r="AQ71" s="22">
        <f t="shared" si="20"/>
        <v>0.1076923076923077</v>
      </c>
      <c r="AR71" s="67">
        <v>5.7</v>
      </c>
      <c r="AS71" s="67">
        <f t="shared" si="21"/>
        <v>26745</v>
      </c>
      <c r="AT71" s="67">
        <f>SUM(AS$5:AS71)</f>
        <v>596057</v>
      </c>
    </row>
    <row r="72" spans="9:46" ht="16.5" x14ac:dyDescent="0.2">
      <c r="I72" s="35">
        <v>36</v>
      </c>
      <c r="J72" s="15">
        <f t="shared" si="11"/>
        <v>1102002</v>
      </c>
      <c r="K72" s="15">
        <f t="shared" si="12"/>
        <v>3</v>
      </c>
      <c r="L72" s="15">
        <f t="shared" si="14"/>
        <v>15</v>
      </c>
      <c r="M72" s="15" t="str">
        <f t="shared" si="13"/>
        <v>红</v>
      </c>
      <c r="N72" s="15" t="str">
        <f t="shared" si="1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AO72" s="67">
        <v>68</v>
      </c>
      <c r="AP72" s="67">
        <v>22</v>
      </c>
      <c r="AQ72" s="22">
        <f t="shared" si="20"/>
        <v>0.11282051282051282</v>
      </c>
      <c r="AR72" s="67">
        <v>5.8</v>
      </c>
      <c r="AS72" s="67">
        <f t="shared" si="21"/>
        <v>27536</v>
      </c>
      <c r="AT72" s="67">
        <f>SUM(AS$5:AS72)</f>
        <v>623593</v>
      </c>
    </row>
    <row r="73" spans="9:46" ht="16.5" x14ac:dyDescent="0.2">
      <c r="I73" s="35">
        <v>37</v>
      </c>
      <c r="J73" s="15">
        <f t="shared" si="11"/>
        <v>1102002</v>
      </c>
      <c r="K73" s="15">
        <f t="shared" si="12"/>
        <v>3</v>
      </c>
      <c r="L73" s="15">
        <f t="shared" si="14"/>
        <v>16</v>
      </c>
      <c r="M73" s="15" t="str">
        <f t="shared" si="13"/>
        <v>红</v>
      </c>
      <c r="N73" s="15" t="str">
        <f t="shared" si="1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AO73" s="67">
        <v>69</v>
      </c>
      <c r="AP73" s="67">
        <v>23</v>
      </c>
      <c r="AQ73" s="22">
        <f t="shared" si="20"/>
        <v>0.11794871794871795</v>
      </c>
      <c r="AR73" s="67">
        <v>5.9</v>
      </c>
      <c r="AS73" s="67">
        <f t="shared" si="21"/>
        <v>28300</v>
      </c>
      <c r="AT73" s="67">
        <f>SUM(AS$5:AS73)</f>
        <v>651893</v>
      </c>
    </row>
    <row r="74" spans="9:46" ht="16.5" x14ac:dyDescent="0.2">
      <c r="I74" s="35">
        <v>38</v>
      </c>
      <c r="J74" s="15">
        <f t="shared" si="11"/>
        <v>1102002</v>
      </c>
      <c r="K74" s="15">
        <f t="shared" si="12"/>
        <v>3</v>
      </c>
      <c r="L74" s="15">
        <f t="shared" si="14"/>
        <v>17</v>
      </c>
      <c r="M74" s="15" t="str">
        <f t="shared" si="13"/>
        <v>红</v>
      </c>
      <c r="N74" s="15" t="str">
        <f t="shared" si="1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  <c r="AO74" s="67">
        <v>70</v>
      </c>
      <c r="AP74" s="67">
        <v>24</v>
      </c>
      <c r="AQ74" s="22">
        <f>AP74/AN$68</f>
        <v>0.12307692307692308</v>
      </c>
      <c r="AR74" s="67">
        <v>6</v>
      </c>
      <c r="AS74" s="67">
        <f t="shared" si="21"/>
        <v>29038</v>
      </c>
      <c r="AT74" s="67">
        <f>SUM(AS$5:AS74)</f>
        <v>680931</v>
      </c>
    </row>
    <row r="75" spans="9:46" ht="16.5" x14ac:dyDescent="0.2">
      <c r="I75" s="35">
        <v>39</v>
      </c>
      <c r="J75" s="15">
        <f t="shared" si="11"/>
        <v>1102002</v>
      </c>
      <c r="K75" s="15">
        <f t="shared" si="12"/>
        <v>3</v>
      </c>
      <c r="L75" s="15">
        <f t="shared" si="14"/>
        <v>18</v>
      </c>
      <c r="M75" s="15" t="str">
        <f t="shared" si="13"/>
        <v>红</v>
      </c>
      <c r="N75" s="15" t="str">
        <f t="shared" si="1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  <c r="AM75" s="67" t="s">
        <v>605</v>
      </c>
      <c r="AN75" s="67">
        <v>8</v>
      </c>
      <c r="AO75" s="67">
        <v>71</v>
      </c>
      <c r="AP75" s="67">
        <v>20</v>
      </c>
      <c r="AQ75" s="22">
        <f>AP75/AN$78</f>
        <v>8.1632653061224483E-2</v>
      </c>
      <c r="AR75" s="67">
        <v>6</v>
      </c>
      <c r="AS75" s="67">
        <f>INT(AN$76*AQ75/AR75)</f>
        <v>30806</v>
      </c>
      <c r="AT75" s="67">
        <f>SUM(AS$5:AS75)</f>
        <v>711737</v>
      </c>
    </row>
    <row r="76" spans="9:46" ht="16.5" x14ac:dyDescent="0.2">
      <c r="I76" s="35">
        <v>40</v>
      </c>
      <c r="J76" s="15">
        <f t="shared" si="11"/>
        <v>1102002</v>
      </c>
      <c r="K76" s="15">
        <f t="shared" si="12"/>
        <v>3</v>
      </c>
      <c r="L76" s="15">
        <f t="shared" si="14"/>
        <v>19</v>
      </c>
      <c r="M76" s="15" t="str">
        <f t="shared" si="13"/>
        <v>红</v>
      </c>
      <c r="N76" s="15" t="str">
        <f t="shared" si="1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  <c r="AM76" s="15" t="str">
        <f>INDEX($Z$5:$Z$19,AN75)</f>
        <v>70~80</v>
      </c>
      <c r="AN76" s="15">
        <f>INDEX($AI$5:$AI$19,AN75)</f>
        <v>2264250</v>
      </c>
      <c r="AO76" s="67">
        <v>72</v>
      </c>
      <c r="AP76" s="67">
        <v>21</v>
      </c>
      <c r="AQ76" s="22">
        <f t="shared" ref="AQ76:AQ84" si="22">AP76/AN$78</f>
        <v>8.5714285714285715E-2</v>
      </c>
      <c r="AR76" s="67">
        <v>6</v>
      </c>
      <c r="AS76" s="67">
        <f t="shared" ref="AS76:AS84" si="23">INT(AN$76*AQ76/AR76)</f>
        <v>32346</v>
      </c>
      <c r="AT76" s="67">
        <f>SUM(AS$5:AS76)</f>
        <v>744083</v>
      </c>
    </row>
    <row r="77" spans="9:46" ht="16.5" x14ac:dyDescent="0.2">
      <c r="I77" s="35">
        <v>41</v>
      </c>
      <c r="J77" s="15">
        <f t="shared" si="11"/>
        <v>1102002</v>
      </c>
      <c r="K77" s="15">
        <f t="shared" si="12"/>
        <v>3</v>
      </c>
      <c r="L77" s="15">
        <f t="shared" si="14"/>
        <v>20</v>
      </c>
      <c r="M77" s="15" t="str">
        <f t="shared" si="13"/>
        <v>红</v>
      </c>
      <c r="N77" s="15" t="str">
        <f t="shared" si="1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  <c r="AM77" s="67" t="s">
        <v>603</v>
      </c>
      <c r="AN77" s="15">
        <f>INDEX($AJ$5:$AJ$19,AN75)</f>
        <v>6</v>
      </c>
      <c r="AO77" s="67">
        <v>73</v>
      </c>
      <c r="AP77" s="67">
        <v>22</v>
      </c>
      <c r="AQ77" s="22">
        <f t="shared" si="22"/>
        <v>8.9795918367346933E-2</v>
      </c>
      <c r="AR77" s="67">
        <v>6</v>
      </c>
      <c r="AS77" s="67">
        <f t="shared" si="23"/>
        <v>33886</v>
      </c>
      <c r="AT77" s="67">
        <f>SUM(AS$5:AS77)</f>
        <v>777969</v>
      </c>
    </row>
    <row r="78" spans="9:46" ht="16.5" x14ac:dyDescent="0.2">
      <c r="I78" s="35">
        <v>42</v>
      </c>
      <c r="J78" s="15">
        <f t="shared" si="11"/>
        <v>1102002</v>
      </c>
      <c r="K78" s="15">
        <f t="shared" si="12"/>
        <v>3</v>
      </c>
      <c r="L78" s="15">
        <f t="shared" si="14"/>
        <v>21</v>
      </c>
      <c r="M78" s="15" t="str">
        <f t="shared" si="13"/>
        <v>红</v>
      </c>
      <c r="N78" s="15" t="str">
        <f t="shared" si="1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  <c r="AM78" s="16"/>
      <c r="AN78" s="15">
        <f>SUM(AP75:AP84)</f>
        <v>245</v>
      </c>
      <c r="AO78" s="67">
        <v>74</v>
      </c>
      <c r="AP78" s="67">
        <v>23</v>
      </c>
      <c r="AQ78" s="22">
        <f t="shared" si="22"/>
        <v>9.3877551020408165E-2</v>
      </c>
      <c r="AR78" s="67">
        <v>6</v>
      </c>
      <c r="AS78" s="67">
        <f t="shared" si="23"/>
        <v>35427</v>
      </c>
      <c r="AT78" s="67">
        <f>SUM(AS$5:AS78)</f>
        <v>813396</v>
      </c>
    </row>
    <row r="79" spans="9:46" ht="16.5" x14ac:dyDescent="0.2">
      <c r="I79" s="35">
        <v>43</v>
      </c>
      <c r="J79" s="15">
        <f t="shared" si="11"/>
        <v>1102003</v>
      </c>
      <c r="K79" s="15">
        <f t="shared" si="12"/>
        <v>3</v>
      </c>
      <c r="L79" s="15">
        <f t="shared" si="14"/>
        <v>1</v>
      </c>
      <c r="M79" s="15" t="str">
        <f t="shared" si="13"/>
        <v>黄</v>
      </c>
      <c r="N79" s="15" t="str">
        <f t="shared" si="1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  <c r="AO79" s="67">
        <v>75</v>
      </c>
      <c r="AP79" s="67">
        <v>24</v>
      </c>
      <c r="AQ79" s="22">
        <f t="shared" si="22"/>
        <v>9.7959183673469383E-2</v>
      </c>
      <c r="AR79" s="67">
        <v>6</v>
      </c>
      <c r="AS79" s="67">
        <f t="shared" si="23"/>
        <v>36967</v>
      </c>
      <c r="AT79" s="67">
        <f>SUM(AS$5:AS79)</f>
        <v>850363</v>
      </c>
    </row>
    <row r="80" spans="9:46" ht="16.5" x14ac:dyDescent="0.2">
      <c r="I80" s="35">
        <v>44</v>
      </c>
      <c r="J80" s="15">
        <f t="shared" si="11"/>
        <v>1102003</v>
      </c>
      <c r="K80" s="15">
        <f t="shared" si="12"/>
        <v>3</v>
      </c>
      <c r="L80" s="15">
        <f t="shared" si="14"/>
        <v>2</v>
      </c>
      <c r="M80" s="15" t="str">
        <f t="shared" si="13"/>
        <v>黄</v>
      </c>
      <c r="N80" s="15" t="str">
        <f t="shared" si="1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AO80" s="67">
        <v>76</v>
      </c>
      <c r="AP80" s="67">
        <v>25</v>
      </c>
      <c r="AQ80" s="22">
        <f t="shared" si="22"/>
        <v>0.10204081632653061</v>
      </c>
      <c r="AR80" s="67">
        <v>6</v>
      </c>
      <c r="AS80" s="67">
        <f t="shared" si="23"/>
        <v>38507</v>
      </c>
      <c r="AT80" s="67">
        <f>SUM(AS$5:AS80)</f>
        <v>888870</v>
      </c>
    </row>
    <row r="81" spans="9:46" ht="16.5" x14ac:dyDescent="0.2">
      <c r="I81" s="35">
        <v>45</v>
      </c>
      <c r="J81" s="15">
        <f t="shared" si="11"/>
        <v>1102003</v>
      </c>
      <c r="K81" s="15">
        <f t="shared" si="12"/>
        <v>3</v>
      </c>
      <c r="L81" s="15">
        <f t="shared" si="14"/>
        <v>3</v>
      </c>
      <c r="M81" s="15" t="str">
        <f t="shared" si="13"/>
        <v>黄</v>
      </c>
      <c r="N81" s="15" t="str">
        <f t="shared" si="1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AO81" s="67">
        <v>77</v>
      </c>
      <c r="AP81" s="67">
        <v>26</v>
      </c>
      <c r="AQ81" s="22">
        <f t="shared" si="22"/>
        <v>0.10612244897959183</v>
      </c>
      <c r="AR81" s="67">
        <v>6</v>
      </c>
      <c r="AS81" s="67">
        <f t="shared" si="23"/>
        <v>40047</v>
      </c>
      <c r="AT81" s="67">
        <f>SUM(AS$5:AS81)</f>
        <v>928917</v>
      </c>
    </row>
    <row r="82" spans="9:46" ht="16.5" x14ac:dyDescent="0.2">
      <c r="I82" s="35">
        <v>46</v>
      </c>
      <c r="J82" s="15">
        <f t="shared" si="11"/>
        <v>1102003</v>
      </c>
      <c r="K82" s="15">
        <f t="shared" si="12"/>
        <v>3</v>
      </c>
      <c r="L82" s="15">
        <f t="shared" si="14"/>
        <v>4</v>
      </c>
      <c r="M82" s="15" t="str">
        <f t="shared" si="13"/>
        <v>黄</v>
      </c>
      <c r="N82" s="15" t="str">
        <f t="shared" si="1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AO82" s="67">
        <v>78</v>
      </c>
      <c r="AP82" s="67">
        <v>27</v>
      </c>
      <c r="AQ82" s="22">
        <f t="shared" si="22"/>
        <v>0.11020408163265306</v>
      </c>
      <c r="AR82" s="67">
        <v>6</v>
      </c>
      <c r="AS82" s="67">
        <f t="shared" si="23"/>
        <v>41588</v>
      </c>
      <c r="AT82" s="67">
        <f>SUM(AS$5:AS82)</f>
        <v>970505</v>
      </c>
    </row>
    <row r="83" spans="9:46" ht="16.5" x14ac:dyDescent="0.2">
      <c r="I83" s="35">
        <v>47</v>
      </c>
      <c r="J83" s="15">
        <f t="shared" si="11"/>
        <v>1102003</v>
      </c>
      <c r="K83" s="15">
        <f t="shared" si="12"/>
        <v>3</v>
      </c>
      <c r="L83" s="15">
        <f t="shared" si="14"/>
        <v>5</v>
      </c>
      <c r="M83" s="15" t="str">
        <f t="shared" si="13"/>
        <v>黄</v>
      </c>
      <c r="N83" s="15" t="str">
        <f t="shared" si="1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AO83" s="67">
        <v>79</v>
      </c>
      <c r="AP83" s="67">
        <v>28</v>
      </c>
      <c r="AQ83" s="22">
        <f t="shared" si="22"/>
        <v>0.11428571428571428</v>
      </c>
      <c r="AR83" s="67">
        <v>6</v>
      </c>
      <c r="AS83" s="67">
        <f t="shared" si="23"/>
        <v>43128</v>
      </c>
      <c r="AT83" s="67">
        <f>SUM(AS$5:AS83)</f>
        <v>1013633</v>
      </c>
    </row>
    <row r="84" spans="9:46" ht="16.5" x14ac:dyDescent="0.2">
      <c r="I84" s="35">
        <v>48</v>
      </c>
      <c r="J84" s="15">
        <f t="shared" si="11"/>
        <v>1102003</v>
      </c>
      <c r="K84" s="15">
        <f t="shared" si="12"/>
        <v>3</v>
      </c>
      <c r="L84" s="15">
        <f t="shared" si="14"/>
        <v>6</v>
      </c>
      <c r="M84" s="15" t="str">
        <f t="shared" si="13"/>
        <v>黄</v>
      </c>
      <c r="N84" s="15" t="str">
        <f t="shared" si="1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AO84" s="67">
        <v>80</v>
      </c>
      <c r="AP84" s="67">
        <v>29</v>
      </c>
      <c r="AQ84" s="22">
        <f t="shared" si="22"/>
        <v>0.11836734693877551</v>
      </c>
      <c r="AR84" s="67">
        <v>6</v>
      </c>
      <c r="AS84" s="67">
        <f t="shared" si="23"/>
        <v>44668</v>
      </c>
      <c r="AT84" s="67">
        <f>SUM(AS$5:AS84)</f>
        <v>1058301</v>
      </c>
    </row>
    <row r="85" spans="9:46" ht="16.5" x14ac:dyDescent="0.2">
      <c r="I85" s="35">
        <v>49</v>
      </c>
      <c r="J85" s="15">
        <f t="shared" si="11"/>
        <v>1102003</v>
      </c>
      <c r="K85" s="15">
        <f t="shared" si="12"/>
        <v>3</v>
      </c>
      <c r="L85" s="15">
        <f t="shared" si="14"/>
        <v>7</v>
      </c>
      <c r="M85" s="15" t="str">
        <f t="shared" si="13"/>
        <v>黄</v>
      </c>
      <c r="N85" s="15" t="str">
        <f t="shared" si="1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AM85" s="67" t="s">
        <v>605</v>
      </c>
      <c r="AN85" s="67">
        <v>9</v>
      </c>
      <c r="AO85" s="67">
        <v>81</v>
      </c>
      <c r="AP85" s="67">
        <v>20</v>
      </c>
      <c r="AQ85" s="22">
        <f>AP85/AN$88</f>
        <v>8.1632653061224483E-2</v>
      </c>
      <c r="AR85" s="67">
        <v>6.1</v>
      </c>
      <c r="AS85" s="67">
        <f>INT(AN$86*AQ85/AR85)</f>
        <v>54090</v>
      </c>
      <c r="AT85" s="67">
        <f>SUM(AS$5:AS85)</f>
        <v>1112391</v>
      </c>
    </row>
    <row r="86" spans="9:46" ht="16.5" x14ac:dyDescent="0.2">
      <c r="I86" s="35">
        <v>50</v>
      </c>
      <c r="J86" s="15">
        <f t="shared" si="11"/>
        <v>1102003</v>
      </c>
      <c r="K86" s="15">
        <f t="shared" si="12"/>
        <v>3</v>
      </c>
      <c r="L86" s="15">
        <f t="shared" si="14"/>
        <v>8</v>
      </c>
      <c r="M86" s="15" t="str">
        <f t="shared" si="13"/>
        <v>黄</v>
      </c>
      <c r="N86" s="15" t="str">
        <f t="shared" si="15"/>
        <v>金币</v>
      </c>
      <c r="O86" s="15">
        <f>IF(L86&gt;1,INDEX(挂机升级突破!$AI$35:$AI$55,卡牌消耗!L86),"")</f>
        <v>66000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AM86" s="15" t="str">
        <f>INDEX($Z$5:$Z$19,AN85)</f>
        <v>80~90</v>
      </c>
      <c r="AN86" s="15">
        <f>INDEX($AI$5:$AI$19,AN85)</f>
        <v>4041900</v>
      </c>
      <c r="AO86" s="67">
        <v>82</v>
      </c>
      <c r="AP86" s="67">
        <v>21</v>
      </c>
      <c r="AQ86" s="22">
        <f t="shared" ref="AQ86:AQ94" si="24">AP86/AN$88</f>
        <v>8.5714285714285715E-2</v>
      </c>
      <c r="AR86" s="67">
        <v>6.2</v>
      </c>
      <c r="AS86" s="67">
        <f t="shared" ref="AS86:AS94" si="25">INT(AN$86*AQ86/AR86)</f>
        <v>55878</v>
      </c>
      <c r="AT86" s="67">
        <f>SUM(AS$5:AS86)</f>
        <v>1168269</v>
      </c>
    </row>
    <row r="87" spans="9:46" ht="16.5" x14ac:dyDescent="0.2">
      <c r="I87" s="35">
        <v>51</v>
      </c>
      <c r="J87" s="15">
        <f t="shared" si="11"/>
        <v>1102003</v>
      </c>
      <c r="K87" s="15">
        <f t="shared" si="12"/>
        <v>3</v>
      </c>
      <c r="L87" s="15">
        <f t="shared" si="14"/>
        <v>9</v>
      </c>
      <c r="M87" s="15" t="str">
        <f t="shared" si="13"/>
        <v>黄</v>
      </c>
      <c r="N87" s="15" t="str">
        <f t="shared" si="1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AM87" s="67" t="s">
        <v>603</v>
      </c>
      <c r="AN87" s="15">
        <f>INDEX($AJ$5:$AJ$19,AN85)</f>
        <v>7</v>
      </c>
      <c r="AO87" s="67">
        <v>83</v>
      </c>
      <c r="AP87" s="67">
        <v>22</v>
      </c>
      <c r="AQ87" s="22">
        <f t="shared" si="24"/>
        <v>8.9795918367346933E-2</v>
      </c>
      <c r="AR87" s="67">
        <v>6.3</v>
      </c>
      <c r="AS87" s="67">
        <f t="shared" si="25"/>
        <v>57610</v>
      </c>
      <c r="AT87" s="67">
        <f>SUM(AS$5:AS87)</f>
        <v>1225879</v>
      </c>
    </row>
    <row r="88" spans="9:46" ht="16.5" x14ac:dyDescent="0.2">
      <c r="I88" s="35">
        <v>52</v>
      </c>
      <c r="J88" s="15">
        <f t="shared" si="11"/>
        <v>1102003</v>
      </c>
      <c r="K88" s="15">
        <f t="shared" si="12"/>
        <v>3</v>
      </c>
      <c r="L88" s="15">
        <f t="shared" si="14"/>
        <v>10</v>
      </c>
      <c r="M88" s="15" t="str">
        <f t="shared" si="13"/>
        <v>黄</v>
      </c>
      <c r="N88" s="15" t="str">
        <f t="shared" si="1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AM88" s="16"/>
      <c r="AN88" s="15">
        <f>SUM(AP85:AP94)</f>
        <v>245</v>
      </c>
      <c r="AO88" s="67">
        <v>84</v>
      </c>
      <c r="AP88" s="67">
        <v>23</v>
      </c>
      <c r="AQ88" s="22">
        <f t="shared" si="24"/>
        <v>9.3877551020408165E-2</v>
      </c>
      <c r="AR88" s="67">
        <v>6.4</v>
      </c>
      <c r="AS88" s="67">
        <f t="shared" si="25"/>
        <v>59288</v>
      </c>
      <c r="AT88" s="67">
        <f>SUM(AS$5:AS88)</f>
        <v>1285167</v>
      </c>
    </row>
    <row r="89" spans="9:46" ht="16.5" x14ac:dyDescent="0.2">
      <c r="I89" s="35">
        <v>53</v>
      </c>
      <c r="J89" s="15">
        <f t="shared" si="11"/>
        <v>1102003</v>
      </c>
      <c r="K89" s="15">
        <f t="shared" si="12"/>
        <v>3</v>
      </c>
      <c r="L89" s="15">
        <f t="shared" si="14"/>
        <v>11</v>
      </c>
      <c r="M89" s="15" t="str">
        <f t="shared" si="13"/>
        <v>黄</v>
      </c>
      <c r="N89" s="15" t="str">
        <f t="shared" si="1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AO89" s="67">
        <v>85</v>
      </c>
      <c r="AP89" s="67">
        <v>24</v>
      </c>
      <c r="AQ89" s="22">
        <f t="shared" si="24"/>
        <v>9.7959183673469383E-2</v>
      </c>
      <c r="AR89" s="67">
        <v>6.5</v>
      </c>
      <c r="AS89" s="67">
        <f t="shared" si="25"/>
        <v>60914</v>
      </c>
      <c r="AT89" s="67">
        <f>SUM(AS$5:AS89)</f>
        <v>1346081</v>
      </c>
    </row>
    <row r="90" spans="9:46" ht="16.5" x14ac:dyDescent="0.2">
      <c r="I90" s="35">
        <v>54</v>
      </c>
      <c r="J90" s="15">
        <f t="shared" si="11"/>
        <v>1102003</v>
      </c>
      <c r="K90" s="15">
        <f t="shared" si="12"/>
        <v>3</v>
      </c>
      <c r="L90" s="15">
        <f t="shared" si="14"/>
        <v>12</v>
      </c>
      <c r="M90" s="15" t="str">
        <f t="shared" si="13"/>
        <v>黄</v>
      </c>
      <c r="N90" s="15" t="str">
        <f t="shared" si="1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AO90" s="67">
        <v>86</v>
      </c>
      <c r="AP90" s="67">
        <v>25</v>
      </c>
      <c r="AQ90" s="22">
        <f t="shared" si="24"/>
        <v>0.10204081632653061</v>
      </c>
      <c r="AR90" s="67">
        <v>6.6</v>
      </c>
      <c r="AS90" s="67">
        <f t="shared" si="25"/>
        <v>62490</v>
      </c>
      <c r="AT90" s="67">
        <f>SUM(AS$5:AS90)</f>
        <v>1408571</v>
      </c>
    </row>
    <row r="91" spans="9:46" ht="16.5" x14ac:dyDescent="0.2">
      <c r="I91" s="35">
        <v>55</v>
      </c>
      <c r="J91" s="15">
        <f t="shared" si="11"/>
        <v>1102003</v>
      </c>
      <c r="K91" s="15">
        <f t="shared" si="12"/>
        <v>3</v>
      </c>
      <c r="L91" s="15">
        <f t="shared" si="14"/>
        <v>13</v>
      </c>
      <c r="M91" s="15" t="str">
        <f t="shared" si="13"/>
        <v>黄</v>
      </c>
      <c r="N91" s="15" t="str">
        <f t="shared" si="1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AO91" s="67">
        <v>87</v>
      </c>
      <c r="AP91" s="67">
        <v>26</v>
      </c>
      <c r="AQ91" s="22">
        <f t="shared" si="24"/>
        <v>0.10612244897959183</v>
      </c>
      <c r="AR91" s="67">
        <v>6.7</v>
      </c>
      <c r="AS91" s="67">
        <f t="shared" si="25"/>
        <v>64020</v>
      </c>
      <c r="AT91" s="67">
        <f>SUM(AS$5:AS91)</f>
        <v>1472591</v>
      </c>
    </row>
    <row r="92" spans="9:46" ht="16.5" x14ac:dyDescent="0.2">
      <c r="I92" s="35">
        <v>56</v>
      </c>
      <c r="J92" s="15">
        <f t="shared" si="11"/>
        <v>1102003</v>
      </c>
      <c r="K92" s="15">
        <f t="shared" si="12"/>
        <v>3</v>
      </c>
      <c r="L92" s="15">
        <f t="shared" si="14"/>
        <v>14</v>
      </c>
      <c r="M92" s="15" t="str">
        <f t="shared" si="13"/>
        <v>黄</v>
      </c>
      <c r="N92" s="15" t="str">
        <f t="shared" si="1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AO92" s="67">
        <v>88</v>
      </c>
      <c r="AP92" s="67">
        <v>27</v>
      </c>
      <c r="AQ92" s="22">
        <f t="shared" si="24"/>
        <v>0.11020408163265306</v>
      </c>
      <c r="AR92" s="67">
        <v>6.8</v>
      </c>
      <c r="AS92" s="67">
        <f t="shared" si="25"/>
        <v>65504</v>
      </c>
      <c r="AT92" s="67">
        <f>SUM(AS$5:AS92)</f>
        <v>1538095</v>
      </c>
    </row>
    <row r="93" spans="9:46" ht="16.5" x14ac:dyDescent="0.2">
      <c r="I93" s="35">
        <v>57</v>
      </c>
      <c r="J93" s="15">
        <f t="shared" si="11"/>
        <v>1102003</v>
      </c>
      <c r="K93" s="15">
        <f t="shared" si="12"/>
        <v>3</v>
      </c>
      <c r="L93" s="15">
        <f t="shared" si="14"/>
        <v>15</v>
      </c>
      <c r="M93" s="15" t="str">
        <f t="shared" si="13"/>
        <v>黄</v>
      </c>
      <c r="N93" s="15" t="str">
        <f t="shared" si="1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AO93" s="67">
        <v>89</v>
      </c>
      <c r="AP93" s="67">
        <v>28</v>
      </c>
      <c r="AQ93" s="22">
        <f t="shared" si="24"/>
        <v>0.11428571428571428</v>
      </c>
      <c r="AR93" s="67">
        <v>6.9</v>
      </c>
      <c r="AS93" s="67">
        <f t="shared" si="25"/>
        <v>66946</v>
      </c>
      <c r="AT93" s="67">
        <f>SUM(AS$5:AS93)</f>
        <v>1605041</v>
      </c>
    </row>
    <row r="94" spans="9:46" ht="16.5" x14ac:dyDescent="0.2">
      <c r="I94" s="35">
        <v>58</v>
      </c>
      <c r="J94" s="15">
        <f t="shared" si="11"/>
        <v>1102003</v>
      </c>
      <c r="K94" s="15">
        <f t="shared" si="12"/>
        <v>3</v>
      </c>
      <c r="L94" s="15">
        <f t="shared" si="14"/>
        <v>16</v>
      </c>
      <c r="M94" s="15" t="str">
        <f t="shared" si="13"/>
        <v>黄</v>
      </c>
      <c r="N94" s="15" t="str">
        <f t="shared" si="1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AO94" s="67">
        <v>90</v>
      </c>
      <c r="AP94" s="67">
        <v>29</v>
      </c>
      <c r="AQ94" s="22">
        <f t="shared" si="24"/>
        <v>0.11836734693877551</v>
      </c>
      <c r="AR94" s="67">
        <v>7</v>
      </c>
      <c r="AS94" s="67">
        <f t="shared" si="25"/>
        <v>68346</v>
      </c>
      <c r="AT94" s="67">
        <f>SUM(AS$5:AS94)</f>
        <v>1673387</v>
      </c>
    </row>
    <row r="95" spans="9:46" ht="16.5" x14ac:dyDescent="0.2">
      <c r="I95" s="35">
        <v>59</v>
      </c>
      <c r="J95" s="15">
        <f t="shared" si="11"/>
        <v>1102003</v>
      </c>
      <c r="K95" s="15">
        <f t="shared" si="12"/>
        <v>3</v>
      </c>
      <c r="L95" s="15">
        <f t="shared" si="14"/>
        <v>17</v>
      </c>
      <c r="M95" s="15" t="str">
        <f t="shared" si="13"/>
        <v>黄</v>
      </c>
      <c r="N95" s="15" t="str">
        <f t="shared" si="1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  <c r="AM95" s="67" t="s">
        <v>605</v>
      </c>
      <c r="AN95" s="67">
        <v>10</v>
      </c>
      <c r="AO95" s="67">
        <v>91</v>
      </c>
      <c r="AP95" s="67">
        <v>20</v>
      </c>
      <c r="AQ95" s="22">
        <f>AP95/AN$98</f>
        <v>8.1632653061224483E-2</v>
      </c>
      <c r="AR95" s="67">
        <v>7.1</v>
      </c>
      <c r="AS95" s="67">
        <f>INT(AN$96*AQ95/AR95)</f>
        <v>92757</v>
      </c>
      <c r="AT95" s="67">
        <f>SUM(AS$5:AS95)</f>
        <v>1766144</v>
      </c>
    </row>
    <row r="96" spans="9:46" ht="16.5" x14ac:dyDescent="0.2">
      <c r="I96" s="35">
        <v>60</v>
      </c>
      <c r="J96" s="15">
        <f t="shared" si="11"/>
        <v>1102003</v>
      </c>
      <c r="K96" s="15">
        <f t="shared" si="12"/>
        <v>3</v>
      </c>
      <c r="L96" s="15">
        <f t="shared" si="14"/>
        <v>18</v>
      </c>
      <c r="M96" s="15" t="str">
        <f t="shared" si="13"/>
        <v>黄</v>
      </c>
      <c r="N96" s="15" t="str">
        <f t="shared" si="1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  <c r="AM96" s="15" t="str">
        <f>INDEX($Z$5:$Z$19,AN95)</f>
        <v>90~100</v>
      </c>
      <c r="AN96" s="15">
        <f>INDEX($AI$5:$AI$19,AN95)</f>
        <v>8067600</v>
      </c>
      <c r="AO96" s="67">
        <v>92</v>
      </c>
      <c r="AP96" s="67">
        <v>21</v>
      </c>
      <c r="AQ96" s="22">
        <f t="shared" ref="AQ96:AQ104" si="26">AP96/AN$98</f>
        <v>8.5714285714285715E-2</v>
      </c>
      <c r="AR96" s="67">
        <v>7.2</v>
      </c>
      <c r="AS96" s="67">
        <f t="shared" ref="AS96:AS104" si="27">INT(AN$96*AQ96/AR96)</f>
        <v>96042</v>
      </c>
      <c r="AT96" s="67">
        <f>SUM(AS$5:AS96)</f>
        <v>1862186</v>
      </c>
    </row>
    <row r="97" spans="9:46" ht="16.5" x14ac:dyDescent="0.2">
      <c r="I97" s="35">
        <v>61</v>
      </c>
      <c r="J97" s="15">
        <f t="shared" si="11"/>
        <v>1102003</v>
      </c>
      <c r="K97" s="15">
        <f t="shared" si="12"/>
        <v>3</v>
      </c>
      <c r="L97" s="15">
        <f t="shared" si="14"/>
        <v>19</v>
      </c>
      <c r="M97" s="15" t="str">
        <f t="shared" si="13"/>
        <v>黄</v>
      </c>
      <c r="N97" s="15" t="str">
        <f t="shared" si="1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  <c r="AM97" s="67" t="s">
        <v>603</v>
      </c>
      <c r="AN97" s="15">
        <f>INDEX($AJ$5:$AJ$19,AN95)</f>
        <v>8</v>
      </c>
      <c r="AO97" s="67">
        <v>93</v>
      </c>
      <c r="AP97" s="67">
        <v>22</v>
      </c>
      <c r="AQ97" s="22">
        <f t="shared" si="26"/>
        <v>8.9795918367346933E-2</v>
      </c>
      <c r="AR97" s="67">
        <v>7.3</v>
      </c>
      <c r="AS97" s="67">
        <f t="shared" si="27"/>
        <v>99238</v>
      </c>
      <c r="AT97" s="67">
        <f>SUM(AS$5:AS97)</f>
        <v>1961424</v>
      </c>
    </row>
    <row r="98" spans="9:46" ht="16.5" x14ac:dyDescent="0.2">
      <c r="I98" s="35">
        <v>62</v>
      </c>
      <c r="J98" s="15">
        <f t="shared" si="11"/>
        <v>1102003</v>
      </c>
      <c r="K98" s="15">
        <f t="shared" si="12"/>
        <v>3</v>
      </c>
      <c r="L98" s="15">
        <f t="shared" si="14"/>
        <v>20</v>
      </c>
      <c r="M98" s="15" t="str">
        <f t="shared" si="13"/>
        <v>黄</v>
      </c>
      <c r="N98" s="15" t="str">
        <f t="shared" si="1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  <c r="AM98" s="16"/>
      <c r="AN98" s="15">
        <f>SUM(AP95:AP104)</f>
        <v>245</v>
      </c>
      <c r="AO98" s="67">
        <v>94</v>
      </c>
      <c r="AP98" s="67">
        <v>23</v>
      </c>
      <c r="AQ98" s="22">
        <f t="shared" si="26"/>
        <v>9.3877551020408165E-2</v>
      </c>
      <c r="AR98" s="67">
        <v>7.4</v>
      </c>
      <c r="AS98" s="67">
        <f t="shared" si="27"/>
        <v>102346</v>
      </c>
      <c r="AT98" s="67">
        <f>SUM(AS$5:AS98)</f>
        <v>2063770</v>
      </c>
    </row>
    <row r="99" spans="9:46" ht="16.5" x14ac:dyDescent="0.2">
      <c r="I99" s="35">
        <v>63</v>
      </c>
      <c r="J99" s="15">
        <f t="shared" si="11"/>
        <v>1102003</v>
      </c>
      <c r="K99" s="15">
        <f t="shared" si="12"/>
        <v>3</v>
      </c>
      <c r="L99" s="15">
        <f t="shared" si="14"/>
        <v>21</v>
      </c>
      <c r="M99" s="15" t="str">
        <f t="shared" si="13"/>
        <v>黄</v>
      </c>
      <c r="N99" s="15" t="str">
        <f t="shared" si="1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  <c r="AO99" s="67">
        <v>95</v>
      </c>
      <c r="AP99" s="67">
        <v>24</v>
      </c>
      <c r="AQ99" s="22">
        <f t="shared" si="26"/>
        <v>9.7959183673469383E-2</v>
      </c>
      <c r="AR99" s="67">
        <v>7.4999999999999902</v>
      </c>
      <c r="AS99" s="67">
        <f t="shared" si="27"/>
        <v>105372</v>
      </c>
      <c r="AT99" s="67">
        <f>SUM(AS$5:AS99)</f>
        <v>2169142</v>
      </c>
    </row>
    <row r="100" spans="9:46" ht="16.5" x14ac:dyDescent="0.2">
      <c r="I100" s="35">
        <v>64</v>
      </c>
      <c r="J100" s="15">
        <f t="shared" si="11"/>
        <v>1102004</v>
      </c>
      <c r="K100" s="15">
        <f t="shared" si="12"/>
        <v>2</v>
      </c>
      <c r="L100" s="15">
        <f t="shared" si="14"/>
        <v>1</v>
      </c>
      <c r="M100" s="15" t="str">
        <f t="shared" si="13"/>
        <v>黄</v>
      </c>
      <c r="N100" s="15" t="str">
        <f t="shared" si="1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  <c r="AO100" s="67">
        <v>96</v>
      </c>
      <c r="AP100" s="67">
        <v>25</v>
      </c>
      <c r="AQ100" s="22">
        <f t="shared" si="26"/>
        <v>0.10204081632653061</v>
      </c>
      <c r="AR100" s="67">
        <v>7.5999999999999899</v>
      </c>
      <c r="AS100" s="67">
        <f t="shared" si="27"/>
        <v>108319</v>
      </c>
      <c r="AT100" s="67">
        <f>SUM(AS$5:AS100)</f>
        <v>2277461</v>
      </c>
    </row>
    <row r="101" spans="9:46" ht="16.5" x14ac:dyDescent="0.2">
      <c r="I101" s="35">
        <v>65</v>
      </c>
      <c r="J101" s="15">
        <f t="shared" ref="J101:J164" si="28">INDEX($A$13:$A$33,INT((I101-1)/21)+1)</f>
        <v>1102004</v>
      </c>
      <c r="K101" s="15">
        <f t="shared" ref="K101:K164" si="29">VLOOKUP(J101,$A$13:$D$33,3)</f>
        <v>2</v>
      </c>
      <c r="L101" s="15">
        <f t="shared" si="14"/>
        <v>2</v>
      </c>
      <c r="M101" s="15" t="str">
        <f t="shared" ref="M101:M164" si="30">INDEX($J$2:$L$2,INDEX($E$13:$E$33,INT((I101-1)/21)+1))</f>
        <v>黄</v>
      </c>
      <c r="N101" s="15" t="str">
        <f t="shared" si="1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AO101" s="67">
        <v>97</v>
      </c>
      <c r="AP101" s="67">
        <v>26</v>
      </c>
      <c r="AQ101" s="22">
        <f t="shared" si="26"/>
        <v>0.10612244897959183</v>
      </c>
      <c r="AR101" s="67">
        <v>7.6999999999999904</v>
      </c>
      <c r="AS101" s="67">
        <f t="shared" si="27"/>
        <v>111188</v>
      </c>
      <c r="AT101" s="67">
        <f>SUM(AS$5:AS101)</f>
        <v>2388649</v>
      </c>
    </row>
    <row r="102" spans="9:46" ht="16.5" x14ac:dyDescent="0.2">
      <c r="I102" s="35">
        <v>66</v>
      </c>
      <c r="J102" s="15">
        <f t="shared" si="28"/>
        <v>1102004</v>
      </c>
      <c r="K102" s="15">
        <f t="shared" si="29"/>
        <v>2</v>
      </c>
      <c r="L102" s="15">
        <f t="shared" ref="L102:L165" si="31">MOD((I102-1),21)+1</f>
        <v>3</v>
      </c>
      <c r="M102" s="15" t="str">
        <f t="shared" si="30"/>
        <v>黄</v>
      </c>
      <c r="N102" s="15" t="str">
        <f t="shared" ref="N102:N165" si="32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AO102" s="67">
        <v>98</v>
      </c>
      <c r="AP102" s="67">
        <v>27</v>
      </c>
      <c r="AQ102" s="22">
        <f t="shared" si="26"/>
        <v>0.11020408163265306</v>
      </c>
      <c r="AR102" s="67">
        <v>7.7999999999999901</v>
      </c>
      <c r="AS102" s="67">
        <f t="shared" si="27"/>
        <v>113984</v>
      </c>
      <c r="AT102" s="67">
        <f>SUM(AS$5:AS102)</f>
        <v>2502633</v>
      </c>
    </row>
    <row r="103" spans="9:46" ht="16.5" x14ac:dyDescent="0.2">
      <c r="I103" s="35">
        <v>67</v>
      </c>
      <c r="J103" s="15">
        <f t="shared" si="28"/>
        <v>1102004</v>
      </c>
      <c r="K103" s="15">
        <f t="shared" si="29"/>
        <v>2</v>
      </c>
      <c r="L103" s="15">
        <f t="shared" si="31"/>
        <v>4</v>
      </c>
      <c r="M103" s="15" t="str">
        <f t="shared" si="30"/>
        <v>黄</v>
      </c>
      <c r="N103" s="15" t="str">
        <f t="shared" si="32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AO103" s="67">
        <v>99</v>
      </c>
      <c r="AP103" s="67">
        <v>28</v>
      </c>
      <c r="AQ103" s="22">
        <f t="shared" si="26"/>
        <v>0.11428571428571428</v>
      </c>
      <c r="AR103" s="67">
        <v>7.8999999999999897</v>
      </c>
      <c r="AS103" s="67">
        <f t="shared" si="27"/>
        <v>116710</v>
      </c>
      <c r="AT103" s="67">
        <f>SUM(AS$5:AS103)</f>
        <v>2619343</v>
      </c>
    </row>
    <row r="104" spans="9:46" ht="16.5" x14ac:dyDescent="0.2">
      <c r="I104" s="35">
        <v>68</v>
      </c>
      <c r="J104" s="15">
        <f t="shared" si="28"/>
        <v>1102004</v>
      </c>
      <c r="K104" s="15">
        <f t="shared" si="29"/>
        <v>2</v>
      </c>
      <c r="L104" s="15">
        <f t="shared" si="31"/>
        <v>5</v>
      </c>
      <c r="M104" s="15" t="str">
        <f t="shared" si="30"/>
        <v>黄</v>
      </c>
      <c r="N104" s="15" t="str">
        <f t="shared" si="32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AO104" s="67">
        <v>100</v>
      </c>
      <c r="AP104" s="67">
        <v>29</v>
      </c>
      <c r="AQ104" s="22">
        <f t="shared" si="26"/>
        <v>0.11836734693877551</v>
      </c>
      <c r="AR104" s="67">
        <v>7.9999999999999902</v>
      </c>
      <c r="AS104" s="67">
        <f t="shared" si="27"/>
        <v>119367</v>
      </c>
      <c r="AT104" s="67">
        <f>SUM(AS$5:AS104)</f>
        <v>2738710</v>
      </c>
    </row>
    <row r="105" spans="9:46" ht="16.5" x14ac:dyDescent="0.2">
      <c r="I105" s="35">
        <v>69</v>
      </c>
      <c r="J105" s="15">
        <f t="shared" si="28"/>
        <v>1102004</v>
      </c>
      <c r="K105" s="15">
        <f t="shared" si="29"/>
        <v>2</v>
      </c>
      <c r="L105" s="15">
        <f t="shared" si="31"/>
        <v>6</v>
      </c>
      <c r="M105" s="15" t="str">
        <f t="shared" si="30"/>
        <v>黄</v>
      </c>
      <c r="N105" s="15" t="str">
        <f t="shared" si="32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AM105" s="67" t="s">
        <v>605</v>
      </c>
      <c r="AN105" s="67">
        <v>11</v>
      </c>
      <c r="AO105" s="67">
        <v>101</v>
      </c>
      <c r="AP105" s="67">
        <v>20</v>
      </c>
      <c r="AQ105" s="22">
        <f>AP105/AN$108</f>
        <v>8.1632653061224483E-2</v>
      </c>
      <c r="AR105" s="67">
        <v>8.0999999999999908</v>
      </c>
      <c r="AS105" s="67">
        <f>INT(AN$106*AQ105/AR105)</f>
        <v>162783</v>
      </c>
      <c r="AT105" s="67">
        <f>SUM(AS$5:AS105)</f>
        <v>2901493</v>
      </c>
    </row>
    <row r="106" spans="9:46" ht="16.5" x14ac:dyDescent="0.2">
      <c r="I106" s="35">
        <v>70</v>
      </c>
      <c r="J106" s="15">
        <f t="shared" si="28"/>
        <v>1102004</v>
      </c>
      <c r="K106" s="15">
        <f t="shared" si="29"/>
        <v>2</v>
      </c>
      <c r="L106" s="15">
        <f t="shared" si="31"/>
        <v>7</v>
      </c>
      <c r="M106" s="15" t="str">
        <f t="shared" si="30"/>
        <v>黄</v>
      </c>
      <c r="N106" s="15" t="str">
        <f t="shared" si="32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AM106" s="15" t="str">
        <f>INDEX($Z$5:$Z$19,AN105)</f>
        <v>100~110</v>
      </c>
      <c r="AN106" s="15">
        <f>INDEX($AI$5:$AI$19,AN105)</f>
        <v>16152225</v>
      </c>
      <c r="AO106" s="67">
        <v>102</v>
      </c>
      <c r="AP106" s="67">
        <v>21</v>
      </c>
      <c r="AQ106" s="22">
        <f t="shared" ref="AQ106:AQ114" si="33">AP106/AN$108</f>
        <v>8.5714285714285715E-2</v>
      </c>
      <c r="AR106" s="67">
        <v>8.1999999999999904</v>
      </c>
      <c r="AS106" s="67">
        <f t="shared" ref="AS106:AS114" si="34">INT(AN$106*AQ106/AR106)</f>
        <v>168838</v>
      </c>
      <c r="AT106" s="67">
        <f>SUM(AS$5:AS106)</f>
        <v>3070331</v>
      </c>
    </row>
    <row r="107" spans="9:46" ht="16.5" x14ac:dyDescent="0.2">
      <c r="I107" s="35">
        <v>71</v>
      </c>
      <c r="J107" s="15">
        <f t="shared" si="28"/>
        <v>1102004</v>
      </c>
      <c r="K107" s="15">
        <f t="shared" si="29"/>
        <v>2</v>
      </c>
      <c r="L107" s="15">
        <f t="shared" si="31"/>
        <v>8</v>
      </c>
      <c r="M107" s="15" t="str">
        <f t="shared" si="30"/>
        <v>黄</v>
      </c>
      <c r="N107" s="15" t="str">
        <f t="shared" si="32"/>
        <v>金币</v>
      </c>
      <c r="O107" s="15">
        <f>IF(L107&gt;1,INDEX(挂机升级突破!$AI$35:$AI$55,卡牌消耗!L107),"")</f>
        <v>66000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AM107" s="67" t="s">
        <v>603</v>
      </c>
      <c r="AN107" s="15">
        <f>INDEX($AJ$5:$AJ$19,AN105)</f>
        <v>9</v>
      </c>
      <c r="AO107" s="67">
        <v>103</v>
      </c>
      <c r="AP107" s="67">
        <v>22</v>
      </c>
      <c r="AQ107" s="22">
        <f t="shared" si="33"/>
        <v>8.9795918367346933E-2</v>
      </c>
      <c r="AR107" s="67">
        <v>8.2999999999999901</v>
      </c>
      <c r="AS107" s="67">
        <f t="shared" si="34"/>
        <v>174747</v>
      </c>
      <c r="AT107" s="67">
        <f>SUM(AS$5:AS107)</f>
        <v>3245078</v>
      </c>
    </row>
    <row r="108" spans="9:46" ht="16.5" x14ac:dyDescent="0.2">
      <c r="I108" s="35">
        <v>72</v>
      </c>
      <c r="J108" s="15">
        <f t="shared" si="28"/>
        <v>1102004</v>
      </c>
      <c r="K108" s="15">
        <f t="shared" si="29"/>
        <v>2</v>
      </c>
      <c r="L108" s="15">
        <f t="shared" si="31"/>
        <v>9</v>
      </c>
      <c r="M108" s="15" t="str">
        <f t="shared" si="30"/>
        <v>黄</v>
      </c>
      <c r="N108" s="15" t="str">
        <f t="shared" si="32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AM108" s="16"/>
      <c r="AN108" s="15">
        <f>SUM(AP105:AP114)</f>
        <v>245</v>
      </c>
      <c r="AO108" s="67">
        <v>104</v>
      </c>
      <c r="AP108" s="67">
        <v>23</v>
      </c>
      <c r="AQ108" s="22">
        <f t="shared" si="33"/>
        <v>9.3877551020408165E-2</v>
      </c>
      <c r="AR108" s="67">
        <v>8.3999999999999897</v>
      </c>
      <c r="AS108" s="67">
        <f t="shared" si="34"/>
        <v>180515</v>
      </c>
      <c r="AT108" s="67">
        <f>SUM(AS$5:AS108)</f>
        <v>3425593</v>
      </c>
    </row>
    <row r="109" spans="9:46" ht="16.5" x14ac:dyDescent="0.2">
      <c r="I109" s="35">
        <v>73</v>
      </c>
      <c r="J109" s="15">
        <f t="shared" si="28"/>
        <v>1102004</v>
      </c>
      <c r="K109" s="15">
        <f t="shared" si="29"/>
        <v>2</v>
      </c>
      <c r="L109" s="15">
        <f t="shared" si="31"/>
        <v>10</v>
      </c>
      <c r="M109" s="15" t="str">
        <f t="shared" si="30"/>
        <v>黄</v>
      </c>
      <c r="N109" s="15" t="str">
        <f t="shared" si="32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AO109" s="67">
        <v>105</v>
      </c>
      <c r="AP109" s="67">
        <v>24</v>
      </c>
      <c r="AQ109" s="22">
        <f t="shared" si="33"/>
        <v>9.7959183673469383E-2</v>
      </c>
      <c r="AR109" s="67">
        <v>8.4999999999999893</v>
      </c>
      <c r="AS109" s="67">
        <f t="shared" si="34"/>
        <v>186148</v>
      </c>
      <c r="AT109" s="67">
        <f>SUM(AS$5:AS109)</f>
        <v>3611741</v>
      </c>
    </row>
    <row r="110" spans="9:46" ht="16.5" x14ac:dyDescent="0.2">
      <c r="I110" s="35">
        <v>74</v>
      </c>
      <c r="J110" s="15">
        <f t="shared" si="28"/>
        <v>1102004</v>
      </c>
      <c r="K110" s="15">
        <f t="shared" si="29"/>
        <v>2</v>
      </c>
      <c r="L110" s="15">
        <f t="shared" si="31"/>
        <v>11</v>
      </c>
      <c r="M110" s="15" t="str">
        <f t="shared" si="30"/>
        <v>黄</v>
      </c>
      <c r="N110" s="15" t="str">
        <f t="shared" si="32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AO110" s="67">
        <v>106</v>
      </c>
      <c r="AP110" s="67">
        <v>25</v>
      </c>
      <c r="AQ110" s="22">
        <f t="shared" si="33"/>
        <v>0.10204081632653061</v>
      </c>
      <c r="AR110" s="67">
        <v>8.5999999999999908</v>
      </c>
      <c r="AS110" s="67">
        <f t="shared" si="34"/>
        <v>191649</v>
      </c>
      <c r="AT110" s="67">
        <f>SUM(AS$5:AS110)</f>
        <v>3803390</v>
      </c>
    </row>
    <row r="111" spans="9:46" ht="16.5" x14ac:dyDescent="0.2">
      <c r="I111" s="35">
        <v>75</v>
      </c>
      <c r="J111" s="15">
        <f t="shared" si="28"/>
        <v>1102004</v>
      </c>
      <c r="K111" s="15">
        <f t="shared" si="29"/>
        <v>2</v>
      </c>
      <c r="L111" s="15">
        <f t="shared" si="31"/>
        <v>12</v>
      </c>
      <c r="M111" s="15" t="str">
        <f t="shared" si="30"/>
        <v>黄</v>
      </c>
      <c r="N111" s="15" t="str">
        <f t="shared" si="32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AO111" s="67">
        <v>107</v>
      </c>
      <c r="AP111" s="67">
        <v>26</v>
      </c>
      <c r="AQ111" s="22">
        <f t="shared" si="33"/>
        <v>0.10612244897959183</v>
      </c>
      <c r="AR111" s="67">
        <v>8.6999999999999904</v>
      </c>
      <c r="AS111" s="67">
        <f t="shared" si="34"/>
        <v>197024</v>
      </c>
      <c r="AT111" s="67">
        <f>SUM(AS$5:AS111)</f>
        <v>4000414</v>
      </c>
    </row>
    <row r="112" spans="9:46" ht="16.5" x14ac:dyDescent="0.2">
      <c r="I112" s="35">
        <v>76</v>
      </c>
      <c r="J112" s="15">
        <f t="shared" si="28"/>
        <v>1102004</v>
      </c>
      <c r="K112" s="15">
        <f t="shared" si="29"/>
        <v>2</v>
      </c>
      <c r="L112" s="15">
        <f t="shared" si="31"/>
        <v>13</v>
      </c>
      <c r="M112" s="15" t="str">
        <f t="shared" si="30"/>
        <v>黄</v>
      </c>
      <c r="N112" s="15" t="str">
        <f t="shared" si="32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AO112" s="67">
        <v>108</v>
      </c>
      <c r="AP112" s="67">
        <v>27</v>
      </c>
      <c r="AQ112" s="22">
        <f t="shared" si="33"/>
        <v>0.11020408163265306</v>
      </c>
      <c r="AR112" s="67">
        <v>8.7999999999999901</v>
      </c>
      <c r="AS112" s="67">
        <f t="shared" si="34"/>
        <v>202277</v>
      </c>
      <c r="AT112" s="67">
        <f>SUM(AS$5:AS112)</f>
        <v>4202691</v>
      </c>
    </row>
    <row r="113" spans="9:46" ht="16.5" x14ac:dyDescent="0.2">
      <c r="I113" s="35">
        <v>77</v>
      </c>
      <c r="J113" s="15">
        <f t="shared" si="28"/>
        <v>1102004</v>
      </c>
      <c r="K113" s="15">
        <f t="shared" si="29"/>
        <v>2</v>
      </c>
      <c r="L113" s="15">
        <f t="shared" si="31"/>
        <v>14</v>
      </c>
      <c r="M113" s="15" t="str">
        <f t="shared" si="30"/>
        <v>黄</v>
      </c>
      <c r="N113" s="15" t="str">
        <f t="shared" si="32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AO113" s="67">
        <v>109</v>
      </c>
      <c r="AP113" s="67">
        <v>28</v>
      </c>
      <c r="AQ113" s="22">
        <f t="shared" si="33"/>
        <v>0.11428571428571428</v>
      </c>
      <c r="AR113" s="67">
        <v>8.8999999999999897</v>
      </c>
      <c r="AS113" s="67">
        <f t="shared" si="34"/>
        <v>207412</v>
      </c>
      <c r="AT113" s="67">
        <f>SUM(AS$5:AS113)</f>
        <v>4410103</v>
      </c>
    </row>
    <row r="114" spans="9:46" ht="16.5" x14ac:dyDescent="0.2">
      <c r="I114" s="35">
        <v>78</v>
      </c>
      <c r="J114" s="15">
        <f t="shared" si="28"/>
        <v>1102004</v>
      </c>
      <c r="K114" s="15">
        <f t="shared" si="29"/>
        <v>2</v>
      </c>
      <c r="L114" s="15">
        <f t="shared" si="31"/>
        <v>15</v>
      </c>
      <c r="M114" s="15" t="str">
        <f t="shared" si="30"/>
        <v>黄</v>
      </c>
      <c r="N114" s="15" t="str">
        <f t="shared" si="32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AO114" s="67">
        <v>110</v>
      </c>
      <c r="AP114" s="67">
        <v>29</v>
      </c>
      <c r="AQ114" s="22">
        <f t="shared" si="33"/>
        <v>0.11836734693877551</v>
      </c>
      <c r="AR114" s="67">
        <v>8.9999999999999893</v>
      </c>
      <c r="AS114" s="67">
        <f t="shared" si="34"/>
        <v>212432</v>
      </c>
      <c r="AT114" s="67">
        <f>SUM(AS$5:AS114)</f>
        <v>4622535</v>
      </c>
    </row>
    <row r="115" spans="9:46" ht="16.5" x14ac:dyDescent="0.2">
      <c r="I115" s="35">
        <v>79</v>
      </c>
      <c r="J115" s="15">
        <f t="shared" si="28"/>
        <v>1102004</v>
      </c>
      <c r="K115" s="15">
        <f t="shared" si="29"/>
        <v>2</v>
      </c>
      <c r="L115" s="15">
        <f t="shared" si="31"/>
        <v>16</v>
      </c>
      <c r="M115" s="15" t="str">
        <f t="shared" si="30"/>
        <v>黄</v>
      </c>
      <c r="N115" s="15" t="str">
        <f t="shared" si="32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AM115" s="67" t="s">
        <v>605</v>
      </c>
      <c r="AN115" s="67">
        <v>12</v>
      </c>
      <c r="AO115" s="67">
        <v>111</v>
      </c>
      <c r="AP115" s="67">
        <v>10</v>
      </c>
      <c r="AQ115" s="22">
        <f>AP115/AN$118</f>
        <v>6.8965517241379309E-2</v>
      </c>
      <c r="AR115" s="67">
        <v>8.9999999999999893</v>
      </c>
      <c r="AS115" s="67">
        <f>INT(AN$116*AQ115/AR115)</f>
        <v>214637</v>
      </c>
      <c r="AT115" s="67">
        <f>SUM(AS$5:AS115)</f>
        <v>4837172</v>
      </c>
    </row>
    <row r="116" spans="9:46" ht="16.5" x14ac:dyDescent="0.2">
      <c r="I116" s="35">
        <v>80</v>
      </c>
      <c r="J116" s="15">
        <f t="shared" si="28"/>
        <v>1102004</v>
      </c>
      <c r="K116" s="15">
        <f t="shared" si="29"/>
        <v>2</v>
      </c>
      <c r="L116" s="15">
        <f t="shared" si="31"/>
        <v>17</v>
      </c>
      <c r="M116" s="15" t="str">
        <f t="shared" si="30"/>
        <v>黄</v>
      </c>
      <c r="N116" s="15" t="str">
        <f t="shared" si="32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  <c r="AM116" s="15" t="str">
        <f>INDEX($Z$5:$Z$19,AN115)</f>
        <v>110~120</v>
      </c>
      <c r="AN116" s="15">
        <f>INDEX($AI$5:$AI$19,AN115)</f>
        <v>28010250</v>
      </c>
      <c r="AO116" s="67">
        <v>112</v>
      </c>
      <c r="AP116" s="67">
        <v>11</v>
      </c>
      <c r="AQ116" s="22">
        <f t="shared" ref="AQ116:AQ124" si="35">AP116/AN$118</f>
        <v>7.586206896551724E-2</v>
      </c>
      <c r="AR116" s="67">
        <v>8.9999999999999893</v>
      </c>
      <c r="AS116" s="67">
        <f t="shared" ref="AS116:AS124" si="36">INT(AN$116*AQ116/AR116)</f>
        <v>236101</v>
      </c>
      <c r="AT116" s="67">
        <f>SUM(AS$5:AS116)</f>
        <v>5073273</v>
      </c>
    </row>
    <row r="117" spans="9:46" ht="16.5" x14ac:dyDescent="0.2">
      <c r="I117" s="35">
        <v>81</v>
      </c>
      <c r="J117" s="15">
        <f t="shared" si="28"/>
        <v>1102004</v>
      </c>
      <c r="K117" s="15">
        <f t="shared" si="29"/>
        <v>2</v>
      </c>
      <c r="L117" s="15">
        <f t="shared" si="31"/>
        <v>18</v>
      </c>
      <c r="M117" s="15" t="str">
        <f t="shared" si="30"/>
        <v>黄</v>
      </c>
      <c r="N117" s="15" t="str">
        <f t="shared" si="32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  <c r="AM117" s="67" t="s">
        <v>603</v>
      </c>
      <c r="AN117" s="15">
        <f>INDEX($AJ$5:$AJ$19,AN115)</f>
        <v>9</v>
      </c>
      <c r="AO117" s="67">
        <v>113</v>
      </c>
      <c r="AP117" s="67">
        <v>12</v>
      </c>
      <c r="AQ117" s="22">
        <f t="shared" si="35"/>
        <v>8.2758620689655171E-2</v>
      </c>
      <c r="AR117" s="67">
        <v>8.9999999999999893</v>
      </c>
      <c r="AS117" s="67">
        <f t="shared" si="36"/>
        <v>257565</v>
      </c>
      <c r="AT117" s="67">
        <f>SUM(AS$5:AS117)</f>
        <v>5330838</v>
      </c>
    </row>
    <row r="118" spans="9:46" ht="16.5" x14ac:dyDescent="0.2">
      <c r="I118" s="35">
        <v>82</v>
      </c>
      <c r="J118" s="15">
        <f t="shared" si="28"/>
        <v>1102004</v>
      </c>
      <c r="K118" s="15">
        <f t="shared" si="29"/>
        <v>2</v>
      </c>
      <c r="L118" s="15">
        <f t="shared" si="31"/>
        <v>19</v>
      </c>
      <c r="M118" s="15" t="str">
        <f t="shared" si="30"/>
        <v>黄</v>
      </c>
      <c r="N118" s="15" t="str">
        <f t="shared" si="32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  <c r="AM118" s="16"/>
      <c r="AN118" s="15">
        <f>SUM(AP115:AP124)</f>
        <v>145</v>
      </c>
      <c r="AO118" s="67">
        <v>114</v>
      </c>
      <c r="AP118" s="67">
        <v>13</v>
      </c>
      <c r="AQ118" s="22">
        <f t="shared" si="35"/>
        <v>8.9655172413793102E-2</v>
      </c>
      <c r="AR118" s="67">
        <v>8.9999999999999893</v>
      </c>
      <c r="AS118" s="67">
        <f t="shared" si="36"/>
        <v>279029</v>
      </c>
      <c r="AT118" s="67">
        <f>SUM(AS$5:AS118)</f>
        <v>5609867</v>
      </c>
    </row>
    <row r="119" spans="9:46" ht="16.5" x14ac:dyDescent="0.2">
      <c r="I119" s="35">
        <v>83</v>
      </c>
      <c r="J119" s="15">
        <f t="shared" si="28"/>
        <v>1102004</v>
      </c>
      <c r="K119" s="15">
        <f t="shared" si="29"/>
        <v>2</v>
      </c>
      <c r="L119" s="15">
        <f t="shared" si="31"/>
        <v>20</v>
      </c>
      <c r="M119" s="15" t="str">
        <f t="shared" si="30"/>
        <v>黄</v>
      </c>
      <c r="N119" s="15" t="str">
        <f t="shared" si="32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  <c r="AO119" s="67">
        <v>115</v>
      </c>
      <c r="AP119" s="67">
        <v>14</v>
      </c>
      <c r="AQ119" s="22">
        <f t="shared" si="35"/>
        <v>9.6551724137931033E-2</v>
      </c>
      <c r="AR119" s="67">
        <v>8.9999999999999893</v>
      </c>
      <c r="AS119" s="67">
        <f t="shared" si="36"/>
        <v>300493</v>
      </c>
      <c r="AT119" s="67">
        <f>SUM(AS$5:AS119)</f>
        <v>5910360</v>
      </c>
    </row>
    <row r="120" spans="9:46" ht="16.5" x14ac:dyDescent="0.2">
      <c r="I120" s="35">
        <v>84</v>
      </c>
      <c r="J120" s="15">
        <f t="shared" si="28"/>
        <v>1102004</v>
      </c>
      <c r="K120" s="15">
        <f t="shared" si="29"/>
        <v>2</v>
      </c>
      <c r="L120" s="15">
        <f t="shared" si="31"/>
        <v>21</v>
      </c>
      <c r="M120" s="15" t="str">
        <f t="shared" si="30"/>
        <v>黄</v>
      </c>
      <c r="N120" s="15" t="str">
        <f t="shared" si="32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  <c r="AO120" s="67">
        <v>116</v>
      </c>
      <c r="AP120" s="67">
        <v>15</v>
      </c>
      <c r="AQ120" s="22">
        <f t="shared" si="35"/>
        <v>0.10344827586206896</v>
      </c>
      <c r="AR120" s="67">
        <v>8.9999999999999893</v>
      </c>
      <c r="AS120" s="67">
        <f t="shared" si="36"/>
        <v>321956</v>
      </c>
      <c r="AT120" s="67">
        <f>SUM(AS$5:AS120)</f>
        <v>6232316</v>
      </c>
    </row>
    <row r="121" spans="9:46" ht="16.5" x14ac:dyDescent="0.2">
      <c r="I121" s="35">
        <v>85</v>
      </c>
      <c r="J121" s="15">
        <f t="shared" si="28"/>
        <v>1102005</v>
      </c>
      <c r="K121" s="15">
        <f t="shared" si="29"/>
        <v>3</v>
      </c>
      <c r="L121" s="15">
        <f t="shared" si="31"/>
        <v>1</v>
      </c>
      <c r="M121" s="15" t="str">
        <f t="shared" si="30"/>
        <v>蓝</v>
      </c>
      <c r="N121" s="15" t="str">
        <f t="shared" si="32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  <c r="AO121" s="67">
        <v>117</v>
      </c>
      <c r="AP121" s="67">
        <v>16</v>
      </c>
      <c r="AQ121" s="22">
        <f t="shared" si="35"/>
        <v>0.1103448275862069</v>
      </c>
      <c r="AR121" s="67">
        <v>8.9999999999999893</v>
      </c>
      <c r="AS121" s="67">
        <f t="shared" si="36"/>
        <v>343420</v>
      </c>
      <c r="AT121" s="67">
        <f>SUM(AS$5:AS121)</f>
        <v>6575736</v>
      </c>
    </row>
    <row r="122" spans="9:46" ht="16.5" x14ac:dyDescent="0.2">
      <c r="I122" s="35">
        <v>86</v>
      </c>
      <c r="J122" s="15">
        <f t="shared" si="28"/>
        <v>1102005</v>
      </c>
      <c r="K122" s="15">
        <f t="shared" si="29"/>
        <v>3</v>
      </c>
      <c r="L122" s="15">
        <f t="shared" si="31"/>
        <v>2</v>
      </c>
      <c r="M122" s="15" t="str">
        <f t="shared" si="30"/>
        <v>蓝</v>
      </c>
      <c r="N122" s="15" t="str">
        <f t="shared" si="32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AO122" s="67">
        <v>118</v>
      </c>
      <c r="AP122" s="67">
        <v>17</v>
      </c>
      <c r="AQ122" s="22">
        <f t="shared" si="35"/>
        <v>0.11724137931034483</v>
      </c>
      <c r="AR122" s="67">
        <v>8.9999999999999893</v>
      </c>
      <c r="AS122" s="67">
        <f t="shared" si="36"/>
        <v>364884</v>
      </c>
      <c r="AT122" s="67">
        <f>SUM(AS$5:AS122)</f>
        <v>6940620</v>
      </c>
    </row>
    <row r="123" spans="9:46" ht="16.5" x14ac:dyDescent="0.2">
      <c r="I123" s="35">
        <v>87</v>
      </c>
      <c r="J123" s="15">
        <f t="shared" si="28"/>
        <v>1102005</v>
      </c>
      <c r="K123" s="15">
        <f t="shared" si="29"/>
        <v>3</v>
      </c>
      <c r="L123" s="15">
        <f t="shared" si="31"/>
        <v>3</v>
      </c>
      <c r="M123" s="15" t="str">
        <f t="shared" si="30"/>
        <v>蓝</v>
      </c>
      <c r="N123" s="15" t="str">
        <f t="shared" si="32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AO123" s="67">
        <v>119</v>
      </c>
      <c r="AP123" s="67">
        <v>18</v>
      </c>
      <c r="AQ123" s="22">
        <f t="shared" si="35"/>
        <v>0.12413793103448276</v>
      </c>
      <c r="AR123" s="67">
        <v>8.9999999999999893</v>
      </c>
      <c r="AS123" s="67">
        <f t="shared" si="36"/>
        <v>386348</v>
      </c>
      <c r="AT123" s="67">
        <f>SUM(AS$5:AS123)</f>
        <v>7326968</v>
      </c>
    </row>
    <row r="124" spans="9:46" ht="16.5" x14ac:dyDescent="0.2">
      <c r="I124" s="35">
        <v>88</v>
      </c>
      <c r="J124" s="15">
        <f t="shared" si="28"/>
        <v>1102005</v>
      </c>
      <c r="K124" s="15">
        <f t="shared" si="29"/>
        <v>3</v>
      </c>
      <c r="L124" s="15">
        <f t="shared" si="31"/>
        <v>4</v>
      </c>
      <c r="M124" s="15" t="str">
        <f t="shared" si="30"/>
        <v>蓝</v>
      </c>
      <c r="N124" s="15" t="str">
        <f t="shared" si="32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AO124" s="67">
        <v>120</v>
      </c>
      <c r="AP124" s="67">
        <v>19</v>
      </c>
      <c r="AQ124" s="22">
        <f t="shared" si="35"/>
        <v>0.1310344827586207</v>
      </c>
      <c r="AR124" s="67">
        <v>8.9999999999999893</v>
      </c>
      <c r="AS124" s="67">
        <f t="shared" si="36"/>
        <v>407812</v>
      </c>
      <c r="AT124" s="67">
        <f>SUM(AS$5:AS124)</f>
        <v>7734780</v>
      </c>
    </row>
    <row r="125" spans="9:46" ht="16.5" x14ac:dyDescent="0.2">
      <c r="I125" s="35">
        <v>89</v>
      </c>
      <c r="J125" s="15">
        <f t="shared" si="28"/>
        <v>1102005</v>
      </c>
      <c r="K125" s="15">
        <f t="shared" si="29"/>
        <v>3</v>
      </c>
      <c r="L125" s="15">
        <f t="shared" si="31"/>
        <v>5</v>
      </c>
      <c r="M125" s="15" t="str">
        <f t="shared" si="30"/>
        <v>蓝</v>
      </c>
      <c r="N125" s="15" t="str">
        <f t="shared" si="32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AM125" s="67" t="s">
        <v>605</v>
      </c>
      <c r="AN125" s="67">
        <v>13</v>
      </c>
      <c r="AO125" s="67">
        <v>121</v>
      </c>
      <c r="AP125" s="67">
        <v>10</v>
      </c>
      <c r="AQ125" s="22">
        <f>AP125/AN$128</f>
        <v>6.8965517241379309E-2</v>
      </c>
      <c r="AR125" s="67">
        <v>8.9999999999999893</v>
      </c>
      <c r="AS125" s="67">
        <f>INT(AN$126*AQ125/AR125)</f>
        <v>352505</v>
      </c>
      <c r="AT125" s="67">
        <f>SUM(AS$5:AS125)</f>
        <v>8087285</v>
      </c>
    </row>
    <row r="126" spans="9:46" ht="16.5" x14ac:dyDescent="0.2">
      <c r="I126" s="35">
        <v>90</v>
      </c>
      <c r="J126" s="15">
        <f t="shared" si="28"/>
        <v>1102005</v>
      </c>
      <c r="K126" s="15">
        <f t="shared" si="29"/>
        <v>3</v>
      </c>
      <c r="L126" s="15">
        <f t="shared" si="31"/>
        <v>6</v>
      </c>
      <c r="M126" s="15" t="str">
        <f t="shared" si="30"/>
        <v>蓝</v>
      </c>
      <c r="N126" s="15" t="str">
        <f t="shared" si="32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AM126" s="15" t="str">
        <f>INDEX($Z$5:$Z$19,AN125)</f>
        <v>120~130</v>
      </c>
      <c r="AN126" s="15">
        <f>INDEX($AI$5:$AI$19,AN125)</f>
        <v>46002000</v>
      </c>
      <c r="AO126" s="67">
        <v>122</v>
      </c>
      <c r="AP126" s="67">
        <v>11</v>
      </c>
      <c r="AQ126" s="22">
        <f t="shared" ref="AQ126:AQ134" si="37">AP126/AN$128</f>
        <v>7.586206896551724E-2</v>
      </c>
      <c r="AR126" s="67">
        <v>8.9999999999999893</v>
      </c>
      <c r="AS126" s="67">
        <f t="shared" ref="AS126:AS134" si="38">INT(AN$126*AQ126/AR126)</f>
        <v>387756</v>
      </c>
      <c r="AT126" s="67">
        <f>SUM(AS$5:AS126)</f>
        <v>8475041</v>
      </c>
    </row>
    <row r="127" spans="9:46" ht="16.5" x14ac:dyDescent="0.2">
      <c r="I127" s="35">
        <v>91</v>
      </c>
      <c r="J127" s="15">
        <f t="shared" si="28"/>
        <v>1102005</v>
      </c>
      <c r="K127" s="15">
        <f t="shared" si="29"/>
        <v>3</v>
      </c>
      <c r="L127" s="15">
        <f t="shared" si="31"/>
        <v>7</v>
      </c>
      <c r="M127" s="15" t="str">
        <f t="shared" si="30"/>
        <v>蓝</v>
      </c>
      <c r="N127" s="15" t="str">
        <f t="shared" si="32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AM127" s="67" t="s">
        <v>603</v>
      </c>
      <c r="AN127" s="15">
        <f>INDEX($AJ$5:$AJ$19,AN125)</f>
        <v>9</v>
      </c>
      <c r="AO127" s="67">
        <v>123</v>
      </c>
      <c r="AP127" s="67">
        <v>12</v>
      </c>
      <c r="AQ127" s="22">
        <f t="shared" si="37"/>
        <v>8.2758620689655171E-2</v>
      </c>
      <c r="AR127" s="67">
        <v>8.9999999999999893</v>
      </c>
      <c r="AS127" s="67">
        <f t="shared" si="38"/>
        <v>423006</v>
      </c>
      <c r="AT127" s="67">
        <f>SUM(AS$5:AS127)</f>
        <v>8898047</v>
      </c>
    </row>
    <row r="128" spans="9:46" ht="16.5" x14ac:dyDescent="0.2">
      <c r="I128" s="35">
        <v>92</v>
      </c>
      <c r="J128" s="15">
        <f t="shared" si="28"/>
        <v>1102005</v>
      </c>
      <c r="K128" s="15">
        <f t="shared" si="29"/>
        <v>3</v>
      </c>
      <c r="L128" s="15">
        <f t="shared" si="31"/>
        <v>8</v>
      </c>
      <c r="M128" s="15" t="str">
        <f t="shared" si="30"/>
        <v>蓝</v>
      </c>
      <c r="N128" s="15" t="str">
        <f t="shared" si="32"/>
        <v>金币</v>
      </c>
      <c r="O128" s="15">
        <f>IF(L128&gt;1,INDEX(挂机升级突破!$AI$35:$AI$55,卡牌消耗!L128),"")</f>
        <v>66000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AM128" s="16"/>
      <c r="AN128" s="15">
        <f>SUM(AP125:AP134)</f>
        <v>145</v>
      </c>
      <c r="AO128" s="67">
        <v>124</v>
      </c>
      <c r="AP128" s="67">
        <v>13</v>
      </c>
      <c r="AQ128" s="22">
        <f t="shared" si="37"/>
        <v>8.9655172413793102E-2</v>
      </c>
      <c r="AR128" s="67">
        <v>8.9999999999999893</v>
      </c>
      <c r="AS128" s="67">
        <f t="shared" si="38"/>
        <v>458257</v>
      </c>
      <c r="AT128" s="67">
        <f>SUM(AS$5:AS128)</f>
        <v>9356304</v>
      </c>
    </row>
    <row r="129" spans="9:46" ht="16.5" x14ac:dyDescent="0.2">
      <c r="I129" s="35">
        <v>93</v>
      </c>
      <c r="J129" s="15">
        <f t="shared" si="28"/>
        <v>1102005</v>
      </c>
      <c r="K129" s="15">
        <f t="shared" si="29"/>
        <v>3</v>
      </c>
      <c r="L129" s="15">
        <f t="shared" si="31"/>
        <v>9</v>
      </c>
      <c r="M129" s="15" t="str">
        <f t="shared" si="30"/>
        <v>蓝</v>
      </c>
      <c r="N129" s="15" t="str">
        <f t="shared" si="32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AO129" s="67">
        <v>125</v>
      </c>
      <c r="AP129" s="67">
        <v>14</v>
      </c>
      <c r="AQ129" s="22">
        <f t="shared" si="37"/>
        <v>9.6551724137931033E-2</v>
      </c>
      <c r="AR129" s="67">
        <v>8.9999999999999893</v>
      </c>
      <c r="AS129" s="67">
        <f t="shared" si="38"/>
        <v>493508</v>
      </c>
      <c r="AT129" s="67">
        <f>SUM(AS$5:AS129)</f>
        <v>9849812</v>
      </c>
    </row>
    <row r="130" spans="9:46" ht="16.5" x14ac:dyDescent="0.2">
      <c r="I130" s="35">
        <v>94</v>
      </c>
      <c r="J130" s="15">
        <f t="shared" si="28"/>
        <v>1102005</v>
      </c>
      <c r="K130" s="15">
        <f t="shared" si="29"/>
        <v>3</v>
      </c>
      <c r="L130" s="15">
        <f t="shared" si="31"/>
        <v>10</v>
      </c>
      <c r="M130" s="15" t="str">
        <f t="shared" si="30"/>
        <v>蓝</v>
      </c>
      <c r="N130" s="15" t="str">
        <f t="shared" si="32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AO130" s="67">
        <v>126</v>
      </c>
      <c r="AP130" s="67">
        <v>15</v>
      </c>
      <c r="AQ130" s="22">
        <f t="shared" si="37"/>
        <v>0.10344827586206896</v>
      </c>
      <c r="AR130" s="67">
        <v>8.9999999999999893</v>
      </c>
      <c r="AS130" s="67">
        <f t="shared" si="38"/>
        <v>528758</v>
      </c>
      <c r="AT130" s="67">
        <f>SUM(AS$5:AS130)</f>
        <v>10378570</v>
      </c>
    </row>
    <row r="131" spans="9:46" ht="16.5" x14ac:dyDescent="0.2">
      <c r="I131" s="35">
        <v>95</v>
      </c>
      <c r="J131" s="15">
        <f t="shared" si="28"/>
        <v>1102005</v>
      </c>
      <c r="K131" s="15">
        <f t="shared" si="29"/>
        <v>3</v>
      </c>
      <c r="L131" s="15">
        <f t="shared" si="31"/>
        <v>11</v>
      </c>
      <c r="M131" s="15" t="str">
        <f t="shared" si="30"/>
        <v>蓝</v>
      </c>
      <c r="N131" s="15" t="str">
        <f t="shared" si="32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AO131" s="67">
        <v>127</v>
      </c>
      <c r="AP131" s="67">
        <v>16</v>
      </c>
      <c r="AQ131" s="22">
        <f t="shared" si="37"/>
        <v>0.1103448275862069</v>
      </c>
      <c r="AR131" s="67">
        <v>8.9999999999999893</v>
      </c>
      <c r="AS131" s="67">
        <f t="shared" si="38"/>
        <v>564009</v>
      </c>
      <c r="AT131" s="67">
        <f>SUM(AS$5:AS131)</f>
        <v>10942579</v>
      </c>
    </row>
    <row r="132" spans="9:46" ht="16.5" x14ac:dyDescent="0.2">
      <c r="I132" s="35">
        <v>96</v>
      </c>
      <c r="J132" s="15">
        <f t="shared" si="28"/>
        <v>1102005</v>
      </c>
      <c r="K132" s="15">
        <f t="shared" si="29"/>
        <v>3</v>
      </c>
      <c r="L132" s="15">
        <f t="shared" si="31"/>
        <v>12</v>
      </c>
      <c r="M132" s="15" t="str">
        <f t="shared" si="30"/>
        <v>蓝</v>
      </c>
      <c r="N132" s="15" t="str">
        <f t="shared" si="32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AO132" s="67">
        <v>128</v>
      </c>
      <c r="AP132" s="67">
        <v>17</v>
      </c>
      <c r="AQ132" s="22">
        <f t="shared" si="37"/>
        <v>0.11724137931034483</v>
      </c>
      <c r="AR132" s="67">
        <v>8.9999999999999893</v>
      </c>
      <c r="AS132" s="67">
        <f t="shared" si="38"/>
        <v>599259</v>
      </c>
      <c r="AT132" s="67">
        <f>SUM(AS$5:AS132)</f>
        <v>11541838</v>
      </c>
    </row>
    <row r="133" spans="9:46" ht="16.5" x14ac:dyDescent="0.2">
      <c r="I133" s="35">
        <v>97</v>
      </c>
      <c r="J133" s="15">
        <f t="shared" si="28"/>
        <v>1102005</v>
      </c>
      <c r="K133" s="15">
        <f t="shared" si="29"/>
        <v>3</v>
      </c>
      <c r="L133" s="15">
        <f t="shared" si="31"/>
        <v>13</v>
      </c>
      <c r="M133" s="15" t="str">
        <f t="shared" si="30"/>
        <v>蓝</v>
      </c>
      <c r="N133" s="15" t="str">
        <f t="shared" si="32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AO133" s="67">
        <v>129</v>
      </c>
      <c r="AP133" s="67">
        <v>18</v>
      </c>
      <c r="AQ133" s="22">
        <f t="shared" si="37"/>
        <v>0.12413793103448276</v>
      </c>
      <c r="AR133" s="67">
        <v>8.9999999999999893</v>
      </c>
      <c r="AS133" s="67">
        <f t="shared" si="38"/>
        <v>634510</v>
      </c>
      <c r="AT133" s="67">
        <f>SUM(AS$5:AS133)</f>
        <v>12176348</v>
      </c>
    </row>
    <row r="134" spans="9:46" ht="16.5" x14ac:dyDescent="0.2">
      <c r="I134" s="35">
        <v>98</v>
      </c>
      <c r="J134" s="15">
        <f t="shared" si="28"/>
        <v>1102005</v>
      </c>
      <c r="K134" s="15">
        <f t="shared" si="29"/>
        <v>3</v>
      </c>
      <c r="L134" s="15">
        <f t="shared" si="31"/>
        <v>14</v>
      </c>
      <c r="M134" s="15" t="str">
        <f t="shared" si="30"/>
        <v>蓝</v>
      </c>
      <c r="N134" s="15" t="str">
        <f t="shared" si="32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AO134" s="67">
        <v>130</v>
      </c>
      <c r="AP134" s="67">
        <v>19</v>
      </c>
      <c r="AQ134" s="22">
        <f t="shared" si="37"/>
        <v>0.1310344827586207</v>
      </c>
      <c r="AR134" s="67">
        <v>8.9999999999999893</v>
      </c>
      <c r="AS134" s="67">
        <f t="shared" si="38"/>
        <v>669760</v>
      </c>
      <c r="AT134" s="67">
        <f>SUM(AS$5:AS134)</f>
        <v>12846108</v>
      </c>
    </row>
    <row r="135" spans="9:46" ht="16.5" x14ac:dyDescent="0.2">
      <c r="I135" s="35">
        <v>99</v>
      </c>
      <c r="J135" s="15">
        <f t="shared" si="28"/>
        <v>1102005</v>
      </c>
      <c r="K135" s="15">
        <f t="shared" si="29"/>
        <v>3</v>
      </c>
      <c r="L135" s="15">
        <f t="shared" si="31"/>
        <v>15</v>
      </c>
      <c r="M135" s="15" t="str">
        <f t="shared" si="30"/>
        <v>蓝</v>
      </c>
      <c r="N135" s="15" t="str">
        <f t="shared" si="32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AM135" s="67" t="s">
        <v>605</v>
      </c>
      <c r="AN135" s="67">
        <v>14</v>
      </c>
      <c r="AO135" s="67">
        <v>131</v>
      </c>
      <c r="AP135" s="67">
        <v>10</v>
      </c>
      <c r="AQ135" s="22">
        <f>AP135/AN$138</f>
        <v>6.8965517241379309E-2</v>
      </c>
      <c r="AR135" s="67">
        <v>8.9999999999999893</v>
      </c>
      <c r="AS135" s="67">
        <f>INT(AN$136*AQ135/AR135)</f>
        <v>648666</v>
      </c>
      <c r="AT135" s="67">
        <f>SUM(AS$5:AS135)</f>
        <v>13494774</v>
      </c>
    </row>
    <row r="136" spans="9:46" ht="16.5" x14ac:dyDescent="0.2">
      <c r="I136" s="35">
        <v>100</v>
      </c>
      <c r="J136" s="15">
        <f t="shared" si="28"/>
        <v>1102005</v>
      </c>
      <c r="K136" s="15">
        <f t="shared" si="29"/>
        <v>3</v>
      </c>
      <c r="L136" s="15">
        <f t="shared" si="31"/>
        <v>16</v>
      </c>
      <c r="M136" s="15" t="str">
        <f t="shared" si="30"/>
        <v>蓝</v>
      </c>
      <c r="N136" s="15" t="str">
        <f t="shared" si="32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AM136" s="15" t="str">
        <f>INDEX($Z$5:$Z$19,AN135)</f>
        <v>130~140</v>
      </c>
      <c r="AN136" s="15">
        <f>INDEX($AI$5:$AI$19,AN135)</f>
        <v>84651000</v>
      </c>
      <c r="AO136" s="67">
        <v>132</v>
      </c>
      <c r="AP136" s="67">
        <v>11</v>
      </c>
      <c r="AQ136" s="22">
        <f t="shared" ref="AQ136:AQ144" si="39">AP136/AN$138</f>
        <v>7.586206896551724E-2</v>
      </c>
      <c r="AR136" s="67">
        <v>8.9999999999999893</v>
      </c>
      <c r="AS136" s="67">
        <f t="shared" ref="AS136:AS144" si="40">INT(AN$136*AQ136/AR136)</f>
        <v>713533</v>
      </c>
      <c r="AT136" s="67">
        <f>SUM(AS$5:AS136)</f>
        <v>14208307</v>
      </c>
    </row>
    <row r="137" spans="9:46" ht="16.5" x14ac:dyDescent="0.2">
      <c r="I137" s="35">
        <v>101</v>
      </c>
      <c r="J137" s="15">
        <f t="shared" si="28"/>
        <v>1102005</v>
      </c>
      <c r="K137" s="15">
        <f t="shared" si="29"/>
        <v>3</v>
      </c>
      <c r="L137" s="15">
        <f t="shared" si="31"/>
        <v>17</v>
      </c>
      <c r="M137" s="15" t="str">
        <f t="shared" si="30"/>
        <v>蓝</v>
      </c>
      <c r="N137" s="15" t="str">
        <f t="shared" si="32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  <c r="AM137" s="67" t="s">
        <v>603</v>
      </c>
      <c r="AN137" s="15">
        <f>INDEX($AJ$5:$AJ$19,AN135)</f>
        <v>9</v>
      </c>
      <c r="AO137" s="67">
        <v>133</v>
      </c>
      <c r="AP137" s="67">
        <v>12</v>
      </c>
      <c r="AQ137" s="22">
        <f t="shared" si="39"/>
        <v>8.2758620689655171E-2</v>
      </c>
      <c r="AR137" s="67">
        <v>8.9999999999999893</v>
      </c>
      <c r="AS137" s="67">
        <f t="shared" si="40"/>
        <v>778400</v>
      </c>
      <c r="AT137" s="67">
        <f>SUM(AS$5:AS137)</f>
        <v>14986707</v>
      </c>
    </row>
    <row r="138" spans="9:46" ht="16.5" x14ac:dyDescent="0.2">
      <c r="I138" s="35">
        <v>102</v>
      </c>
      <c r="J138" s="15">
        <f t="shared" si="28"/>
        <v>1102005</v>
      </c>
      <c r="K138" s="15">
        <f t="shared" si="29"/>
        <v>3</v>
      </c>
      <c r="L138" s="15">
        <f t="shared" si="31"/>
        <v>18</v>
      </c>
      <c r="M138" s="15" t="str">
        <f t="shared" si="30"/>
        <v>蓝</v>
      </c>
      <c r="N138" s="15" t="str">
        <f t="shared" si="32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  <c r="AM138" s="16"/>
      <c r="AN138" s="15">
        <f>SUM(AP135:AP144)</f>
        <v>145</v>
      </c>
      <c r="AO138" s="67">
        <v>134</v>
      </c>
      <c r="AP138" s="67">
        <v>13</v>
      </c>
      <c r="AQ138" s="22">
        <f t="shared" si="39"/>
        <v>8.9655172413793102E-2</v>
      </c>
      <c r="AR138" s="67">
        <v>8.9999999999999893</v>
      </c>
      <c r="AS138" s="67">
        <f t="shared" si="40"/>
        <v>843266</v>
      </c>
      <c r="AT138" s="67">
        <f>SUM(AS$5:AS138)</f>
        <v>15829973</v>
      </c>
    </row>
    <row r="139" spans="9:46" ht="16.5" x14ac:dyDescent="0.2">
      <c r="I139" s="35">
        <v>103</v>
      </c>
      <c r="J139" s="15">
        <f t="shared" si="28"/>
        <v>1102005</v>
      </c>
      <c r="K139" s="15">
        <f t="shared" si="29"/>
        <v>3</v>
      </c>
      <c r="L139" s="15">
        <f t="shared" si="31"/>
        <v>19</v>
      </c>
      <c r="M139" s="15" t="str">
        <f t="shared" si="30"/>
        <v>蓝</v>
      </c>
      <c r="N139" s="15" t="str">
        <f t="shared" si="32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  <c r="AO139" s="67">
        <v>135</v>
      </c>
      <c r="AP139" s="67">
        <v>14</v>
      </c>
      <c r="AQ139" s="22">
        <f t="shared" si="39"/>
        <v>9.6551724137931033E-2</v>
      </c>
      <c r="AR139" s="67">
        <v>8.9999999999999893</v>
      </c>
      <c r="AS139" s="67">
        <f t="shared" si="40"/>
        <v>908133</v>
      </c>
      <c r="AT139" s="67">
        <f>SUM(AS$5:AS139)</f>
        <v>16738106</v>
      </c>
    </row>
    <row r="140" spans="9:46" ht="16.5" x14ac:dyDescent="0.2">
      <c r="I140" s="35">
        <v>104</v>
      </c>
      <c r="J140" s="15">
        <f t="shared" si="28"/>
        <v>1102005</v>
      </c>
      <c r="K140" s="15">
        <f t="shared" si="29"/>
        <v>3</v>
      </c>
      <c r="L140" s="15">
        <f t="shared" si="31"/>
        <v>20</v>
      </c>
      <c r="M140" s="15" t="str">
        <f t="shared" si="30"/>
        <v>蓝</v>
      </c>
      <c r="N140" s="15" t="str">
        <f t="shared" si="32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  <c r="AO140" s="67">
        <v>136</v>
      </c>
      <c r="AP140" s="67">
        <v>15</v>
      </c>
      <c r="AQ140" s="22">
        <f t="shared" si="39"/>
        <v>0.10344827586206896</v>
      </c>
      <c r="AR140" s="67">
        <v>8.9999999999999893</v>
      </c>
      <c r="AS140" s="67">
        <f t="shared" si="40"/>
        <v>973000</v>
      </c>
      <c r="AT140" s="67">
        <f>SUM(AS$5:AS140)</f>
        <v>17711106</v>
      </c>
    </row>
    <row r="141" spans="9:46" ht="16.5" x14ac:dyDescent="0.2">
      <c r="I141" s="35">
        <v>105</v>
      </c>
      <c r="J141" s="15">
        <f t="shared" si="28"/>
        <v>1102005</v>
      </c>
      <c r="K141" s="15">
        <f t="shared" si="29"/>
        <v>3</v>
      </c>
      <c r="L141" s="15">
        <f t="shared" si="31"/>
        <v>21</v>
      </c>
      <c r="M141" s="15" t="str">
        <f t="shared" si="30"/>
        <v>蓝</v>
      </c>
      <c r="N141" s="15" t="str">
        <f t="shared" si="32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  <c r="AO141" s="67">
        <v>137</v>
      </c>
      <c r="AP141" s="67">
        <v>16</v>
      </c>
      <c r="AQ141" s="22">
        <f t="shared" si="39"/>
        <v>0.1103448275862069</v>
      </c>
      <c r="AR141" s="67">
        <v>8.9999999999999893</v>
      </c>
      <c r="AS141" s="67">
        <f t="shared" si="40"/>
        <v>1037866</v>
      </c>
      <c r="AT141" s="67">
        <f>SUM(AS$5:AS141)</f>
        <v>18748972</v>
      </c>
    </row>
    <row r="142" spans="9:46" ht="16.5" x14ac:dyDescent="0.2">
      <c r="I142" s="35">
        <v>106</v>
      </c>
      <c r="J142" s="15">
        <f t="shared" si="28"/>
        <v>1102006</v>
      </c>
      <c r="K142" s="15">
        <f t="shared" si="29"/>
        <v>4</v>
      </c>
      <c r="L142" s="15">
        <f t="shared" si="31"/>
        <v>1</v>
      </c>
      <c r="M142" s="15" t="str">
        <f t="shared" si="30"/>
        <v>黄</v>
      </c>
      <c r="N142" s="15" t="str">
        <f t="shared" si="32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  <c r="AO142" s="67">
        <v>138</v>
      </c>
      <c r="AP142" s="67">
        <v>17</v>
      </c>
      <c r="AQ142" s="22">
        <f t="shared" si="39"/>
        <v>0.11724137931034483</v>
      </c>
      <c r="AR142" s="67">
        <v>8.9999999999999893</v>
      </c>
      <c r="AS142" s="67">
        <f t="shared" si="40"/>
        <v>1102733</v>
      </c>
      <c r="AT142" s="67">
        <f>SUM(AS$5:AS142)</f>
        <v>19851705</v>
      </c>
    </row>
    <row r="143" spans="9:46" ht="16.5" x14ac:dyDescent="0.2">
      <c r="I143" s="35">
        <v>107</v>
      </c>
      <c r="J143" s="15">
        <f t="shared" si="28"/>
        <v>1102006</v>
      </c>
      <c r="K143" s="15">
        <f t="shared" si="29"/>
        <v>4</v>
      </c>
      <c r="L143" s="15">
        <f t="shared" si="31"/>
        <v>2</v>
      </c>
      <c r="M143" s="15" t="str">
        <f t="shared" si="30"/>
        <v>黄</v>
      </c>
      <c r="N143" s="15" t="str">
        <f t="shared" si="32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AO143" s="67">
        <v>139</v>
      </c>
      <c r="AP143" s="67">
        <v>18</v>
      </c>
      <c r="AQ143" s="22">
        <f t="shared" si="39"/>
        <v>0.12413793103448276</v>
      </c>
      <c r="AR143" s="67">
        <v>8.9999999999999893</v>
      </c>
      <c r="AS143" s="67">
        <f t="shared" si="40"/>
        <v>1167600</v>
      </c>
      <c r="AT143" s="67">
        <f>SUM(AS$5:AS143)</f>
        <v>21019305</v>
      </c>
    </row>
    <row r="144" spans="9:46" ht="16.5" x14ac:dyDescent="0.2">
      <c r="I144" s="35">
        <v>108</v>
      </c>
      <c r="J144" s="15">
        <f t="shared" si="28"/>
        <v>1102006</v>
      </c>
      <c r="K144" s="15">
        <f t="shared" si="29"/>
        <v>4</v>
      </c>
      <c r="L144" s="15">
        <f t="shared" si="31"/>
        <v>3</v>
      </c>
      <c r="M144" s="15" t="str">
        <f t="shared" si="30"/>
        <v>黄</v>
      </c>
      <c r="N144" s="15" t="str">
        <f t="shared" si="32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AO144" s="67">
        <v>140</v>
      </c>
      <c r="AP144" s="67">
        <v>19</v>
      </c>
      <c r="AQ144" s="22">
        <f t="shared" si="39"/>
        <v>0.1310344827586207</v>
      </c>
      <c r="AR144" s="67">
        <v>8.9999999999999893</v>
      </c>
      <c r="AS144" s="67">
        <f t="shared" si="40"/>
        <v>1232466</v>
      </c>
      <c r="AT144" s="67">
        <f>SUM(AS$5:AS144)</f>
        <v>22251771</v>
      </c>
    </row>
    <row r="145" spans="9:46" ht="16.5" x14ac:dyDescent="0.2">
      <c r="I145" s="35">
        <v>109</v>
      </c>
      <c r="J145" s="15">
        <f t="shared" si="28"/>
        <v>1102006</v>
      </c>
      <c r="K145" s="15">
        <f t="shared" si="29"/>
        <v>4</v>
      </c>
      <c r="L145" s="15">
        <f t="shared" si="31"/>
        <v>4</v>
      </c>
      <c r="M145" s="15" t="str">
        <f t="shared" si="30"/>
        <v>黄</v>
      </c>
      <c r="N145" s="15" t="str">
        <f t="shared" si="32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AM145" s="67" t="s">
        <v>605</v>
      </c>
      <c r="AN145" s="67">
        <v>15</v>
      </c>
      <c r="AO145" s="67">
        <v>141</v>
      </c>
      <c r="AP145" s="67">
        <v>10</v>
      </c>
      <c r="AQ145" s="22">
        <f>AP145/AN$148</f>
        <v>6.8965517241379309E-2</v>
      </c>
      <c r="AR145" s="67">
        <v>8.9999999999999893</v>
      </c>
      <c r="AS145" s="67">
        <f>INT(AN$146*AQ145/AR145)</f>
        <v>1272931</v>
      </c>
      <c r="AT145" s="67">
        <f>SUM(AS$5:AS145)</f>
        <v>23524702</v>
      </c>
    </row>
    <row r="146" spans="9:46" ht="16.5" x14ac:dyDescent="0.2">
      <c r="I146" s="35">
        <v>110</v>
      </c>
      <c r="J146" s="15">
        <f t="shared" si="28"/>
        <v>1102006</v>
      </c>
      <c r="K146" s="15">
        <f t="shared" si="29"/>
        <v>4</v>
      </c>
      <c r="L146" s="15">
        <f t="shared" si="31"/>
        <v>5</v>
      </c>
      <c r="M146" s="15" t="str">
        <f t="shared" si="30"/>
        <v>黄</v>
      </c>
      <c r="N146" s="15" t="str">
        <f t="shared" si="32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AM146" s="15" t="str">
        <f>INDEX($Z$5:$Z$19,AN145)</f>
        <v>140~150</v>
      </c>
      <c r="AN146" s="15">
        <f>INDEX($AI$5:$AI$19,AN145)</f>
        <v>166117500</v>
      </c>
      <c r="AO146" s="67">
        <v>142</v>
      </c>
      <c r="AP146" s="67">
        <v>11</v>
      </c>
      <c r="AQ146" s="22">
        <f t="shared" ref="AQ146:AQ154" si="41">AP146/AN$148</f>
        <v>7.586206896551724E-2</v>
      </c>
      <c r="AR146" s="67">
        <v>8.9999999999999893</v>
      </c>
      <c r="AS146" s="67">
        <f t="shared" ref="AS146:AS154" si="42">INT(AN$146*AQ146/AR146)</f>
        <v>1400224</v>
      </c>
      <c r="AT146" s="67">
        <f>SUM(AS$5:AS146)</f>
        <v>24924926</v>
      </c>
    </row>
    <row r="147" spans="9:46" ht="16.5" x14ac:dyDescent="0.2">
      <c r="I147" s="35">
        <v>111</v>
      </c>
      <c r="J147" s="15">
        <f t="shared" si="28"/>
        <v>1102006</v>
      </c>
      <c r="K147" s="15">
        <f t="shared" si="29"/>
        <v>4</v>
      </c>
      <c r="L147" s="15">
        <f t="shared" si="31"/>
        <v>6</v>
      </c>
      <c r="M147" s="15" t="str">
        <f t="shared" si="30"/>
        <v>黄</v>
      </c>
      <c r="N147" s="15" t="str">
        <f t="shared" si="32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AM147" s="67" t="s">
        <v>603</v>
      </c>
      <c r="AN147" s="15">
        <f>INDEX($AJ$5:$AJ$19,AN145)</f>
        <v>9</v>
      </c>
      <c r="AO147" s="67">
        <v>143</v>
      </c>
      <c r="AP147" s="67">
        <v>12</v>
      </c>
      <c r="AQ147" s="22">
        <f t="shared" si="41"/>
        <v>8.2758620689655171E-2</v>
      </c>
      <c r="AR147" s="67">
        <v>8.9999999999999893</v>
      </c>
      <c r="AS147" s="67">
        <f t="shared" si="42"/>
        <v>1527517</v>
      </c>
      <c r="AT147" s="67">
        <f>SUM(AS$5:AS147)</f>
        <v>26452443</v>
      </c>
    </row>
    <row r="148" spans="9:46" ht="16.5" x14ac:dyDescent="0.2">
      <c r="I148" s="35">
        <v>112</v>
      </c>
      <c r="J148" s="15">
        <f t="shared" si="28"/>
        <v>1102006</v>
      </c>
      <c r="K148" s="15">
        <f t="shared" si="29"/>
        <v>4</v>
      </c>
      <c r="L148" s="15">
        <f t="shared" si="31"/>
        <v>7</v>
      </c>
      <c r="M148" s="15" t="str">
        <f t="shared" si="30"/>
        <v>黄</v>
      </c>
      <c r="N148" s="15" t="str">
        <f t="shared" si="32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AM148" s="16"/>
      <c r="AN148" s="15">
        <f>SUM(AP145:AP154)</f>
        <v>145</v>
      </c>
      <c r="AO148" s="67">
        <v>144</v>
      </c>
      <c r="AP148" s="67">
        <v>13</v>
      </c>
      <c r="AQ148" s="22">
        <f t="shared" si="41"/>
        <v>8.9655172413793102E-2</v>
      </c>
      <c r="AR148" s="67">
        <v>8.9999999999999893</v>
      </c>
      <c r="AS148" s="67">
        <f t="shared" si="42"/>
        <v>1654810</v>
      </c>
      <c r="AT148" s="67">
        <f>SUM(AS$5:AS148)</f>
        <v>28107253</v>
      </c>
    </row>
    <row r="149" spans="9:46" ht="16.5" x14ac:dyDescent="0.2">
      <c r="I149" s="35">
        <v>113</v>
      </c>
      <c r="J149" s="15">
        <f t="shared" si="28"/>
        <v>1102006</v>
      </c>
      <c r="K149" s="15">
        <f t="shared" si="29"/>
        <v>4</v>
      </c>
      <c r="L149" s="15">
        <f t="shared" si="31"/>
        <v>8</v>
      </c>
      <c r="M149" s="15" t="str">
        <f t="shared" si="30"/>
        <v>黄</v>
      </c>
      <c r="N149" s="15" t="str">
        <f t="shared" si="32"/>
        <v>金币</v>
      </c>
      <c r="O149" s="15">
        <f>IF(L149&gt;1,INDEX(挂机升级突破!$AI$35:$AI$55,卡牌消耗!L149),"")</f>
        <v>66000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AO149" s="67">
        <v>145</v>
      </c>
      <c r="AP149" s="67">
        <v>14</v>
      </c>
      <c r="AQ149" s="22">
        <f t="shared" si="41"/>
        <v>9.6551724137931033E-2</v>
      </c>
      <c r="AR149" s="67">
        <v>8.9999999999999893</v>
      </c>
      <c r="AS149" s="67">
        <f t="shared" si="42"/>
        <v>1782103</v>
      </c>
      <c r="AT149" s="67">
        <f>SUM(AS$5:AS149)</f>
        <v>29889356</v>
      </c>
    </row>
    <row r="150" spans="9:46" ht="16.5" x14ac:dyDescent="0.2">
      <c r="I150" s="35">
        <v>114</v>
      </c>
      <c r="J150" s="15">
        <f t="shared" si="28"/>
        <v>1102006</v>
      </c>
      <c r="K150" s="15">
        <f t="shared" si="29"/>
        <v>4</v>
      </c>
      <c r="L150" s="15">
        <f t="shared" si="31"/>
        <v>9</v>
      </c>
      <c r="M150" s="15" t="str">
        <f t="shared" si="30"/>
        <v>黄</v>
      </c>
      <c r="N150" s="15" t="str">
        <f t="shared" si="32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AO150" s="67">
        <v>146</v>
      </c>
      <c r="AP150" s="67">
        <v>15</v>
      </c>
      <c r="AQ150" s="22">
        <f t="shared" si="41"/>
        <v>0.10344827586206896</v>
      </c>
      <c r="AR150" s="67">
        <v>8.9999999999999893</v>
      </c>
      <c r="AS150" s="67">
        <f t="shared" si="42"/>
        <v>1909396</v>
      </c>
      <c r="AT150" s="67">
        <f>SUM(AS$5:AS150)</f>
        <v>31798752</v>
      </c>
    </row>
    <row r="151" spans="9:46" ht="16.5" x14ac:dyDescent="0.2">
      <c r="I151" s="35">
        <v>115</v>
      </c>
      <c r="J151" s="15">
        <f t="shared" si="28"/>
        <v>1102006</v>
      </c>
      <c r="K151" s="15">
        <f t="shared" si="29"/>
        <v>4</v>
      </c>
      <c r="L151" s="15">
        <f t="shared" si="31"/>
        <v>10</v>
      </c>
      <c r="M151" s="15" t="str">
        <f t="shared" si="30"/>
        <v>黄</v>
      </c>
      <c r="N151" s="15" t="str">
        <f t="shared" si="32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AO151" s="67">
        <v>147</v>
      </c>
      <c r="AP151" s="67">
        <v>16</v>
      </c>
      <c r="AQ151" s="22">
        <f t="shared" si="41"/>
        <v>0.1103448275862069</v>
      </c>
      <c r="AR151" s="67">
        <v>8.9999999999999893</v>
      </c>
      <c r="AS151" s="67">
        <f t="shared" si="42"/>
        <v>2036689</v>
      </c>
      <c r="AT151" s="67">
        <f>SUM(AS$5:AS151)</f>
        <v>33835441</v>
      </c>
    </row>
    <row r="152" spans="9:46" ht="16.5" x14ac:dyDescent="0.2">
      <c r="I152" s="35">
        <v>116</v>
      </c>
      <c r="J152" s="15">
        <f t="shared" si="28"/>
        <v>1102006</v>
      </c>
      <c r="K152" s="15">
        <f t="shared" si="29"/>
        <v>4</v>
      </c>
      <c r="L152" s="15">
        <f t="shared" si="31"/>
        <v>11</v>
      </c>
      <c r="M152" s="15" t="str">
        <f t="shared" si="30"/>
        <v>黄</v>
      </c>
      <c r="N152" s="15" t="str">
        <f t="shared" si="32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AO152" s="67">
        <v>148</v>
      </c>
      <c r="AP152" s="67">
        <v>17</v>
      </c>
      <c r="AQ152" s="22">
        <f t="shared" si="41"/>
        <v>0.11724137931034483</v>
      </c>
      <c r="AR152" s="67">
        <v>8.9999999999999893</v>
      </c>
      <c r="AS152" s="67">
        <f t="shared" si="42"/>
        <v>2163982</v>
      </c>
      <c r="AT152" s="67">
        <f>SUM(AS$5:AS152)</f>
        <v>35999423</v>
      </c>
    </row>
    <row r="153" spans="9:46" ht="16.5" x14ac:dyDescent="0.2">
      <c r="I153" s="35">
        <v>117</v>
      </c>
      <c r="J153" s="15">
        <f t="shared" si="28"/>
        <v>1102006</v>
      </c>
      <c r="K153" s="15">
        <f t="shared" si="29"/>
        <v>4</v>
      </c>
      <c r="L153" s="15">
        <f t="shared" si="31"/>
        <v>12</v>
      </c>
      <c r="M153" s="15" t="str">
        <f t="shared" si="30"/>
        <v>黄</v>
      </c>
      <c r="N153" s="15" t="str">
        <f t="shared" si="32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AO153" s="67">
        <v>149</v>
      </c>
      <c r="AP153" s="67">
        <v>18</v>
      </c>
      <c r="AQ153" s="22">
        <f t="shared" si="41"/>
        <v>0.12413793103448276</v>
      </c>
      <c r="AR153" s="67">
        <v>8.9999999999999893</v>
      </c>
      <c r="AS153" s="67">
        <f t="shared" si="42"/>
        <v>2291275</v>
      </c>
      <c r="AT153" s="67">
        <f>SUM(AS$5:AS153)</f>
        <v>38290698</v>
      </c>
    </row>
    <row r="154" spans="9:46" ht="16.5" x14ac:dyDescent="0.2">
      <c r="I154" s="35">
        <v>118</v>
      </c>
      <c r="J154" s="15">
        <f t="shared" si="28"/>
        <v>1102006</v>
      </c>
      <c r="K154" s="15">
        <f t="shared" si="29"/>
        <v>4</v>
      </c>
      <c r="L154" s="15">
        <f t="shared" si="31"/>
        <v>13</v>
      </c>
      <c r="M154" s="15" t="str">
        <f t="shared" si="30"/>
        <v>黄</v>
      </c>
      <c r="N154" s="15" t="str">
        <f t="shared" si="32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AO154" s="67">
        <v>150</v>
      </c>
      <c r="AP154" s="67">
        <v>19</v>
      </c>
      <c r="AQ154" s="22">
        <f t="shared" si="41"/>
        <v>0.1310344827586207</v>
      </c>
      <c r="AR154" s="67">
        <v>8.9999999999999893</v>
      </c>
      <c r="AS154" s="67">
        <f t="shared" si="42"/>
        <v>2418568</v>
      </c>
      <c r="AT154" s="67">
        <f>SUM(AS$5:AS154)</f>
        <v>40709266</v>
      </c>
    </row>
    <row r="155" spans="9:46" ht="16.5" x14ac:dyDescent="0.2">
      <c r="I155" s="35">
        <v>119</v>
      </c>
      <c r="J155" s="15">
        <f t="shared" si="28"/>
        <v>1102006</v>
      </c>
      <c r="K155" s="15">
        <f t="shared" si="29"/>
        <v>4</v>
      </c>
      <c r="L155" s="15">
        <f t="shared" si="31"/>
        <v>14</v>
      </c>
      <c r="M155" s="15" t="str">
        <f t="shared" si="30"/>
        <v>黄</v>
      </c>
      <c r="N155" s="15" t="str">
        <f t="shared" si="32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46" ht="16.5" x14ac:dyDescent="0.2">
      <c r="I156" s="35">
        <v>120</v>
      </c>
      <c r="J156" s="15">
        <f t="shared" si="28"/>
        <v>1102006</v>
      </c>
      <c r="K156" s="15">
        <f t="shared" si="29"/>
        <v>4</v>
      </c>
      <c r="L156" s="15">
        <f t="shared" si="31"/>
        <v>15</v>
      </c>
      <c r="M156" s="15" t="str">
        <f t="shared" si="30"/>
        <v>黄</v>
      </c>
      <c r="N156" s="15" t="str">
        <f t="shared" si="32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46" ht="16.5" x14ac:dyDescent="0.2">
      <c r="I157" s="35">
        <v>121</v>
      </c>
      <c r="J157" s="15">
        <f t="shared" si="28"/>
        <v>1102006</v>
      </c>
      <c r="K157" s="15">
        <f t="shared" si="29"/>
        <v>4</v>
      </c>
      <c r="L157" s="15">
        <f t="shared" si="31"/>
        <v>16</v>
      </c>
      <c r="M157" s="15" t="str">
        <f t="shared" si="30"/>
        <v>黄</v>
      </c>
      <c r="N157" s="15" t="str">
        <f t="shared" si="32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46" ht="16.5" x14ac:dyDescent="0.2">
      <c r="I158" s="35">
        <v>122</v>
      </c>
      <c r="J158" s="15">
        <f t="shared" si="28"/>
        <v>1102006</v>
      </c>
      <c r="K158" s="15">
        <f t="shared" si="29"/>
        <v>4</v>
      </c>
      <c r="L158" s="15">
        <f t="shared" si="31"/>
        <v>17</v>
      </c>
      <c r="M158" s="15" t="str">
        <f t="shared" si="30"/>
        <v>黄</v>
      </c>
      <c r="N158" s="15" t="str">
        <f t="shared" si="32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46" ht="16.5" x14ac:dyDescent="0.2">
      <c r="I159" s="35">
        <v>123</v>
      </c>
      <c r="J159" s="15">
        <f t="shared" si="28"/>
        <v>1102006</v>
      </c>
      <c r="K159" s="15">
        <f t="shared" si="29"/>
        <v>4</v>
      </c>
      <c r="L159" s="15">
        <f t="shared" si="31"/>
        <v>18</v>
      </c>
      <c r="M159" s="15" t="str">
        <f t="shared" si="30"/>
        <v>黄</v>
      </c>
      <c r="N159" s="15" t="str">
        <f t="shared" si="32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46" ht="16.5" x14ac:dyDescent="0.2">
      <c r="I160" s="35">
        <v>124</v>
      </c>
      <c r="J160" s="15">
        <f t="shared" si="28"/>
        <v>1102006</v>
      </c>
      <c r="K160" s="15">
        <f t="shared" si="29"/>
        <v>4</v>
      </c>
      <c r="L160" s="15">
        <f t="shared" si="31"/>
        <v>19</v>
      </c>
      <c r="M160" s="15" t="str">
        <f t="shared" si="30"/>
        <v>黄</v>
      </c>
      <c r="N160" s="15" t="str">
        <f t="shared" si="32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28"/>
        <v>1102006</v>
      </c>
      <c r="K161" s="15">
        <f t="shared" si="29"/>
        <v>4</v>
      </c>
      <c r="L161" s="15">
        <f t="shared" si="31"/>
        <v>20</v>
      </c>
      <c r="M161" s="15" t="str">
        <f t="shared" si="30"/>
        <v>黄</v>
      </c>
      <c r="N161" s="15" t="str">
        <f t="shared" si="32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28"/>
        <v>1102006</v>
      </c>
      <c r="K162" s="15">
        <f t="shared" si="29"/>
        <v>4</v>
      </c>
      <c r="L162" s="15">
        <f t="shared" si="31"/>
        <v>21</v>
      </c>
      <c r="M162" s="15" t="str">
        <f t="shared" si="30"/>
        <v>黄</v>
      </c>
      <c r="N162" s="15" t="str">
        <f t="shared" si="32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28"/>
        <v>1102007</v>
      </c>
      <c r="K163" s="15">
        <f t="shared" si="29"/>
        <v>4</v>
      </c>
      <c r="L163" s="15">
        <f t="shared" si="31"/>
        <v>1</v>
      </c>
      <c r="M163" s="15" t="str">
        <f t="shared" si="30"/>
        <v>红</v>
      </c>
      <c r="N163" s="15" t="str">
        <f t="shared" si="32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28"/>
        <v>1102007</v>
      </c>
      <c r="K164" s="15">
        <f t="shared" si="29"/>
        <v>4</v>
      </c>
      <c r="L164" s="15">
        <f t="shared" si="31"/>
        <v>2</v>
      </c>
      <c r="M164" s="15" t="str">
        <f t="shared" si="30"/>
        <v>红</v>
      </c>
      <c r="N164" s="15" t="str">
        <f t="shared" si="32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43">INDEX($A$13:$A$33,INT((I165-1)/21)+1)</f>
        <v>1102007</v>
      </c>
      <c r="K165" s="15">
        <f t="shared" ref="K165:K228" si="44">VLOOKUP(J165,$A$13:$D$33,3)</f>
        <v>4</v>
      </c>
      <c r="L165" s="15">
        <f t="shared" si="31"/>
        <v>3</v>
      </c>
      <c r="M165" s="15" t="str">
        <f t="shared" ref="M165:M228" si="45">INDEX($J$2:$L$2,INDEX($E$13:$E$33,INT((I165-1)/21)+1))</f>
        <v>红</v>
      </c>
      <c r="N165" s="15" t="str">
        <f t="shared" si="32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43"/>
        <v>1102007</v>
      </c>
      <c r="K166" s="15">
        <f t="shared" si="44"/>
        <v>4</v>
      </c>
      <c r="L166" s="15">
        <f t="shared" ref="L166:L229" si="46">MOD((I166-1),21)+1</f>
        <v>4</v>
      </c>
      <c r="M166" s="15" t="str">
        <f t="shared" si="45"/>
        <v>红</v>
      </c>
      <c r="N166" s="15" t="str">
        <f t="shared" ref="N166:N229" si="47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43"/>
        <v>1102007</v>
      </c>
      <c r="K167" s="15">
        <f t="shared" si="44"/>
        <v>4</v>
      </c>
      <c r="L167" s="15">
        <f t="shared" si="46"/>
        <v>5</v>
      </c>
      <c r="M167" s="15" t="str">
        <f t="shared" si="45"/>
        <v>红</v>
      </c>
      <c r="N167" s="15" t="str">
        <f t="shared" si="47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43"/>
        <v>1102007</v>
      </c>
      <c r="K168" s="15">
        <f t="shared" si="44"/>
        <v>4</v>
      </c>
      <c r="L168" s="15">
        <f t="shared" si="46"/>
        <v>6</v>
      </c>
      <c r="M168" s="15" t="str">
        <f t="shared" si="45"/>
        <v>红</v>
      </c>
      <c r="N168" s="15" t="str">
        <f t="shared" si="47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43"/>
        <v>1102007</v>
      </c>
      <c r="K169" s="15">
        <f t="shared" si="44"/>
        <v>4</v>
      </c>
      <c r="L169" s="15">
        <f t="shared" si="46"/>
        <v>7</v>
      </c>
      <c r="M169" s="15" t="str">
        <f t="shared" si="45"/>
        <v>红</v>
      </c>
      <c r="N169" s="15" t="str">
        <f t="shared" si="47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43"/>
        <v>1102007</v>
      </c>
      <c r="K170" s="15">
        <f t="shared" si="44"/>
        <v>4</v>
      </c>
      <c r="L170" s="15">
        <f t="shared" si="46"/>
        <v>8</v>
      </c>
      <c r="M170" s="15" t="str">
        <f t="shared" si="45"/>
        <v>红</v>
      </c>
      <c r="N170" s="15" t="str">
        <f t="shared" si="47"/>
        <v>金币</v>
      </c>
      <c r="O170" s="15">
        <f>IF(L170&gt;1,INDEX(挂机升级突破!$AI$35:$AI$55,卡牌消耗!L170),"")</f>
        <v>66000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43"/>
        <v>1102007</v>
      </c>
      <c r="K171" s="15">
        <f t="shared" si="44"/>
        <v>4</v>
      </c>
      <c r="L171" s="15">
        <f t="shared" si="46"/>
        <v>9</v>
      </c>
      <c r="M171" s="15" t="str">
        <f t="shared" si="45"/>
        <v>红</v>
      </c>
      <c r="N171" s="15" t="str">
        <f t="shared" si="47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43"/>
        <v>1102007</v>
      </c>
      <c r="K172" s="15">
        <f t="shared" si="44"/>
        <v>4</v>
      </c>
      <c r="L172" s="15">
        <f t="shared" si="46"/>
        <v>10</v>
      </c>
      <c r="M172" s="15" t="str">
        <f t="shared" si="45"/>
        <v>红</v>
      </c>
      <c r="N172" s="15" t="str">
        <f t="shared" si="47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43"/>
        <v>1102007</v>
      </c>
      <c r="K173" s="15">
        <f t="shared" si="44"/>
        <v>4</v>
      </c>
      <c r="L173" s="15">
        <f t="shared" si="46"/>
        <v>11</v>
      </c>
      <c r="M173" s="15" t="str">
        <f t="shared" si="45"/>
        <v>红</v>
      </c>
      <c r="N173" s="15" t="str">
        <f t="shared" si="47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43"/>
        <v>1102007</v>
      </c>
      <c r="K174" s="15">
        <f t="shared" si="44"/>
        <v>4</v>
      </c>
      <c r="L174" s="15">
        <f t="shared" si="46"/>
        <v>12</v>
      </c>
      <c r="M174" s="15" t="str">
        <f t="shared" si="45"/>
        <v>红</v>
      </c>
      <c r="N174" s="15" t="str">
        <f t="shared" si="47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43"/>
        <v>1102007</v>
      </c>
      <c r="K175" s="15">
        <f t="shared" si="44"/>
        <v>4</v>
      </c>
      <c r="L175" s="15">
        <f t="shared" si="46"/>
        <v>13</v>
      </c>
      <c r="M175" s="15" t="str">
        <f t="shared" si="45"/>
        <v>红</v>
      </c>
      <c r="N175" s="15" t="str">
        <f t="shared" si="47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43"/>
        <v>1102007</v>
      </c>
      <c r="K176" s="15">
        <f t="shared" si="44"/>
        <v>4</v>
      </c>
      <c r="L176" s="15">
        <f t="shared" si="46"/>
        <v>14</v>
      </c>
      <c r="M176" s="15" t="str">
        <f t="shared" si="45"/>
        <v>红</v>
      </c>
      <c r="N176" s="15" t="str">
        <f t="shared" si="47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43"/>
        <v>1102007</v>
      </c>
      <c r="K177" s="15">
        <f t="shared" si="44"/>
        <v>4</v>
      </c>
      <c r="L177" s="15">
        <f t="shared" si="46"/>
        <v>15</v>
      </c>
      <c r="M177" s="15" t="str">
        <f t="shared" si="45"/>
        <v>红</v>
      </c>
      <c r="N177" s="15" t="str">
        <f t="shared" si="47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43"/>
        <v>1102007</v>
      </c>
      <c r="K178" s="15">
        <f t="shared" si="44"/>
        <v>4</v>
      </c>
      <c r="L178" s="15">
        <f t="shared" si="46"/>
        <v>16</v>
      </c>
      <c r="M178" s="15" t="str">
        <f t="shared" si="45"/>
        <v>红</v>
      </c>
      <c r="N178" s="15" t="str">
        <f t="shared" si="47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43"/>
        <v>1102007</v>
      </c>
      <c r="K179" s="15">
        <f t="shared" si="44"/>
        <v>4</v>
      </c>
      <c r="L179" s="15">
        <f t="shared" si="46"/>
        <v>17</v>
      </c>
      <c r="M179" s="15" t="str">
        <f t="shared" si="45"/>
        <v>红</v>
      </c>
      <c r="N179" s="15" t="str">
        <f t="shared" si="47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43"/>
        <v>1102007</v>
      </c>
      <c r="K180" s="15">
        <f t="shared" si="44"/>
        <v>4</v>
      </c>
      <c r="L180" s="15">
        <f t="shared" si="46"/>
        <v>18</v>
      </c>
      <c r="M180" s="15" t="str">
        <f t="shared" si="45"/>
        <v>红</v>
      </c>
      <c r="N180" s="15" t="str">
        <f t="shared" si="47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43"/>
        <v>1102007</v>
      </c>
      <c r="K181" s="15">
        <f t="shared" si="44"/>
        <v>4</v>
      </c>
      <c r="L181" s="15">
        <f t="shared" si="46"/>
        <v>19</v>
      </c>
      <c r="M181" s="15" t="str">
        <f t="shared" si="45"/>
        <v>红</v>
      </c>
      <c r="N181" s="15" t="str">
        <f t="shared" si="47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43"/>
        <v>1102007</v>
      </c>
      <c r="K182" s="15">
        <f t="shared" si="44"/>
        <v>4</v>
      </c>
      <c r="L182" s="15">
        <f t="shared" si="46"/>
        <v>20</v>
      </c>
      <c r="M182" s="15" t="str">
        <f t="shared" si="45"/>
        <v>红</v>
      </c>
      <c r="N182" s="15" t="str">
        <f t="shared" si="47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43"/>
        <v>1102007</v>
      </c>
      <c r="K183" s="15">
        <f t="shared" si="44"/>
        <v>4</v>
      </c>
      <c r="L183" s="15">
        <f t="shared" si="46"/>
        <v>21</v>
      </c>
      <c r="M183" s="15" t="str">
        <f t="shared" si="45"/>
        <v>红</v>
      </c>
      <c r="N183" s="15" t="str">
        <f t="shared" si="47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43"/>
        <v>1102008</v>
      </c>
      <c r="K184" s="15">
        <f t="shared" si="44"/>
        <v>3</v>
      </c>
      <c r="L184" s="15">
        <f t="shared" si="46"/>
        <v>1</v>
      </c>
      <c r="M184" s="15" t="str">
        <f t="shared" si="45"/>
        <v>红</v>
      </c>
      <c r="N184" s="15" t="str">
        <f t="shared" si="47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43"/>
        <v>1102008</v>
      </c>
      <c r="K185" s="15">
        <f t="shared" si="44"/>
        <v>3</v>
      </c>
      <c r="L185" s="15">
        <f t="shared" si="46"/>
        <v>2</v>
      </c>
      <c r="M185" s="15" t="str">
        <f t="shared" si="45"/>
        <v>红</v>
      </c>
      <c r="N185" s="15" t="str">
        <f t="shared" si="47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43"/>
        <v>1102008</v>
      </c>
      <c r="K186" s="15">
        <f t="shared" si="44"/>
        <v>3</v>
      </c>
      <c r="L186" s="15">
        <f t="shared" si="46"/>
        <v>3</v>
      </c>
      <c r="M186" s="15" t="str">
        <f t="shared" si="45"/>
        <v>红</v>
      </c>
      <c r="N186" s="15" t="str">
        <f t="shared" si="47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43"/>
        <v>1102008</v>
      </c>
      <c r="K187" s="15">
        <f t="shared" si="44"/>
        <v>3</v>
      </c>
      <c r="L187" s="15">
        <f t="shared" si="46"/>
        <v>4</v>
      </c>
      <c r="M187" s="15" t="str">
        <f t="shared" si="45"/>
        <v>红</v>
      </c>
      <c r="N187" s="15" t="str">
        <f t="shared" si="47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43"/>
        <v>1102008</v>
      </c>
      <c r="K188" s="15">
        <f t="shared" si="44"/>
        <v>3</v>
      </c>
      <c r="L188" s="15">
        <f t="shared" si="46"/>
        <v>5</v>
      </c>
      <c r="M188" s="15" t="str">
        <f t="shared" si="45"/>
        <v>红</v>
      </c>
      <c r="N188" s="15" t="str">
        <f t="shared" si="47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43"/>
        <v>1102008</v>
      </c>
      <c r="K189" s="15">
        <f t="shared" si="44"/>
        <v>3</v>
      </c>
      <c r="L189" s="15">
        <f t="shared" si="46"/>
        <v>6</v>
      </c>
      <c r="M189" s="15" t="str">
        <f t="shared" si="45"/>
        <v>红</v>
      </c>
      <c r="N189" s="15" t="str">
        <f t="shared" si="47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43"/>
        <v>1102008</v>
      </c>
      <c r="K190" s="15">
        <f t="shared" si="44"/>
        <v>3</v>
      </c>
      <c r="L190" s="15">
        <f t="shared" si="46"/>
        <v>7</v>
      </c>
      <c r="M190" s="15" t="str">
        <f t="shared" si="45"/>
        <v>红</v>
      </c>
      <c r="N190" s="15" t="str">
        <f t="shared" si="47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43"/>
        <v>1102008</v>
      </c>
      <c r="K191" s="15">
        <f t="shared" si="44"/>
        <v>3</v>
      </c>
      <c r="L191" s="15">
        <f t="shared" si="46"/>
        <v>8</v>
      </c>
      <c r="M191" s="15" t="str">
        <f t="shared" si="45"/>
        <v>红</v>
      </c>
      <c r="N191" s="15" t="str">
        <f t="shared" si="47"/>
        <v>金币</v>
      </c>
      <c r="O191" s="15">
        <f>IF(L191&gt;1,INDEX(挂机升级突破!$AI$35:$AI$55,卡牌消耗!L191),"")</f>
        <v>66000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43"/>
        <v>1102008</v>
      </c>
      <c r="K192" s="15">
        <f t="shared" si="44"/>
        <v>3</v>
      </c>
      <c r="L192" s="15">
        <f t="shared" si="46"/>
        <v>9</v>
      </c>
      <c r="M192" s="15" t="str">
        <f t="shared" si="45"/>
        <v>红</v>
      </c>
      <c r="N192" s="15" t="str">
        <f t="shared" si="47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43"/>
        <v>1102008</v>
      </c>
      <c r="K193" s="15">
        <f t="shared" si="44"/>
        <v>3</v>
      </c>
      <c r="L193" s="15">
        <f t="shared" si="46"/>
        <v>10</v>
      </c>
      <c r="M193" s="15" t="str">
        <f t="shared" si="45"/>
        <v>红</v>
      </c>
      <c r="N193" s="15" t="str">
        <f t="shared" si="47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43"/>
        <v>1102008</v>
      </c>
      <c r="K194" s="15">
        <f t="shared" si="44"/>
        <v>3</v>
      </c>
      <c r="L194" s="15">
        <f t="shared" si="46"/>
        <v>11</v>
      </c>
      <c r="M194" s="15" t="str">
        <f t="shared" si="45"/>
        <v>红</v>
      </c>
      <c r="N194" s="15" t="str">
        <f t="shared" si="47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43"/>
        <v>1102008</v>
      </c>
      <c r="K195" s="15">
        <f t="shared" si="44"/>
        <v>3</v>
      </c>
      <c r="L195" s="15">
        <f t="shared" si="46"/>
        <v>12</v>
      </c>
      <c r="M195" s="15" t="str">
        <f t="shared" si="45"/>
        <v>红</v>
      </c>
      <c r="N195" s="15" t="str">
        <f t="shared" si="47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43"/>
        <v>1102008</v>
      </c>
      <c r="K196" s="15">
        <f t="shared" si="44"/>
        <v>3</v>
      </c>
      <c r="L196" s="15">
        <f t="shared" si="46"/>
        <v>13</v>
      </c>
      <c r="M196" s="15" t="str">
        <f t="shared" si="45"/>
        <v>红</v>
      </c>
      <c r="N196" s="15" t="str">
        <f t="shared" si="47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43"/>
        <v>1102008</v>
      </c>
      <c r="K197" s="15">
        <f t="shared" si="44"/>
        <v>3</v>
      </c>
      <c r="L197" s="15">
        <f t="shared" si="46"/>
        <v>14</v>
      </c>
      <c r="M197" s="15" t="str">
        <f t="shared" si="45"/>
        <v>红</v>
      </c>
      <c r="N197" s="15" t="str">
        <f t="shared" si="47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43"/>
        <v>1102008</v>
      </c>
      <c r="K198" s="15">
        <f t="shared" si="44"/>
        <v>3</v>
      </c>
      <c r="L198" s="15">
        <f t="shared" si="46"/>
        <v>15</v>
      </c>
      <c r="M198" s="15" t="str">
        <f t="shared" si="45"/>
        <v>红</v>
      </c>
      <c r="N198" s="15" t="str">
        <f t="shared" si="47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43"/>
        <v>1102008</v>
      </c>
      <c r="K199" s="15">
        <f t="shared" si="44"/>
        <v>3</v>
      </c>
      <c r="L199" s="15">
        <f t="shared" si="46"/>
        <v>16</v>
      </c>
      <c r="M199" s="15" t="str">
        <f t="shared" si="45"/>
        <v>红</v>
      </c>
      <c r="N199" s="15" t="str">
        <f t="shared" si="47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43"/>
        <v>1102008</v>
      </c>
      <c r="K200" s="15">
        <f t="shared" si="44"/>
        <v>3</v>
      </c>
      <c r="L200" s="15">
        <f t="shared" si="46"/>
        <v>17</v>
      </c>
      <c r="M200" s="15" t="str">
        <f t="shared" si="45"/>
        <v>红</v>
      </c>
      <c r="N200" s="15" t="str">
        <f t="shared" si="47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43"/>
        <v>1102008</v>
      </c>
      <c r="K201" s="15">
        <f t="shared" si="44"/>
        <v>3</v>
      </c>
      <c r="L201" s="15">
        <f t="shared" si="46"/>
        <v>18</v>
      </c>
      <c r="M201" s="15" t="str">
        <f t="shared" si="45"/>
        <v>红</v>
      </c>
      <c r="N201" s="15" t="str">
        <f t="shared" si="47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43"/>
        <v>1102008</v>
      </c>
      <c r="K202" s="15">
        <f t="shared" si="44"/>
        <v>3</v>
      </c>
      <c r="L202" s="15">
        <f t="shared" si="46"/>
        <v>19</v>
      </c>
      <c r="M202" s="15" t="str">
        <f t="shared" si="45"/>
        <v>红</v>
      </c>
      <c r="N202" s="15" t="str">
        <f t="shared" si="47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43"/>
        <v>1102008</v>
      </c>
      <c r="K203" s="15">
        <f t="shared" si="44"/>
        <v>3</v>
      </c>
      <c r="L203" s="15">
        <f t="shared" si="46"/>
        <v>20</v>
      </c>
      <c r="M203" s="15" t="str">
        <f t="shared" si="45"/>
        <v>红</v>
      </c>
      <c r="N203" s="15" t="str">
        <f t="shared" si="47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43"/>
        <v>1102008</v>
      </c>
      <c r="K204" s="15">
        <f t="shared" si="44"/>
        <v>3</v>
      </c>
      <c r="L204" s="15">
        <f t="shared" si="46"/>
        <v>21</v>
      </c>
      <c r="M204" s="15" t="str">
        <f t="shared" si="45"/>
        <v>红</v>
      </c>
      <c r="N204" s="15" t="str">
        <f t="shared" si="47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43"/>
        <v>1102009</v>
      </c>
      <c r="K205" s="15">
        <f t="shared" si="44"/>
        <v>4</v>
      </c>
      <c r="L205" s="15">
        <f t="shared" si="46"/>
        <v>1</v>
      </c>
      <c r="M205" s="15" t="str">
        <f t="shared" si="45"/>
        <v>黄</v>
      </c>
      <c r="N205" s="15" t="str">
        <f t="shared" si="47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43"/>
        <v>1102009</v>
      </c>
      <c r="K206" s="15">
        <f t="shared" si="44"/>
        <v>4</v>
      </c>
      <c r="L206" s="15">
        <f t="shared" si="46"/>
        <v>2</v>
      </c>
      <c r="M206" s="15" t="str">
        <f t="shared" si="45"/>
        <v>黄</v>
      </c>
      <c r="N206" s="15" t="str">
        <f t="shared" si="47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43"/>
        <v>1102009</v>
      </c>
      <c r="K207" s="15">
        <f t="shared" si="44"/>
        <v>4</v>
      </c>
      <c r="L207" s="15">
        <f t="shared" si="46"/>
        <v>3</v>
      </c>
      <c r="M207" s="15" t="str">
        <f t="shared" si="45"/>
        <v>黄</v>
      </c>
      <c r="N207" s="15" t="str">
        <f t="shared" si="47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43"/>
        <v>1102009</v>
      </c>
      <c r="K208" s="15">
        <f t="shared" si="44"/>
        <v>4</v>
      </c>
      <c r="L208" s="15">
        <f t="shared" si="46"/>
        <v>4</v>
      </c>
      <c r="M208" s="15" t="str">
        <f t="shared" si="45"/>
        <v>黄</v>
      </c>
      <c r="N208" s="15" t="str">
        <f t="shared" si="47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43"/>
        <v>1102009</v>
      </c>
      <c r="K209" s="15">
        <f t="shared" si="44"/>
        <v>4</v>
      </c>
      <c r="L209" s="15">
        <f t="shared" si="46"/>
        <v>5</v>
      </c>
      <c r="M209" s="15" t="str">
        <f t="shared" si="45"/>
        <v>黄</v>
      </c>
      <c r="N209" s="15" t="str">
        <f t="shared" si="47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43"/>
        <v>1102009</v>
      </c>
      <c r="K210" s="15">
        <f t="shared" si="44"/>
        <v>4</v>
      </c>
      <c r="L210" s="15">
        <f t="shared" si="46"/>
        <v>6</v>
      </c>
      <c r="M210" s="15" t="str">
        <f t="shared" si="45"/>
        <v>黄</v>
      </c>
      <c r="N210" s="15" t="str">
        <f t="shared" si="47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43"/>
        <v>1102009</v>
      </c>
      <c r="K211" s="15">
        <f t="shared" si="44"/>
        <v>4</v>
      </c>
      <c r="L211" s="15">
        <f t="shared" si="46"/>
        <v>7</v>
      </c>
      <c r="M211" s="15" t="str">
        <f t="shared" si="45"/>
        <v>黄</v>
      </c>
      <c r="N211" s="15" t="str">
        <f t="shared" si="47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43"/>
        <v>1102009</v>
      </c>
      <c r="K212" s="15">
        <f t="shared" si="44"/>
        <v>4</v>
      </c>
      <c r="L212" s="15">
        <f t="shared" si="46"/>
        <v>8</v>
      </c>
      <c r="M212" s="15" t="str">
        <f t="shared" si="45"/>
        <v>黄</v>
      </c>
      <c r="N212" s="15" t="str">
        <f t="shared" si="47"/>
        <v>金币</v>
      </c>
      <c r="O212" s="15">
        <f>IF(L212&gt;1,INDEX(挂机升级突破!$AI$35:$AI$55,卡牌消耗!L212),"")</f>
        <v>66000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43"/>
        <v>1102009</v>
      </c>
      <c r="K213" s="15">
        <f t="shared" si="44"/>
        <v>4</v>
      </c>
      <c r="L213" s="15">
        <f t="shared" si="46"/>
        <v>9</v>
      </c>
      <c r="M213" s="15" t="str">
        <f t="shared" si="45"/>
        <v>黄</v>
      </c>
      <c r="N213" s="15" t="str">
        <f t="shared" si="47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43"/>
        <v>1102009</v>
      </c>
      <c r="K214" s="15">
        <f t="shared" si="44"/>
        <v>4</v>
      </c>
      <c r="L214" s="15">
        <f t="shared" si="46"/>
        <v>10</v>
      </c>
      <c r="M214" s="15" t="str">
        <f t="shared" si="45"/>
        <v>黄</v>
      </c>
      <c r="N214" s="15" t="str">
        <f t="shared" si="47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43"/>
        <v>1102009</v>
      </c>
      <c r="K215" s="15">
        <f t="shared" si="44"/>
        <v>4</v>
      </c>
      <c r="L215" s="15">
        <f t="shared" si="46"/>
        <v>11</v>
      </c>
      <c r="M215" s="15" t="str">
        <f t="shared" si="45"/>
        <v>黄</v>
      </c>
      <c r="N215" s="15" t="str">
        <f t="shared" si="47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43"/>
        <v>1102009</v>
      </c>
      <c r="K216" s="15">
        <f t="shared" si="44"/>
        <v>4</v>
      </c>
      <c r="L216" s="15">
        <f t="shared" si="46"/>
        <v>12</v>
      </c>
      <c r="M216" s="15" t="str">
        <f t="shared" si="45"/>
        <v>黄</v>
      </c>
      <c r="N216" s="15" t="str">
        <f t="shared" si="47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43"/>
        <v>1102009</v>
      </c>
      <c r="K217" s="15">
        <f t="shared" si="44"/>
        <v>4</v>
      </c>
      <c r="L217" s="15">
        <f t="shared" si="46"/>
        <v>13</v>
      </c>
      <c r="M217" s="15" t="str">
        <f t="shared" si="45"/>
        <v>黄</v>
      </c>
      <c r="N217" s="15" t="str">
        <f t="shared" si="47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43"/>
        <v>1102009</v>
      </c>
      <c r="K218" s="15">
        <f t="shared" si="44"/>
        <v>4</v>
      </c>
      <c r="L218" s="15">
        <f t="shared" si="46"/>
        <v>14</v>
      </c>
      <c r="M218" s="15" t="str">
        <f t="shared" si="45"/>
        <v>黄</v>
      </c>
      <c r="N218" s="15" t="str">
        <f t="shared" si="47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43"/>
        <v>1102009</v>
      </c>
      <c r="K219" s="15">
        <f t="shared" si="44"/>
        <v>4</v>
      </c>
      <c r="L219" s="15">
        <f t="shared" si="46"/>
        <v>15</v>
      </c>
      <c r="M219" s="15" t="str">
        <f t="shared" si="45"/>
        <v>黄</v>
      </c>
      <c r="N219" s="15" t="str">
        <f t="shared" si="47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43"/>
        <v>1102009</v>
      </c>
      <c r="K220" s="15">
        <f t="shared" si="44"/>
        <v>4</v>
      </c>
      <c r="L220" s="15">
        <f t="shared" si="46"/>
        <v>16</v>
      </c>
      <c r="M220" s="15" t="str">
        <f t="shared" si="45"/>
        <v>黄</v>
      </c>
      <c r="N220" s="15" t="str">
        <f t="shared" si="47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43"/>
        <v>1102009</v>
      </c>
      <c r="K221" s="15">
        <f t="shared" si="44"/>
        <v>4</v>
      </c>
      <c r="L221" s="15">
        <f t="shared" si="46"/>
        <v>17</v>
      </c>
      <c r="M221" s="15" t="str">
        <f t="shared" si="45"/>
        <v>黄</v>
      </c>
      <c r="N221" s="15" t="str">
        <f t="shared" si="47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43"/>
        <v>1102009</v>
      </c>
      <c r="K222" s="15">
        <f t="shared" si="44"/>
        <v>4</v>
      </c>
      <c r="L222" s="15">
        <f t="shared" si="46"/>
        <v>18</v>
      </c>
      <c r="M222" s="15" t="str">
        <f t="shared" si="45"/>
        <v>黄</v>
      </c>
      <c r="N222" s="15" t="str">
        <f t="shared" si="47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43"/>
        <v>1102009</v>
      </c>
      <c r="K223" s="15">
        <f t="shared" si="44"/>
        <v>4</v>
      </c>
      <c r="L223" s="15">
        <f t="shared" si="46"/>
        <v>19</v>
      </c>
      <c r="M223" s="15" t="str">
        <f t="shared" si="45"/>
        <v>黄</v>
      </c>
      <c r="N223" s="15" t="str">
        <f t="shared" si="47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43"/>
        <v>1102009</v>
      </c>
      <c r="K224" s="15">
        <f t="shared" si="44"/>
        <v>4</v>
      </c>
      <c r="L224" s="15">
        <f t="shared" si="46"/>
        <v>20</v>
      </c>
      <c r="M224" s="15" t="str">
        <f t="shared" si="45"/>
        <v>黄</v>
      </c>
      <c r="N224" s="15" t="str">
        <f t="shared" si="47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43"/>
        <v>1102009</v>
      </c>
      <c r="K225" s="15">
        <f t="shared" si="44"/>
        <v>4</v>
      </c>
      <c r="L225" s="15">
        <f t="shared" si="46"/>
        <v>21</v>
      </c>
      <c r="M225" s="15" t="str">
        <f t="shared" si="45"/>
        <v>黄</v>
      </c>
      <c r="N225" s="15" t="str">
        <f t="shared" si="47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43"/>
        <v>1102010</v>
      </c>
      <c r="K226" s="15">
        <f t="shared" si="44"/>
        <v>4</v>
      </c>
      <c r="L226" s="15">
        <f t="shared" si="46"/>
        <v>1</v>
      </c>
      <c r="M226" s="15" t="str">
        <f t="shared" si="45"/>
        <v>蓝</v>
      </c>
      <c r="N226" s="15" t="str">
        <f t="shared" si="47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43"/>
        <v>1102010</v>
      </c>
      <c r="K227" s="15">
        <f t="shared" si="44"/>
        <v>4</v>
      </c>
      <c r="L227" s="15">
        <f t="shared" si="46"/>
        <v>2</v>
      </c>
      <c r="M227" s="15" t="str">
        <f t="shared" si="45"/>
        <v>蓝</v>
      </c>
      <c r="N227" s="15" t="str">
        <f t="shared" si="47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43"/>
        <v>1102010</v>
      </c>
      <c r="K228" s="15">
        <f t="shared" si="44"/>
        <v>4</v>
      </c>
      <c r="L228" s="15">
        <f t="shared" si="46"/>
        <v>3</v>
      </c>
      <c r="M228" s="15" t="str">
        <f t="shared" si="45"/>
        <v>蓝</v>
      </c>
      <c r="N228" s="15" t="str">
        <f t="shared" si="47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48">INDEX($A$13:$A$33,INT((I229-1)/21)+1)</f>
        <v>1102010</v>
      </c>
      <c r="K229" s="15">
        <f t="shared" ref="K229:K292" si="49">VLOOKUP(J229,$A$13:$D$33,3)</f>
        <v>4</v>
      </c>
      <c r="L229" s="15">
        <f t="shared" si="46"/>
        <v>4</v>
      </c>
      <c r="M229" s="15" t="str">
        <f t="shared" ref="M229:M292" si="50">INDEX($J$2:$L$2,INDEX($E$13:$E$33,INT((I229-1)/21)+1))</f>
        <v>蓝</v>
      </c>
      <c r="N229" s="15" t="str">
        <f t="shared" si="47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48"/>
        <v>1102010</v>
      </c>
      <c r="K230" s="15">
        <f t="shared" si="49"/>
        <v>4</v>
      </c>
      <c r="L230" s="15">
        <f t="shared" ref="L230:L293" si="51">MOD((I230-1),21)+1</f>
        <v>5</v>
      </c>
      <c r="M230" s="15" t="str">
        <f t="shared" si="50"/>
        <v>蓝</v>
      </c>
      <c r="N230" s="15" t="str">
        <f t="shared" ref="N230:N293" si="52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48"/>
        <v>1102010</v>
      </c>
      <c r="K231" s="15">
        <f t="shared" si="49"/>
        <v>4</v>
      </c>
      <c r="L231" s="15">
        <f t="shared" si="51"/>
        <v>6</v>
      </c>
      <c r="M231" s="15" t="str">
        <f t="shared" si="50"/>
        <v>蓝</v>
      </c>
      <c r="N231" s="15" t="str">
        <f t="shared" si="52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48"/>
        <v>1102010</v>
      </c>
      <c r="K232" s="15">
        <f t="shared" si="49"/>
        <v>4</v>
      </c>
      <c r="L232" s="15">
        <f t="shared" si="51"/>
        <v>7</v>
      </c>
      <c r="M232" s="15" t="str">
        <f t="shared" si="50"/>
        <v>蓝</v>
      </c>
      <c r="N232" s="15" t="str">
        <f t="shared" si="52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48"/>
        <v>1102010</v>
      </c>
      <c r="K233" s="15">
        <f t="shared" si="49"/>
        <v>4</v>
      </c>
      <c r="L233" s="15">
        <f t="shared" si="51"/>
        <v>8</v>
      </c>
      <c r="M233" s="15" t="str">
        <f t="shared" si="50"/>
        <v>蓝</v>
      </c>
      <c r="N233" s="15" t="str">
        <f t="shared" si="52"/>
        <v>金币</v>
      </c>
      <c r="O233" s="15">
        <f>IF(L233&gt;1,INDEX(挂机升级突破!$AI$35:$AI$55,卡牌消耗!L233),"")</f>
        <v>66000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48"/>
        <v>1102010</v>
      </c>
      <c r="K234" s="15">
        <f t="shared" si="49"/>
        <v>4</v>
      </c>
      <c r="L234" s="15">
        <f t="shared" si="51"/>
        <v>9</v>
      </c>
      <c r="M234" s="15" t="str">
        <f t="shared" si="50"/>
        <v>蓝</v>
      </c>
      <c r="N234" s="15" t="str">
        <f t="shared" si="52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48"/>
        <v>1102010</v>
      </c>
      <c r="K235" s="15">
        <f t="shared" si="49"/>
        <v>4</v>
      </c>
      <c r="L235" s="15">
        <f t="shared" si="51"/>
        <v>10</v>
      </c>
      <c r="M235" s="15" t="str">
        <f t="shared" si="50"/>
        <v>蓝</v>
      </c>
      <c r="N235" s="15" t="str">
        <f t="shared" si="52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48"/>
        <v>1102010</v>
      </c>
      <c r="K236" s="15">
        <f t="shared" si="49"/>
        <v>4</v>
      </c>
      <c r="L236" s="15">
        <f t="shared" si="51"/>
        <v>11</v>
      </c>
      <c r="M236" s="15" t="str">
        <f t="shared" si="50"/>
        <v>蓝</v>
      </c>
      <c r="N236" s="15" t="str">
        <f t="shared" si="52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48"/>
        <v>1102010</v>
      </c>
      <c r="K237" s="15">
        <f t="shared" si="49"/>
        <v>4</v>
      </c>
      <c r="L237" s="15">
        <f t="shared" si="51"/>
        <v>12</v>
      </c>
      <c r="M237" s="15" t="str">
        <f t="shared" si="50"/>
        <v>蓝</v>
      </c>
      <c r="N237" s="15" t="str">
        <f t="shared" si="52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48"/>
        <v>1102010</v>
      </c>
      <c r="K238" s="15">
        <f t="shared" si="49"/>
        <v>4</v>
      </c>
      <c r="L238" s="15">
        <f t="shared" si="51"/>
        <v>13</v>
      </c>
      <c r="M238" s="15" t="str">
        <f t="shared" si="50"/>
        <v>蓝</v>
      </c>
      <c r="N238" s="15" t="str">
        <f t="shared" si="52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48"/>
        <v>1102010</v>
      </c>
      <c r="K239" s="15">
        <f t="shared" si="49"/>
        <v>4</v>
      </c>
      <c r="L239" s="15">
        <f t="shared" si="51"/>
        <v>14</v>
      </c>
      <c r="M239" s="15" t="str">
        <f t="shared" si="50"/>
        <v>蓝</v>
      </c>
      <c r="N239" s="15" t="str">
        <f t="shared" si="52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48"/>
        <v>1102010</v>
      </c>
      <c r="K240" s="15">
        <f t="shared" si="49"/>
        <v>4</v>
      </c>
      <c r="L240" s="15">
        <f t="shared" si="51"/>
        <v>15</v>
      </c>
      <c r="M240" s="15" t="str">
        <f t="shared" si="50"/>
        <v>蓝</v>
      </c>
      <c r="N240" s="15" t="str">
        <f t="shared" si="52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48"/>
        <v>1102010</v>
      </c>
      <c r="K241" s="15">
        <f t="shared" si="49"/>
        <v>4</v>
      </c>
      <c r="L241" s="15">
        <f t="shared" si="51"/>
        <v>16</v>
      </c>
      <c r="M241" s="15" t="str">
        <f t="shared" si="50"/>
        <v>蓝</v>
      </c>
      <c r="N241" s="15" t="str">
        <f t="shared" si="52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48"/>
        <v>1102010</v>
      </c>
      <c r="K242" s="15">
        <f t="shared" si="49"/>
        <v>4</v>
      </c>
      <c r="L242" s="15">
        <f t="shared" si="51"/>
        <v>17</v>
      </c>
      <c r="M242" s="15" t="str">
        <f t="shared" si="50"/>
        <v>蓝</v>
      </c>
      <c r="N242" s="15" t="str">
        <f t="shared" si="52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48"/>
        <v>1102010</v>
      </c>
      <c r="K243" s="15">
        <f t="shared" si="49"/>
        <v>4</v>
      </c>
      <c r="L243" s="15">
        <f t="shared" si="51"/>
        <v>18</v>
      </c>
      <c r="M243" s="15" t="str">
        <f t="shared" si="50"/>
        <v>蓝</v>
      </c>
      <c r="N243" s="15" t="str">
        <f t="shared" si="52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48"/>
        <v>1102010</v>
      </c>
      <c r="K244" s="15">
        <f t="shared" si="49"/>
        <v>4</v>
      </c>
      <c r="L244" s="15">
        <f t="shared" si="51"/>
        <v>19</v>
      </c>
      <c r="M244" s="15" t="str">
        <f t="shared" si="50"/>
        <v>蓝</v>
      </c>
      <c r="N244" s="15" t="str">
        <f t="shared" si="52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48"/>
        <v>1102010</v>
      </c>
      <c r="K245" s="15">
        <f t="shared" si="49"/>
        <v>4</v>
      </c>
      <c r="L245" s="15">
        <f t="shared" si="51"/>
        <v>20</v>
      </c>
      <c r="M245" s="15" t="str">
        <f t="shared" si="50"/>
        <v>蓝</v>
      </c>
      <c r="N245" s="15" t="str">
        <f t="shared" si="52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48"/>
        <v>1102010</v>
      </c>
      <c r="K246" s="15">
        <f t="shared" si="49"/>
        <v>4</v>
      </c>
      <c r="L246" s="15">
        <f t="shared" si="51"/>
        <v>21</v>
      </c>
      <c r="M246" s="15" t="str">
        <f t="shared" si="50"/>
        <v>蓝</v>
      </c>
      <c r="N246" s="15" t="str">
        <f t="shared" si="52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48"/>
        <v>1102011</v>
      </c>
      <c r="K247" s="15">
        <f t="shared" si="49"/>
        <v>4</v>
      </c>
      <c r="L247" s="15">
        <f t="shared" si="51"/>
        <v>1</v>
      </c>
      <c r="M247" s="15" t="str">
        <f t="shared" si="50"/>
        <v>黄</v>
      </c>
      <c r="N247" s="15" t="str">
        <f t="shared" si="52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48"/>
        <v>1102011</v>
      </c>
      <c r="K248" s="15">
        <f t="shared" si="49"/>
        <v>4</v>
      </c>
      <c r="L248" s="15">
        <f t="shared" si="51"/>
        <v>2</v>
      </c>
      <c r="M248" s="15" t="str">
        <f t="shared" si="50"/>
        <v>黄</v>
      </c>
      <c r="N248" s="15" t="str">
        <f t="shared" si="52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48"/>
        <v>1102011</v>
      </c>
      <c r="K249" s="15">
        <f t="shared" si="49"/>
        <v>4</v>
      </c>
      <c r="L249" s="15">
        <f t="shared" si="51"/>
        <v>3</v>
      </c>
      <c r="M249" s="15" t="str">
        <f t="shared" si="50"/>
        <v>黄</v>
      </c>
      <c r="N249" s="15" t="str">
        <f t="shared" si="52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48"/>
        <v>1102011</v>
      </c>
      <c r="K250" s="15">
        <f t="shared" si="49"/>
        <v>4</v>
      </c>
      <c r="L250" s="15">
        <f t="shared" si="51"/>
        <v>4</v>
      </c>
      <c r="M250" s="15" t="str">
        <f t="shared" si="50"/>
        <v>黄</v>
      </c>
      <c r="N250" s="15" t="str">
        <f t="shared" si="52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48"/>
        <v>1102011</v>
      </c>
      <c r="K251" s="15">
        <f t="shared" si="49"/>
        <v>4</v>
      </c>
      <c r="L251" s="15">
        <f t="shared" si="51"/>
        <v>5</v>
      </c>
      <c r="M251" s="15" t="str">
        <f t="shared" si="50"/>
        <v>黄</v>
      </c>
      <c r="N251" s="15" t="str">
        <f t="shared" si="52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48"/>
        <v>1102011</v>
      </c>
      <c r="K252" s="15">
        <f t="shared" si="49"/>
        <v>4</v>
      </c>
      <c r="L252" s="15">
        <f t="shared" si="51"/>
        <v>6</v>
      </c>
      <c r="M252" s="15" t="str">
        <f t="shared" si="50"/>
        <v>黄</v>
      </c>
      <c r="N252" s="15" t="str">
        <f t="shared" si="52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48"/>
        <v>1102011</v>
      </c>
      <c r="K253" s="15">
        <f t="shared" si="49"/>
        <v>4</v>
      </c>
      <c r="L253" s="15">
        <f t="shared" si="51"/>
        <v>7</v>
      </c>
      <c r="M253" s="15" t="str">
        <f t="shared" si="50"/>
        <v>黄</v>
      </c>
      <c r="N253" s="15" t="str">
        <f t="shared" si="52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48"/>
        <v>1102011</v>
      </c>
      <c r="K254" s="15">
        <f t="shared" si="49"/>
        <v>4</v>
      </c>
      <c r="L254" s="15">
        <f t="shared" si="51"/>
        <v>8</v>
      </c>
      <c r="M254" s="15" t="str">
        <f t="shared" si="50"/>
        <v>黄</v>
      </c>
      <c r="N254" s="15" t="str">
        <f t="shared" si="52"/>
        <v>金币</v>
      </c>
      <c r="O254" s="15">
        <f>IF(L254&gt;1,INDEX(挂机升级突破!$AI$35:$AI$55,卡牌消耗!L254),"")</f>
        <v>66000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48"/>
        <v>1102011</v>
      </c>
      <c r="K255" s="15">
        <f t="shared" si="49"/>
        <v>4</v>
      </c>
      <c r="L255" s="15">
        <f t="shared" si="51"/>
        <v>9</v>
      </c>
      <c r="M255" s="15" t="str">
        <f t="shared" si="50"/>
        <v>黄</v>
      </c>
      <c r="N255" s="15" t="str">
        <f t="shared" si="52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48"/>
        <v>1102011</v>
      </c>
      <c r="K256" s="15">
        <f t="shared" si="49"/>
        <v>4</v>
      </c>
      <c r="L256" s="15">
        <f t="shared" si="51"/>
        <v>10</v>
      </c>
      <c r="M256" s="15" t="str">
        <f t="shared" si="50"/>
        <v>黄</v>
      </c>
      <c r="N256" s="15" t="str">
        <f t="shared" si="52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48"/>
        <v>1102011</v>
      </c>
      <c r="K257" s="15">
        <f t="shared" si="49"/>
        <v>4</v>
      </c>
      <c r="L257" s="15">
        <f t="shared" si="51"/>
        <v>11</v>
      </c>
      <c r="M257" s="15" t="str">
        <f t="shared" si="50"/>
        <v>黄</v>
      </c>
      <c r="N257" s="15" t="str">
        <f t="shared" si="52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48"/>
        <v>1102011</v>
      </c>
      <c r="K258" s="15">
        <f t="shared" si="49"/>
        <v>4</v>
      </c>
      <c r="L258" s="15">
        <f t="shared" si="51"/>
        <v>12</v>
      </c>
      <c r="M258" s="15" t="str">
        <f t="shared" si="50"/>
        <v>黄</v>
      </c>
      <c r="N258" s="15" t="str">
        <f t="shared" si="52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48"/>
        <v>1102011</v>
      </c>
      <c r="K259" s="15">
        <f t="shared" si="49"/>
        <v>4</v>
      </c>
      <c r="L259" s="15">
        <f t="shared" si="51"/>
        <v>13</v>
      </c>
      <c r="M259" s="15" t="str">
        <f t="shared" si="50"/>
        <v>黄</v>
      </c>
      <c r="N259" s="15" t="str">
        <f t="shared" si="52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48"/>
        <v>1102011</v>
      </c>
      <c r="K260" s="15">
        <f t="shared" si="49"/>
        <v>4</v>
      </c>
      <c r="L260" s="15">
        <f t="shared" si="51"/>
        <v>14</v>
      </c>
      <c r="M260" s="15" t="str">
        <f t="shared" si="50"/>
        <v>黄</v>
      </c>
      <c r="N260" s="15" t="str">
        <f t="shared" si="52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48"/>
        <v>1102011</v>
      </c>
      <c r="K261" s="15">
        <f t="shared" si="49"/>
        <v>4</v>
      </c>
      <c r="L261" s="15">
        <f t="shared" si="51"/>
        <v>15</v>
      </c>
      <c r="M261" s="15" t="str">
        <f t="shared" si="50"/>
        <v>黄</v>
      </c>
      <c r="N261" s="15" t="str">
        <f t="shared" si="52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48"/>
        <v>1102011</v>
      </c>
      <c r="K262" s="15">
        <f t="shared" si="49"/>
        <v>4</v>
      </c>
      <c r="L262" s="15">
        <f t="shared" si="51"/>
        <v>16</v>
      </c>
      <c r="M262" s="15" t="str">
        <f t="shared" si="50"/>
        <v>黄</v>
      </c>
      <c r="N262" s="15" t="str">
        <f t="shared" si="52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48"/>
        <v>1102011</v>
      </c>
      <c r="K263" s="15">
        <f t="shared" si="49"/>
        <v>4</v>
      </c>
      <c r="L263" s="15">
        <f t="shared" si="51"/>
        <v>17</v>
      </c>
      <c r="M263" s="15" t="str">
        <f t="shared" si="50"/>
        <v>黄</v>
      </c>
      <c r="N263" s="15" t="str">
        <f t="shared" si="52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48"/>
        <v>1102011</v>
      </c>
      <c r="K264" s="15">
        <f t="shared" si="49"/>
        <v>4</v>
      </c>
      <c r="L264" s="15">
        <f t="shared" si="51"/>
        <v>18</v>
      </c>
      <c r="M264" s="15" t="str">
        <f t="shared" si="50"/>
        <v>黄</v>
      </c>
      <c r="N264" s="15" t="str">
        <f t="shared" si="52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48"/>
        <v>1102011</v>
      </c>
      <c r="K265" s="15">
        <f t="shared" si="49"/>
        <v>4</v>
      </c>
      <c r="L265" s="15">
        <f t="shared" si="51"/>
        <v>19</v>
      </c>
      <c r="M265" s="15" t="str">
        <f t="shared" si="50"/>
        <v>黄</v>
      </c>
      <c r="N265" s="15" t="str">
        <f t="shared" si="52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48"/>
        <v>1102011</v>
      </c>
      <c r="K266" s="15">
        <f t="shared" si="49"/>
        <v>4</v>
      </c>
      <c r="L266" s="15">
        <f t="shared" si="51"/>
        <v>20</v>
      </c>
      <c r="M266" s="15" t="str">
        <f t="shared" si="50"/>
        <v>黄</v>
      </c>
      <c r="N266" s="15" t="str">
        <f t="shared" si="52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48"/>
        <v>1102011</v>
      </c>
      <c r="K267" s="15">
        <f t="shared" si="49"/>
        <v>4</v>
      </c>
      <c r="L267" s="15">
        <f t="shared" si="51"/>
        <v>21</v>
      </c>
      <c r="M267" s="15" t="str">
        <f t="shared" si="50"/>
        <v>黄</v>
      </c>
      <c r="N267" s="15" t="str">
        <f t="shared" si="52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48"/>
        <v>1102012</v>
      </c>
      <c r="K268" s="15">
        <f t="shared" si="49"/>
        <v>4</v>
      </c>
      <c r="L268" s="15">
        <f t="shared" si="51"/>
        <v>1</v>
      </c>
      <c r="M268" s="15" t="str">
        <f t="shared" si="50"/>
        <v>红</v>
      </c>
      <c r="N268" s="15" t="str">
        <f t="shared" si="52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48"/>
        <v>1102012</v>
      </c>
      <c r="K269" s="15">
        <f t="shared" si="49"/>
        <v>4</v>
      </c>
      <c r="L269" s="15">
        <f t="shared" si="51"/>
        <v>2</v>
      </c>
      <c r="M269" s="15" t="str">
        <f t="shared" si="50"/>
        <v>红</v>
      </c>
      <c r="N269" s="15" t="str">
        <f t="shared" si="52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48"/>
        <v>1102012</v>
      </c>
      <c r="K270" s="15">
        <f t="shared" si="49"/>
        <v>4</v>
      </c>
      <c r="L270" s="15">
        <f t="shared" si="51"/>
        <v>3</v>
      </c>
      <c r="M270" s="15" t="str">
        <f t="shared" si="50"/>
        <v>红</v>
      </c>
      <c r="N270" s="15" t="str">
        <f t="shared" si="52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48"/>
        <v>1102012</v>
      </c>
      <c r="K271" s="15">
        <f t="shared" si="49"/>
        <v>4</v>
      </c>
      <c r="L271" s="15">
        <f t="shared" si="51"/>
        <v>4</v>
      </c>
      <c r="M271" s="15" t="str">
        <f t="shared" si="50"/>
        <v>红</v>
      </c>
      <c r="N271" s="15" t="str">
        <f t="shared" si="52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48"/>
        <v>1102012</v>
      </c>
      <c r="K272" s="15">
        <f t="shared" si="49"/>
        <v>4</v>
      </c>
      <c r="L272" s="15">
        <f t="shared" si="51"/>
        <v>5</v>
      </c>
      <c r="M272" s="15" t="str">
        <f t="shared" si="50"/>
        <v>红</v>
      </c>
      <c r="N272" s="15" t="str">
        <f t="shared" si="52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48"/>
        <v>1102012</v>
      </c>
      <c r="K273" s="15">
        <f t="shared" si="49"/>
        <v>4</v>
      </c>
      <c r="L273" s="15">
        <f t="shared" si="51"/>
        <v>6</v>
      </c>
      <c r="M273" s="15" t="str">
        <f t="shared" si="50"/>
        <v>红</v>
      </c>
      <c r="N273" s="15" t="str">
        <f t="shared" si="52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48"/>
        <v>1102012</v>
      </c>
      <c r="K274" s="15">
        <f t="shared" si="49"/>
        <v>4</v>
      </c>
      <c r="L274" s="15">
        <f t="shared" si="51"/>
        <v>7</v>
      </c>
      <c r="M274" s="15" t="str">
        <f t="shared" si="50"/>
        <v>红</v>
      </c>
      <c r="N274" s="15" t="str">
        <f t="shared" si="52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48"/>
        <v>1102012</v>
      </c>
      <c r="K275" s="15">
        <f t="shared" si="49"/>
        <v>4</v>
      </c>
      <c r="L275" s="15">
        <f t="shared" si="51"/>
        <v>8</v>
      </c>
      <c r="M275" s="15" t="str">
        <f t="shared" si="50"/>
        <v>红</v>
      </c>
      <c r="N275" s="15" t="str">
        <f t="shared" si="52"/>
        <v>金币</v>
      </c>
      <c r="O275" s="15">
        <f>IF(L275&gt;1,INDEX(挂机升级突破!$AI$35:$AI$55,卡牌消耗!L275),"")</f>
        <v>66000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48"/>
        <v>1102012</v>
      </c>
      <c r="K276" s="15">
        <f t="shared" si="49"/>
        <v>4</v>
      </c>
      <c r="L276" s="15">
        <f t="shared" si="51"/>
        <v>9</v>
      </c>
      <c r="M276" s="15" t="str">
        <f t="shared" si="50"/>
        <v>红</v>
      </c>
      <c r="N276" s="15" t="str">
        <f t="shared" si="52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48"/>
        <v>1102012</v>
      </c>
      <c r="K277" s="15">
        <f t="shared" si="49"/>
        <v>4</v>
      </c>
      <c r="L277" s="15">
        <f t="shared" si="51"/>
        <v>10</v>
      </c>
      <c r="M277" s="15" t="str">
        <f t="shared" si="50"/>
        <v>红</v>
      </c>
      <c r="N277" s="15" t="str">
        <f t="shared" si="52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48"/>
        <v>1102012</v>
      </c>
      <c r="K278" s="15">
        <f t="shared" si="49"/>
        <v>4</v>
      </c>
      <c r="L278" s="15">
        <f t="shared" si="51"/>
        <v>11</v>
      </c>
      <c r="M278" s="15" t="str">
        <f t="shared" si="50"/>
        <v>红</v>
      </c>
      <c r="N278" s="15" t="str">
        <f t="shared" si="52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48"/>
        <v>1102012</v>
      </c>
      <c r="K279" s="15">
        <f t="shared" si="49"/>
        <v>4</v>
      </c>
      <c r="L279" s="15">
        <f t="shared" si="51"/>
        <v>12</v>
      </c>
      <c r="M279" s="15" t="str">
        <f t="shared" si="50"/>
        <v>红</v>
      </c>
      <c r="N279" s="15" t="str">
        <f t="shared" si="52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48"/>
        <v>1102012</v>
      </c>
      <c r="K280" s="15">
        <f t="shared" si="49"/>
        <v>4</v>
      </c>
      <c r="L280" s="15">
        <f t="shared" si="51"/>
        <v>13</v>
      </c>
      <c r="M280" s="15" t="str">
        <f t="shared" si="50"/>
        <v>红</v>
      </c>
      <c r="N280" s="15" t="str">
        <f t="shared" si="52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48"/>
        <v>1102012</v>
      </c>
      <c r="K281" s="15">
        <f t="shared" si="49"/>
        <v>4</v>
      </c>
      <c r="L281" s="15">
        <f t="shared" si="51"/>
        <v>14</v>
      </c>
      <c r="M281" s="15" t="str">
        <f t="shared" si="50"/>
        <v>红</v>
      </c>
      <c r="N281" s="15" t="str">
        <f t="shared" si="52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48"/>
        <v>1102012</v>
      </c>
      <c r="K282" s="15">
        <f t="shared" si="49"/>
        <v>4</v>
      </c>
      <c r="L282" s="15">
        <f t="shared" si="51"/>
        <v>15</v>
      </c>
      <c r="M282" s="15" t="str">
        <f t="shared" si="50"/>
        <v>红</v>
      </c>
      <c r="N282" s="15" t="str">
        <f t="shared" si="52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48"/>
        <v>1102012</v>
      </c>
      <c r="K283" s="15">
        <f t="shared" si="49"/>
        <v>4</v>
      </c>
      <c r="L283" s="15">
        <f t="shared" si="51"/>
        <v>16</v>
      </c>
      <c r="M283" s="15" t="str">
        <f t="shared" si="50"/>
        <v>红</v>
      </c>
      <c r="N283" s="15" t="str">
        <f t="shared" si="52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48"/>
        <v>1102012</v>
      </c>
      <c r="K284" s="15">
        <f t="shared" si="49"/>
        <v>4</v>
      </c>
      <c r="L284" s="15">
        <f t="shared" si="51"/>
        <v>17</v>
      </c>
      <c r="M284" s="15" t="str">
        <f t="shared" si="50"/>
        <v>红</v>
      </c>
      <c r="N284" s="15" t="str">
        <f t="shared" si="52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48"/>
        <v>1102012</v>
      </c>
      <c r="K285" s="15">
        <f t="shared" si="49"/>
        <v>4</v>
      </c>
      <c r="L285" s="15">
        <f t="shared" si="51"/>
        <v>18</v>
      </c>
      <c r="M285" s="15" t="str">
        <f t="shared" si="50"/>
        <v>红</v>
      </c>
      <c r="N285" s="15" t="str">
        <f t="shared" si="52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48"/>
        <v>1102012</v>
      </c>
      <c r="K286" s="15">
        <f t="shared" si="49"/>
        <v>4</v>
      </c>
      <c r="L286" s="15">
        <f t="shared" si="51"/>
        <v>19</v>
      </c>
      <c r="M286" s="15" t="str">
        <f t="shared" si="50"/>
        <v>红</v>
      </c>
      <c r="N286" s="15" t="str">
        <f t="shared" si="52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48"/>
        <v>1102012</v>
      </c>
      <c r="K287" s="15">
        <f t="shared" si="49"/>
        <v>4</v>
      </c>
      <c r="L287" s="15">
        <f t="shared" si="51"/>
        <v>20</v>
      </c>
      <c r="M287" s="15" t="str">
        <f t="shared" si="50"/>
        <v>红</v>
      </c>
      <c r="N287" s="15" t="str">
        <f t="shared" si="52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48"/>
        <v>1102012</v>
      </c>
      <c r="K288" s="15">
        <f t="shared" si="49"/>
        <v>4</v>
      </c>
      <c r="L288" s="15">
        <f t="shared" si="51"/>
        <v>21</v>
      </c>
      <c r="M288" s="15" t="str">
        <f t="shared" si="50"/>
        <v>红</v>
      </c>
      <c r="N288" s="15" t="str">
        <f t="shared" si="52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48"/>
        <v>1102013</v>
      </c>
      <c r="K289" s="15">
        <f t="shared" si="49"/>
        <v>2</v>
      </c>
      <c r="L289" s="15">
        <f t="shared" si="51"/>
        <v>1</v>
      </c>
      <c r="M289" s="15" t="str">
        <f t="shared" si="50"/>
        <v>蓝</v>
      </c>
      <c r="N289" s="15" t="str">
        <f t="shared" si="52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48"/>
        <v>1102013</v>
      </c>
      <c r="K290" s="15">
        <f t="shared" si="49"/>
        <v>2</v>
      </c>
      <c r="L290" s="15">
        <f t="shared" si="51"/>
        <v>2</v>
      </c>
      <c r="M290" s="15" t="str">
        <f t="shared" si="50"/>
        <v>蓝</v>
      </c>
      <c r="N290" s="15" t="str">
        <f t="shared" si="52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48"/>
        <v>1102013</v>
      </c>
      <c r="K291" s="15">
        <f t="shared" si="49"/>
        <v>2</v>
      </c>
      <c r="L291" s="15">
        <f t="shared" si="51"/>
        <v>3</v>
      </c>
      <c r="M291" s="15" t="str">
        <f t="shared" si="50"/>
        <v>蓝</v>
      </c>
      <c r="N291" s="15" t="str">
        <f t="shared" si="52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48"/>
        <v>1102013</v>
      </c>
      <c r="K292" s="15">
        <f t="shared" si="49"/>
        <v>2</v>
      </c>
      <c r="L292" s="15">
        <f t="shared" si="51"/>
        <v>4</v>
      </c>
      <c r="M292" s="15" t="str">
        <f t="shared" si="50"/>
        <v>蓝</v>
      </c>
      <c r="N292" s="15" t="str">
        <f t="shared" si="52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53">INDEX($A$13:$A$33,INT((I293-1)/21)+1)</f>
        <v>1102013</v>
      </c>
      <c r="K293" s="15">
        <f t="shared" ref="K293:K356" si="54">VLOOKUP(J293,$A$13:$D$33,3)</f>
        <v>2</v>
      </c>
      <c r="L293" s="15">
        <f t="shared" si="51"/>
        <v>5</v>
      </c>
      <c r="M293" s="15" t="str">
        <f t="shared" ref="M293:M356" si="55">INDEX($J$2:$L$2,INDEX($E$13:$E$33,INT((I293-1)/21)+1))</f>
        <v>蓝</v>
      </c>
      <c r="N293" s="15" t="str">
        <f t="shared" si="52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53"/>
        <v>1102013</v>
      </c>
      <c r="K294" s="15">
        <f t="shared" si="54"/>
        <v>2</v>
      </c>
      <c r="L294" s="15">
        <f t="shared" ref="L294:L357" si="56">MOD((I294-1),21)+1</f>
        <v>6</v>
      </c>
      <c r="M294" s="15" t="str">
        <f t="shared" si="55"/>
        <v>蓝</v>
      </c>
      <c r="N294" s="15" t="str">
        <f t="shared" ref="N294:N357" si="57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53"/>
        <v>1102013</v>
      </c>
      <c r="K295" s="15">
        <f t="shared" si="54"/>
        <v>2</v>
      </c>
      <c r="L295" s="15">
        <f t="shared" si="56"/>
        <v>7</v>
      </c>
      <c r="M295" s="15" t="str">
        <f t="shared" si="55"/>
        <v>蓝</v>
      </c>
      <c r="N295" s="15" t="str">
        <f t="shared" si="57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53"/>
        <v>1102013</v>
      </c>
      <c r="K296" s="15">
        <f t="shared" si="54"/>
        <v>2</v>
      </c>
      <c r="L296" s="15">
        <f t="shared" si="56"/>
        <v>8</v>
      </c>
      <c r="M296" s="15" t="str">
        <f t="shared" si="55"/>
        <v>蓝</v>
      </c>
      <c r="N296" s="15" t="str">
        <f t="shared" si="57"/>
        <v>金币</v>
      </c>
      <c r="O296" s="15">
        <f>IF(L296&gt;1,INDEX(挂机升级突破!$AI$35:$AI$55,卡牌消耗!L296),"")</f>
        <v>66000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53"/>
        <v>1102013</v>
      </c>
      <c r="K297" s="15">
        <f t="shared" si="54"/>
        <v>2</v>
      </c>
      <c r="L297" s="15">
        <f t="shared" si="56"/>
        <v>9</v>
      </c>
      <c r="M297" s="15" t="str">
        <f t="shared" si="55"/>
        <v>蓝</v>
      </c>
      <c r="N297" s="15" t="str">
        <f t="shared" si="57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53"/>
        <v>1102013</v>
      </c>
      <c r="K298" s="15">
        <f t="shared" si="54"/>
        <v>2</v>
      </c>
      <c r="L298" s="15">
        <f t="shared" si="56"/>
        <v>10</v>
      </c>
      <c r="M298" s="15" t="str">
        <f t="shared" si="55"/>
        <v>蓝</v>
      </c>
      <c r="N298" s="15" t="str">
        <f t="shared" si="57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53"/>
        <v>1102013</v>
      </c>
      <c r="K299" s="15">
        <f t="shared" si="54"/>
        <v>2</v>
      </c>
      <c r="L299" s="15">
        <f t="shared" si="56"/>
        <v>11</v>
      </c>
      <c r="M299" s="15" t="str">
        <f t="shared" si="55"/>
        <v>蓝</v>
      </c>
      <c r="N299" s="15" t="str">
        <f t="shared" si="57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53"/>
        <v>1102013</v>
      </c>
      <c r="K300" s="15">
        <f t="shared" si="54"/>
        <v>2</v>
      </c>
      <c r="L300" s="15">
        <f t="shared" si="56"/>
        <v>12</v>
      </c>
      <c r="M300" s="15" t="str">
        <f t="shared" si="55"/>
        <v>蓝</v>
      </c>
      <c r="N300" s="15" t="str">
        <f t="shared" si="57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53"/>
        <v>1102013</v>
      </c>
      <c r="K301" s="15">
        <f t="shared" si="54"/>
        <v>2</v>
      </c>
      <c r="L301" s="15">
        <f t="shared" si="56"/>
        <v>13</v>
      </c>
      <c r="M301" s="15" t="str">
        <f t="shared" si="55"/>
        <v>蓝</v>
      </c>
      <c r="N301" s="15" t="str">
        <f t="shared" si="57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53"/>
        <v>1102013</v>
      </c>
      <c r="K302" s="15">
        <f t="shared" si="54"/>
        <v>2</v>
      </c>
      <c r="L302" s="15">
        <f t="shared" si="56"/>
        <v>14</v>
      </c>
      <c r="M302" s="15" t="str">
        <f t="shared" si="55"/>
        <v>蓝</v>
      </c>
      <c r="N302" s="15" t="str">
        <f t="shared" si="57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53"/>
        <v>1102013</v>
      </c>
      <c r="K303" s="15">
        <f t="shared" si="54"/>
        <v>2</v>
      </c>
      <c r="L303" s="15">
        <f t="shared" si="56"/>
        <v>15</v>
      </c>
      <c r="M303" s="15" t="str">
        <f t="shared" si="55"/>
        <v>蓝</v>
      </c>
      <c r="N303" s="15" t="str">
        <f t="shared" si="57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53"/>
        <v>1102013</v>
      </c>
      <c r="K304" s="15">
        <f t="shared" si="54"/>
        <v>2</v>
      </c>
      <c r="L304" s="15">
        <f t="shared" si="56"/>
        <v>16</v>
      </c>
      <c r="M304" s="15" t="str">
        <f t="shared" si="55"/>
        <v>蓝</v>
      </c>
      <c r="N304" s="15" t="str">
        <f t="shared" si="57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53"/>
        <v>1102013</v>
      </c>
      <c r="K305" s="15">
        <f t="shared" si="54"/>
        <v>2</v>
      </c>
      <c r="L305" s="15">
        <f t="shared" si="56"/>
        <v>17</v>
      </c>
      <c r="M305" s="15" t="str">
        <f t="shared" si="55"/>
        <v>蓝</v>
      </c>
      <c r="N305" s="15" t="str">
        <f t="shared" si="57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53"/>
        <v>1102013</v>
      </c>
      <c r="K306" s="15">
        <f t="shared" si="54"/>
        <v>2</v>
      </c>
      <c r="L306" s="15">
        <f t="shared" si="56"/>
        <v>18</v>
      </c>
      <c r="M306" s="15" t="str">
        <f t="shared" si="55"/>
        <v>蓝</v>
      </c>
      <c r="N306" s="15" t="str">
        <f t="shared" si="57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53"/>
        <v>1102013</v>
      </c>
      <c r="K307" s="15">
        <f t="shared" si="54"/>
        <v>2</v>
      </c>
      <c r="L307" s="15">
        <f t="shared" si="56"/>
        <v>19</v>
      </c>
      <c r="M307" s="15" t="str">
        <f t="shared" si="55"/>
        <v>蓝</v>
      </c>
      <c r="N307" s="15" t="str">
        <f t="shared" si="57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53"/>
        <v>1102013</v>
      </c>
      <c r="K308" s="15">
        <f t="shared" si="54"/>
        <v>2</v>
      </c>
      <c r="L308" s="15">
        <f t="shared" si="56"/>
        <v>20</v>
      </c>
      <c r="M308" s="15" t="str">
        <f t="shared" si="55"/>
        <v>蓝</v>
      </c>
      <c r="N308" s="15" t="str">
        <f t="shared" si="57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53"/>
        <v>1102013</v>
      </c>
      <c r="K309" s="15">
        <f t="shared" si="54"/>
        <v>2</v>
      </c>
      <c r="L309" s="15">
        <f t="shared" si="56"/>
        <v>21</v>
      </c>
      <c r="M309" s="15" t="str">
        <f t="shared" si="55"/>
        <v>蓝</v>
      </c>
      <c r="N309" s="15" t="str">
        <f t="shared" si="57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53"/>
        <v>1102014</v>
      </c>
      <c r="K310" s="15">
        <f t="shared" si="54"/>
        <v>3</v>
      </c>
      <c r="L310" s="15">
        <f t="shared" si="56"/>
        <v>1</v>
      </c>
      <c r="M310" s="15" t="str">
        <f t="shared" si="55"/>
        <v>红</v>
      </c>
      <c r="N310" s="15" t="str">
        <f t="shared" si="57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53"/>
        <v>1102014</v>
      </c>
      <c r="K311" s="15">
        <f t="shared" si="54"/>
        <v>3</v>
      </c>
      <c r="L311" s="15">
        <f t="shared" si="56"/>
        <v>2</v>
      </c>
      <c r="M311" s="15" t="str">
        <f t="shared" si="55"/>
        <v>红</v>
      </c>
      <c r="N311" s="15" t="str">
        <f t="shared" si="57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53"/>
        <v>1102014</v>
      </c>
      <c r="K312" s="15">
        <f t="shared" si="54"/>
        <v>3</v>
      </c>
      <c r="L312" s="15">
        <f t="shared" si="56"/>
        <v>3</v>
      </c>
      <c r="M312" s="15" t="str">
        <f t="shared" si="55"/>
        <v>红</v>
      </c>
      <c r="N312" s="15" t="str">
        <f t="shared" si="57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53"/>
        <v>1102014</v>
      </c>
      <c r="K313" s="15">
        <f t="shared" si="54"/>
        <v>3</v>
      </c>
      <c r="L313" s="15">
        <f t="shared" si="56"/>
        <v>4</v>
      </c>
      <c r="M313" s="15" t="str">
        <f t="shared" si="55"/>
        <v>红</v>
      </c>
      <c r="N313" s="15" t="str">
        <f t="shared" si="57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53"/>
        <v>1102014</v>
      </c>
      <c r="K314" s="15">
        <f t="shared" si="54"/>
        <v>3</v>
      </c>
      <c r="L314" s="15">
        <f t="shared" si="56"/>
        <v>5</v>
      </c>
      <c r="M314" s="15" t="str">
        <f t="shared" si="55"/>
        <v>红</v>
      </c>
      <c r="N314" s="15" t="str">
        <f t="shared" si="57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53"/>
        <v>1102014</v>
      </c>
      <c r="K315" s="15">
        <f t="shared" si="54"/>
        <v>3</v>
      </c>
      <c r="L315" s="15">
        <f t="shared" si="56"/>
        <v>6</v>
      </c>
      <c r="M315" s="15" t="str">
        <f t="shared" si="55"/>
        <v>红</v>
      </c>
      <c r="N315" s="15" t="str">
        <f t="shared" si="57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53"/>
        <v>1102014</v>
      </c>
      <c r="K316" s="15">
        <f t="shared" si="54"/>
        <v>3</v>
      </c>
      <c r="L316" s="15">
        <f t="shared" si="56"/>
        <v>7</v>
      </c>
      <c r="M316" s="15" t="str">
        <f t="shared" si="55"/>
        <v>红</v>
      </c>
      <c r="N316" s="15" t="str">
        <f t="shared" si="57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53"/>
        <v>1102014</v>
      </c>
      <c r="K317" s="15">
        <f t="shared" si="54"/>
        <v>3</v>
      </c>
      <c r="L317" s="15">
        <f t="shared" si="56"/>
        <v>8</v>
      </c>
      <c r="M317" s="15" t="str">
        <f t="shared" si="55"/>
        <v>红</v>
      </c>
      <c r="N317" s="15" t="str">
        <f t="shared" si="57"/>
        <v>金币</v>
      </c>
      <c r="O317" s="15">
        <f>IF(L317&gt;1,INDEX(挂机升级突破!$AI$35:$AI$55,卡牌消耗!L317),"")</f>
        <v>66000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53"/>
        <v>1102014</v>
      </c>
      <c r="K318" s="15">
        <f t="shared" si="54"/>
        <v>3</v>
      </c>
      <c r="L318" s="15">
        <f t="shared" si="56"/>
        <v>9</v>
      </c>
      <c r="M318" s="15" t="str">
        <f t="shared" si="55"/>
        <v>红</v>
      </c>
      <c r="N318" s="15" t="str">
        <f t="shared" si="57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53"/>
        <v>1102014</v>
      </c>
      <c r="K319" s="15">
        <f t="shared" si="54"/>
        <v>3</v>
      </c>
      <c r="L319" s="15">
        <f t="shared" si="56"/>
        <v>10</v>
      </c>
      <c r="M319" s="15" t="str">
        <f t="shared" si="55"/>
        <v>红</v>
      </c>
      <c r="N319" s="15" t="str">
        <f t="shared" si="57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53"/>
        <v>1102014</v>
      </c>
      <c r="K320" s="15">
        <f t="shared" si="54"/>
        <v>3</v>
      </c>
      <c r="L320" s="15">
        <f t="shared" si="56"/>
        <v>11</v>
      </c>
      <c r="M320" s="15" t="str">
        <f t="shared" si="55"/>
        <v>红</v>
      </c>
      <c r="N320" s="15" t="str">
        <f t="shared" si="57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53"/>
        <v>1102014</v>
      </c>
      <c r="K321" s="15">
        <f t="shared" si="54"/>
        <v>3</v>
      </c>
      <c r="L321" s="15">
        <f t="shared" si="56"/>
        <v>12</v>
      </c>
      <c r="M321" s="15" t="str">
        <f t="shared" si="55"/>
        <v>红</v>
      </c>
      <c r="N321" s="15" t="str">
        <f t="shared" si="57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53"/>
        <v>1102014</v>
      </c>
      <c r="K322" s="15">
        <f t="shared" si="54"/>
        <v>3</v>
      </c>
      <c r="L322" s="15">
        <f t="shared" si="56"/>
        <v>13</v>
      </c>
      <c r="M322" s="15" t="str">
        <f t="shared" si="55"/>
        <v>红</v>
      </c>
      <c r="N322" s="15" t="str">
        <f t="shared" si="57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53"/>
        <v>1102014</v>
      </c>
      <c r="K323" s="15">
        <f t="shared" si="54"/>
        <v>3</v>
      </c>
      <c r="L323" s="15">
        <f t="shared" si="56"/>
        <v>14</v>
      </c>
      <c r="M323" s="15" t="str">
        <f t="shared" si="55"/>
        <v>红</v>
      </c>
      <c r="N323" s="15" t="str">
        <f t="shared" si="57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53"/>
        <v>1102014</v>
      </c>
      <c r="K324" s="15">
        <f t="shared" si="54"/>
        <v>3</v>
      </c>
      <c r="L324" s="15">
        <f t="shared" si="56"/>
        <v>15</v>
      </c>
      <c r="M324" s="15" t="str">
        <f t="shared" si="55"/>
        <v>红</v>
      </c>
      <c r="N324" s="15" t="str">
        <f t="shared" si="57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53"/>
        <v>1102014</v>
      </c>
      <c r="K325" s="15">
        <f t="shared" si="54"/>
        <v>3</v>
      </c>
      <c r="L325" s="15">
        <f t="shared" si="56"/>
        <v>16</v>
      </c>
      <c r="M325" s="15" t="str">
        <f t="shared" si="55"/>
        <v>红</v>
      </c>
      <c r="N325" s="15" t="str">
        <f t="shared" si="57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53"/>
        <v>1102014</v>
      </c>
      <c r="K326" s="15">
        <f t="shared" si="54"/>
        <v>3</v>
      </c>
      <c r="L326" s="15">
        <f t="shared" si="56"/>
        <v>17</v>
      </c>
      <c r="M326" s="15" t="str">
        <f t="shared" si="55"/>
        <v>红</v>
      </c>
      <c r="N326" s="15" t="str">
        <f t="shared" si="57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53"/>
        <v>1102014</v>
      </c>
      <c r="K327" s="15">
        <f t="shared" si="54"/>
        <v>3</v>
      </c>
      <c r="L327" s="15">
        <f t="shared" si="56"/>
        <v>18</v>
      </c>
      <c r="M327" s="15" t="str">
        <f t="shared" si="55"/>
        <v>红</v>
      </c>
      <c r="N327" s="15" t="str">
        <f t="shared" si="57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53"/>
        <v>1102014</v>
      </c>
      <c r="K328" s="15">
        <f t="shared" si="54"/>
        <v>3</v>
      </c>
      <c r="L328" s="15">
        <f t="shared" si="56"/>
        <v>19</v>
      </c>
      <c r="M328" s="15" t="str">
        <f t="shared" si="55"/>
        <v>红</v>
      </c>
      <c r="N328" s="15" t="str">
        <f t="shared" si="57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53"/>
        <v>1102014</v>
      </c>
      <c r="K329" s="15">
        <f t="shared" si="54"/>
        <v>3</v>
      </c>
      <c r="L329" s="15">
        <f t="shared" si="56"/>
        <v>20</v>
      </c>
      <c r="M329" s="15" t="str">
        <f t="shared" si="55"/>
        <v>红</v>
      </c>
      <c r="N329" s="15" t="str">
        <f t="shared" si="57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53"/>
        <v>1102014</v>
      </c>
      <c r="K330" s="15">
        <f t="shared" si="54"/>
        <v>3</v>
      </c>
      <c r="L330" s="15">
        <f t="shared" si="56"/>
        <v>21</v>
      </c>
      <c r="M330" s="15" t="str">
        <f t="shared" si="55"/>
        <v>红</v>
      </c>
      <c r="N330" s="15" t="str">
        <f t="shared" si="57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53"/>
        <v>1102015</v>
      </c>
      <c r="K331" s="15">
        <f t="shared" si="54"/>
        <v>2</v>
      </c>
      <c r="L331" s="15">
        <f t="shared" si="56"/>
        <v>1</v>
      </c>
      <c r="M331" s="15" t="str">
        <f t="shared" si="55"/>
        <v>红</v>
      </c>
      <c r="N331" s="15" t="str">
        <f t="shared" si="57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53"/>
        <v>1102015</v>
      </c>
      <c r="K332" s="15">
        <f t="shared" si="54"/>
        <v>2</v>
      </c>
      <c r="L332" s="15">
        <f t="shared" si="56"/>
        <v>2</v>
      </c>
      <c r="M332" s="15" t="str">
        <f t="shared" si="55"/>
        <v>红</v>
      </c>
      <c r="N332" s="15" t="str">
        <f t="shared" si="57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53"/>
        <v>1102015</v>
      </c>
      <c r="K333" s="15">
        <f t="shared" si="54"/>
        <v>2</v>
      </c>
      <c r="L333" s="15">
        <f t="shared" si="56"/>
        <v>3</v>
      </c>
      <c r="M333" s="15" t="str">
        <f t="shared" si="55"/>
        <v>红</v>
      </c>
      <c r="N333" s="15" t="str">
        <f t="shared" si="57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53"/>
        <v>1102015</v>
      </c>
      <c r="K334" s="15">
        <f t="shared" si="54"/>
        <v>2</v>
      </c>
      <c r="L334" s="15">
        <f t="shared" si="56"/>
        <v>4</v>
      </c>
      <c r="M334" s="15" t="str">
        <f t="shared" si="55"/>
        <v>红</v>
      </c>
      <c r="N334" s="15" t="str">
        <f t="shared" si="57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53"/>
        <v>1102015</v>
      </c>
      <c r="K335" s="15">
        <f t="shared" si="54"/>
        <v>2</v>
      </c>
      <c r="L335" s="15">
        <f t="shared" si="56"/>
        <v>5</v>
      </c>
      <c r="M335" s="15" t="str">
        <f t="shared" si="55"/>
        <v>红</v>
      </c>
      <c r="N335" s="15" t="str">
        <f t="shared" si="57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53"/>
        <v>1102015</v>
      </c>
      <c r="K336" s="15">
        <f t="shared" si="54"/>
        <v>2</v>
      </c>
      <c r="L336" s="15">
        <f t="shared" si="56"/>
        <v>6</v>
      </c>
      <c r="M336" s="15" t="str">
        <f t="shared" si="55"/>
        <v>红</v>
      </c>
      <c r="N336" s="15" t="str">
        <f t="shared" si="57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39" ht="16.5" x14ac:dyDescent="0.2">
      <c r="I337" s="35">
        <v>301</v>
      </c>
      <c r="J337" s="15">
        <f t="shared" si="53"/>
        <v>1102015</v>
      </c>
      <c r="K337" s="15">
        <f t="shared" si="54"/>
        <v>2</v>
      </c>
      <c r="L337" s="15">
        <f t="shared" si="56"/>
        <v>7</v>
      </c>
      <c r="M337" s="15" t="str">
        <f t="shared" si="55"/>
        <v>红</v>
      </c>
      <c r="N337" s="15" t="str">
        <f t="shared" si="57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39" ht="16.5" x14ac:dyDescent="0.2">
      <c r="I338" s="35">
        <v>302</v>
      </c>
      <c r="J338" s="15">
        <f t="shared" si="53"/>
        <v>1102015</v>
      </c>
      <c r="K338" s="15">
        <f t="shared" si="54"/>
        <v>2</v>
      </c>
      <c r="L338" s="15">
        <f t="shared" si="56"/>
        <v>8</v>
      </c>
      <c r="M338" s="15" t="str">
        <f t="shared" si="55"/>
        <v>红</v>
      </c>
      <c r="N338" s="15" t="str">
        <f t="shared" si="57"/>
        <v>金币</v>
      </c>
      <c r="O338" s="15">
        <f>IF(L338&gt;1,INDEX(挂机升级突破!$AI$35:$AI$55,卡牌消耗!L338),"")</f>
        <v>66000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39" ht="16.5" x14ac:dyDescent="0.2">
      <c r="I339" s="35">
        <v>303</v>
      </c>
      <c r="J339" s="15">
        <f t="shared" si="53"/>
        <v>1102015</v>
      </c>
      <c r="K339" s="15">
        <f t="shared" si="54"/>
        <v>2</v>
      </c>
      <c r="L339" s="15">
        <f t="shared" si="56"/>
        <v>9</v>
      </c>
      <c r="M339" s="15" t="str">
        <f t="shared" si="55"/>
        <v>红</v>
      </c>
      <c r="N339" s="15" t="str">
        <f t="shared" si="57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39" ht="16.5" x14ac:dyDescent="0.2">
      <c r="I340" s="35">
        <v>304</v>
      </c>
      <c r="J340" s="15">
        <f t="shared" si="53"/>
        <v>1102015</v>
      </c>
      <c r="K340" s="15">
        <f t="shared" si="54"/>
        <v>2</v>
      </c>
      <c r="L340" s="15">
        <f t="shared" si="56"/>
        <v>10</v>
      </c>
      <c r="M340" s="15" t="str">
        <f t="shared" si="55"/>
        <v>红</v>
      </c>
      <c r="N340" s="15" t="str">
        <f t="shared" si="57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39" ht="16.5" x14ac:dyDescent="0.2">
      <c r="I341" s="35">
        <v>305</v>
      </c>
      <c r="J341" s="15">
        <f t="shared" si="53"/>
        <v>1102015</v>
      </c>
      <c r="K341" s="15">
        <f t="shared" si="54"/>
        <v>2</v>
      </c>
      <c r="L341" s="15">
        <f t="shared" si="56"/>
        <v>11</v>
      </c>
      <c r="M341" s="15" t="str">
        <f t="shared" si="55"/>
        <v>红</v>
      </c>
      <c r="N341" s="15" t="str">
        <f t="shared" si="57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39" ht="16.5" x14ac:dyDescent="0.2">
      <c r="I342" s="35">
        <v>306</v>
      </c>
      <c r="J342" s="15">
        <f t="shared" si="53"/>
        <v>1102015</v>
      </c>
      <c r="K342" s="15">
        <f t="shared" si="54"/>
        <v>2</v>
      </c>
      <c r="L342" s="15">
        <f t="shared" si="56"/>
        <v>12</v>
      </c>
      <c r="M342" s="15" t="str">
        <f t="shared" si="55"/>
        <v>红</v>
      </c>
      <c r="N342" s="15" t="str">
        <f t="shared" si="57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39" ht="16.5" x14ac:dyDescent="0.2">
      <c r="I343" s="35">
        <v>307</v>
      </c>
      <c r="J343" s="15">
        <f t="shared" si="53"/>
        <v>1102015</v>
      </c>
      <c r="K343" s="15">
        <f t="shared" si="54"/>
        <v>2</v>
      </c>
      <c r="L343" s="15">
        <f t="shared" si="56"/>
        <v>13</v>
      </c>
      <c r="M343" s="15" t="str">
        <f t="shared" si="55"/>
        <v>红</v>
      </c>
      <c r="N343" s="15" t="str">
        <f t="shared" si="57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39" ht="16.5" x14ac:dyDescent="0.2">
      <c r="I344" s="35">
        <v>308</v>
      </c>
      <c r="J344" s="15">
        <f t="shared" si="53"/>
        <v>1102015</v>
      </c>
      <c r="K344" s="15">
        <f t="shared" si="54"/>
        <v>2</v>
      </c>
      <c r="L344" s="15">
        <f t="shared" si="56"/>
        <v>14</v>
      </c>
      <c r="M344" s="15" t="str">
        <f t="shared" si="55"/>
        <v>红</v>
      </c>
      <c r="N344" s="15" t="str">
        <f t="shared" si="57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39" ht="16.5" x14ac:dyDescent="0.2">
      <c r="I345" s="35">
        <v>309</v>
      </c>
      <c r="J345" s="15">
        <f t="shared" si="53"/>
        <v>1102015</v>
      </c>
      <c r="K345" s="15">
        <f t="shared" si="54"/>
        <v>2</v>
      </c>
      <c r="L345" s="15">
        <f t="shared" si="56"/>
        <v>15</v>
      </c>
      <c r="M345" s="15" t="str">
        <f t="shared" si="55"/>
        <v>红</v>
      </c>
      <c r="N345" s="15" t="str">
        <f t="shared" si="57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39" ht="16.5" x14ac:dyDescent="0.2">
      <c r="I346" s="35">
        <v>310</v>
      </c>
      <c r="J346" s="15">
        <f t="shared" si="53"/>
        <v>1102015</v>
      </c>
      <c r="K346" s="15">
        <f t="shared" si="54"/>
        <v>2</v>
      </c>
      <c r="L346" s="15">
        <f t="shared" si="56"/>
        <v>16</v>
      </c>
      <c r="M346" s="15" t="str">
        <f t="shared" si="55"/>
        <v>红</v>
      </c>
      <c r="N346" s="15" t="str">
        <f t="shared" si="57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39" ht="16.5" x14ac:dyDescent="0.2">
      <c r="I347" s="35">
        <v>311</v>
      </c>
      <c r="J347" s="15">
        <f t="shared" si="53"/>
        <v>1102015</v>
      </c>
      <c r="K347" s="15">
        <f t="shared" si="54"/>
        <v>2</v>
      </c>
      <c r="L347" s="15">
        <f t="shared" si="56"/>
        <v>17</v>
      </c>
      <c r="M347" s="15" t="str">
        <f t="shared" si="55"/>
        <v>红</v>
      </c>
      <c r="N347" s="15" t="str">
        <f t="shared" si="57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39" ht="16.5" x14ac:dyDescent="0.2">
      <c r="I348" s="35">
        <v>312</v>
      </c>
      <c r="J348" s="15">
        <f t="shared" si="53"/>
        <v>1102015</v>
      </c>
      <c r="K348" s="15">
        <f t="shared" si="54"/>
        <v>2</v>
      </c>
      <c r="L348" s="15">
        <f t="shared" si="56"/>
        <v>18</v>
      </c>
      <c r="M348" s="15" t="str">
        <f t="shared" si="55"/>
        <v>红</v>
      </c>
      <c r="N348" s="15" t="str">
        <f t="shared" si="57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  <c r="AM348" s="16"/>
    </row>
    <row r="349" spans="9:39" ht="16.5" x14ac:dyDescent="0.2">
      <c r="I349" s="35">
        <v>313</v>
      </c>
      <c r="J349" s="15">
        <f t="shared" si="53"/>
        <v>1102015</v>
      </c>
      <c r="K349" s="15">
        <f t="shared" si="54"/>
        <v>2</v>
      </c>
      <c r="L349" s="15">
        <f t="shared" si="56"/>
        <v>19</v>
      </c>
      <c r="M349" s="15" t="str">
        <f t="shared" si="55"/>
        <v>红</v>
      </c>
      <c r="N349" s="15" t="str">
        <f t="shared" si="57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  <c r="AM349" s="16"/>
    </row>
    <row r="350" spans="9:39" ht="16.5" x14ac:dyDescent="0.2">
      <c r="I350" s="35">
        <v>314</v>
      </c>
      <c r="J350" s="15">
        <f t="shared" si="53"/>
        <v>1102015</v>
      </c>
      <c r="K350" s="15">
        <f t="shared" si="54"/>
        <v>2</v>
      </c>
      <c r="L350" s="15">
        <f t="shared" si="56"/>
        <v>20</v>
      </c>
      <c r="M350" s="15" t="str">
        <f t="shared" si="55"/>
        <v>红</v>
      </c>
      <c r="N350" s="15" t="str">
        <f t="shared" si="57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  <c r="AM350" s="16"/>
    </row>
    <row r="351" spans="9:39" ht="16.5" x14ac:dyDescent="0.2">
      <c r="I351" s="35">
        <v>315</v>
      </c>
      <c r="J351" s="15">
        <f t="shared" si="53"/>
        <v>1102015</v>
      </c>
      <c r="K351" s="15">
        <f t="shared" si="54"/>
        <v>2</v>
      </c>
      <c r="L351" s="15">
        <f t="shared" si="56"/>
        <v>21</v>
      </c>
      <c r="M351" s="15" t="str">
        <f t="shared" si="55"/>
        <v>红</v>
      </c>
      <c r="N351" s="15" t="str">
        <f t="shared" si="57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  <c r="AM351" s="16"/>
    </row>
    <row r="352" spans="9:39" ht="16.5" x14ac:dyDescent="0.2">
      <c r="I352" s="35">
        <v>316</v>
      </c>
      <c r="J352" s="15">
        <f t="shared" si="53"/>
        <v>1102016</v>
      </c>
      <c r="K352" s="15">
        <f t="shared" si="54"/>
        <v>4</v>
      </c>
      <c r="L352" s="15">
        <f t="shared" si="56"/>
        <v>1</v>
      </c>
      <c r="M352" s="15" t="str">
        <f t="shared" si="55"/>
        <v>黄</v>
      </c>
      <c r="N352" s="15" t="str">
        <f t="shared" si="57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  <c r="AM352" s="16"/>
    </row>
    <row r="353" spans="9:39" ht="16.5" x14ac:dyDescent="0.2">
      <c r="I353" s="35">
        <v>317</v>
      </c>
      <c r="J353" s="15">
        <f t="shared" si="53"/>
        <v>1102016</v>
      </c>
      <c r="K353" s="15">
        <f t="shared" si="54"/>
        <v>4</v>
      </c>
      <c r="L353" s="15">
        <f t="shared" si="56"/>
        <v>2</v>
      </c>
      <c r="M353" s="15" t="str">
        <f t="shared" si="55"/>
        <v>黄</v>
      </c>
      <c r="N353" s="15" t="str">
        <f t="shared" si="57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M353" s="16"/>
    </row>
    <row r="354" spans="9:39" ht="16.5" x14ac:dyDescent="0.2">
      <c r="I354" s="35">
        <v>318</v>
      </c>
      <c r="J354" s="15">
        <f t="shared" si="53"/>
        <v>1102016</v>
      </c>
      <c r="K354" s="15">
        <f t="shared" si="54"/>
        <v>4</v>
      </c>
      <c r="L354" s="15">
        <f t="shared" si="56"/>
        <v>3</v>
      </c>
      <c r="M354" s="15" t="str">
        <f t="shared" si="55"/>
        <v>黄</v>
      </c>
      <c r="N354" s="15" t="str">
        <f t="shared" si="57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M354" s="16"/>
    </row>
    <row r="355" spans="9:39" ht="16.5" x14ac:dyDescent="0.2">
      <c r="I355" s="35">
        <v>319</v>
      </c>
      <c r="J355" s="15">
        <f t="shared" si="53"/>
        <v>1102016</v>
      </c>
      <c r="K355" s="15">
        <f t="shared" si="54"/>
        <v>4</v>
      </c>
      <c r="L355" s="15">
        <f t="shared" si="56"/>
        <v>4</v>
      </c>
      <c r="M355" s="15" t="str">
        <f t="shared" si="55"/>
        <v>黄</v>
      </c>
      <c r="N355" s="15" t="str">
        <f t="shared" si="57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M355" s="16"/>
    </row>
    <row r="356" spans="9:39" ht="16.5" x14ac:dyDescent="0.2">
      <c r="I356" s="35">
        <v>320</v>
      </c>
      <c r="J356" s="15">
        <f t="shared" si="53"/>
        <v>1102016</v>
      </c>
      <c r="K356" s="15">
        <f t="shared" si="54"/>
        <v>4</v>
      </c>
      <c r="L356" s="15">
        <f t="shared" si="56"/>
        <v>5</v>
      </c>
      <c r="M356" s="15" t="str">
        <f t="shared" si="55"/>
        <v>黄</v>
      </c>
      <c r="N356" s="15" t="str">
        <f t="shared" si="57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M356" s="16"/>
    </row>
    <row r="357" spans="9:39" ht="16.5" x14ac:dyDescent="0.2">
      <c r="I357" s="35">
        <v>321</v>
      </c>
      <c r="J357" s="15">
        <f t="shared" ref="J357:J420" si="58">INDEX($A$13:$A$33,INT((I357-1)/21)+1)</f>
        <v>1102016</v>
      </c>
      <c r="K357" s="15">
        <f t="shared" ref="K357:K420" si="59">VLOOKUP(J357,$A$13:$D$33,3)</f>
        <v>4</v>
      </c>
      <c r="L357" s="15">
        <f t="shared" si="56"/>
        <v>6</v>
      </c>
      <c r="M357" s="15" t="str">
        <f t="shared" ref="M357:M420" si="60">INDEX($J$2:$L$2,INDEX($E$13:$E$33,INT((I357-1)/21)+1))</f>
        <v>黄</v>
      </c>
      <c r="N357" s="15" t="str">
        <f t="shared" si="57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M357" s="16"/>
    </row>
    <row r="358" spans="9:39" ht="16.5" x14ac:dyDescent="0.2">
      <c r="I358" s="35">
        <v>322</v>
      </c>
      <c r="J358" s="15">
        <f t="shared" si="58"/>
        <v>1102016</v>
      </c>
      <c r="K358" s="15">
        <f t="shared" si="59"/>
        <v>4</v>
      </c>
      <c r="L358" s="15">
        <f t="shared" ref="L358:L421" si="61">MOD((I358-1),21)+1</f>
        <v>7</v>
      </c>
      <c r="M358" s="15" t="str">
        <f t="shared" si="60"/>
        <v>黄</v>
      </c>
      <c r="N358" s="15" t="str">
        <f t="shared" ref="N358:N421" si="62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M358" s="16"/>
    </row>
    <row r="359" spans="9:39" ht="16.5" x14ac:dyDescent="0.2">
      <c r="I359" s="35">
        <v>323</v>
      </c>
      <c r="J359" s="15">
        <f t="shared" si="58"/>
        <v>1102016</v>
      </c>
      <c r="K359" s="15">
        <f t="shared" si="59"/>
        <v>4</v>
      </c>
      <c r="L359" s="15">
        <f t="shared" si="61"/>
        <v>8</v>
      </c>
      <c r="M359" s="15" t="str">
        <f t="shared" si="60"/>
        <v>黄</v>
      </c>
      <c r="N359" s="15" t="str">
        <f t="shared" si="62"/>
        <v>金币</v>
      </c>
      <c r="O359" s="15">
        <f>IF(L359&gt;1,INDEX(挂机升级突破!$AI$35:$AI$55,卡牌消耗!L359),"")</f>
        <v>66000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M359" s="16"/>
    </row>
    <row r="360" spans="9:39" ht="16.5" x14ac:dyDescent="0.2">
      <c r="I360" s="35">
        <v>324</v>
      </c>
      <c r="J360" s="15">
        <f t="shared" si="58"/>
        <v>1102016</v>
      </c>
      <c r="K360" s="15">
        <f t="shared" si="59"/>
        <v>4</v>
      </c>
      <c r="L360" s="15">
        <f t="shared" si="61"/>
        <v>9</v>
      </c>
      <c r="M360" s="15" t="str">
        <f t="shared" si="60"/>
        <v>黄</v>
      </c>
      <c r="N360" s="15" t="str">
        <f t="shared" si="62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M360" s="16"/>
    </row>
    <row r="361" spans="9:39" ht="16.5" x14ac:dyDescent="0.2">
      <c r="I361" s="35">
        <v>325</v>
      </c>
      <c r="J361" s="15">
        <f t="shared" si="58"/>
        <v>1102016</v>
      </c>
      <c r="K361" s="15">
        <f t="shared" si="59"/>
        <v>4</v>
      </c>
      <c r="L361" s="15">
        <f t="shared" si="61"/>
        <v>10</v>
      </c>
      <c r="M361" s="15" t="str">
        <f t="shared" si="60"/>
        <v>黄</v>
      </c>
      <c r="N361" s="15" t="str">
        <f t="shared" si="62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M361" s="16"/>
    </row>
    <row r="362" spans="9:39" ht="16.5" x14ac:dyDescent="0.2">
      <c r="I362" s="35">
        <v>326</v>
      </c>
      <c r="J362" s="15">
        <f t="shared" si="58"/>
        <v>1102016</v>
      </c>
      <c r="K362" s="15">
        <f t="shared" si="59"/>
        <v>4</v>
      </c>
      <c r="L362" s="15">
        <f t="shared" si="61"/>
        <v>11</v>
      </c>
      <c r="M362" s="15" t="str">
        <f t="shared" si="60"/>
        <v>黄</v>
      </c>
      <c r="N362" s="15" t="str">
        <f t="shared" si="62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M362" s="16"/>
    </row>
    <row r="363" spans="9:39" ht="16.5" x14ac:dyDescent="0.2">
      <c r="I363" s="35">
        <v>327</v>
      </c>
      <c r="J363" s="15">
        <f t="shared" si="58"/>
        <v>1102016</v>
      </c>
      <c r="K363" s="15">
        <f t="shared" si="59"/>
        <v>4</v>
      </c>
      <c r="L363" s="15">
        <f t="shared" si="61"/>
        <v>12</v>
      </c>
      <c r="M363" s="15" t="str">
        <f t="shared" si="60"/>
        <v>黄</v>
      </c>
      <c r="N363" s="15" t="str">
        <f t="shared" si="62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M363" s="16"/>
    </row>
    <row r="364" spans="9:39" ht="16.5" x14ac:dyDescent="0.2">
      <c r="I364" s="35">
        <v>328</v>
      </c>
      <c r="J364" s="15">
        <f t="shared" si="58"/>
        <v>1102016</v>
      </c>
      <c r="K364" s="15">
        <f t="shared" si="59"/>
        <v>4</v>
      </c>
      <c r="L364" s="15">
        <f t="shared" si="61"/>
        <v>13</v>
      </c>
      <c r="M364" s="15" t="str">
        <f t="shared" si="60"/>
        <v>黄</v>
      </c>
      <c r="N364" s="15" t="str">
        <f t="shared" si="62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M364" s="16"/>
    </row>
    <row r="365" spans="9:39" ht="16.5" x14ac:dyDescent="0.2">
      <c r="I365" s="35">
        <v>329</v>
      </c>
      <c r="J365" s="15">
        <f t="shared" si="58"/>
        <v>1102016</v>
      </c>
      <c r="K365" s="15">
        <f t="shared" si="59"/>
        <v>4</v>
      </c>
      <c r="L365" s="15">
        <f t="shared" si="61"/>
        <v>14</v>
      </c>
      <c r="M365" s="15" t="str">
        <f t="shared" si="60"/>
        <v>黄</v>
      </c>
      <c r="N365" s="15" t="str">
        <f t="shared" si="62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M365" s="16"/>
    </row>
    <row r="366" spans="9:39" ht="16.5" x14ac:dyDescent="0.2">
      <c r="I366" s="35">
        <v>330</v>
      </c>
      <c r="J366" s="15">
        <f t="shared" si="58"/>
        <v>1102016</v>
      </c>
      <c r="K366" s="15">
        <f t="shared" si="59"/>
        <v>4</v>
      </c>
      <c r="L366" s="15">
        <f t="shared" si="61"/>
        <v>15</v>
      </c>
      <c r="M366" s="15" t="str">
        <f t="shared" si="60"/>
        <v>黄</v>
      </c>
      <c r="N366" s="15" t="str">
        <f t="shared" si="62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M366" s="16"/>
    </row>
    <row r="367" spans="9:39" ht="16.5" x14ac:dyDescent="0.2">
      <c r="I367" s="35">
        <v>331</v>
      </c>
      <c r="J367" s="15">
        <f t="shared" si="58"/>
        <v>1102016</v>
      </c>
      <c r="K367" s="15">
        <f t="shared" si="59"/>
        <v>4</v>
      </c>
      <c r="L367" s="15">
        <f t="shared" si="61"/>
        <v>16</v>
      </c>
      <c r="M367" s="15" t="str">
        <f t="shared" si="60"/>
        <v>黄</v>
      </c>
      <c r="N367" s="15" t="str">
        <f t="shared" si="62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M367" s="16"/>
    </row>
    <row r="368" spans="9:39" ht="16.5" x14ac:dyDescent="0.2">
      <c r="I368" s="35">
        <v>332</v>
      </c>
      <c r="J368" s="15">
        <f t="shared" si="58"/>
        <v>1102016</v>
      </c>
      <c r="K368" s="15">
        <f t="shared" si="59"/>
        <v>4</v>
      </c>
      <c r="L368" s="15">
        <f t="shared" si="61"/>
        <v>17</v>
      </c>
      <c r="M368" s="15" t="str">
        <f t="shared" si="60"/>
        <v>黄</v>
      </c>
      <c r="N368" s="15" t="str">
        <f t="shared" si="62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  <c r="AM368" s="16"/>
    </row>
    <row r="369" spans="9:39" ht="16.5" x14ac:dyDescent="0.2">
      <c r="I369" s="35">
        <v>333</v>
      </c>
      <c r="J369" s="15">
        <f t="shared" si="58"/>
        <v>1102016</v>
      </c>
      <c r="K369" s="15">
        <f t="shared" si="59"/>
        <v>4</v>
      </c>
      <c r="L369" s="15">
        <f t="shared" si="61"/>
        <v>18</v>
      </c>
      <c r="M369" s="15" t="str">
        <f t="shared" si="60"/>
        <v>黄</v>
      </c>
      <c r="N369" s="15" t="str">
        <f t="shared" si="62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  <c r="AM369" s="16"/>
    </row>
    <row r="370" spans="9:39" ht="16.5" x14ac:dyDescent="0.2">
      <c r="I370" s="35">
        <v>334</v>
      </c>
      <c r="J370" s="15">
        <f t="shared" si="58"/>
        <v>1102016</v>
      </c>
      <c r="K370" s="15">
        <f t="shared" si="59"/>
        <v>4</v>
      </c>
      <c r="L370" s="15">
        <f t="shared" si="61"/>
        <v>19</v>
      </c>
      <c r="M370" s="15" t="str">
        <f t="shared" si="60"/>
        <v>黄</v>
      </c>
      <c r="N370" s="15" t="str">
        <f t="shared" si="62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  <c r="AM370" s="16"/>
    </row>
    <row r="371" spans="9:39" ht="16.5" x14ac:dyDescent="0.2">
      <c r="I371" s="35">
        <v>335</v>
      </c>
      <c r="J371" s="15">
        <f t="shared" si="58"/>
        <v>1102016</v>
      </c>
      <c r="K371" s="15">
        <f t="shared" si="59"/>
        <v>4</v>
      </c>
      <c r="L371" s="15">
        <f t="shared" si="61"/>
        <v>20</v>
      </c>
      <c r="M371" s="15" t="str">
        <f t="shared" si="60"/>
        <v>黄</v>
      </c>
      <c r="N371" s="15" t="str">
        <f t="shared" si="62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  <c r="AM371" s="16"/>
    </row>
    <row r="372" spans="9:39" ht="16.5" x14ac:dyDescent="0.2">
      <c r="I372" s="35">
        <v>336</v>
      </c>
      <c r="J372" s="15">
        <f t="shared" si="58"/>
        <v>1102016</v>
      </c>
      <c r="K372" s="15">
        <f t="shared" si="59"/>
        <v>4</v>
      </c>
      <c r="L372" s="15">
        <f t="shared" si="61"/>
        <v>21</v>
      </c>
      <c r="M372" s="15" t="str">
        <f t="shared" si="60"/>
        <v>黄</v>
      </c>
      <c r="N372" s="15" t="str">
        <f t="shared" si="62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  <c r="AM372" s="16"/>
    </row>
    <row r="373" spans="9:39" ht="16.5" x14ac:dyDescent="0.2">
      <c r="I373" s="35">
        <v>337</v>
      </c>
      <c r="J373" s="15">
        <f t="shared" si="58"/>
        <v>1102017</v>
      </c>
      <c r="K373" s="15">
        <f t="shared" si="59"/>
        <v>3</v>
      </c>
      <c r="L373" s="15">
        <f t="shared" si="61"/>
        <v>1</v>
      </c>
      <c r="M373" s="15" t="str">
        <f t="shared" si="60"/>
        <v>蓝</v>
      </c>
      <c r="N373" s="15" t="str">
        <f t="shared" si="62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  <c r="AM373" s="16"/>
    </row>
    <row r="374" spans="9:39" ht="16.5" x14ac:dyDescent="0.2">
      <c r="I374" s="35">
        <v>338</v>
      </c>
      <c r="J374" s="15">
        <f t="shared" si="58"/>
        <v>1102017</v>
      </c>
      <c r="K374" s="15">
        <f t="shared" si="59"/>
        <v>3</v>
      </c>
      <c r="L374" s="15">
        <f t="shared" si="61"/>
        <v>2</v>
      </c>
      <c r="M374" s="15" t="str">
        <f t="shared" si="60"/>
        <v>蓝</v>
      </c>
      <c r="N374" s="15" t="str">
        <f t="shared" si="62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M374" s="16"/>
    </row>
    <row r="375" spans="9:39" ht="16.5" x14ac:dyDescent="0.2">
      <c r="I375" s="35">
        <v>339</v>
      </c>
      <c r="J375" s="15">
        <f t="shared" si="58"/>
        <v>1102017</v>
      </c>
      <c r="K375" s="15">
        <f t="shared" si="59"/>
        <v>3</v>
      </c>
      <c r="L375" s="15">
        <f t="shared" si="61"/>
        <v>3</v>
      </c>
      <c r="M375" s="15" t="str">
        <f t="shared" si="60"/>
        <v>蓝</v>
      </c>
      <c r="N375" s="15" t="str">
        <f t="shared" si="62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M375" s="16"/>
    </row>
    <row r="376" spans="9:39" ht="16.5" x14ac:dyDescent="0.2">
      <c r="I376" s="35">
        <v>340</v>
      </c>
      <c r="J376" s="15">
        <f t="shared" si="58"/>
        <v>1102017</v>
      </c>
      <c r="K376" s="15">
        <f t="shared" si="59"/>
        <v>3</v>
      </c>
      <c r="L376" s="15">
        <f t="shared" si="61"/>
        <v>4</v>
      </c>
      <c r="M376" s="15" t="str">
        <f t="shared" si="60"/>
        <v>蓝</v>
      </c>
      <c r="N376" s="15" t="str">
        <f t="shared" si="62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M376" s="16"/>
    </row>
    <row r="377" spans="9:39" ht="16.5" x14ac:dyDescent="0.2">
      <c r="I377" s="35">
        <v>341</v>
      </c>
      <c r="J377" s="15">
        <f t="shared" si="58"/>
        <v>1102017</v>
      </c>
      <c r="K377" s="15">
        <f t="shared" si="59"/>
        <v>3</v>
      </c>
      <c r="L377" s="15">
        <f t="shared" si="61"/>
        <v>5</v>
      </c>
      <c r="M377" s="15" t="str">
        <f t="shared" si="60"/>
        <v>蓝</v>
      </c>
      <c r="N377" s="15" t="str">
        <f t="shared" si="62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M377" s="16"/>
    </row>
    <row r="378" spans="9:39" ht="16.5" x14ac:dyDescent="0.2">
      <c r="I378" s="35">
        <v>342</v>
      </c>
      <c r="J378" s="15">
        <f t="shared" si="58"/>
        <v>1102017</v>
      </c>
      <c r="K378" s="15">
        <f t="shared" si="59"/>
        <v>3</v>
      </c>
      <c r="L378" s="15">
        <f t="shared" si="61"/>
        <v>6</v>
      </c>
      <c r="M378" s="15" t="str">
        <f t="shared" si="60"/>
        <v>蓝</v>
      </c>
      <c r="N378" s="15" t="str">
        <f t="shared" si="62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M378" s="16"/>
    </row>
    <row r="379" spans="9:39" ht="16.5" x14ac:dyDescent="0.2">
      <c r="I379" s="35">
        <v>343</v>
      </c>
      <c r="J379" s="15">
        <f t="shared" si="58"/>
        <v>1102017</v>
      </c>
      <c r="K379" s="15">
        <f t="shared" si="59"/>
        <v>3</v>
      </c>
      <c r="L379" s="15">
        <f t="shared" si="61"/>
        <v>7</v>
      </c>
      <c r="M379" s="15" t="str">
        <f t="shared" si="60"/>
        <v>蓝</v>
      </c>
      <c r="N379" s="15" t="str">
        <f t="shared" si="62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M379" s="16"/>
    </row>
    <row r="380" spans="9:39" ht="16.5" x14ac:dyDescent="0.2">
      <c r="I380" s="35">
        <v>344</v>
      </c>
      <c r="J380" s="15">
        <f t="shared" si="58"/>
        <v>1102017</v>
      </c>
      <c r="K380" s="15">
        <f t="shared" si="59"/>
        <v>3</v>
      </c>
      <c r="L380" s="15">
        <f t="shared" si="61"/>
        <v>8</v>
      </c>
      <c r="M380" s="15" t="str">
        <f t="shared" si="60"/>
        <v>蓝</v>
      </c>
      <c r="N380" s="15" t="str">
        <f t="shared" si="62"/>
        <v>金币</v>
      </c>
      <c r="O380" s="15">
        <f>IF(L380&gt;1,INDEX(挂机升级突破!$AI$35:$AI$55,卡牌消耗!L380),"")</f>
        <v>66000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M380" s="16"/>
    </row>
    <row r="381" spans="9:39" ht="16.5" x14ac:dyDescent="0.2">
      <c r="I381" s="35">
        <v>345</v>
      </c>
      <c r="J381" s="15">
        <f t="shared" si="58"/>
        <v>1102017</v>
      </c>
      <c r="K381" s="15">
        <f t="shared" si="59"/>
        <v>3</v>
      </c>
      <c r="L381" s="15">
        <f t="shared" si="61"/>
        <v>9</v>
      </c>
      <c r="M381" s="15" t="str">
        <f t="shared" si="60"/>
        <v>蓝</v>
      </c>
      <c r="N381" s="15" t="str">
        <f t="shared" si="62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M381" s="16"/>
    </row>
    <row r="382" spans="9:39" ht="16.5" x14ac:dyDescent="0.2">
      <c r="I382" s="35">
        <v>346</v>
      </c>
      <c r="J382" s="15">
        <f t="shared" si="58"/>
        <v>1102017</v>
      </c>
      <c r="K382" s="15">
        <f t="shared" si="59"/>
        <v>3</v>
      </c>
      <c r="L382" s="15">
        <f t="shared" si="61"/>
        <v>10</v>
      </c>
      <c r="M382" s="15" t="str">
        <f t="shared" si="60"/>
        <v>蓝</v>
      </c>
      <c r="N382" s="15" t="str">
        <f t="shared" si="62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M382" s="16"/>
    </row>
    <row r="383" spans="9:39" ht="16.5" x14ac:dyDescent="0.2">
      <c r="I383" s="35">
        <v>347</v>
      </c>
      <c r="J383" s="15">
        <f t="shared" si="58"/>
        <v>1102017</v>
      </c>
      <c r="K383" s="15">
        <f t="shared" si="59"/>
        <v>3</v>
      </c>
      <c r="L383" s="15">
        <f t="shared" si="61"/>
        <v>11</v>
      </c>
      <c r="M383" s="15" t="str">
        <f t="shared" si="60"/>
        <v>蓝</v>
      </c>
      <c r="N383" s="15" t="str">
        <f t="shared" si="62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M383" s="16"/>
    </row>
    <row r="384" spans="9:39" ht="16.5" x14ac:dyDescent="0.2">
      <c r="I384" s="35">
        <v>348</v>
      </c>
      <c r="J384" s="15">
        <f t="shared" si="58"/>
        <v>1102017</v>
      </c>
      <c r="K384" s="15">
        <f t="shared" si="59"/>
        <v>3</v>
      </c>
      <c r="L384" s="15">
        <f t="shared" si="61"/>
        <v>12</v>
      </c>
      <c r="M384" s="15" t="str">
        <f t="shared" si="60"/>
        <v>蓝</v>
      </c>
      <c r="N384" s="15" t="str">
        <f t="shared" si="62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M384" s="16"/>
    </row>
    <row r="385" spans="9:39" ht="16.5" x14ac:dyDescent="0.2">
      <c r="I385" s="35">
        <v>349</v>
      </c>
      <c r="J385" s="15">
        <f t="shared" si="58"/>
        <v>1102017</v>
      </c>
      <c r="K385" s="15">
        <f t="shared" si="59"/>
        <v>3</v>
      </c>
      <c r="L385" s="15">
        <f t="shared" si="61"/>
        <v>13</v>
      </c>
      <c r="M385" s="15" t="str">
        <f t="shared" si="60"/>
        <v>蓝</v>
      </c>
      <c r="N385" s="15" t="str">
        <f t="shared" si="62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M385" s="16"/>
    </row>
    <row r="386" spans="9:39" ht="16.5" x14ac:dyDescent="0.2">
      <c r="I386" s="35">
        <v>350</v>
      </c>
      <c r="J386" s="15">
        <f t="shared" si="58"/>
        <v>1102017</v>
      </c>
      <c r="K386" s="15">
        <f t="shared" si="59"/>
        <v>3</v>
      </c>
      <c r="L386" s="15">
        <f t="shared" si="61"/>
        <v>14</v>
      </c>
      <c r="M386" s="15" t="str">
        <f t="shared" si="60"/>
        <v>蓝</v>
      </c>
      <c r="N386" s="15" t="str">
        <f t="shared" si="62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M386" s="16"/>
    </row>
    <row r="387" spans="9:39" ht="16.5" x14ac:dyDescent="0.2">
      <c r="I387" s="35">
        <v>351</v>
      </c>
      <c r="J387" s="15">
        <f t="shared" si="58"/>
        <v>1102017</v>
      </c>
      <c r="K387" s="15">
        <f t="shared" si="59"/>
        <v>3</v>
      </c>
      <c r="L387" s="15">
        <f t="shared" si="61"/>
        <v>15</v>
      </c>
      <c r="M387" s="15" t="str">
        <f t="shared" si="60"/>
        <v>蓝</v>
      </c>
      <c r="N387" s="15" t="str">
        <f t="shared" si="62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M387" s="16"/>
    </row>
    <row r="388" spans="9:39" ht="16.5" x14ac:dyDescent="0.2">
      <c r="I388" s="35">
        <v>352</v>
      </c>
      <c r="J388" s="15">
        <f t="shared" si="58"/>
        <v>1102017</v>
      </c>
      <c r="K388" s="15">
        <f t="shared" si="59"/>
        <v>3</v>
      </c>
      <c r="L388" s="15">
        <f t="shared" si="61"/>
        <v>16</v>
      </c>
      <c r="M388" s="15" t="str">
        <f t="shared" si="60"/>
        <v>蓝</v>
      </c>
      <c r="N388" s="15" t="str">
        <f t="shared" si="62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M388" s="16"/>
    </row>
    <row r="389" spans="9:39" ht="16.5" x14ac:dyDescent="0.2">
      <c r="I389" s="35">
        <v>353</v>
      </c>
      <c r="J389" s="15">
        <f t="shared" si="58"/>
        <v>1102017</v>
      </c>
      <c r="K389" s="15">
        <f t="shared" si="59"/>
        <v>3</v>
      </c>
      <c r="L389" s="15">
        <f t="shared" si="61"/>
        <v>17</v>
      </c>
      <c r="M389" s="15" t="str">
        <f t="shared" si="60"/>
        <v>蓝</v>
      </c>
      <c r="N389" s="15" t="str">
        <f t="shared" si="62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  <c r="AM389" s="16"/>
    </row>
    <row r="390" spans="9:39" ht="16.5" x14ac:dyDescent="0.2">
      <c r="I390" s="35">
        <v>354</v>
      </c>
      <c r="J390" s="15">
        <f t="shared" si="58"/>
        <v>1102017</v>
      </c>
      <c r="K390" s="15">
        <f t="shared" si="59"/>
        <v>3</v>
      </c>
      <c r="L390" s="15">
        <f t="shared" si="61"/>
        <v>18</v>
      </c>
      <c r="M390" s="15" t="str">
        <f t="shared" si="60"/>
        <v>蓝</v>
      </c>
      <c r="N390" s="15" t="str">
        <f t="shared" si="62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  <c r="AM390" s="16"/>
    </row>
    <row r="391" spans="9:39" ht="16.5" x14ac:dyDescent="0.2">
      <c r="I391" s="35">
        <v>355</v>
      </c>
      <c r="J391" s="15">
        <f t="shared" si="58"/>
        <v>1102017</v>
      </c>
      <c r="K391" s="15">
        <f t="shared" si="59"/>
        <v>3</v>
      </c>
      <c r="L391" s="15">
        <f t="shared" si="61"/>
        <v>19</v>
      </c>
      <c r="M391" s="15" t="str">
        <f t="shared" si="60"/>
        <v>蓝</v>
      </c>
      <c r="N391" s="15" t="str">
        <f t="shared" si="62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  <c r="AM391" s="16"/>
    </row>
    <row r="392" spans="9:39" ht="16.5" x14ac:dyDescent="0.2">
      <c r="I392" s="35">
        <v>356</v>
      </c>
      <c r="J392" s="15">
        <f t="shared" si="58"/>
        <v>1102017</v>
      </c>
      <c r="K392" s="15">
        <f t="shared" si="59"/>
        <v>3</v>
      </c>
      <c r="L392" s="15">
        <f t="shared" si="61"/>
        <v>20</v>
      </c>
      <c r="M392" s="15" t="str">
        <f t="shared" si="60"/>
        <v>蓝</v>
      </c>
      <c r="N392" s="15" t="str">
        <f t="shared" si="62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  <c r="AM392" s="16"/>
    </row>
    <row r="393" spans="9:39" ht="16.5" x14ac:dyDescent="0.2">
      <c r="I393" s="35">
        <v>357</v>
      </c>
      <c r="J393" s="15">
        <f t="shared" si="58"/>
        <v>1102017</v>
      </c>
      <c r="K393" s="15">
        <f t="shared" si="59"/>
        <v>3</v>
      </c>
      <c r="L393" s="15">
        <f t="shared" si="61"/>
        <v>21</v>
      </c>
      <c r="M393" s="15" t="str">
        <f t="shared" si="60"/>
        <v>蓝</v>
      </c>
      <c r="N393" s="15" t="str">
        <f t="shared" si="62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  <c r="AM393" s="16"/>
    </row>
    <row r="394" spans="9:39" ht="16.5" x14ac:dyDescent="0.2">
      <c r="I394" s="35">
        <v>358</v>
      </c>
      <c r="J394" s="15">
        <f t="shared" si="58"/>
        <v>1102018</v>
      </c>
      <c r="K394" s="15">
        <f t="shared" si="59"/>
        <v>3</v>
      </c>
      <c r="L394" s="15">
        <f t="shared" si="61"/>
        <v>1</v>
      </c>
      <c r="M394" s="15" t="str">
        <f t="shared" si="60"/>
        <v>黄</v>
      </c>
      <c r="N394" s="15" t="str">
        <f t="shared" si="62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  <c r="AM394" s="16"/>
    </row>
    <row r="395" spans="9:39" ht="16.5" x14ac:dyDescent="0.2">
      <c r="I395" s="35">
        <v>359</v>
      </c>
      <c r="J395" s="15">
        <f t="shared" si="58"/>
        <v>1102018</v>
      </c>
      <c r="K395" s="15">
        <f t="shared" si="59"/>
        <v>3</v>
      </c>
      <c r="L395" s="15">
        <f t="shared" si="61"/>
        <v>2</v>
      </c>
      <c r="M395" s="15" t="str">
        <f t="shared" si="60"/>
        <v>黄</v>
      </c>
      <c r="N395" s="15" t="str">
        <f t="shared" si="62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M395" s="16"/>
    </row>
    <row r="396" spans="9:39" ht="16.5" x14ac:dyDescent="0.2">
      <c r="I396" s="35">
        <v>360</v>
      </c>
      <c r="J396" s="15">
        <f t="shared" si="58"/>
        <v>1102018</v>
      </c>
      <c r="K396" s="15">
        <f t="shared" si="59"/>
        <v>3</v>
      </c>
      <c r="L396" s="15">
        <f t="shared" si="61"/>
        <v>3</v>
      </c>
      <c r="M396" s="15" t="str">
        <f t="shared" si="60"/>
        <v>黄</v>
      </c>
      <c r="N396" s="15" t="str">
        <f t="shared" si="62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M396" s="16"/>
    </row>
    <row r="397" spans="9:39" ht="16.5" x14ac:dyDescent="0.2">
      <c r="I397" s="35">
        <v>361</v>
      </c>
      <c r="J397" s="15">
        <f t="shared" si="58"/>
        <v>1102018</v>
      </c>
      <c r="K397" s="15">
        <f t="shared" si="59"/>
        <v>3</v>
      </c>
      <c r="L397" s="15">
        <f t="shared" si="61"/>
        <v>4</v>
      </c>
      <c r="M397" s="15" t="str">
        <f t="shared" si="60"/>
        <v>黄</v>
      </c>
      <c r="N397" s="15" t="str">
        <f t="shared" si="62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M397" s="16"/>
    </row>
    <row r="398" spans="9:39" ht="16.5" x14ac:dyDescent="0.2">
      <c r="I398" s="35">
        <v>362</v>
      </c>
      <c r="J398" s="15">
        <f t="shared" si="58"/>
        <v>1102018</v>
      </c>
      <c r="K398" s="15">
        <f t="shared" si="59"/>
        <v>3</v>
      </c>
      <c r="L398" s="15">
        <f t="shared" si="61"/>
        <v>5</v>
      </c>
      <c r="M398" s="15" t="str">
        <f t="shared" si="60"/>
        <v>黄</v>
      </c>
      <c r="N398" s="15" t="str">
        <f t="shared" si="62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M398" s="16"/>
    </row>
    <row r="399" spans="9:39" ht="16.5" x14ac:dyDescent="0.2">
      <c r="I399" s="35">
        <v>363</v>
      </c>
      <c r="J399" s="15">
        <f t="shared" si="58"/>
        <v>1102018</v>
      </c>
      <c r="K399" s="15">
        <f t="shared" si="59"/>
        <v>3</v>
      </c>
      <c r="L399" s="15">
        <f t="shared" si="61"/>
        <v>6</v>
      </c>
      <c r="M399" s="15" t="str">
        <f t="shared" si="60"/>
        <v>黄</v>
      </c>
      <c r="N399" s="15" t="str">
        <f t="shared" si="62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M399" s="16"/>
    </row>
    <row r="400" spans="9:39" ht="16.5" x14ac:dyDescent="0.2">
      <c r="I400" s="35">
        <v>364</v>
      </c>
      <c r="J400" s="15">
        <f t="shared" si="58"/>
        <v>1102018</v>
      </c>
      <c r="K400" s="15">
        <f t="shared" si="59"/>
        <v>3</v>
      </c>
      <c r="L400" s="15">
        <f t="shared" si="61"/>
        <v>7</v>
      </c>
      <c r="M400" s="15" t="str">
        <f t="shared" si="60"/>
        <v>黄</v>
      </c>
      <c r="N400" s="15" t="str">
        <f t="shared" si="62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M400" s="16"/>
    </row>
    <row r="401" spans="9:39" ht="16.5" x14ac:dyDescent="0.2">
      <c r="I401" s="35">
        <v>365</v>
      </c>
      <c r="J401" s="15">
        <f t="shared" si="58"/>
        <v>1102018</v>
      </c>
      <c r="K401" s="15">
        <f t="shared" si="59"/>
        <v>3</v>
      </c>
      <c r="L401" s="15">
        <f t="shared" si="61"/>
        <v>8</v>
      </c>
      <c r="M401" s="15" t="str">
        <f t="shared" si="60"/>
        <v>黄</v>
      </c>
      <c r="N401" s="15" t="str">
        <f t="shared" si="62"/>
        <v>金币</v>
      </c>
      <c r="O401" s="15">
        <f>IF(L401&gt;1,INDEX(挂机升级突破!$AI$35:$AI$55,卡牌消耗!L401),"")</f>
        <v>66000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M401" s="16"/>
    </row>
    <row r="402" spans="9:39" ht="16.5" x14ac:dyDescent="0.2">
      <c r="I402" s="35">
        <v>366</v>
      </c>
      <c r="J402" s="15">
        <f t="shared" si="58"/>
        <v>1102018</v>
      </c>
      <c r="K402" s="15">
        <f t="shared" si="59"/>
        <v>3</v>
      </c>
      <c r="L402" s="15">
        <f t="shared" si="61"/>
        <v>9</v>
      </c>
      <c r="M402" s="15" t="str">
        <f t="shared" si="60"/>
        <v>黄</v>
      </c>
      <c r="N402" s="15" t="str">
        <f t="shared" si="62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39" ht="16.5" x14ac:dyDescent="0.2">
      <c r="I403" s="35">
        <v>367</v>
      </c>
      <c r="J403" s="15">
        <f t="shared" si="58"/>
        <v>1102018</v>
      </c>
      <c r="K403" s="15">
        <f t="shared" si="59"/>
        <v>3</v>
      </c>
      <c r="L403" s="15">
        <f t="shared" si="61"/>
        <v>10</v>
      </c>
      <c r="M403" s="15" t="str">
        <f t="shared" si="60"/>
        <v>黄</v>
      </c>
      <c r="N403" s="15" t="str">
        <f t="shared" si="62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39" ht="16.5" x14ac:dyDescent="0.2">
      <c r="I404" s="35">
        <v>368</v>
      </c>
      <c r="J404" s="15">
        <f t="shared" si="58"/>
        <v>1102018</v>
      </c>
      <c r="K404" s="15">
        <f t="shared" si="59"/>
        <v>3</v>
      </c>
      <c r="L404" s="15">
        <f t="shared" si="61"/>
        <v>11</v>
      </c>
      <c r="M404" s="15" t="str">
        <f t="shared" si="60"/>
        <v>黄</v>
      </c>
      <c r="N404" s="15" t="str">
        <f t="shared" si="62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39" ht="16.5" x14ac:dyDescent="0.2">
      <c r="I405" s="35">
        <v>369</v>
      </c>
      <c r="J405" s="15">
        <f t="shared" si="58"/>
        <v>1102018</v>
      </c>
      <c r="K405" s="15">
        <f t="shared" si="59"/>
        <v>3</v>
      </c>
      <c r="L405" s="15">
        <f t="shared" si="61"/>
        <v>12</v>
      </c>
      <c r="M405" s="15" t="str">
        <f t="shared" si="60"/>
        <v>黄</v>
      </c>
      <c r="N405" s="15" t="str">
        <f t="shared" si="62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39" ht="16.5" x14ac:dyDescent="0.2">
      <c r="I406" s="35">
        <v>370</v>
      </c>
      <c r="J406" s="15">
        <f t="shared" si="58"/>
        <v>1102018</v>
      </c>
      <c r="K406" s="15">
        <f t="shared" si="59"/>
        <v>3</v>
      </c>
      <c r="L406" s="15">
        <f t="shared" si="61"/>
        <v>13</v>
      </c>
      <c r="M406" s="15" t="str">
        <f t="shared" si="60"/>
        <v>黄</v>
      </c>
      <c r="N406" s="15" t="str">
        <f t="shared" si="62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39" ht="16.5" x14ac:dyDescent="0.2">
      <c r="I407" s="35">
        <v>371</v>
      </c>
      <c r="J407" s="15">
        <f t="shared" si="58"/>
        <v>1102018</v>
      </c>
      <c r="K407" s="15">
        <f t="shared" si="59"/>
        <v>3</v>
      </c>
      <c r="L407" s="15">
        <f t="shared" si="61"/>
        <v>14</v>
      </c>
      <c r="M407" s="15" t="str">
        <f t="shared" si="60"/>
        <v>黄</v>
      </c>
      <c r="N407" s="15" t="str">
        <f t="shared" si="62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39" ht="16.5" x14ac:dyDescent="0.2">
      <c r="I408" s="35">
        <v>372</v>
      </c>
      <c r="J408" s="15">
        <f t="shared" si="58"/>
        <v>1102018</v>
      </c>
      <c r="K408" s="15">
        <f t="shared" si="59"/>
        <v>3</v>
      </c>
      <c r="L408" s="15">
        <f t="shared" si="61"/>
        <v>15</v>
      </c>
      <c r="M408" s="15" t="str">
        <f t="shared" si="60"/>
        <v>黄</v>
      </c>
      <c r="N408" s="15" t="str">
        <f t="shared" si="62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39" ht="16.5" x14ac:dyDescent="0.2">
      <c r="I409" s="35">
        <v>373</v>
      </c>
      <c r="J409" s="15">
        <f t="shared" si="58"/>
        <v>1102018</v>
      </c>
      <c r="K409" s="15">
        <f t="shared" si="59"/>
        <v>3</v>
      </c>
      <c r="L409" s="15">
        <f t="shared" si="61"/>
        <v>16</v>
      </c>
      <c r="M409" s="15" t="str">
        <f t="shared" si="60"/>
        <v>黄</v>
      </c>
      <c r="N409" s="15" t="str">
        <f t="shared" si="62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39" ht="16.5" x14ac:dyDescent="0.2">
      <c r="I410" s="35">
        <v>374</v>
      </c>
      <c r="J410" s="15">
        <f t="shared" si="58"/>
        <v>1102018</v>
      </c>
      <c r="K410" s="15">
        <f t="shared" si="59"/>
        <v>3</v>
      </c>
      <c r="L410" s="15">
        <f t="shared" si="61"/>
        <v>17</v>
      </c>
      <c r="M410" s="15" t="str">
        <f t="shared" si="60"/>
        <v>黄</v>
      </c>
      <c r="N410" s="15" t="str">
        <f t="shared" si="62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39" ht="16.5" x14ac:dyDescent="0.2">
      <c r="I411" s="35">
        <v>375</v>
      </c>
      <c r="J411" s="15">
        <f t="shared" si="58"/>
        <v>1102018</v>
      </c>
      <c r="K411" s="15">
        <f t="shared" si="59"/>
        <v>3</v>
      </c>
      <c r="L411" s="15">
        <f t="shared" si="61"/>
        <v>18</v>
      </c>
      <c r="M411" s="15" t="str">
        <f t="shared" si="60"/>
        <v>黄</v>
      </c>
      <c r="N411" s="15" t="str">
        <f t="shared" si="62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39" ht="16.5" x14ac:dyDescent="0.2">
      <c r="I412" s="35">
        <v>376</v>
      </c>
      <c r="J412" s="15">
        <f t="shared" si="58"/>
        <v>1102018</v>
      </c>
      <c r="K412" s="15">
        <f t="shared" si="59"/>
        <v>3</v>
      </c>
      <c r="L412" s="15">
        <f t="shared" si="61"/>
        <v>19</v>
      </c>
      <c r="M412" s="15" t="str">
        <f t="shared" si="60"/>
        <v>黄</v>
      </c>
      <c r="N412" s="15" t="str">
        <f t="shared" si="62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39" ht="16.5" x14ac:dyDescent="0.2">
      <c r="I413" s="35">
        <v>377</v>
      </c>
      <c r="J413" s="15">
        <f t="shared" si="58"/>
        <v>1102018</v>
      </c>
      <c r="K413" s="15">
        <f t="shared" si="59"/>
        <v>3</v>
      </c>
      <c r="L413" s="15">
        <f t="shared" si="61"/>
        <v>20</v>
      </c>
      <c r="M413" s="15" t="str">
        <f t="shared" si="60"/>
        <v>黄</v>
      </c>
      <c r="N413" s="15" t="str">
        <f t="shared" si="62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39" ht="16.5" x14ac:dyDescent="0.2">
      <c r="I414" s="35">
        <v>378</v>
      </c>
      <c r="J414" s="15">
        <f t="shared" si="58"/>
        <v>1102018</v>
      </c>
      <c r="K414" s="15">
        <f t="shared" si="59"/>
        <v>3</v>
      </c>
      <c r="L414" s="15">
        <f t="shared" si="61"/>
        <v>21</v>
      </c>
      <c r="M414" s="15" t="str">
        <f t="shared" si="60"/>
        <v>黄</v>
      </c>
      <c r="N414" s="15" t="str">
        <f t="shared" si="62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39" ht="16.5" x14ac:dyDescent="0.2">
      <c r="I415" s="35">
        <v>379</v>
      </c>
      <c r="J415" s="15">
        <f t="shared" si="58"/>
        <v>1102019</v>
      </c>
      <c r="K415" s="15">
        <f t="shared" si="59"/>
        <v>3</v>
      </c>
      <c r="L415" s="15">
        <f t="shared" si="61"/>
        <v>1</v>
      </c>
      <c r="M415" s="15" t="str">
        <f t="shared" si="60"/>
        <v>红</v>
      </c>
      <c r="N415" s="15" t="str">
        <f t="shared" si="62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39" ht="16.5" x14ac:dyDescent="0.2">
      <c r="I416" s="35">
        <v>380</v>
      </c>
      <c r="J416" s="15">
        <f t="shared" si="58"/>
        <v>1102019</v>
      </c>
      <c r="K416" s="15">
        <f t="shared" si="59"/>
        <v>3</v>
      </c>
      <c r="L416" s="15">
        <f t="shared" si="61"/>
        <v>2</v>
      </c>
      <c r="M416" s="15" t="str">
        <f t="shared" si="60"/>
        <v>红</v>
      </c>
      <c r="N416" s="15" t="str">
        <f t="shared" si="62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58"/>
        <v>1102019</v>
      </c>
      <c r="K417" s="15">
        <f t="shared" si="59"/>
        <v>3</v>
      </c>
      <c r="L417" s="15">
        <f t="shared" si="61"/>
        <v>3</v>
      </c>
      <c r="M417" s="15" t="str">
        <f t="shared" si="60"/>
        <v>红</v>
      </c>
      <c r="N417" s="15" t="str">
        <f t="shared" si="62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58"/>
        <v>1102019</v>
      </c>
      <c r="K418" s="15">
        <f t="shared" si="59"/>
        <v>3</v>
      </c>
      <c r="L418" s="15">
        <f t="shared" si="61"/>
        <v>4</v>
      </c>
      <c r="M418" s="15" t="str">
        <f t="shared" si="60"/>
        <v>红</v>
      </c>
      <c r="N418" s="15" t="str">
        <f t="shared" si="62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58"/>
        <v>1102019</v>
      </c>
      <c r="K419" s="15">
        <f t="shared" si="59"/>
        <v>3</v>
      </c>
      <c r="L419" s="15">
        <f t="shared" si="61"/>
        <v>5</v>
      </c>
      <c r="M419" s="15" t="str">
        <f t="shared" si="60"/>
        <v>红</v>
      </c>
      <c r="N419" s="15" t="str">
        <f t="shared" si="62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58"/>
        <v>1102019</v>
      </c>
      <c r="K420" s="15">
        <f t="shared" si="59"/>
        <v>3</v>
      </c>
      <c r="L420" s="15">
        <f t="shared" si="61"/>
        <v>6</v>
      </c>
      <c r="M420" s="15" t="str">
        <f t="shared" si="60"/>
        <v>红</v>
      </c>
      <c r="N420" s="15" t="str">
        <f t="shared" si="62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63">INDEX($A$13:$A$33,INT((I421-1)/21)+1)</f>
        <v>1102019</v>
      </c>
      <c r="K421" s="15">
        <f t="shared" ref="K421:K477" si="64">VLOOKUP(J421,$A$13:$D$33,3)</f>
        <v>3</v>
      </c>
      <c r="L421" s="15">
        <f t="shared" si="61"/>
        <v>7</v>
      </c>
      <c r="M421" s="15" t="str">
        <f t="shared" ref="M421:M477" si="65">INDEX($J$2:$L$2,INDEX($E$13:$E$33,INT((I421-1)/21)+1))</f>
        <v>红</v>
      </c>
      <c r="N421" s="15" t="str">
        <f t="shared" si="62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63"/>
        <v>1102019</v>
      </c>
      <c r="K422" s="15">
        <f t="shared" si="64"/>
        <v>3</v>
      </c>
      <c r="L422" s="15">
        <f t="shared" ref="L422:L477" si="66">MOD((I422-1),21)+1</f>
        <v>8</v>
      </c>
      <c r="M422" s="15" t="str">
        <f t="shared" si="65"/>
        <v>红</v>
      </c>
      <c r="N422" s="15" t="str">
        <f t="shared" ref="N422:N477" si="67">IF(L422&gt;1,"金币","")</f>
        <v>金币</v>
      </c>
      <c r="O422" s="15">
        <f>IF(L422&gt;1,INDEX(挂机升级突破!$AI$35:$AI$55,卡牌消耗!L422),"")</f>
        <v>66000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63"/>
        <v>1102019</v>
      </c>
      <c r="K423" s="15">
        <f t="shared" si="64"/>
        <v>3</v>
      </c>
      <c r="L423" s="15">
        <f t="shared" si="66"/>
        <v>9</v>
      </c>
      <c r="M423" s="15" t="str">
        <f t="shared" si="65"/>
        <v>红</v>
      </c>
      <c r="N423" s="15" t="str">
        <f t="shared" si="67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63"/>
        <v>1102019</v>
      </c>
      <c r="K424" s="15">
        <f t="shared" si="64"/>
        <v>3</v>
      </c>
      <c r="L424" s="15">
        <f t="shared" si="66"/>
        <v>10</v>
      </c>
      <c r="M424" s="15" t="str">
        <f t="shared" si="65"/>
        <v>红</v>
      </c>
      <c r="N424" s="15" t="str">
        <f t="shared" si="67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63"/>
        <v>1102019</v>
      </c>
      <c r="K425" s="15">
        <f t="shared" si="64"/>
        <v>3</v>
      </c>
      <c r="L425" s="15">
        <f t="shared" si="66"/>
        <v>11</v>
      </c>
      <c r="M425" s="15" t="str">
        <f t="shared" si="65"/>
        <v>红</v>
      </c>
      <c r="N425" s="15" t="str">
        <f t="shared" si="67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63"/>
        <v>1102019</v>
      </c>
      <c r="K426" s="15">
        <f t="shared" si="64"/>
        <v>3</v>
      </c>
      <c r="L426" s="15">
        <f t="shared" si="66"/>
        <v>12</v>
      </c>
      <c r="M426" s="15" t="str">
        <f t="shared" si="65"/>
        <v>红</v>
      </c>
      <c r="N426" s="15" t="str">
        <f t="shared" si="67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63"/>
        <v>1102019</v>
      </c>
      <c r="K427" s="15">
        <f t="shared" si="64"/>
        <v>3</v>
      </c>
      <c r="L427" s="15">
        <f t="shared" si="66"/>
        <v>13</v>
      </c>
      <c r="M427" s="15" t="str">
        <f t="shared" si="65"/>
        <v>红</v>
      </c>
      <c r="N427" s="15" t="str">
        <f t="shared" si="67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63"/>
        <v>1102019</v>
      </c>
      <c r="K428" s="15">
        <f t="shared" si="64"/>
        <v>3</v>
      </c>
      <c r="L428" s="15">
        <f t="shared" si="66"/>
        <v>14</v>
      </c>
      <c r="M428" s="15" t="str">
        <f t="shared" si="65"/>
        <v>红</v>
      </c>
      <c r="N428" s="15" t="str">
        <f t="shared" si="67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63"/>
        <v>1102019</v>
      </c>
      <c r="K429" s="15">
        <f t="shared" si="64"/>
        <v>3</v>
      </c>
      <c r="L429" s="15">
        <f t="shared" si="66"/>
        <v>15</v>
      </c>
      <c r="M429" s="15" t="str">
        <f t="shared" si="65"/>
        <v>红</v>
      </c>
      <c r="N429" s="15" t="str">
        <f t="shared" si="67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63"/>
        <v>1102019</v>
      </c>
      <c r="K430" s="15">
        <f t="shared" si="64"/>
        <v>3</v>
      </c>
      <c r="L430" s="15">
        <f t="shared" si="66"/>
        <v>16</v>
      </c>
      <c r="M430" s="15" t="str">
        <f t="shared" si="65"/>
        <v>红</v>
      </c>
      <c r="N430" s="15" t="str">
        <f t="shared" si="67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63"/>
        <v>1102019</v>
      </c>
      <c r="K431" s="15">
        <f t="shared" si="64"/>
        <v>3</v>
      </c>
      <c r="L431" s="15">
        <f t="shared" si="66"/>
        <v>17</v>
      </c>
      <c r="M431" s="15" t="str">
        <f t="shared" si="65"/>
        <v>红</v>
      </c>
      <c r="N431" s="15" t="str">
        <f t="shared" si="67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63"/>
        <v>1102019</v>
      </c>
      <c r="K432" s="15">
        <f t="shared" si="64"/>
        <v>3</v>
      </c>
      <c r="L432" s="15">
        <f t="shared" si="66"/>
        <v>18</v>
      </c>
      <c r="M432" s="15" t="str">
        <f t="shared" si="65"/>
        <v>红</v>
      </c>
      <c r="N432" s="15" t="str">
        <f t="shared" si="67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63"/>
        <v>1102019</v>
      </c>
      <c r="K433" s="15">
        <f t="shared" si="64"/>
        <v>3</v>
      </c>
      <c r="L433" s="15">
        <f t="shared" si="66"/>
        <v>19</v>
      </c>
      <c r="M433" s="15" t="str">
        <f t="shared" si="65"/>
        <v>红</v>
      </c>
      <c r="N433" s="15" t="str">
        <f t="shared" si="67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63"/>
        <v>1102019</v>
      </c>
      <c r="K434" s="15">
        <f t="shared" si="64"/>
        <v>3</v>
      </c>
      <c r="L434" s="15">
        <f t="shared" si="66"/>
        <v>20</v>
      </c>
      <c r="M434" s="15" t="str">
        <f t="shared" si="65"/>
        <v>红</v>
      </c>
      <c r="N434" s="15" t="str">
        <f t="shared" si="67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63"/>
        <v>1102019</v>
      </c>
      <c r="K435" s="15">
        <f t="shared" si="64"/>
        <v>3</v>
      </c>
      <c r="L435" s="15">
        <f t="shared" si="66"/>
        <v>21</v>
      </c>
      <c r="M435" s="15" t="str">
        <f t="shared" si="65"/>
        <v>红</v>
      </c>
      <c r="N435" s="15" t="str">
        <f t="shared" si="67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63"/>
        <v>1102020</v>
      </c>
      <c r="K436" s="15">
        <f t="shared" si="64"/>
        <v>3</v>
      </c>
      <c r="L436" s="15">
        <f t="shared" si="66"/>
        <v>1</v>
      </c>
      <c r="M436" s="15" t="str">
        <f t="shared" si="65"/>
        <v>黄</v>
      </c>
      <c r="N436" s="15" t="str">
        <f t="shared" si="67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63"/>
        <v>1102020</v>
      </c>
      <c r="K437" s="15">
        <f t="shared" si="64"/>
        <v>3</v>
      </c>
      <c r="L437" s="15">
        <f t="shared" si="66"/>
        <v>2</v>
      </c>
      <c r="M437" s="15" t="str">
        <f t="shared" si="65"/>
        <v>黄</v>
      </c>
      <c r="N437" s="15" t="str">
        <f t="shared" si="67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63"/>
        <v>1102020</v>
      </c>
      <c r="K438" s="15">
        <f t="shared" si="64"/>
        <v>3</v>
      </c>
      <c r="L438" s="15">
        <f t="shared" si="66"/>
        <v>3</v>
      </c>
      <c r="M438" s="15" t="str">
        <f t="shared" si="65"/>
        <v>黄</v>
      </c>
      <c r="N438" s="15" t="str">
        <f t="shared" si="67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63"/>
        <v>1102020</v>
      </c>
      <c r="K439" s="15">
        <f t="shared" si="64"/>
        <v>3</v>
      </c>
      <c r="L439" s="15">
        <f t="shared" si="66"/>
        <v>4</v>
      </c>
      <c r="M439" s="15" t="str">
        <f t="shared" si="65"/>
        <v>黄</v>
      </c>
      <c r="N439" s="15" t="str">
        <f t="shared" si="67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63"/>
        <v>1102020</v>
      </c>
      <c r="K440" s="15">
        <f t="shared" si="64"/>
        <v>3</v>
      </c>
      <c r="L440" s="15">
        <f t="shared" si="66"/>
        <v>5</v>
      </c>
      <c r="M440" s="15" t="str">
        <f t="shared" si="65"/>
        <v>黄</v>
      </c>
      <c r="N440" s="15" t="str">
        <f t="shared" si="67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63"/>
        <v>1102020</v>
      </c>
      <c r="K441" s="15">
        <f t="shared" si="64"/>
        <v>3</v>
      </c>
      <c r="L441" s="15">
        <f t="shared" si="66"/>
        <v>6</v>
      </c>
      <c r="M441" s="15" t="str">
        <f t="shared" si="65"/>
        <v>黄</v>
      </c>
      <c r="N441" s="15" t="str">
        <f t="shared" si="67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63"/>
        <v>1102020</v>
      </c>
      <c r="K442" s="15">
        <f t="shared" si="64"/>
        <v>3</v>
      </c>
      <c r="L442" s="15">
        <f t="shared" si="66"/>
        <v>7</v>
      </c>
      <c r="M442" s="15" t="str">
        <f t="shared" si="65"/>
        <v>黄</v>
      </c>
      <c r="N442" s="15" t="str">
        <f t="shared" si="67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63"/>
        <v>1102020</v>
      </c>
      <c r="K443" s="15">
        <f t="shared" si="64"/>
        <v>3</v>
      </c>
      <c r="L443" s="15">
        <f t="shared" si="66"/>
        <v>8</v>
      </c>
      <c r="M443" s="15" t="str">
        <f t="shared" si="65"/>
        <v>黄</v>
      </c>
      <c r="N443" s="15" t="str">
        <f t="shared" si="67"/>
        <v>金币</v>
      </c>
      <c r="O443" s="15">
        <f>IF(L443&gt;1,INDEX(挂机升级突破!$AI$35:$AI$55,卡牌消耗!L443),"")</f>
        <v>66000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63"/>
        <v>1102020</v>
      </c>
      <c r="K444" s="15">
        <f t="shared" si="64"/>
        <v>3</v>
      </c>
      <c r="L444" s="15">
        <f t="shared" si="66"/>
        <v>9</v>
      </c>
      <c r="M444" s="15" t="str">
        <f t="shared" si="65"/>
        <v>黄</v>
      </c>
      <c r="N444" s="15" t="str">
        <f t="shared" si="67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63"/>
        <v>1102020</v>
      </c>
      <c r="K445" s="15">
        <f t="shared" si="64"/>
        <v>3</v>
      </c>
      <c r="L445" s="15">
        <f t="shared" si="66"/>
        <v>10</v>
      </c>
      <c r="M445" s="15" t="str">
        <f t="shared" si="65"/>
        <v>黄</v>
      </c>
      <c r="N445" s="15" t="str">
        <f t="shared" si="67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63"/>
        <v>1102020</v>
      </c>
      <c r="K446" s="15">
        <f t="shared" si="64"/>
        <v>3</v>
      </c>
      <c r="L446" s="15">
        <f t="shared" si="66"/>
        <v>11</v>
      </c>
      <c r="M446" s="15" t="str">
        <f t="shared" si="65"/>
        <v>黄</v>
      </c>
      <c r="N446" s="15" t="str">
        <f t="shared" si="67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63"/>
        <v>1102020</v>
      </c>
      <c r="K447" s="15">
        <f t="shared" si="64"/>
        <v>3</v>
      </c>
      <c r="L447" s="15">
        <f t="shared" si="66"/>
        <v>12</v>
      </c>
      <c r="M447" s="15" t="str">
        <f t="shared" si="65"/>
        <v>黄</v>
      </c>
      <c r="N447" s="15" t="str">
        <f t="shared" si="67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63"/>
        <v>1102020</v>
      </c>
      <c r="K448" s="15">
        <f t="shared" si="64"/>
        <v>3</v>
      </c>
      <c r="L448" s="15">
        <f t="shared" si="66"/>
        <v>13</v>
      </c>
      <c r="M448" s="15" t="str">
        <f t="shared" si="65"/>
        <v>黄</v>
      </c>
      <c r="N448" s="15" t="str">
        <f t="shared" si="67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63"/>
        <v>1102020</v>
      </c>
      <c r="K449" s="15">
        <f t="shared" si="64"/>
        <v>3</v>
      </c>
      <c r="L449" s="15">
        <f t="shared" si="66"/>
        <v>14</v>
      </c>
      <c r="M449" s="15" t="str">
        <f t="shared" si="65"/>
        <v>黄</v>
      </c>
      <c r="N449" s="15" t="str">
        <f t="shared" si="67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63"/>
        <v>1102020</v>
      </c>
      <c r="K450" s="15">
        <f t="shared" si="64"/>
        <v>3</v>
      </c>
      <c r="L450" s="15">
        <f t="shared" si="66"/>
        <v>15</v>
      </c>
      <c r="M450" s="15" t="str">
        <f t="shared" si="65"/>
        <v>黄</v>
      </c>
      <c r="N450" s="15" t="str">
        <f t="shared" si="67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63"/>
        <v>1102020</v>
      </c>
      <c r="K451" s="15">
        <f t="shared" si="64"/>
        <v>3</v>
      </c>
      <c r="L451" s="15">
        <f t="shared" si="66"/>
        <v>16</v>
      </c>
      <c r="M451" s="15" t="str">
        <f t="shared" si="65"/>
        <v>黄</v>
      </c>
      <c r="N451" s="15" t="str">
        <f t="shared" si="67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63"/>
        <v>1102020</v>
      </c>
      <c r="K452" s="15">
        <f t="shared" si="64"/>
        <v>3</v>
      </c>
      <c r="L452" s="15">
        <f t="shared" si="66"/>
        <v>17</v>
      </c>
      <c r="M452" s="15" t="str">
        <f t="shared" si="65"/>
        <v>黄</v>
      </c>
      <c r="N452" s="15" t="str">
        <f t="shared" si="67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63"/>
        <v>1102020</v>
      </c>
      <c r="K453" s="15">
        <f t="shared" si="64"/>
        <v>3</v>
      </c>
      <c r="L453" s="15">
        <f t="shared" si="66"/>
        <v>18</v>
      </c>
      <c r="M453" s="15" t="str">
        <f t="shared" si="65"/>
        <v>黄</v>
      </c>
      <c r="N453" s="15" t="str">
        <f t="shared" si="67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63"/>
        <v>1102020</v>
      </c>
      <c r="K454" s="15">
        <f t="shared" si="64"/>
        <v>3</v>
      </c>
      <c r="L454" s="15">
        <f t="shared" si="66"/>
        <v>19</v>
      </c>
      <c r="M454" s="15" t="str">
        <f t="shared" si="65"/>
        <v>黄</v>
      </c>
      <c r="N454" s="15" t="str">
        <f t="shared" si="67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63"/>
        <v>1102020</v>
      </c>
      <c r="K455" s="15">
        <f t="shared" si="64"/>
        <v>3</v>
      </c>
      <c r="L455" s="15">
        <f t="shared" si="66"/>
        <v>20</v>
      </c>
      <c r="M455" s="15" t="str">
        <f t="shared" si="65"/>
        <v>黄</v>
      </c>
      <c r="N455" s="15" t="str">
        <f t="shared" si="67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63"/>
        <v>1102020</v>
      </c>
      <c r="K456" s="15">
        <f t="shared" si="64"/>
        <v>3</v>
      </c>
      <c r="L456" s="15">
        <f t="shared" si="66"/>
        <v>21</v>
      </c>
      <c r="M456" s="15" t="str">
        <f t="shared" si="65"/>
        <v>黄</v>
      </c>
      <c r="N456" s="15" t="str">
        <f t="shared" si="67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63"/>
        <v>1102021</v>
      </c>
      <c r="K457" s="15">
        <f t="shared" si="64"/>
        <v>2</v>
      </c>
      <c r="L457" s="15">
        <f t="shared" si="66"/>
        <v>1</v>
      </c>
      <c r="M457" s="15" t="str">
        <f t="shared" si="65"/>
        <v>黄</v>
      </c>
      <c r="N457" s="15" t="str">
        <f t="shared" si="67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63"/>
        <v>1102021</v>
      </c>
      <c r="K458" s="15">
        <f t="shared" si="64"/>
        <v>2</v>
      </c>
      <c r="L458" s="15">
        <f t="shared" si="66"/>
        <v>2</v>
      </c>
      <c r="M458" s="15" t="str">
        <f t="shared" si="65"/>
        <v>黄</v>
      </c>
      <c r="N458" s="15" t="str">
        <f t="shared" si="67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63"/>
        <v>1102021</v>
      </c>
      <c r="K459" s="15">
        <f t="shared" si="64"/>
        <v>2</v>
      </c>
      <c r="L459" s="15">
        <f t="shared" si="66"/>
        <v>3</v>
      </c>
      <c r="M459" s="15" t="str">
        <f t="shared" si="65"/>
        <v>黄</v>
      </c>
      <c r="N459" s="15" t="str">
        <f t="shared" si="67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63"/>
        <v>1102021</v>
      </c>
      <c r="K460" s="15">
        <f t="shared" si="64"/>
        <v>2</v>
      </c>
      <c r="L460" s="15">
        <f t="shared" si="66"/>
        <v>4</v>
      </c>
      <c r="M460" s="15" t="str">
        <f t="shared" si="65"/>
        <v>黄</v>
      </c>
      <c r="N460" s="15" t="str">
        <f t="shared" si="67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63"/>
        <v>1102021</v>
      </c>
      <c r="K461" s="15">
        <f t="shared" si="64"/>
        <v>2</v>
      </c>
      <c r="L461" s="15">
        <f t="shared" si="66"/>
        <v>5</v>
      </c>
      <c r="M461" s="15" t="str">
        <f t="shared" si="65"/>
        <v>黄</v>
      </c>
      <c r="N461" s="15" t="str">
        <f t="shared" si="67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63"/>
        <v>1102021</v>
      </c>
      <c r="K462" s="15">
        <f t="shared" si="64"/>
        <v>2</v>
      </c>
      <c r="L462" s="15">
        <f t="shared" si="66"/>
        <v>6</v>
      </c>
      <c r="M462" s="15" t="str">
        <f t="shared" si="65"/>
        <v>黄</v>
      </c>
      <c r="N462" s="15" t="str">
        <f t="shared" si="67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63"/>
        <v>1102021</v>
      </c>
      <c r="K463" s="15">
        <f t="shared" si="64"/>
        <v>2</v>
      </c>
      <c r="L463" s="15">
        <f t="shared" si="66"/>
        <v>7</v>
      </c>
      <c r="M463" s="15" t="str">
        <f t="shared" si="65"/>
        <v>黄</v>
      </c>
      <c r="N463" s="15" t="str">
        <f t="shared" si="67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63"/>
        <v>1102021</v>
      </c>
      <c r="K464" s="15">
        <f t="shared" si="64"/>
        <v>2</v>
      </c>
      <c r="L464" s="15">
        <f t="shared" si="66"/>
        <v>8</v>
      </c>
      <c r="M464" s="15" t="str">
        <f t="shared" si="65"/>
        <v>黄</v>
      </c>
      <c r="N464" s="15" t="str">
        <f t="shared" si="67"/>
        <v>金币</v>
      </c>
      <c r="O464" s="15">
        <f>IF(L464&gt;1,INDEX(挂机升级突破!$AI$35:$AI$55,卡牌消耗!L464),"")</f>
        <v>66000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63"/>
        <v>1102021</v>
      </c>
      <c r="K465" s="15">
        <f t="shared" si="64"/>
        <v>2</v>
      </c>
      <c r="L465" s="15">
        <f t="shared" si="66"/>
        <v>9</v>
      </c>
      <c r="M465" s="15" t="str">
        <f t="shared" si="65"/>
        <v>黄</v>
      </c>
      <c r="N465" s="15" t="str">
        <f t="shared" si="67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63"/>
        <v>1102021</v>
      </c>
      <c r="K466" s="15">
        <f t="shared" si="64"/>
        <v>2</v>
      </c>
      <c r="L466" s="15">
        <f t="shared" si="66"/>
        <v>10</v>
      </c>
      <c r="M466" s="15" t="str">
        <f t="shared" si="65"/>
        <v>黄</v>
      </c>
      <c r="N466" s="15" t="str">
        <f t="shared" si="67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63"/>
        <v>1102021</v>
      </c>
      <c r="K467" s="15">
        <f t="shared" si="64"/>
        <v>2</v>
      </c>
      <c r="L467" s="15">
        <f t="shared" si="66"/>
        <v>11</v>
      </c>
      <c r="M467" s="15" t="str">
        <f t="shared" si="65"/>
        <v>黄</v>
      </c>
      <c r="N467" s="15" t="str">
        <f t="shared" si="67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63"/>
        <v>1102021</v>
      </c>
      <c r="K468" s="15">
        <f t="shared" si="64"/>
        <v>2</v>
      </c>
      <c r="L468" s="15">
        <f t="shared" si="66"/>
        <v>12</v>
      </c>
      <c r="M468" s="15" t="str">
        <f t="shared" si="65"/>
        <v>黄</v>
      </c>
      <c r="N468" s="15" t="str">
        <f t="shared" si="67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63"/>
        <v>1102021</v>
      </c>
      <c r="K469" s="15">
        <f t="shared" si="64"/>
        <v>2</v>
      </c>
      <c r="L469" s="15">
        <f t="shared" si="66"/>
        <v>13</v>
      </c>
      <c r="M469" s="15" t="str">
        <f t="shared" si="65"/>
        <v>黄</v>
      </c>
      <c r="N469" s="15" t="str">
        <f t="shared" si="67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63"/>
        <v>1102021</v>
      </c>
      <c r="K470" s="15">
        <f t="shared" si="64"/>
        <v>2</v>
      </c>
      <c r="L470" s="15">
        <f t="shared" si="66"/>
        <v>14</v>
      </c>
      <c r="M470" s="15" t="str">
        <f t="shared" si="65"/>
        <v>黄</v>
      </c>
      <c r="N470" s="15" t="str">
        <f t="shared" si="67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63"/>
        <v>1102021</v>
      </c>
      <c r="K471" s="15">
        <f t="shared" si="64"/>
        <v>2</v>
      </c>
      <c r="L471" s="15">
        <f t="shared" si="66"/>
        <v>15</v>
      </c>
      <c r="M471" s="15" t="str">
        <f t="shared" si="65"/>
        <v>黄</v>
      </c>
      <c r="N471" s="15" t="str">
        <f t="shared" si="67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63"/>
        <v>1102021</v>
      </c>
      <c r="K472" s="15">
        <f t="shared" si="64"/>
        <v>2</v>
      </c>
      <c r="L472" s="15">
        <f t="shared" si="66"/>
        <v>16</v>
      </c>
      <c r="M472" s="15" t="str">
        <f t="shared" si="65"/>
        <v>黄</v>
      </c>
      <c r="N472" s="15" t="str">
        <f t="shared" si="67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63"/>
        <v>1102021</v>
      </c>
      <c r="K473" s="15">
        <f t="shared" si="64"/>
        <v>2</v>
      </c>
      <c r="L473" s="15">
        <f t="shared" si="66"/>
        <v>17</v>
      </c>
      <c r="M473" s="15" t="str">
        <f t="shared" si="65"/>
        <v>黄</v>
      </c>
      <c r="N473" s="15" t="str">
        <f t="shared" si="67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63"/>
        <v>1102021</v>
      </c>
      <c r="K474" s="15">
        <f t="shared" si="64"/>
        <v>2</v>
      </c>
      <c r="L474" s="15">
        <f t="shared" si="66"/>
        <v>18</v>
      </c>
      <c r="M474" s="15" t="str">
        <f t="shared" si="65"/>
        <v>黄</v>
      </c>
      <c r="N474" s="15" t="str">
        <f t="shared" si="67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63"/>
        <v>1102021</v>
      </c>
      <c r="K475" s="15">
        <f t="shared" si="64"/>
        <v>2</v>
      </c>
      <c r="L475" s="15">
        <f t="shared" si="66"/>
        <v>19</v>
      </c>
      <c r="M475" s="15" t="str">
        <f t="shared" si="65"/>
        <v>黄</v>
      </c>
      <c r="N475" s="15" t="str">
        <f t="shared" si="67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63"/>
        <v>1102021</v>
      </c>
      <c r="K476" s="15">
        <f t="shared" si="64"/>
        <v>2</v>
      </c>
      <c r="L476" s="15">
        <f t="shared" si="66"/>
        <v>20</v>
      </c>
      <c r="M476" s="15" t="str">
        <f t="shared" si="65"/>
        <v>黄</v>
      </c>
      <c r="N476" s="15" t="str">
        <f t="shared" si="67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63"/>
        <v>1102021</v>
      </c>
      <c r="K477" s="15">
        <f t="shared" si="64"/>
        <v>2</v>
      </c>
      <c r="L477" s="15">
        <f t="shared" si="66"/>
        <v>21</v>
      </c>
      <c r="M477" s="15" t="str">
        <f t="shared" si="65"/>
        <v>黄</v>
      </c>
      <c r="N477" s="15" t="str">
        <f t="shared" si="67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3">
    <mergeCell ref="A3:E3"/>
    <mergeCell ref="I35:U35"/>
    <mergeCell ref="Z3:A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349</v>
      </c>
      <c r="C3" s="12" t="s">
        <v>352</v>
      </c>
      <c r="D3" s="12" t="s">
        <v>344</v>
      </c>
      <c r="E3" s="12" t="s">
        <v>345</v>
      </c>
      <c r="F3" s="12" t="s">
        <v>358</v>
      </c>
      <c r="G3" s="12" t="s">
        <v>359</v>
      </c>
      <c r="H3" s="12" t="s">
        <v>351</v>
      </c>
      <c r="I3" s="12" t="s">
        <v>353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346</v>
      </c>
      <c r="B5" s="41">
        <f>金币总产!O25</f>
        <v>4525900</v>
      </c>
      <c r="C5" s="41">
        <f>SUM(节奏总表!R8:R11)</f>
        <v>7</v>
      </c>
      <c r="D5" s="15">
        <f>INT($B5*D$4)</f>
        <v>1810360</v>
      </c>
      <c r="E5" s="15">
        <f>INT($B5*E$4)</f>
        <v>2715540</v>
      </c>
      <c r="F5" s="42"/>
      <c r="G5" s="42"/>
      <c r="H5" s="41">
        <v>10</v>
      </c>
      <c r="I5" s="41" t="s">
        <v>354</v>
      </c>
    </row>
    <row r="6" spans="1:9" ht="16.5" x14ac:dyDescent="0.2">
      <c r="A6" s="43" t="s">
        <v>347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355</v>
      </c>
    </row>
    <row r="7" spans="1:9" ht="16.5" x14ac:dyDescent="0.2">
      <c r="A7" s="43" t="s">
        <v>348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356</v>
      </c>
    </row>
    <row r="8" spans="1:9" ht="16.5" x14ac:dyDescent="0.2">
      <c r="A8" s="43" t="s">
        <v>350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357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AV20" sqref="AV20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1" t="s">
        <v>679</v>
      </c>
      <c r="M2" s="15">
        <f>SUMPRODUCT(K4:K7,M4:M7)*SUM(Q4:Q21)</f>
        <v>843200</v>
      </c>
      <c r="O2" s="71" t="s">
        <v>700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521</v>
      </c>
      <c r="AY2" s="12" t="s">
        <v>522</v>
      </c>
      <c r="AZ2" s="12" t="s">
        <v>523</v>
      </c>
      <c r="BA2" s="12" t="s">
        <v>566</v>
      </c>
      <c r="BB2" s="12" t="s">
        <v>525</v>
      </c>
      <c r="BC2" s="12" t="s">
        <v>526</v>
      </c>
      <c r="BD2" s="12" t="s">
        <v>527</v>
      </c>
      <c r="BE2" s="16"/>
      <c r="BF2" s="24" t="s">
        <v>523</v>
      </c>
      <c r="BG2" s="24" t="s">
        <v>524</v>
      </c>
    </row>
    <row r="3" spans="1:72" ht="17.25" x14ac:dyDescent="0.2">
      <c r="A3" s="12" t="s">
        <v>486</v>
      </c>
      <c r="B3" s="12" t="s">
        <v>484</v>
      </c>
      <c r="C3" s="12" t="s">
        <v>485</v>
      </c>
      <c r="E3" s="12" t="s">
        <v>487</v>
      </c>
      <c r="F3" s="12" t="s">
        <v>485</v>
      </c>
      <c r="G3" s="12" t="s">
        <v>491</v>
      </c>
      <c r="I3" s="12" t="s">
        <v>680</v>
      </c>
      <c r="J3" s="12" t="s">
        <v>681</v>
      </c>
      <c r="K3" s="12" t="s">
        <v>682</v>
      </c>
      <c r="L3" s="12" t="s">
        <v>683</v>
      </c>
      <c r="M3" s="59" t="s">
        <v>684</v>
      </c>
      <c r="O3" s="12" t="s">
        <v>689</v>
      </c>
      <c r="P3" s="12" t="s">
        <v>690</v>
      </c>
      <c r="Q3" s="12" t="s">
        <v>691</v>
      </c>
      <c r="R3" s="12" t="s">
        <v>692</v>
      </c>
      <c r="S3" s="12" t="s">
        <v>87</v>
      </c>
      <c r="T3" s="12" t="s">
        <v>693</v>
      </c>
      <c r="U3" s="12" t="s">
        <v>694</v>
      </c>
      <c r="V3" s="12" t="s">
        <v>695</v>
      </c>
      <c r="W3" s="12" t="s">
        <v>696</v>
      </c>
      <c r="X3" s="12" t="s">
        <v>697</v>
      </c>
      <c r="Y3" s="12" t="s">
        <v>698</v>
      </c>
      <c r="Z3" s="12" t="s">
        <v>699</v>
      </c>
      <c r="AB3" s="24" t="s">
        <v>609</v>
      </c>
      <c r="AC3" s="24" t="s">
        <v>672</v>
      </c>
      <c r="AD3" s="24" t="s">
        <v>673</v>
      </c>
      <c r="AE3" s="24" t="s">
        <v>674</v>
      </c>
      <c r="AF3" s="24" t="s">
        <v>668</v>
      </c>
      <c r="AG3" s="24" t="s">
        <v>675</v>
      </c>
      <c r="AH3" s="24" t="s">
        <v>676</v>
      </c>
      <c r="AK3" s="12" t="s">
        <v>33</v>
      </c>
      <c r="AL3" s="12" t="s">
        <v>677</v>
      </c>
      <c r="AM3" s="12" t="s">
        <v>678</v>
      </c>
      <c r="AN3" s="12" t="s">
        <v>268</v>
      </c>
      <c r="AO3" s="12" t="s">
        <v>37</v>
      </c>
      <c r="AP3" s="12" t="s">
        <v>492</v>
      </c>
      <c r="AQ3" s="12" t="s">
        <v>493</v>
      </c>
      <c r="AR3" s="12" t="s">
        <v>494</v>
      </c>
      <c r="AS3" s="12" t="s">
        <v>495</v>
      </c>
      <c r="AT3" s="12" t="s">
        <v>508</v>
      </c>
      <c r="AU3" s="12" t="s">
        <v>509</v>
      </c>
      <c r="AX3" s="62">
        <v>1</v>
      </c>
      <c r="AY3" s="62">
        <v>20</v>
      </c>
      <c r="AZ3" s="62">
        <v>2</v>
      </c>
      <c r="BA3" s="64">
        <f>AY3*AZ3</f>
        <v>40</v>
      </c>
      <c r="BB3" s="62">
        <f>1/AY3</f>
        <v>0.05</v>
      </c>
      <c r="BC3" s="62">
        <f>SUMPRODUCT(BB3:BB9,AZ3:AZ9)</f>
        <v>0.4238095238095238</v>
      </c>
      <c r="BD3" s="62">
        <f>BB3/$BC$3</f>
        <v>0.11797752808988765</v>
      </c>
      <c r="BF3" s="62">
        <v>1</v>
      </c>
      <c r="BG3" s="20">
        <v>0.5</v>
      </c>
    </row>
    <row r="4" spans="1:72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70" t="s">
        <v>685</v>
      </c>
      <c r="J4" s="70">
        <v>1</v>
      </c>
      <c r="K4" s="70">
        <v>7</v>
      </c>
      <c r="L4" s="70">
        <v>1</v>
      </c>
      <c r="M4" s="70">
        <v>40</v>
      </c>
      <c r="O4" s="70">
        <v>1</v>
      </c>
      <c r="P4" s="70">
        <v>0</v>
      </c>
      <c r="Q4" s="70">
        <v>1</v>
      </c>
      <c r="R4" s="70">
        <v>1</v>
      </c>
      <c r="S4" s="15">
        <v>0</v>
      </c>
      <c r="T4" s="70">
        <f>SUMIFS(芦花古楼!$BH$6:$BH$505,芦花古楼!$BB$6:$BB$505,"&lt;="&amp;神器!S4)</f>
        <v>0</v>
      </c>
      <c r="U4" s="70"/>
      <c r="V4" s="70"/>
      <c r="W4" s="70"/>
      <c r="X4" s="70"/>
      <c r="Y4" s="70"/>
      <c r="Z4" s="70"/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K4" s="70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2">
        <v>2</v>
      </c>
      <c r="AY4" s="62">
        <v>30</v>
      </c>
      <c r="AZ4" s="62">
        <v>2</v>
      </c>
      <c r="BA4" s="64">
        <f t="shared" ref="BA4:BA9" si="0">AY4*AZ4</f>
        <v>60</v>
      </c>
      <c r="BB4" s="62">
        <f t="shared" ref="BB4:BB9" si="1">1/AY4</f>
        <v>3.3333333333333333E-2</v>
      </c>
      <c r="BD4" s="62">
        <f t="shared" ref="BD4:BD9" si="2">BB4/$BC$3</f>
        <v>7.8651685393258425E-2</v>
      </c>
      <c r="BF4" s="62">
        <v>2</v>
      </c>
      <c r="BG4" s="20">
        <v>0.3</v>
      </c>
    </row>
    <row r="5" spans="1:72" ht="16.5" x14ac:dyDescent="0.2">
      <c r="A5" s="60">
        <v>40</v>
      </c>
      <c r="B5" s="15" t="str">
        <f>金币总产!A24</f>
        <v>1~40</v>
      </c>
      <c r="C5" s="15">
        <f>金币总产!N24</f>
        <v>76248</v>
      </c>
      <c r="E5" s="15">
        <v>5</v>
      </c>
      <c r="F5" s="15">
        <f>C5+C6/2</f>
        <v>528838</v>
      </c>
      <c r="G5" s="15">
        <f>SUMIF($A$14:$A$53,"&lt;="&amp;E5,$B$14:$B$53)</f>
        <v>10</v>
      </c>
      <c r="I5" s="70" t="s">
        <v>686</v>
      </c>
      <c r="J5" s="70">
        <v>2</v>
      </c>
      <c r="K5" s="70">
        <v>15</v>
      </c>
      <c r="L5" s="70">
        <v>3</v>
      </c>
      <c r="M5" s="70">
        <v>120</v>
      </c>
      <c r="O5" s="70">
        <v>2</v>
      </c>
      <c r="P5" s="70">
        <v>2</v>
      </c>
      <c r="Q5" s="70">
        <v>1</v>
      </c>
      <c r="R5" s="70">
        <v>1</v>
      </c>
      <c r="S5" s="15">
        <f>SUM(P$4:P5)</f>
        <v>2</v>
      </c>
      <c r="T5" s="70">
        <f>SUMIFS(芦花古楼!$BH$6:$BH$505,芦花古楼!$BB$6:$BB$505,"&lt;="&amp;神器!S5)</f>
        <v>810</v>
      </c>
      <c r="U5" s="70">
        <f>T5-T4</f>
        <v>810</v>
      </c>
      <c r="V5" s="70">
        <v>5</v>
      </c>
      <c r="W5" s="70">
        <v>5</v>
      </c>
      <c r="X5" s="70">
        <f t="shared" ref="X5:Z20" si="3">INT($U5*X$2/$V5)*$V5</f>
        <v>5</v>
      </c>
      <c r="Y5" s="70">
        <f t="shared" si="3"/>
        <v>20</v>
      </c>
      <c r="Z5" s="70">
        <f t="shared" si="3"/>
        <v>45</v>
      </c>
      <c r="AB5" s="70">
        <v>1</v>
      </c>
      <c r="AC5" s="70">
        <v>101</v>
      </c>
      <c r="AD5" s="70">
        <v>1606003</v>
      </c>
      <c r="AE5" s="70" t="s">
        <v>618</v>
      </c>
      <c r="AF5" s="70">
        <v>1</v>
      </c>
      <c r="AG5" s="70">
        <v>15</v>
      </c>
      <c r="AH5" s="70">
        <f>SUM(AG$5:AG5)</f>
        <v>15</v>
      </c>
      <c r="AK5" s="70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315</v>
      </c>
      <c r="AX5" s="62">
        <v>3</v>
      </c>
      <c r="AY5" s="62">
        <v>50</v>
      </c>
      <c r="AZ5" s="62">
        <v>4</v>
      </c>
      <c r="BA5" s="64">
        <f t="shared" si="0"/>
        <v>200</v>
      </c>
      <c r="BB5" s="62">
        <f t="shared" si="1"/>
        <v>0.02</v>
      </c>
      <c r="BD5" s="62">
        <f t="shared" si="2"/>
        <v>4.7191011235955059E-2</v>
      </c>
      <c r="BF5" s="62">
        <v>3</v>
      </c>
      <c r="BG5" s="20">
        <v>0.2</v>
      </c>
    </row>
    <row r="6" spans="1:72" ht="16.5" x14ac:dyDescent="0.2">
      <c r="A6" s="60">
        <v>80</v>
      </c>
      <c r="B6" s="15" t="str">
        <f>金币总产!A25</f>
        <v>40~80</v>
      </c>
      <c r="C6" s="15">
        <f>金币总产!N25</f>
        <v>905180</v>
      </c>
      <c r="E6" s="15">
        <v>10</v>
      </c>
      <c r="F6" s="15">
        <f>C7+C6/2</f>
        <v>2120070</v>
      </c>
      <c r="G6" s="15">
        <f>SUMIFS($B$14:$B$53,$A$14:$A$53,"&lt;="&amp;E6,$A$14:$A$53,"&gt;"&amp;E5)</f>
        <v>23</v>
      </c>
      <c r="I6" s="70" t="s">
        <v>687</v>
      </c>
      <c r="J6" s="70">
        <v>3</v>
      </c>
      <c r="K6" s="70">
        <v>13</v>
      </c>
      <c r="L6" s="70">
        <v>7</v>
      </c>
      <c r="M6" s="70">
        <v>280</v>
      </c>
      <c r="O6" s="70">
        <v>3</v>
      </c>
      <c r="P6" s="70">
        <v>3</v>
      </c>
      <c r="Q6" s="70">
        <v>1</v>
      </c>
      <c r="R6" s="70">
        <v>1</v>
      </c>
      <c r="S6" s="15">
        <f>SUM(P$4:P6)</f>
        <v>5</v>
      </c>
      <c r="T6" s="70">
        <f>SUMIFS(芦花古楼!$BH$6:$BH$505,芦花古楼!$BB$6:$BB$505,"&lt;="&amp;神器!S6)</f>
        <v>5130</v>
      </c>
      <c r="U6" s="70">
        <f t="shared" ref="U6:U24" si="14">T6-T5</f>
        <v>4320</v>
      </c>
      <c r="V6" s="70">
        <v>5</v>
      </c>
      <c r="W6" s="70">
        <f t="shared" ref="W6:Z24" si="15">INT($U6*W$2/$V6)*$V6</f>
        <v>15</v>
      </c>
      <c r="X6" s="70">
        <f t="shared" si="3"/>
        <v>50</v>
      </c>
      <c r="Y6" s="70">
        <f t="shared" si="3"/>
        <v>120</v>
      </c>
      <c r="Z6" s="70">
        <f t="shared" si="3"/>
        <v>255</v>
      </c>
      <c r="AB6" s="70">
        <v>2</v>
      </c>
      <c r="AC6" s="70">
        <v>101</v>
      </c>
      <c r="AD6" s="70">
        <v>1606004</v>
      </c>
      <c r="AE6" s="70" t="s">
        <v>619</v>
      </c>
      <c r="AF6" s="70">
        <v>1</v>
      </c>
      <c r="AG6" s="70">
        <v>15</v>
      </c>
      <c r="AH6" s="70">
        <f>SUM(AG$5:AG6)</f>
        <v>30</v>
      </c>
      <c r="AK6" s="70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420</v>
      </c>
      <c r="AX6" s="62">
        <v>4</v>
      </c>
      <c r="AY6" s="62">
        <v>70</v>
      </c>
      <c r="AZ6" s="62">
        <v>4</v>
      </c>
      <c r="BA6" s="64">
        <f t="shared" si="0"/>
        <v>280</v>
      </c>
      <c r="BB6" s="62">
        <f t="shared" si="1"/>
        <v>1.4285714285714285E-2</v>
      </c>
      <c r="BD6" s="62">
        <f t="shared" si="2"/>
        <v>3.3707865168539325E-2</v>
      </c>
    </row>
    <row r="7" spans="1:72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15</v>
      </c>
      <c r="F7" s="15">
        <f>C8</f>
        <v>4345420</v>
      </c>
      <c r="G7" s="15">
        <f t="shared" ref="G7:G8" si="16">SUMIFS($B$14:$B$53,$A$14:$A$53,"&lt;="&amp;E7,$A$14:$A$53,"&gt;"&amp;E6)</f>
        <v>20</v>
      </c>
      <c r="I7" s="70" t="s">
        <v>688</v>
      </c>
      <c r="J7" s="70">
        <v>4</v>
      </c>
      <c r="K7" s="70">
        <v>7</v>
      </c>
      <c r="L7" s="70">
        <v>15</v>
      </c>
      <c r="M7" s="70">
        <v>600</v>
      </c>
      <c r="O7" s="70">
        <v>4</v>
      </c>
      <c r="P7" s="70">
        <v>4</v>
      </c>
      <c r="Q7" s="70">
        <v>2</v>
      </c>
      <c r="R7" s="70">
        <v>1</v>
      </c>
      <c r="S7" s="15">
        <f>SUM(P$4:P7)</f>
        <v>9</v>
      </c>
      <c r="T7" s="70">
        <f>SUMIFS(芦花古楼!$BH$6:$BH$505,芦花古楼!$BB$6:$BB$505,"&lt;="&amp;神器!S7)</f>
        <v>11820</v>
      </c>
      <c r="U7" s="70">
        <f t="shared" si="14"/>
        <v>6690</v>
      </c>
      <c r="V7" s="70">
        <v>5</v>
      </c>
      <c r="W7" s="70">
        <f t="shared" si="15"/>
        <v>25</v>
      </c>
      <c r="X7" s="70">
        <f t="shared" si="3"/>
        <v>80</v>
      </c>
      <c r="Y7" s="70">
        <f t="shared" si="3"/>
        <v>185</v>
      </c>
      <c r="Z7" s="70">
        <f t="shared" si="3"/>
        <v>400</v>
      </c>
      <c r="AB7" s="70">
        <v>3</v>
      </c>
      <c r="AC7" s="70">
        <v>101</v>
      </c>
      <c r="AD7" s="70">
        <v>1606005</v>
      </c>
      <c r="AE7" s="70" t="s">
        <v>620</v>
      </c>
      <c r="AF7" s="70">
        <v>2</v>
      </c>
      <c r="AG7" s="70">
        <v>15</v>
      </c>
      <c r="AH7" s="70">
        <f>SUM(AG$5:AG7)</f>
        <v>45</v>
      </c>
      <c r="AK7" s="70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520</v>
      </c>
      <c r="AX7" s="62">
        <v>5</v>
      </c>
      <c r="AY7" s="62">
        <v>150</v>
      </c>
      <c r="AZ7" s="62">
        <v>6</v>
      </c>
      <c r="BA7" s="64">
        <f t="shared" si="0"/>
        <v>900</v>
      </c>
      <c r="BB7" s="62">
        <f t="shared" si="1"/>
        <v>6.6666666666666671E-3</v>
      </c>
      <c r="BD7" s="62">
        <f t="shared" si="2"/>
        <v>1.5730337078651686E-2</v>
      </c>
    </row>
    <row r="8" spans="1:72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21</v>
      </c>
      <c r="F8" s="15">
        <f>C9</f>
        <v>17044300</v>
      </c>
      <c r="G8" s="15">
        <f t="shared" si="16"/>
        <v>43</v>
      </c>
      <c r="O8" s="70">
        <v>5</v>
      </c>
      <c r="P8" s="70">
        <v>5</v>
      </c>
      <c r="Q8" s="70">
        <v>2</v>
      </c>
      <c r="R8" s="70">
        <v>1</v>
      </c>
      <c r="S8" s="15">
        <f>SUM(P$4:P8)</f>
        <v>14</v>
      </c>
      <c r="T8" s="70">
        <f>SUMIFS(芦花古楼!$BH$6:$BH$505,芦花古楼!$BB$6:$BB$505,"&lt;="&amp;神器!S8)</f>
        <v>18410</v>
      </c>
      <c r="U8" s="70">
        <f t="shared" si="14"/>
        <v>6590</v>
      </c>
      <c r="V8" s="70">
        <v>5</v>
      </c>
      <c r="W8" s="70">
        <f t="shared" si="15"/>
        <v>25</v>
      </c>
      <c r="X8" s="70">
        <f t="shared" si="3"/>
        <v>75</v>
      </c>
      <c r="Y8" s="70">
        <f t="shared" si="3"/>
        <v>180</v>
      </c>
      <c r="Z8" s="70">
        <f t="shared" si="3"/>
        <v>395</v>
      </c>
      <c r="AB8" s="70">
        <v>4</v>
      </c>
      <c r="AC8" s="70">
        <v>102</v>
      </c>
      <c r="AD8" s="70">
        <v>1606006</v>
      </c>
      <c r="AE8" s="70" t="s">
        <v>621</v>
      </c>
      <c r="AF8" s="70">
        <v>1</v>
      </c>
      <c r="AG8" s="70">
        <v>15</v>
      </c>
      <c r="AH8" s="70">
        <f>SUM(AG$5:AG8)</f>
        <v>60</v>
      </c>
      <c r="AK8" s="70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630</v>
      </c>
      <c r="AX8" s="62">
        <v>6</v>
      </c>
      <c r="AY8" s="62">
        <v>150</v>
      </c>
      <c r="AZ8" s="62">
        <v>6</v>
      </c>
      <c r="BA8" s="64">
        <f t="shared" si="0"/>
        <v>900</v>
      </c>
      <c r="BB8" s="62">
        <f t="shared" si="1"/>
        <v>6.6666666666666671E-3</v>
      </c>
      <c r="BD8" s="62">
        <f t="shared" si="2"/>
        <v>1.5730337078651686E-2</v>
      </c>
    </row>
    <row r="9" spans="1:72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O9" s="70">
        <v>6</v>
      </c>
      <c r="P9" s="70">
        <v>6</v>
      </c>
      <c r="Q9" s="70">
        <v>2</v>
      </c>
      <c r="R9" s="70">
        <v>1</v>
      </c>
      <c r="S9" s="15">
        <f>SUM(P$4:P9)</f>
        <v>20</v>
      </c>
      <c r="T9" s="70">
        <f>SUMIFS(芦花古楼!$BH$6:$BH$505,芦花古楼!$BB$6:$BB$505,"&lt;="&amp;神器!S9)</f>
        <v>27710</v>
      </c>
      <c r="U9" s="70">
        <f t="shared" si="14"/>
        <v>9300</v>
      </c>
      <c r="V9" s="70">
        <v>5</v>
      </c>
      <c r="W9" s="70">
        <f t="shared" si="15"/>
        <v>35</v>
      </c>
      <c r="X9" s="70">
        <f t="shared" si="3"/>
        <v>110</v>
      </c>
      <c r="Y9" s="70">
        <f t="shared" si="3"/>
        <v>260</v>
      </c>
      <c r="Z9" s="70">
        <f t="shared" si="3"/>
        <v>555</v>
      </c>
      <c r="AB9" s="70">
        <v>5</v>
      </c>
      <c r="AC9" s="70">
        <v>102</v>
      </c>
      <c r="AD9" s="70">
        <v>1606007</v>
      </c>
      <c r="AE9" s="70" t="s">
        <v>622</v>
      </c>
      <c r="AF9" s="70">
        <v>1</v>
      </c>
      <c r="AG9" s="70">
        <v>15</v>
      </c>
      <c r="AH9" s="70">
        <f>SUM(AG$5:AG9)</f>
        <v>75</v>
      </c>
      <c r="AK9" s="70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1280</v>
      </c>
      <c r="AX9" s="62">
        <v>7</v>
      </c>
      <c r="AY9" s="62">
        <v>150</v>
      </c>
      <c r="AZ9" s="62">
        <v>6</v>
      </c>
      <c r="BA9" s="64">
        <f t="shared" si="0"/>
        <v>900</v>
      </c>
      <c r="BB9" s="62">
        <f t="shared" si="1"/>
        <v>6.6666666666666671E-3</v>
      </c>
      <c r="BD9" s="62">
        <f t="shared" si="2"/>
        <v>1.5730337078651686E-2</v>
      </c>
    </row>
    <row r="10" spans="1:72" ht="16.5" x14ac:dyDescent="0.2">
      <c r="O10" s="70">
        <v>7</v>
      </c>
      <c r="P10" s="70">
        <v>8</v>
      </c>
      <c r="Q10" s="70">
        <v>3</v>
      </c>
      <c r="R10" s="70">
        <v>1</v>
      </c>
      <c r="S10" s="15">
        <f>SUM(P$4:P10)</f>
        <v>28</v>
      </c>
      <c r="T10" s="70">
        <f>SUMIFS(芦花古楼!$BH$6:$BH$505,芦花古楼!$BB$6:$BB$505,"&lt;="&amp;神器!S10)</f>
        <v>37880</v>
      </c>
      <c r="U10" s="70">
        <f t="shared" si="14"/>
        <v>10170</v>
      </c>
      <c r="V10" s="70">
        <v>5</v>
      </c>
      <c r="W10" s="70">
        <f t="shared" si="15"/>
        <v>40</v>
      </c>
      <c r="X10" s="70">
        <f t="shared" si="3"/>
        <v>120</v>
      </c>
      <c r="Y10" s="70">
        <f t="shared" si="3"/>
        <v>280</v>
      </c>
      <c r="Z10" s="70">
        <f t="shared" si="3"/>
        <v>610</v>
      </c>
      <c r="AB10" s="70">
        <v>6</v>
      </c>
      <c r="AC10" s="70">
        <v>102</v>
      </c>
      <c r="AD10" s="70">
        <v>1606008</v>
      </c>
      <c r="AE10" s="70" t="s">
        <v>623</v>
      </c>
      <c r="AF10" s="70">
        <v>1</v>
      </c>
      <c r="AG10" s="70">
        <v>15</v>
      </c>
      <c r="AH10" s="70">
        <f>SUM(AG$5:AG10)</f>
        <v>90</v>
      </c>
      <c r="AK10" s="70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1460</v>
      </c>
    </row>
    <row r="11" spans="1:72" ht="16.5" x14ac:dyDescent="0.2">
      <c r="O11" s="70">
        <v>8</v>
      </c>
      <c r="P11" s="70">
        <v>10</v>
      </c>
      <c r="Q11" s="70">
        <v>3</v>
      </c>
      <c r="R11" s="70">
        <v>1</v>
      </c>
      <c r="S11" s="15">
        <f>SUM(P$4:P11)</f>
        <v>38</v>
      </c>
      <c r="T11" s="70">
        <f>SUMIFS(芦花古楼!$BH$6:$BH$505,芦花古楼!$BB$6:$BB$505,"&lt;="&amp;神器!S11)</f>
        <v>49310</v>
      </c>
      <c r="U11" s="70">
        <f t="shared" si="14"/>
        <v>11430</v>
      </c>
      <c r="V11" s="70">
        <v>5</v>
      </c>
      <c r="W11" s="70">
        <f t="shared" si="15"/>
        <v>45</v>
      </c>
      <c r="X11" s="70">
        <f t="shared" si="3"/>
        <v>135</v>
      </c>
      <c r="Y11" s="70">
        <f t="shared" si="3"/>
        <v>320</v>
      </c>
      <c r="Z11" s="70">
        <f t="shared" si="3"/>
        <v>685</v>
      </c>
      <c r="AB11" s="70">
        <v>7</v>
      </c>
      <c r="AC11" s="70">
        <v>102</v>
      </c>
      <c r="AD11" s="70">
        <v>1606009</v>
      </c>
      <c r="AE11" s="70" t="s">
        <v>624</v>
      </c>
      <c r="AF11" s="70">
        <v>2</v>
      </c>
      <c r="AG11" s="70">
        <v>15</v>
      </c>
      <c r="AH11" s="70">
        <f>SUM(AG$5:AG11)</f>
        <v>105</v>
      </c>
      <c r="AK11" s="70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1640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70">
        <v>9</v>
      </c>
      <c r="P12" s="70">
        <v>12</v>
      </c>
      <c r="Q12" s="70">
        <v>3</v>
      </c>
      <c r="R12" s="70">
        <v>1</v>
      </c>
      <c r="S12" s="15">
        <f>SUM(P$4:P12)</f>
        <v>50</v>
      </c>
      <c r="T12" s="70">
        <f>SUMIFS(芦花古楼!$BH$6:$BH$505,芦花古楼!$BB$6:$BB$505,"&lt;="&amp;神器!S12)</f>
        <v>62750</v>
      </c>
      <c r="U12" s="70">
        <f t="shared" si="14"/>
        <v>13440</v>
      </c>
      <c r="V12" s="70">
        <v>5</v>
      </c>
      <c r="W12" s="70">
        <f t="shared" si="15"/>
        <v>50</v>
      </c>
      <c r="X12" s="70">
        <f t="shared" si="3"/>
        <v>160</v>
      </c>
      <c r="Y12" s="70">
        <f t="shared" si="3"/>
        <v>375</v>
      </c>
      <c r="Z12" s="70">
        <f t="shared" si="3"/>
        <v>805</v>
      </c>
      <c r="AA12" s="16"/>
      <c r="AB12" s="70">
        <v>8</v>
      </c>
      <c r="AC12" s="70">
        <v>102</v>
      </c>
      <c r="AD12" s="70">
        <v>1606010</v>
      </c>
      <c r="AE12" s="70" t="s">
        <v>625</v>
      </c>
      <c r="AF12" s="70">
        <v>3</v>
      </c>
      <c r="AG12" s="70">
        <v>15</v>
      </c>
      <c r="AH12" s="70">
        <f>SUM(AG$5:AG12)</f>
        <v>120</v>
      </c>
      <c r="AK12" s="70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1840</v>
      </c>
      <c r="BH12" s="63" t="s">
        <v>562</v>
      </c>
      <c r="BI12" s="15">
        <f>SUMPRODUCT(BF14:BF103,BG14:BG103,BI14:BI103)/10000</f>
        <v>120.066</v>
      </c>
    </row>
    <row r="13" spans="1:72" ht="17.25" x14ac:dyDescent="0.2">
      <c r="A13" s="12" t="s">
        <v>488</v>
      </c>
      <c r="B13" s="12" t="s">
        <v>489</v>
      </c>
      <c r="C13" s="12" t="s">
        <v>490</v>
      </c>
      <c r="D13" s="12" t="s">
        <v>228</v>
      </c>
      <c r="E13" s="12" t="s">
        <v>705</v>
      </c>
      <c r="F13" s="12" t="s">
        <v>696</v>
      </c>
      <c r="G13" s="12" t="s">
        <v>697</v>
      </c>
      <c r="H13" s="12" t="s">
        <v>698</v>
      </c>
      <c r="I13" s="12" t="s">
        <v>699</v>
      </c>
      <c r="J13" s="16"/>
      <c r="K13" s="16"/>
      <c r="L13" s="16"/>
      <c r="M13" s="16"/>
      <c r="N13" s="16"/>
      <c r="O13" s="70">
        <v>10</v>
      </c>
      <c r="P13" s="70">
        <v>15</v>
      </c>
      <c r="Q13" s="70">
        <v>5</v>
      </c>
      <c r="R13" s="70">
        <v>1</v>
      </c>
      <c r="S13" s="15">
        <f>SUM(P$4:P13)</f>
        <v>65</v>
      </c>
      <c r="T13" s="70">
        <f>SUMIFS(芦花古楼!$BH$6:$BH$505,芦花古楼!$BB$6:$BB$505,"&lt;="&amp;神器!S13)</f>
        <v>80170</v>
      </c>
      <c r="U13" s="70">
        <f t="shared" si="14"/>
        <v>17420</v>
      </c>
      <c r="V13" s="70">
        <v>5</v>
      </c>
      <c r="W13" s="70">
        <f t="shared" si="15"/>
        <v>65</v>
      </c>
      <c r="X13" s="70">
        <f t="shared" si="3"/>
        <v>205</v>
      </c>
      <c r="Y13" s="70">
        <f t="shared" si="3"/>
        <v>485</v>
      </c>
      <c r="Z13" s="70">
        <f t="shared" si="3"/>
        <v>1045</v>
      </c>
      <c r="AA13" s="16"/>
      <c r="AB13" s="70">
        <v>9</v>
      </c>
      <c r="AC13" s="70">
        <v>103</v>
      </c>
      <c r="AD13" s="70">
        <v>1606011</v>
      </c>
      <c r="AE13" s="70" t="s">
        <v>626</v>
      </c>
      <c r="AF13" s="70">
        <v>1</v>
      </c>
      <c r="AG13" s="70">
        <v>21</v>
      </c>
      <c r="AH13" s="70">
        <f>SUM(AG$5:AG13)</f>
        <v>141</v>
      </c>
      <c r="AK13" s="70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2200</v>
      </c>
      <c r="AX13" s="12" t="s">
        <v>517</v>
      </c>
      <c r="AY13" s="12" t="s">
        <v>520</v>
      </c>
      <c r="AZ13" s="12" t="s">
        <v>518</v>
      </c>
      <c r="BA13" s="16"/>
      <c r="BD13" s="24" t="s">
        <v>528</v>
      </c>
      <c r="BE13" s="24" t="s">
        <v>560</v>
      </c>
      <c r="BF13" s="24" t="s">
        <v>563</v>
      </c>
      <c r="BG13" s="24" t="s">
        <v>523</v>
      </c>
      <c r="BH13" s="24" t="s">
        <v>559</v>
      </c>
      <c r="BI13" s="24" t="s">
        <v>561</v>
      </c>
      <c r="BK13" s="24" t="s">
        <v>567</v>
      </c>
      <c r="BL13" s="24" t="s">
        <v>568</v>
      </c>
      <c r="BN13" s="24" t="s">
        <v>565</v>
      </c>
      <c r="BO13" s="24" t="s">
        <v>93</v>
      </c>
      <c r="BP13" s="24" t="s">
        <v>94</v>
      </c>
      <c r="BQ13" s="24" t="s">
        <v>95</v>
      </c>
      <c r="BR13" s="24" t="s">
        <v>96</v>
      </c>
      <c r="BS13" s="24" t="s">
        <v>97</v>
      </c>
      <c r="BT13" s="24" t="s">
        <v>98</v>
      </c>
    </row>
    <row r="14" spans="1:72" ht="16.5" x14ac:dyDescent="0.2">
      <c r="A14" s="60">
        <v>1</v>
      </c>
      <c r="B14" s="60">
        <v>1</v>
      </c>
      <c r="C14" s="22">
        <f>B14/INDEX($G$5:$G$8,MATCH(A14-1,$E$4:$E$8,1))</f>
        <v>0.1</v>
      </c>
      <c r="D14" s="60">
        <f>INT(INDEX($F$5:$F$8,MATCH(A14-1,$E$4:$E$8,1))*C14)</f>
        <v>52883</v>
      </c>
      <c r="E14" s="70">
        <v>5</v>
      </c>
      <c r="F14" s="70">
        <f>INT($D14*F$12/$E14)*$E14</f>
        <v>210</v>
      </c>
      <c r="G14" s="70">
        <f t="shared" ref="G14:I29" si="17">INT($D14*G$12/$E14)*$E14</f>
        <v>630</v>
      </c>
      <c r="H14" s="70">
        <f t="shared" si="17"/>
        <v>1480</v>
      </c>
      <c r="I14" s="70">
        <f t="shared" si="17"/>
        <v>3170</v>
      </c>
      <c r="J14" s="16"/>
      <c r="K14" s="16"/>
      <c r="L14" s="16"/>
      <c r="M14" s="16"/>
      <c r="N14" s="16"/>
      <c r="O14" s="70">
        <v>11</v>
      </c>
      <c r="P14" s="70">
        <v>18</v>
      </c>
      <c r="Q14" s="70">
        <v>5</v>
      </c>
      <c r="R14" s="70">
        <v>1</v>
      </c>
      <c r="S14" s="15">
        <f>SUM(P$4:P14)</f>
        <v>83</v>
      </c>
      <c r="T14" s="70">
        <f>SUMIFS(芦花古楼!$BH$6:$BH$505,芦花古楼!$BB$6:$BB$505,"&lt;="&amp;神器!S14)</f>
        <v>100620</v>
      </c>
      <c r="U14" s="70">
        <f t="shared" si="14"/>
        <v>20450</v>
      </c>
      <c r="V14" s="70">
        <v>5</v>
      </c>
      <c r="W14" s="70">
        <f t="shared" si="15"/>
        <v>80</v>
      </c>
      <c r="X14" s="70">
        <f t="shared" si="3"/>
        <v>245</v>
      </c>
      <c r="Y14" s="70">
        <f t="shared" si="3"/>
        <v>570</v>
      </c>
      <c r="Z14" s="70">
        <f t="shared" si="3"/>
        <v>1225</v>
      </c>
      <c r="AA14" s="16"/>
      <c r="AB14" s="70">
        <v>10</v>
      </c>
      <c r="AC14" s="70">
        <v>103</v>
      </c>
      <c r="AD14" s="70">
        <v>1606012</v>
      </c>
      <c r="AE14" s="70" t="s">
        <v>627</v>
      </c>
      <c r="AF14" s="70">
        <v>2</v>
      </c>
      <c r="AG14" s="70">
        <v>21</v>
      </c>
      <c r="AH14" s="70">
        <f>SUM(AG$5:AG14)</f>
        <v>162</v>
      </c>
      <c r="AK14" s="70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2600</v>
      </c>
      <c r="AX14" s="62">
        <v>1</v>
      </c>
      <c r="AY14" s="62">
        <f>INDEX(节奏总表!$I$4:$I$18,MATCH(AX14,节奏总表!$S$4:$S$18,1))</f>
        <v>4</v>
      </c>
      <c r="AZ14" s="15">
        <f>芦花古楼!BC6</f>
        <v>75</v>
      </c>
      <c r="BA14" s="16"/>
      <c r="BD14" s="65" t="s">
        <v>529</v>
      </c>
      <c r="BE14" s="62">
        <v>1</v>
      </c>
      <c r="BF14" s="62">
        <v>20</v>
      </c>
      <c r="BG14" s="62">
        <v>1</v>
      </c>
      <c r="BH14" s="62">
        <f t="shared" ref="BH14:BH43" si="18">ROUND(INDEX($BD$3:$BD$9,BE14)*$BG$3*10000,0)</f>
        <v>590</v>
      </c>
      <c r="BI14" s="62">
        <v>590</v>
      </c>
      <c r="BK14" s="64">
        <v>1</v>
      </c>
      <c r="BL14" s="64">
        <v>1</v>
      </c>
      <c r="BN14" s="64">
        <v>1</v>
      </c>
      <c r="BO14" s="64">
        <v>0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</row>
    <row r="15" spans="1:72" ht="16.5" x14ac:dyDescent="0.2">
      <c r="A15" s="60">
        <v>2</v>
      </c>
      <c r="B15" s="60">
        <v>1.5</v>
      </c>
      <c r="C15" s="22">
        <f t="shared" ref="C15:C34" si="19">B15/INDEX($G$5:$G$8,MATCH(A15-1,$E$4:$E$8,1))</f>
        <v>0.15</v>
      </c>
      <c r="D15" s="60">
        <f t="shared" ref="D15:D34" si="20">INT(INDEX($F$5:$F$8,MATCH(A15-1,$E$4:$E$8,1))*C15)</f>
        <v>79325</v>
      </c>
      <c r="E15" s="70">
        <v>5</v>
      </c>
      <c r="F15" s="70">
        <f t="shared" ref="F15:I34" si="21">INT($D15*F$12/$E15)*$E15</f>
        <v>315</v>
      </c>
      <c r="G15" s="70">
        <f t="shared" si="17"/>
        <v>950</v>
      </c>
      <c r="H15" s="70">
        <f t="shared" si="17"/>
        <v>2220</v>
      </c>
      <c r="I15" s="70">
        <f t="shared" si="17"/>
        <v>4755</v>
      </c>
      <c r="J15" s="16"/>
      <c r="K15" s="16"/>
      <c r="L15" s="16"/>
      <c r="M15" s="16"/>
      <c r="N15" s="16"/>
      <c r="O15" s="70">
        <v>12</v>
      </c>
      <c r="P15" s="70">
        <v>20</v>
      </c>
      <c r="Q15" s="70">
        <v>6</v>
      </c>
      <c r="R15" s="70">
        <v>1</v>
      </c>
      <c r="S15" s="15">
        <f>SUM(P$4:P15)</f>
        <v>103</v>
      </c>
      <c r="T15" s="70">
        <f>SUMIFS(芦花古楼!$BH$6:$BH$505,芦花古楼!$BB$6:$BB$505,"&lt;="&amp;神器!S15)</f>
        <v>124360</v>
      </c>
      <c r="U15" s="70">
        <f t="shared" si="14"/>
        <v>23740</v>
      </c>
      <c r="V15" s="70">
        <v>5</v>
      </c>
      <c r="W15" s="70">
        <f t="shared" si="15"/>
        <v>90</v>
      </c>
      <c r="X15" s="70">
        <f t="shared" si="3"/>
        <v>280</v>
      </c>
      <c r="Y15" s="70">
        <f t="shared" si="3"/>
        <v>660</v>
      </c>
      <c r="Z15" s="70">
        <f t="shared" si="3"/>
        <v>1420</v>
      </c>
      <c r="AA15" s="16"/>
      <c r="AB15" s="70">
        <v>11</v>
      </c>
      <c r="AC15" s="70">
        <v>103</v>
      </c>
      <c r="AD15" s="70">
        <v>1606013</v>
      </c>
      <c r="AE15" s="70" t="s">
        <v>628</v>
      </c>
      <c r="AF15" s="70">
        <v>2</v>
      </c>
      <c r="AG15" s="70">
        <v>21</v>
      </c>
      <c r="AH15" s="70">
        <f>SUM(AG$5:AG15)</f>
        <v>183</v>
      </c>
      <c r="AK15" s="70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3000</v>
      </c>
      <c r="AX15" s="62">
        <v>2</v>
      </c>
      <c r="AY15" s="62">
        <f>INDEX(节奏总表!$I$4:$I$18,MATCH(AX15,节奏总表!$S$4:$S$18,1))</f>
        <v>5</v>
      </c>
      <c r="AZ15" s="15">
        <f>芦花古楼!BC7+芦花古楼!BD6</f>
        <v>330</v>
      </c>
      <c r="BA15" s="16"/>
      <c r="BD15" s="65" t="s">
        <v>530</v>
      </c>
      <c r="BE15" s="62">
        <v>1</v>
      </c>
      <c r="BF15" s="62">
        <v>20</v>
      </c>
      <c r="BG15" s="62">
        <v>1</v>
      </c>
      <c r="BH15" s="62">
        <f t="shared" si="18"/>
        <v>590</v>
      </c>
      <c r="BI15" s="62">
        <v>590</v>
      </c>
      <c r="BK15" s="64">
        <v>2</v>
      </c>
      <c r="BL15" s="64">
        <v>1</v>
      </c>
      <c r="BN15" s="64">
        <v>1</v>
      </c>
      <c r="BO15" s="64">
        <v>1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</row>
    <row r="16" spans="1:72" ht="16.5" x14ac:dyDescent="0.2">
      <c r="A16" s="60">
        <v>3</v>
      </c>
      <c r="B16" s="60">
        <v>2</v>
      </c>
      <c r="C16" s="22">
        <f t="shared" si="19"/>
        <v>0.2</v>
      </c>
      <c r="D16" s="60">
        <f t="shared" si="20"/>
        <v>105767</v>
      </c>
      <c r="E16" s="70">
        <v>10</v>
      </c>
      <c r="F16" s="70">
        <f t="shared" si="21"/>
        <v>420</v>
      </c>
      <c r="G16" s="70">
        <f t="shared" si="17"/>
        <v>1260</v>
      </c>
      <c r="H16" s="70">
        <f t="shared" si="17"/>
        <v>2960</v>
      </c>
      <c r="I16" s="70">
        <f t="shared" si="17"/>
        <v>6340</v>
      </c>
      <c r="J16" s="16"/>
      <c r="K16" s="16"/>
      <c r="L16" s="16"/>
      <c r="M16" s="16"/>
      <c r="N16" s="16"/>
      <c r="O16" s="70">
        <v>13</v>
      </c>
      <c r="P16" s="70">
        <v>22</v>
      </c>
      <c r="Q16" s="70">
        <v>7</v>
      </c>
      <c r="R16" s="70">
        <v>1</v>
      </c>
      <c r="S16" s="15">
        <f>SUM(P$4:P16)</f>
        <v>125</v>
      </c>
      <c r="T16" s="70">
        <f>SUMIFS(芦花古楼!$BH$6:$BH$505,芦花古楼!$BB$6:$BB$505,"&lt;="&amp;神器!S16)</f>
        <v>145480</v>
      </c>
      <c r="U16" s="70">
        <f t="shared" si="14"/>
        <v>21120</v>
      </c>
      <c r="V16" s="70">
        <v>5</v>
      </c>
      <c r="W16" s="70">
        <f t="shared" si="15"/>
        <v>80</v>
      </c>
      <c r="X16" s="70">
        <f t="shared" si="3"/>
        <v>250</v>
      </c>
      <c r="Y16" s="70">
        <f t="shared" si="3"/>
        <v>590</v>
      </c>
      <c r="Z16" s="70">
        <f t="shared" si="3"/>
        <v>1265</v>
      </c>
      <c r="AA16" s="16"/>
      <c r="AB16" s="70">
        <v>12</v>
      </c>
      <c r="AC16" s="70">
        <v>103</v>
      </c>
      <c r="AD16" s="70">
        <v>1606014</v>
      </c>
      <c r="AE16" s="70" t="s">
        <v>629</v>
      </c>
      <c r="AF16" s="70">
        <v>3</v>
      </c>
      <c r="AG16" s="70">
        <v>21</v>
      </c>
      <c r="AH16" s="70">
        <f>SUM(AG$5:AG16)</f>
        <v>204</v>
      </c>
      <c r="AK16" s="70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3450</v>
      </c>
      <c r="AX16" s="62">
        <v>3</v>
      </c>
      <c r="AY16" s="62">
        <f>INDEX(节奏总表!$I$4:$I$18,MATCH(AX16,节奏总表!$S$4:$S$18,1))</f>
        <v>5</v>
      </c>
      <c r="AZ16" s="15">
        <f>芦花古楼!BC8+芦花古楼!BD7</f>
        <v>540</v>
      </c>
      <c r="BA16" s="16"/>
      <c r="BD16" s="65" t="s">
        <v>531</v>
      </c>
      <c r="BE16" s="62">
        <v>2</v>
      </c>
      <c r="BF16" s="62">
        <v>30</v>
      </c>
      <c r="BG16" s="62">
        <v>1</v>
      </c>
      <c r="BH16" s="62">
        <f t="shared" si="18"/>
        <v>393</v>
      </c>
      <c r="BI16" s="62">
        <v>393</v>
      </c>
      <c r="BK16" s="64">
        <v>3</v>
      </c>
      <c r="BL16" s="64">
        <v>2</v>
      </c>
      <c r="BN16" s="64">
        <v>2</v>
      </c>
      <c r="BO16" s="64">
        <v>1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</row>
    <row r="17" spans="1:72" ht="16.5" x14ac:dyDescent="0.2">
      <c r="A17" s="60">
        <v>4</v>
      </c>
      <c r="B17" s="60">
        <v>2.5</v>
      </c>
      <c r="C17" s="22">
        <f t="shared" si="19"/>
        <v>0.25</v>
      </c>
      <c r="D17" s="60">
        <f t="shared" si="20"/>
        <v>132209</v>
      </c>
      <c r="E17" s="70">
        <v>10</v>
      </c>
      <c r="F17" s="70">
        <f t="shared" si="21"/>
        <v>520</v>
      </c>
      <c r="G17" s="70">
        <f t="shared" si="17"/>
        <v>1580</v>
      </c>
      <c r="H17" s="70">
        <f t="shared" si="17"/>
        <v>3700</v>
      </c>
      <c r="I17" s="70">
        <f t="shared" si="17"/>
        <v>7930</v>
      </c>
      <c r="J17" s="16"/>
      <c r="K17" s="16"/>
      <c r="L17" s="16"/>
      <c r="M17" s="16"/>
      <c r="N17" s="16"/>
      <c r="O17" s="70">
        <v>14</v>
      </c>
      <c r="P17" s="70">
        <v>25</v>
      </c>
      <c r="Q17" s="70">
        <v>7</v>
      </c>
      <c r="R17" s="70">
        <v>1</v>
      </c>
      <c r="S17" s="15">
        <f>SUM(P$4:P17)</f>
        <v>150</v>
      </c>
      <c r="T17" s="70">
        <f>SUMIFS(芦花古楼!$BH$6:$BH$505,芦花古楼!$BB$6:$BB$505,"&lt;="&amp;神器!S17)</f>
        <v>169480</v>
      </c>
      <c r="U17" s="70">
        <f t="shared" si="14"/>
        <v>24000</v>
      </c>
      <c r="V17" s="70">
        <v>5</v>
      </c>
      <c r="W17" s="70">
        <f t="shared" si="15"/>
        <v>95</v>
      </c>
      <c r="X17" s="70">
        <f t="shared" si="3"/>
        <v>285</v>
      </c>
      <c r="Y17" s="70">
        <f t="shared" si="3"/>
        <v>670</v>
      </c>
      <c r="Z17" s="70">
        <f t="shared" si="3"/>
        <v>1440</v>
      </c>
      <c r="AA17" s="16"/>
      <c r="AB17" s="70">
        <v>13</v>
      </c>
      <c r="AC17" s="70">
        <v>103</v>
      </c>
      <c r="AD17" s="70">
        <v>1606015</v>
      </c>
      <c r="AE17" s="70" t="s">
        <v>630</v>
      </c>
      <c r="AF17" s="70">
        <v>3</v>
      </c>
      <c r="AG17" s="70">
        <v>21</v>
      </c>
      <c r="AH17" s="70">
        <f>SUM(AG$5:AG17)</f>
        <v>225</v>
      </c>
      <c r="AK17" s="70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3900</v>
      </c>
      <c r="AX17" s="62">
        <v>4</v>
      </c>
      <c r="AY17" s="62">
        <f>INDEX(节奏总表!$I$4:$I$18,MATCH(AX17,节奏总表!$S$4:$S$18,1))</f>
        <v>6</v>
      </c>
      <c r="AZ17" s="15">
        <f>芦花古楼!BC9+芦花古楼!BD8</f>
        <v>805</v>
      </c>
      <c r="BA17" s="16"/>
      <c r="BD17" s="65" t="s">
        <v>532</v>
      </c>
      <c r="BE17" s="62">
        <v>2</v>
      </c>
      <c r="BF17" s="62">
        <v>30</v>
      </c>
      <c r="BG17" s="62">
        <v>1</v>
      </c>
      <c r="BH17" s="62">
        <f t="shared" si="18"/>
        <v>393</v>
      </c>
      <c r="BI17" s="62">
        <v>393</v>
      </c>
      <c r="BK17" s="64">
        <v>4</v>
      </c>
      <c r="BL17" s="64">
        <v>3</v>
      </c>
      <c r="BN17" s="64">
        <v>2</v>
      </c>
      <c r="BO17" s="64">
        <v>2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</row>
    <row r="18" spans="1:72" ht="16.5" x14ac:dyDescent="0.2">
      <c r="A18" s="60">
        <v>5</v>
      </c>
      <c r="B18" s="60">
        <v>3</v>
      </c>
      <c r="C18" s="22">
        <f t="shared" si="19"/>
        <v>0.3</v>
      </c>
      <c r="D18" s="60">
        <f t="shared" si="20"/>
        <v>158651</v>
      </c>
      <c r="E18" s="70">
        <v>10</v>
      </c>
      <c r="F18" s="70">
        <f t="shared" si="21"/>
        <v>630</v>
      </c>
      <c r="G18" s="70">
        <f t="shared" si="17"/>
        <v>1900</v>
      </c>
      <c r="H18" s="70">
        <f t="shared" si="17"/>
        <v>4440</v>
      </c>
      <c r="I18" s="70">
        <f t="shared" si="17"/>
        <v>9510</v>
      </c>
      <c r="J18" s="16"/>
      <c r="K18" s="16"/>
      <c r="L18" s="16"/>
      <c r="M18" s="16"/>
      <c r="N18" s="16"/>
      <c r="O18" s="70">
        <v>15</v>
      </c>
      <c r="P18" s="70">
        <v>30</v>
      </c>
      <c r="Q18" s="70">
        <v>7</v>
      </c>
      <c r="R18" s="70">
        <v>1</v>
      </c>
      <c r="S18" s="15">
        <f>SUM(P$4:P18)</f>
        <v>180</v>
      </c>
      <c r="T18" s="70">
        <f>SUMIFS(芦花古楼!$BH$6:$BH$505,芦花古楼!$BB$6:$BB$505,"&lt;="&amp;神器!S18)</f>
        <v>198280</v>
      </c>
      <c r="U18" s="70">
        <f t="shared" si="14"/>
        <v>28800</v>
      </c>
      <c r="V18" s="70">
        <v>5</v>
      </c>
      <c r="W18" s="70">
        <f t="shared" si="15"/>
        <v>115</v>
      </c>
      <c r="X18" s="70">
        <f t="shared" si="3"/>
        <v>345</v>
      </c>
      <c r="Y18" s="70">
        <f t="shared" si="3"/>
        <v>805</v>
      </c>
      <c r="Z18" s="70">
        <f t="shared" si="3"/>
        <v>1725</v>
      </c>
      <c r="AA18" s="16"/>
      <c r="AB18" s="70">
        <v>14</v>
      </c>
      <c r="AC18" s="70">
        <v>103</v>
      </c>
      <c r="AD18" s="70">
        <v>1606016</v>
      </c>
      <c r="AE18" s="70" t="s">
        <v>631</v>
      </c>
      <c r="AF18" s="70">
        <v>4</v>
      </c>
      <c r="AG18" s="70">
        <v>21</v>
      </c>
      <c r="AH18" s="70">
        <f>SUM(AG$5:AG18)</f>
        <v>246</v>
      </c>
      <c r="AK18" s="70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4300</v>
      </c>
      <c r="AX18" s="62">
        <v>5</v>
      </c>
      <c r="AY18" s="62">
        <f>INDEX(节奏总表!$I$4:$I$18,MATCH(AX18,节奏总表!$S$4:$S$18,1))</f>
        <v>6</v>
      </c>
      <c r="AZ18" s="15">
        <f>芦花古楼!BC10+芦花古楼!BD9</f>
        <v>815</v>
      </c>
      <c r="BA18" s="16"/>
      <c r="BD18" s="65" t="s">
        <v>533</v>
      </c>
      <c r="BE18" s="62">
        <v>3</v>
      </c>
      <c r="BF18" s="62">
        <v>50</v>
      </c>
      <c r="BG18" s="62">
        <v>1</v>
      </c>
      <c r="BH18" s="62">
        <f t="shared" si="18"/>
        <v>236</v>
      </c>
      <c r="BI18" s="62">
        <v>236</v>
      </c>
      <c r="BK18" s="64">
        <v>5</v>
      </c>
      <c r="BL18" s="64">
        <v>3</v>
      </c>
      <c r="BN18" s="64">
        <v>3</v>
      </c>
      <c r="BO18" s="64">
        <v>2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</row>
    <row r="19" spans="1:72" ht="16.5" x14ac:dyDescent="0.2">
      <c r="A19" s="60">
        <v>6</v>
      </c>
      <c r="B19" s="60">
        <v>3.5</v>
      </c>
      <c r="C19" s="22">
        <f t="shared" si="19"/>
        <v>0.15217391304347827</v>
      </c>
      <c r="D19" s="60">
        <f t="shared" si="20"/>
        <v>322619</v>
      </c>
      <c r="E19" s="70">
        <v>20</v>
      </c>
      <c r="F19" s="70">
        <f t="shared" si="21"/>
        <v>1280</v>
      </c>
      <c r="G19" s="70">
        <f t="shared" si="17"/>
        <v>3860</v>
      </c>
      <c r="H19" s="70">
        <f t="shared" si="17"/>
        <v>9020</v>
      </c>
      <c r="I19" s="70">
        <f t="shared" si="17"/>
        <v>19340</v>
      </c>
      <c r="J19" s="16"/>
      <c r="K19" s="16"/>
      <c r="L19" s="16"/>
      <c r="M19" s="16"/>
      <c r="N19" s="16"/>
      <c r="O19" s="70">
        <v>16</v>
      </c>
      <c r="P19" s="70">
        <v>35</v>
      </c>
      <c r="Q19" s="70">
        <v>10</v>
      </c>
      <c r="R19" s="70">
        <v>1</v>
      </c>
      <c r="S19" s="15">
        <f>SUM(P$4:P19)</f>
        <v>215</v>
      </c>
      <c r="T19" s="70">
        <f>SUMIFS(芦花古楼!$BH$6:$BH$505,芦花古楼!$BB$6:$BB$505,"&lt;="&amp;神器!S19)</f>
        <v>231880</v>
      </c>
      <c r="U19" s="70">
        <f t="shared" si="14"/>
        <v>33600</v>
      </c>
      <c r="V19" s="70">
        <v>5</v>
      </c>
      <c r="W19" s="70">
        <f t="shared" si="15"/>
        <v>130</v>
      </c>
      <c r="X19" s="70">
        <f t="shared" si="3"/>
        <v>400</v>
      </c>
      <c r="Y19" s="70">
        <f t="shared" si="3"/>
        <v>940</v>
      </c>
      <c r="Z19" s="70">
        <f t="shared" si="3"/>
        <v>2015</v>
      </c>
      <c r="AA19" s="16"/>
      <c r="AB19" s="70">
        <v>15</v>
      </c>
      <c r="AC19" s="70">
        <v>104</v>
      </c>
      <c r="AD19" s="70">
        <v>1606017</v>
      </c>
      <c r="AE19" s="70" t="s">
        <v>632</v>
      </c>
      <c r="AF19" s="70">
        <v>1</v>
      </c>
      <c r="AG19" s="70">
        <v>21</v>
      </c>
      <c r="AH19" s="70">
        <f>SUM(AG$5:AG19)</f>
        <v>267</v>
      </c>
      <c r="AK19" s="70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2">
        <v>6</v>
      </c>
      <c r="AY19" s="62">
        <f>INDEX(节奏总表!$I$4:$I$18,MATCH(AX19,节奏总表!$S$4:$S$18,1))</f>
        <v>7</v>
      </c>
      <c r="AZ19" s="15">
        <f>芦花古楼!BC11+芦花古楼!BD10</f>
        <v>825</v>
      </c>
      <c r="BA19" s="16"/>
      <c r="BD19" s="65" t="s">
        <v>534</v>
      </c>
      <c r="BE19" s="62">
        <v>3</v>
      </c>
      <c r="BF19" s="62">
        <v>50</v>
      </c>
      <c r="BG19" s="62">
        <v>1</v>
      </c>
      <c r="BH19" s="62">
        <f t="shared" si="18"/>
        <v>236</v>
      </c>
      <c r="BI19" s="62">
        <v>236</v>
      </c>
      <c r="BK19" s="64">
        <v>6</v>
      </c>
      <c r="BL19" s="64">
        <v>4</v>
      </c>
      <c r="BN19" s="64">
        <v>3</v>
      </c>
      <c r="BO19" s="64">
        <v>3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</row>
    <row r="20" spans="1:72" ht="16.5" x14ac:dyDescent="0.2">
      <c r="A20" s="60">
        <v>7</v>
      </c>
      <c r="B20" s="60">
        <v>4</v>
      </c>
      <c r="C20" s="22">
        <f t="shared" si="19"/>
        <v>0.17391304347826086</v>
      </c>
      <c r="D20" s="60">
        <f t="shared" si="20"/>
        <v>368707</v>
      </c>
      <c r="E20" s="70">
        <v>20</v>
      </c>
      <c r="F20" s="70">
        <f t="shared" si="21"/>
        <v>1460</v>
      </c>
      <c r="G20" s="70">
        <f t="shared" si="17"/>
        <v>4420</v>
      </c>
      <c r="H20" s="70">
        <f t="shared" si="17"/>
        <v>10320</v>
      </c>
      <c r="I20" s="70">
        <f t="shared" si="17"/>
        <v>22120</v>
      </c>
      <c r="J20" s="16"/>
      <c r="K20" s="16"/>
      <c r="L20" s="16"/>
      <c r="M20" s="16"/>
      <c r="N20" s="16"/>
      <c r="O20" s="70">
        <v>17</v>
      </c>
      <c r="P20" s="70">
        <v>40</v>
      </c>
      <c r="Q20" s="70">
        <v>10</v>
      </c>
      <c r="R20" s="70">
        <v>1</v>
      </c>
      <c r="S20" s="15">
        <f>SUM(P$4:P20)</f>
        <v>255</v>
      </c>
      <c r="T20" s="70">
        <f>SUMIFS(芦花古楼!$BH$6:$BH$505,芦花古楼!$BB$6:$BB$505,"&lt;="&amp;神器!S20)</f>
        <v>270280</v>
      </c>
      <c r="U20" s="70">
        <f t="shared" si="14"/>
        <v>38400</v>
      </c>
      <c r="V20" s="70">
        <v>5</v>
      </c>
      <c r="W20" s="70">
        <f t="shared" si="15"/>
        <v>150</v>
      </c>
      <c r="X20" s="70">
        <f t="shared" si="3"/>
        <v>460</v>
      </c>
      <c r="Y20" s="70">
        <f t="shared" si="3"/>
        <v>1075</v>
      </c>
      <c r="Z20" s="70">
        <f t="shared" si="3"/>
        <v>2300</v>
      </c>
      <c r="AA20" s="16"/>
      <c r="AB20" s="70">
        <v>16</v>
      </c>
      <c r="AC20" s="70">
        <v>104</v>
      </c>
      <c r="AD20" s="70">
        <v>1606018</v>
      </c>
      <c r="AE20" s="70" t="s">
        <v>633</v>
      </c>
      <c r="AF20" s="70">
        <v>1</v>
      </c>
      <c r="AG20" s="70">
        <v>21</v>
      </c>
      <c r="AH20" s="70">
        <f>SUM(AG$5:AG20)</f>
        <v>288</v>
      </c>
      <c r="AK20" s="70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315</v>
      </c>
      <c r="AX20" s="62">
        <v>7</v>
      </c>
      <c r="AY20" s="62">
        <f>INDEX(节奏总表!$I$4:$I$18,MATCH(AX20,节奏总表!$S$4:$S$18,1))</f>
        <v>7</v>
      </c>
      <c r="AZ20" s="15">
        <f>芦花古楼!BC12+芦花古楼!BD11</f>
        <v>845</v>
      </c>
      <c r="BA20" s="16"/>
      <c r="BD20" s="65" t="s">
        <v>535</v>
      </c>
      <c r="BE20" s="62">
        <v>3</v>
      </c>
      <c r="BF20" s="62">
        <v>50</v>
      </c>
      <c r="BG20" s="62">
        <v>1</v>
      </c>
      <c r="BH20" s="62">
        <f t="shared" si="18"/>
        <v>236</v>
      </c>
      <c r="BI20" s="62">
        <v>236</v>
      </c>
      <c r="BK20" s="64">
        <v>7</v>
      </c>
      <c r="BL20" s="64">
        <v>4</v>
      </c>
      <c r="BN20" s="64">
        <v>3</v>
      </c>
      <c r="BO20" s="64">
        <v>3</v>
      </c>
      <c r="BP20" s="64">
        <v>1</v>
      </c>
      <c r="BQ20" s="64">
        <v>0</v>
      </c>
      <c r="BR20" s="64">
        <v>0</v>
      </c>
      <c r="BS20" s="64">
        <v>0</v>
      </c>
      <c r="BT20" s="64">
        <v>0</v>
      </c>
    </row>
    <row r="21" spans="1:72" ht="16.5" x14ac:dyDescent="0.2">
      <c r="A21" s="60">
        <v>8</v>
      </c>
      <c r="B21" s="60">
        <v>4.5</v>
      </c>
      <c r="C21" s="22">
        <f t="shared" si="19"/>
        <v>0.19565217391304349</v>
      </c>
      <c r="D21" s="60">
        <f t="shared" si="20"/>
        <v>414796</v>
      </c>
      <c r="E21" s="70">
        <v>20</v>
      </c>
      <c r="F21" s="70">
        <f t="shared" si="21"/>
        <v>1640</v>
      </c>
      <c r="G21" s="70">
        <f t="shared" si="17"/>
        <v>4960</v>
      </c>
      <c r="H21" s="70">
        <f t="shared" si="17"/>
        <v>11600</v>
      </c>
      <c r="I21" s="70">
        <f t="shared" si="17"/>
        <v>24880</v>
      </c>
      <c r="J21" s="16"/>
      <c r="K21" s="16"/>
      <c r="L21" s="16"/>
      <c r="M21" s="16"/>
      <c r="N21" s="16"/>
      <c r="O21" s="70">
        <v>18</v>
      </c>
      <c r="P21" s="70">
        <v>45</v>
      </c>
      <c r="Q21" s="70">
        <v>10</v>
      </c>
      <c r="R21" s="70">
        <v>1</v>
      </c>
      <c r="S21" s="15">
        <f>SUM(P$4:P21)</f>
        <v>300</v>
      </c>
      <c r="T21" s="70">
        <f>SUMIFS(芦花古楼!$BH$6:$BH$505,芦花古楼!$BB$6:$BB$505,"&lt;="&amp;神器!S21)</f>
        <v>313480</v>
      </c>
      <c r="U21" s="70">
        <f t="shared" si="14"/>
        <v>43200</v>
      </c>
      <c r="V21" s="70">
        <v>5</v>
      </c>
      <c r="W21" s="70">
        <f t="shared" si="15"/>
        <v>170</v>
      </c>
      <c r="X21" s="70">
        <f t="shared" si="15"/>
        <v>515</v>
      </c>
      <c r="Y21" s="70">
        <f t="shared" si="15"/>
        <v>1205</v>
      </c>
      <c r="Z21" s="70">
        <f t="shared" si="15"/>
        <v>2590</v>
      </c>
      <c r="AA21" s="16"/>
      <c r="AB21" s="70">
        <v>17</v>
      </c>
      <c r="AC21" s="70">
        <v>104</v>
      </c>
      <c r="AD21" s="70">
        <v>1606019</v>
      </c>
      <c r="AE21" s="70" t="s">
        <v>634</v>
      </c>
      <c r="AF21" s="70">
        <v>2</v>
      </c>
      <c r="AG21" s="70">
        <v>21</v>
      </c>
      <c r="AH21" s="70">
        <f>SUM(AG$5:AG21)</f>
        <v>309</v>
      </c>
      <c r="AK21" s="70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420</v>
      </c>
      <c r="AX21" s="62">
        <v>8</v>
      </c>
      <c r="AY21" s="62">
        <f>INDEX(节奏总表!$I$4:$I$18,MATCH(AX21,节奏总表!$S$4:$S$18,1))</f>
        <v>8</v>
      </c>
      <c r="AZ21" s="15">
        <f>芦花古楼!BC13+芦花古楼!BD12</f>
        <v>830</v>
      </c>
      <c r="BA21" s="16"/>
      <c r="BD21" s="65" t="s">
        <v>536</v>
      </c>
      <c r="BE21" s="62">
        <v>3</v>
      </c>
      <c r="BF21" s="62">
        <v>50</v>
      </c>
      <c r="BG21" s="62">
        <v>1</v>
      </c>
      <c r="BH21" s="62">
        <f t="shared" si="18"/>
        <v>236</v>
      </c>
      <c r="BI21" s="62">
        <v>236</v>
      </c>
      <c r="BK21" s="64">
        <v>8</v>
      </c>
      <c r="BL21" s="64">
        <v>4</v>
      </c>
      <c r="BN21" s="64">
        <v>3</v>
      </c>
      <c r="BO21" s="64">
        <v>3</v>
      </c>
      <c r="BP21" s="64">
        <v>1</v>
      </c>
      <c r="BQ21" s="64">
        <v>1</v>
      </c>
      <c r="BR21" s="64">
        <v>0</v>
      </c>
      <c r="BS21" s="64">
        <v>0</v>
      </c>
      <c r="BT21" s="64">
        <v>0</v>
      </c>
    </row>
    <row r="22" spans="1:72" ht="16.5" x14ac:dyDescent="0.2">
      <c r="A22" s="60">
        <v>9</v>
      </c>
      <c r="B22" s="60">
        <v>5</v>
      </c>
      <c r="C22" s="22">
        <f t="shared" si="19"/>
        <v>0.21739130434782608</v>
      </c>
      <c r="D22" s="60">
        <f t="shared" si="20"/>
        <v>460884</v>
      </c>
      <c r="E22" s="70">
        <v>20</v>
      </c>
      <c r="F22" s="70">
        <f t="shared" si="21"/>
        <v>1840</v>
      </c>
      <c r="G22" s="70">
        <f t="shared" si="17"/>
        <v>5520</v>
      </c>
      <c r="H22" s="70">
        <f t="shared" si="17"/>
        <v>12900</v>
      </c>
      <c r="I22" s="70">
        <f t="shared" si="17"/>
        <v>27640</v>
      </c>
      <c r="J22" s="16"/>
      <c r="K22" s="16"/>
      <c r="L22" s="16"/>
      <c r="M22" s="16"/>
      <c r="N22" s="16"/>
      <c r="O22" s="70">
        <v>19</v>
      </c>
      <c r="P22" s="70">
        <v>50</v>
      </c>
      <c r="Q22" s="70">
        <v>15</v>
      </c>
      <c r="R22" s="70">
        <v>1</v>
      </c>
      <c r="S22" s="15">
        <f>SUM(P$4:P22)</f>
        <v>350</v>
      </c>
      <c r="T22" s="70">
        <f>SUMIFS(芦花古楼!$BH$6:$BH$505,芦花古楼!$BB$6:$BB$505,"&lt;="&amp;神器!S22)</f>
        <v>361480</v>
      </c>
      <c r="U22" s="70">
        <f t="shared" si="14"/>
        <v>48000</v>
      </c>
      <c r="V22" s="70">
        <v>5</v>
      </c>
      <c r="W22" s="70">
        <f t="shared" si="15"/>
        <v>190</v>
      </c>
      <c r="X22" s="70">
        <f t="shared" si="15"/>
        <v>575</v>
      </c>
      <c r="Y22" s="70">
        <f t="shared" si="15"/>
        <v>1340</v>
      </c>
      <c r="Z22" s="70">
        <f t="shared" si="15"/>
        <v>2880</v>
      </c>
      <c r="AA22" s="16"/>
      <c r="AB22" s="70">
        <v>18</v>
      </c>
      <c r="AC22" s="70">
        <v>104</v>
      </c>
      <c r="AD22" s="70">
        <v>1606020</v>
      </c>
      <c r="AE22" s="70" t="s">
        <v>635</v>
      </c>
      <c r="AF22" s="70">
        <v>2</v>
      </c>
      <c r="AG22" s="70">
        <v>21</v>
      </c>
      <c r="AH22" s="70">
        <f>SUM(AG$5:AG22)</f>
        <v>330</v>
      </c>
      <c r="AK22" s="70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520</v>
      </c>
      <c r="AX22" s="62">
        <v>9</v>
      </c>
      <c r="AY22" s="62">
        <f>INDEX(节奏总表!$I$4:$I$18,MATCH(AX22,节奏总表!$S$4:$S$18,1))</f>
        <v>8</v>
      </c>
      <c r="AZ22" s="15">
        <f>芦花古楼!BC14+芦花古楼!BD13</f>
        <v>845</v>
      </c>
      <c r="BA22" s="16"/>
      <c r="BD22" s="65" t="s">
        <v>537</v>
      </c>
      <c r="BE22" s="62">
        <v>4</v>
      </c>
      <c r="BF22" s="62">
        <v>70</v>
      </c>
      <c r="BG22" s="62">
        <v>1</v>
      </c>
      <c r="BH22" s="62">
        <f t="shared" si="18"/>
        <v>169</v>
      </c>
      <c r="BI22" s="62">
        <v>169</v>
      </c>
      <c r="BK22" s="64">
        <v>9</v>
      </c>
      <c r="BL22" s="64">
        <v>4</v>
      </c>
      <c r="BN22" s="64">
        <v>5</v>
      </c>
      <c r="BO22" s="64">
        <v>4</v>
      </c>
      <c r="BP22" s="64">
        <v>1</v>
      </c>
      <c r="BQ22" s="64">
        <v>1</v>
      </c>
      <c r="BR22" s="64">
        <v>0</v>
      </c>
      <c r="BS22" s="64">
        <v>0</v>
      </c>
      <c r="BT22" s="64">
        <v>0</v>
      </c>
    </row>
    <row r="23" spans="1:72" ht="16.5" x14ac:dyDescent="0.2">
      <c r="A23" s="60">
        <v>10</v>
      </c>
      <c r="B23" s="60">
        <v>6</v>
      </c>
      <c r="C23" s="22">
        <f t="shared" si="19"/>
        <v>0.2608695652173913</v>
      </c>
      <c r="D23" s="60">
        <f t="shared" si="20"/>
        <v>553061</v>
      </c>
      <c r="E23" s="70">
        <v>50</v>
      </c>
      <c r="F23" s="70">
        <f t="shared" si="21"/>
        <v>2200</v>
      </c>
      <c r="G23" s="70">
        <f t="shared" si="17"/>
        <v>6600</v>
      </c>
      <c r="H23" s="70">
        <f t="shared" si="17"/>
        <v>15450</v>
      </c>
      <c r="I23" s="70">
        <f t="shared" si="17"/>
        <v>33150</v>
      </c>
      <c r="J23" s="16"/>
      <c r="K23" s="16"/>
      <c r="L23" s="16"/>
      <c r="M23" s="16"/>
      <c r="N23" s="16"/>
      <c r="O23" s="70">
        <v>20</v>
      </c>
      <c r="P23" s="70">
        <v>55</v>
      </c>
      <c r="Q23" s="70">
        <v>15</v>
      </c>
      <c r="R23" s="70">
        <v>1</v>
      </c>
      <c r="S23" s="15">
        <f>SUM(P$4:P23)</f>
        <v>405</v>
      </c>
      <c r="T23" s="70">
        <f>SUMIFS(芦花古楼!$BH$6:$BH$505,芦花古楼!$BB$6:$BB$505,"&lt;="&amp;神器!S23)</f>
        <v>414280</v>
      </c>
      <c r="U23" s="70">
        <f t="shared" si="14"/>
        <v>52800</v>
      </c>
      <c r="V23" s="70">
        <v>5</v>
      </c>
      <c r="W23" s="70">
        <f t="shared" si="15"/>
        <v>210</v>
      </c>
      <c r="X23" s="70">
        <f t="shared" si="15"/>
        <v>630</v>
      </c>
      <c r="Y23" s="70">
        <f t="shared" si="15"/>
        <v>1475</v>
      </c>
      <c r="Z23" s="70">
        <f t="shared" si="15"/>
        <v>3165</v>
      </c>
      <c r="AA23" s="16"/>
      <c r="AB23" s="70">
        <v>19</v>
      </c>
      <c r="AC23" s="70">
        <v>104</v>
      </c>
      <c r="AD23" s="70">
        <v>1606021</v>
      </c>
      <c r="AE23" s="70" t="s">
        <v>636</v>
      </c>
      <c r="AF23" s="70">
        <v>2</v>
      </c>
      <c r="AG23" s="70">
        <v>21</v>
      </c>
      <c r="AH23" s="70">
        <f>SUM(AG$5:AG23)</f>
        <v>351</v>
      </c>
      <c r="AK23" s="70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630</v>
      </c>
      <c r="AX23" s="62">
        <v>10</v>
      </c>
      <c r="AY23" s="62">
        <f>INDEX(节奏总表!$I$4:$I$18,MATCH(AX23,节奏总表!$S$4:$S$18,1))</f>
        <v>8</v>
      </c>
      <c r="AZ23" s="15">
        <f>芦花古楼!BC15+芦花古楼!BD14</f>
        <v>700</v>
      </c>
      <c r="BA23" s="16"/>
      <c r="BD23" s="65" t="s">
        <v>538</v>
      </c>
      <c r="BE23" s="62">
        <v>4</v>
      </c>
      <c r="BF23" s="62">
        <v>70</v>
      </c>
      <c r="BG23" s="62">
        <v>1</v>
      </c>
      <c r="BH23" s="62">
        <f t="shared" si="18"/>
        <v>169</v>
      </c>
      <c r="BI23" s="62">
        <v>169</v>
      </c>
      <c r="BK23" s="64">
        <v>10</v>
      </c>
      <c r="BL23" s="64">
        <v>7</v>
      </c>
      <c r="BN23" s="64">
        <v>5</v>
      </c>
      <c r="BO23" s="64">
        <v>5</v>
      </c>
      <c r="BP23" s="64">
        <v>1</v>
      </c>
      <c r="BQ23" s="64">
        <v>1</v>
      </c>
      <c r="BR23" s="64">
        <v>0</v>
      </c>
      <c r="BS23" s="64">
        <v>0</v>
      </c>
      <c r="BT23" s="64">
        <v>0</v>
      </c>
    </row>
    <row r="24" spans="1:72" ht="16.5" x14ac:dyDescent="0.2">
      <c r="A24" s="60">
        <v>11</v>
      </c>
      <c r="B24" s="60">
        <v>3</v>
      </c>
      <c r="C24" s="22">
        <f t="shared" si="19"/>
        <v>0.15</v>
      </c>
      <c r="D24" s="60">
        <f t="shared" si="20"/>
        <v>651813</v>
      </c>
      <c r="E24" s="70">
        <v>50</v>
      </c>
      <c r="F24" s="70">
        <f t="shared" si="21"/>
        <v>2600</v>
      </c>
      <c r="G24" s="70">
        <f t="shared" si="17"/>
        <v>7800</v>
      </c>
      <c r="H24" s="70">
        <f t="shared" si="17"/>
        <v>18250</v>
      </c>
      <c r="I24" s="70">
        <f t="shared" si="17"/>
        <v>39100</v>
      </c>
      <c r="J24" s="16"/>
      <c r="K24" s="16"/>
      <c r="L24" s="16"/>
      <c r="M24" s="16"/>
      <c r="N24" s="16"/>
      <c r="O24" s="70">
        <v>21</v>
      </c>
      <c r="P24" s="70">
        <v>60</v>
      </c>
      <c r="Q24" s="70">
        <v>15</v>
      </c>
      <c r="R24" s="70">
        <v>1</v>
      </c>
      <c r="S24" s="15">
        <f>SUM(P$4:P24)</f>
        <v>465</v>
      </c>
      <c r="T24" s="70">
        <f>SUMIFS(芦花古楼!$BH$6:$BH$505,芦花古楼!$BB$6:$BB$505,"&lt;="&amp;神器!S24)</f>
        <v>471880</v>
      </c>
      <c r="U24" s="70">
        <f t="shared" si="14"/>
        <v>57600</v>
      </c>
      <c r="V24" s="70">
        <v>5</v>
      </c>
      <c r="W24" s="70">
        <f t="shared" si="15"/>
        <v>230</v>
      </c>
      <c r="X24" s="70">
        <f t="shared" si="15"/>
        <v>690</v>
      </c>
      <c r="Y24" s="70">
        <f t="shared" si="15"/>
        <v>1610</v>
      </c>
      <c r="Z24" s="70">
        <f t="shared" si="15"/>
        <v>3455</v>
      </c>
      <c r="AA24" s="16"/>
      <c r="AB24" s="70">
        <v>20</v>
      </c>
      <c r="AC24" s="70">
        <v>104</v>
      </c>
      <c r="AD24" s="70">
        <v>1606022</v>
      </c>
      <c r="AE24" s="70" t="s">
        <v>637</v>
      </c>
      <c r="AF24" s="70">
        <v>3</v>
      </c>
      <c r="AG24" s="70">
        <v>21</v>
      </c>
      <c r="AH24" s="70">
        <f>SUM(AG$5:AG24)</f>
        <v>372</v>
      </c>
      <c r="AK24" s="70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1280</v>
      </c>
      <c r="AX24" s="62">
        <v>11</v>
      </c>
      <c r="AY24" s="62">
        <f>INDEX(节奏总表!$I$4:$I$18,MATCH(AX24,节奏总表!$S$4:$S$18,1))</f>
        <v>8</v>
      </c>
      <c r="AZ24" s="15">
        <f>芦花古楼!BC16+芦花古楼!BD15</f>
        <v>665</v>
      </c>
      <c r="BA24" s="16"/>
      <c r="BD24" s="65" t="s">
        <v>539</v>
      </c>
      <c r="BE24" s="62">
        <v>4</v>
      </c>
      <c r="BF24" s="62">
        <v>70</v>
      </c>
      <c r="BG24" s="62">
        <v>1</v>
      </c>
      <c r="BH24" s="62">
        <f t="shared" si="18"/>
        <v>169</v>
      </c>
      <c r="BI24" s="62">
        <v>169</v>
      </c>
      <c r="BK24" s="64">
        <v>11</v>
      </c>
      <c r="BL24" s="64">
        <v>7</v>
      </c>
      <c r="BN24" s="64">
        <v>5</v>
      </c>
      <c r="BO24" s="64">
        <v>5</v>
      </c>
      <c r="BP24" s="64">
        <v>2</v>
      </c>
      <c r="BQ24" s="64">
        <v>1</v>
      </c>
      <c r="BR24" s="64">
        <v>0</v>
      </c>
      <c r="BS24" s="64">
        <v>0</v>
      </c>
      <c r="BT24" s="64">
        <v>0</v>
      </c>
    </row>
    <row r="25" spans="1:72" ht="16.5" x14ac:dyDescent="0.2">
      <c r="A25" s="60">
        <v>12</v>
      </c>
      <c r="B25" s="60">
        <v>3.5</v>
      </c>
      <c r="C25" s="22">
        <f t="shared" si="19"/>
        <v>0.17499999999999999</v>
      </c>
      <c r="D25" s="60">
        <f t="shared" si="20"/>
        <v>760448</v>
      </c>
      <c r="E25" s="70">
        <v>50</v>
      </c>
      <c r="F25" s="70">
        <f t="shared" si="21"/>
        <v>3000</v>
      </c>
      <c r="G25" s="70">
        <f t="shared" si="17"/>
        <v>9100</v>
      </c>
      <c r="H25" s="70">
        <f t="shared" si="17"/>
        <v>21250</v>
      </c>
      <c r="I25" s="70">
        <f t="shared" si="17"/>
        <v>45600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70">
        <v>21</v>
      </c>
      <c r="AC25" s="70">
        <v>105</v>
      </c>
      <c r="AD25" s="70">
        <v>1606023</v>
      </c>
      <c r="AE25" s="70" t="s">
        <v>638</v>
      </c>
      <c r="AF25" s="70">
        <v>1</v>
      </c>
      <c r="AG25" s="70">
        <v>21</v>
      </c>
      <c r="AH25" s="70">
        <f>SUM(AG$5:AG25)</f>
        <v>393</v>
      </c>
      <c r="AK25" s="70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1460</v>
      </c>
      <c r="AX25" s="62">
        <v>12</v>
      </c>
      <c r="AY25" s="62">
        <f>INDEX(节奏总表!$I$4:$I$18,MATCH(AX25,节奏总表!$S$4:$S$18,1))</f>
        <v>9</v>
      </c>
      <c r="AZ25" s="15">
        <f>芦花古楼!BC17+芦花古楼!BD16</f>
        <v>630</v>
      </c>
      <c r="BA25" s="16"/>
      <c r="BD25" s="65" t="s">
        <v>540</v>
      </c>
      <c r="BE25" s="62">
        <v>4</v>
      </c>
      <c r="BF25" s="62">
        <v>70</v>
      </c>
      <c r="BG25" s="62">
        <v>1</v>
      </c>
      <c r="BH25" s="62">
        <f t="shared" si="18"/>
        <v>169</v>
      </c>
      <c r="BI25" s="62">
        <v>169</v>
      </c>
      <c r="BK25" s="64">
        <v>12</v>
      </c>
      <c r="BL25" s="64">
        <v>7</v>
      </c>
      <c r="BN25" s="64">
        <v>5</v>
      </c>
      <c r="BO25" s="64">
        <v>5</v>
      </c>
      <c r="BP25" s="64">
        <v>2</v>
      </c>
      <c r="BQ25" s="64">
        <v>2</v>
      </c>
      <c r="BR25" s="64">
        <v>0</v>
      </c>
      <c r="BS25" s="64">
        <v>0</v>
      </c>
      <c r="BT25" s="64">
        <v>0</v>
      </c>
    </row>
    <row r="26" spans="1:72" ht="16.5" x14ac:dyDescent="0.2">
      <c r="A26" s="60">
        <v>13</v>
      </c>
      <c r="B26" s="60">
        <v>4</v>
      </c>
      <c r="C26" s="22">
        <f t="shared" si="19"/>
        <v>0.2</v>
      </c>
      <c r="D26" s="60">
        <f t="shared" si="20"/>
        <v>869084</v>
      </c>
      <c r="E26" s="70">
        <v>50</v>
      </c>
      <c r="F26" s="70">
        <f t="shared" si="21"/>
        <v>3450</v>
      </c>
      <c r="G26" s="70">
        <f t="shared" si="17"/>
        <v>10400</v>
      </c>
      <c r="H26" s="70">
        <f t="shared" si="17"/>
        <v>24300</v>
      </c>
      <c r="I26" s="70">
        <f t="shared" si="17"/>
        <v>52100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70">
        <v>22</v>
      </c>
      <c r="AC26" s="70">
        <v>105</v>
      </c>
      <c r="AD26" s="70">
        <v>1606024</v>
      </c>
      <c r="AE26" s="70" t="s">
        <v>639</v>
      </c>
      <c r="AF26" s="70">
        <v>1</v>
      </c>
      <c r="AG26" s="70">
        <v>21</v>
      </c>
      <c r="AH26" s="70">
        <f>SUM(AG$5:AG26)</f>
        <v>414</v>
      </c>
      <c r="AK26" s="70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1640</v>
      </c>
      <c r="AX26" s="62">
        <v>13</v>
      </c>
      <c r="AY26" s="62">
        <f>INDEX(节奏总表!$I$4:$I$18,MATCH(AX26,节奏总表!$S$4:$S$18,1))</f>
        <v>9</v>
      </c>
      <c r="AZ26" s="15">
        <f>芦花古楼!BC18+芦花古楼!BD17</f>
        <v>575</v>
      </c>
      <c r="BA26" s="16"/>
      <c r="BD26" s="65" t="s">
        <v>541</v>
      </c>
      <c r="BE26" s="62">
        <v>5</v>
      </c>
      <c r="BF26" s="62">
        <v>100</v>
      </c>
      <c r="BG26" s="62">
        <v>1</v>
      </c>
      <c r="BH26" s="62">
        <f t="shared" si="18"/>
        <v>79</v>
      </c>
      <c r="BI26" s="62">
        <v>79</v>
      </c>
      <c r="BK26" s="64">
        <v>13</v>
      </c>
      <c r="BL26" s="64">
        <v>7</v>
      </c>
      <c r="BN26" s="64">
        <v>5</v>
      </c>
      <c r="BO26" s="64">
        <v>5</v>
      </c>
      <c r="BP26" s="64">
        <v>2</v>
      </c>
      <c r="BQ26" s="64">
        <v>2</v>
      </c>
      <c r="BR26" s="64">
        <v>1</v>
      </c>
      <c r="BS26" s="64">
        <v>0</v>
      </c>
      <c r="BT26" s="64">
        <v>0</v>
      </c>
    </row>
    <row r="27" spans="1:72" ht="16.5" x14ac:dyDescent="0.2">
      <c r="A27" s="60">
        <v>14</v>
      </c>
      <c r="B27" s="60">
        <v>4.5</v>
      </c>
      <c r="C27" s="22">
        <f t="shared" si="19"/>
        <v>0.22500000000000001</v>
      </c>
      <c r="D27" s="60">
        <f t="shared" si="20"/>
        <v>977719</v>
      </c>
      <c r="E27" s="70">
        <v>50</v>
      </c>
      <c r="F27" s="70">
        <f t="shared" si="21"/>
        <v>3900</v>
      </c>
      <c r="G27" s="70">
        <f t="shared" si="17"/>
        <v>11700</v>
      </c>
      <c r="H27" s="70">
        <f t="shared" si="17"/>
        <v>27350</v>
      </c>
      <c r="I27" s="70">
        <f t="shared" si="17"/>
        <v>58650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70">
        <v>23</v>
      </c>
      <c r="AC27" s="70">
        <v>105</v>
      </c>
      <c r="AD27" s="70">
        <v>1606025</v>
      </c>
      <c r="AE27" s="70" t="s">
        <v>640</v>
      </c>
      <c r="AF27" s="70">
        <v>2</v>
      </c>
      <c r="AG27" s="70">
        <v>21</v>
      </c>
      <c r="AH27" s="70">
        <f>SUM(AG$5:AG27)</f>
        <v>435</v>
      </c>
      <c r="AK27" s="70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1840</v>
      </c>
      <c r="AX27" s="62">
        <v>14</v>
      </c>
      <c r="AY27" s="62">
        <f>INDEX(节奏总表!$I$4:$I$18,MATCH(AX27,节奏总表!$S$4:$S$18,1))</f>
        <v>9</v>
      </c>
      <c r="AZ27" s="15">
        <f>芦花古楼!BC19+芦花古楼!BD18</f>
        <v>725</v>
      </c>
      <c r="BA27" s="16"/>
      <c r="BD27" s="65" t="s">
        <v>542</v>
      </c>
      <c r="BE27" s="62">
        <v>5</v>
      </c>
      <c r="BF27" s="62">
        <v>100</v>
      </c>
      <c r="BG27" s="62">
        <v>1</v>
      </c>
      <c r="BH27" s="62">
        <f t="shared" si="18"/>
        <v>79</v>
      </c>
      <c r="BI27" s="62">
        <v>79</v>
      </c>
      <c r="BK27" s="64">
        <v>14</v>
      </c>
      <c r="BL27" s="64">
        <v>7</v>
      </c>
      <c r="BN27" s="64">
        <v>5</v>
      </c>
      <c r="BO27" s="64">
        <v>5</v>
      </c>
      <c r="BP27" s="64">
        <v>2</v>
      </c>
      <c r="BQ27" s="64">
        <v>2</v>
      </c>
      <c r="BR27" s="64">
        <v>1</v>
      </c>
      <c r="BS27" s="64">
        <v>1</v>
      </c>
      <c r="BT27" s="64">
        <v>0</v>
      </c>
    </row>
    <row r="28" spans="1:72" ht="16.5" x14ac:dyDescent="0.2">
      <c r="A28" s="60">
        <v>15</v>
      </c>
      <c r="B28" s="60">
        <v>5</v>
      </c>
      <c r="C28" s="22">
        <f t="shared" si="19"/>
        <v>0.25</v>
      </c>
      <c r="D28" s="60">
        <f t="shared" si="20"/>
        <v>1086355</v>
      </c>
      <c r="E28" s="70">
        <v>100</v>
      </c>
      <c r="F28" s="70">
        <f t="shared" si="21"/>
        <v>4300</v>
      </c>
      <c r="G28" s="70">
        <f t="shared" si="17"/>
        <v>13000</v>
      </c>
      <c r="H28" s="70">
        <f t="shared" si="17"/>
        <v>30400</v>
      </c>
      <c r="I28" s="70">
        <f t="shared" si="17"/>
        <v>65100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70">
        <v>24</v>
      </c>
      <c r="AC28" s="70">
        <v>105</v>
      </c>
      <c r="AD28" s="70">
        <v>1606026</v>
      </c>
      <c r="AE28" s="70" t="s">
        <v>641</v>
      </c>
      <c r="AF28" s="70">
        <v>2</v>
      </c>
      <c r="AG28" s="70">
        <v>21</v>
      </c>
      <c r="AH28" s="70">
        <f>SUM(AG$5:AG28)</f>
        <v>456</v>
      </c>
      <c r="AK28" s="70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2200</v>
      </c>
      <c r="AX28" s="62">
        <v>15</v>
      </c>
      <c r="AY28" s="62">
        <f>INDEX(节奏总表!$I$4:$I$18,MATCH(AX28,节奏总表!$S$4:$S$18,1))</f>
        <v>9</v>
      </c>
      <c r="AZ28" s="15">
        <f>芦花古楼!BC20+芦花古楼!BD19</f>
        <v>750</v>
      </c>
      <c r="BA28" s="16"/>
      <c r="BD28" s="65" t="s">
        <v>543</v>
      </c>
      <c r="BE28" s="62">
        <v>5</v>
      </c>
      <c r="BF28" s="62">
        <v>100</v>
      </c>
      <c r="BG28" s="62">
        <v>1</v>
      </c>
      <c r="BH28" s="62">
        <f t="shared" si="18"/>
        <v>79</v>
      </c>
      <c r="BI28" s="62">
        <v>79</v>
      </c>
      <c r="BK28" s="64">
        <v>15</v>
      </c>
      <c r="BL28" s="64">
        <v>10</v>
      </c>
      <c r="BN28" s="64">
        <v>5</v>
      </c>
      <c r="BO28" s="64">
        <v>5</v>
      </c>
      <c r="BP28" s="64">
        <v>2</v>
      </c>
      <c r="BQ28" s="64">
        <v>2</v>
      </c>
      <c r="BR28" s="64">
        <v>1</v>
      </c>
      <c r="BS28" s="64">
        <v>1</v>
      </c>
      <c r="BT28" s="64">
        <v>1</v>
      </c>
    </row>
    <row r="29" spans="1:72" ht="16.5" x14ac:dyDescent="0.2">
      <c r="A29" s="60">
        <v>16</v>
      </c>
      <c r="B29" s="60">
        <v>5.5</v>
      </c>
      <c r="C29" s="22">
        <f t="shared" si="19"/>
        <v>0.12790697674418605</v>
      </c>
      <c r="D29" s="60">
        <f t="shared" si="20"/>
        <v>2180084</v>
      </c>
      <c r="E29" s="70">
        <v>100</v>
      </c>
      <c r="F29" s="70">
        <f t="shared" si="21"/>
        <v>8700</v>
      </c>
      <c r="G29" s="70">
        <f t="shared" si="17"/>
        <v>26100</v>
      </c>
      <c r="H29" s="70">
        <f t="shared" si="17"/>
        <v>61000</v>
      </c>
      <c r="I29" s="70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70">
        <v>25</v>
      </c>
      <c r="AC29" s="70">
        <v>105</v>
      </c>
      <c r="AD29" s="70">
        <v>1606027</v>
      </c>
      <c r="AE29" s="70" t="s">
        <v>642</v>
      </c>
      <c r="AF29" s="70">
        <v>2</v>
      </c>
      <c r="AG29" s="70">
        <v>21</v>
      </c>
      <c r="AH29" s="70">
        <f>SUM(AG$5:AG29)</f>
        <v>477</v>
      </c>
      <c r="AK29" s="70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2600</v>
      </c>
      <c r="AX29" s="62">
        <v>16</v>
      </c>
      <c r="AY29" s="62">
        <f>INDEX(节奏总表!$I$4:$I$18,MATCH(AX29,节奏总表!$S$4:$S$18,1))</f>
        <v>9</v>
      </c>
      <c r="AZ29" s="15">
        <f>芦花古楼!BC21+芦花古楼!BD20</f>
        <v>770</v>
      </c>
      <c r="BA29" s="16"/>
      <c r="BD29" s="65" t="s">
        <v>544</v>
      </c>
      <c r="BE29" s="62">
        <v>5</v>
      </c>
      <c r="BF29" s="62">
        <v>100</v>
      </c>
      <c r="BG29" s="62">
        <v>1</v>
      </c>
      <c r="BH29" s="62">
        <f t="shared" si="18"/>
        <v>79</v>
      </c>
      <c r="BI29" s="62">
        <v>79</v>
      </c>
      <c r="BK29" s="64">
        <v>16</v>
      </c>
      <c r="BL29" s="64">
        <v>10</v>
      </c>
      <c r="BN29" s="64">
        <v>5</v>
      </c>
      <c r="BO29" s="64">
        <v>5</v>
      </c>
      <c r="BP29" s="64">
        <v>2</v>
      </c>
      <c r="BQ29" s="64">
        <v>2</v>
      </c>
      <c r="BR29" s="64">
        <v>1</v>
      </c>
      <c r="BS29" s="64">
        <v>1</v>
      </c>
      <c r="BT29" s="64">
        <v>1</v>
      </c>
    </row>
    <row r="30" spans="1:72" ht="16.5" x14ac:dyDescent="0.2">
      <c r="A30" s="60">
        <v>17</v>
      </c>
      <c r="B30" s="60">
        <v>6</v>
      </c>
      <c r="C30" s="22">
        <f t="shared" si="19"/>
        <v>0.13953488372093023</v>
      </c>
      <c r="D30" s="60">
        <f t="shared" si="20"/>
        <v>2378274</v>
      </c>
      <c r="E30" s="70">
        <v>100</v>
      </c>
      <c r="F30" s="70">
        <f t="shared" si="21"/>
        <v>9500</v>
      </c>
      <c r="G30" s="70">
        <f t="shared" si="21"/>
        <v>28500</v>
      </c>
      <c r="H30" s="70">
        <f t="shared" si="21"/>
        <v>66500</v>
      </c>
      <c r="I30" s="70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70">
        <v>26</v>
      </c>
      <c r="AC30" s="70">
        <v>105</v>
      </c>
      <c r="AD30" s="70">
        <v>1606028</v>
      </c>
      <c r="AE30" s="70" t="s">
        <v>643</v>
      </c>
      <c r="AF30" s="70">
        <v>3</v>
      </c>
      <c r="AG30" s="70">
        <v>21</v>
      </c>
      <c r="AH30" s="70">
        <f>SUM(AG$5:AG30)</f>
        <v>498</v>
      </c>
      <c r="AK30" s="70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3000</v>
      </c>
      <c r="AX30" s="62">
        <v>17</v>
      </c>
      <c r="AY30" s="62">
        <f>INDEX(节奏总表!$I$4:$I$18,MATCH(AX30,节奏总表!$S$4:$S$18,1))</f>
        <v>9</v>
      </c>
      <c r="AZ30" s="15">
        <f>芦花古楼!BC22+芦花古楼!BD21</f>
        <v>800</v>
      </c>
      <c r="BA30" s="16"/>
      <c r="BD30" s="65" t="s">
        <v>545</v>
      </c>
      <c r="BE30" s="62">
        <v>5</v>
      </c>
      <c r="BF30" s="62">
        <v>250</v>
      </c>
      <c r="BG30" s="62">
        <v>1</v>
      </c>
      <c r="BH30" s="62">
        <f t="shared" si="18"/>
        <v>79</v>
      </c>
      <c r="BI30" s="62">
        <v>80</v>
      </c>
      <c r="BK30" s="64">
        <v>17</v>
      </c>
      <c r="BL30" s="64">
        <v>10</v>
      </c>
      <c r="BN30" s="64"/>
      <c r="BO30" s="64"/>
      <c r="BP30" s="64"/>
      <c r="BQ30" s="64"/>
      <c r="BR30" s="64"/>
      <c r="BS30" s="64"/>
      <c r="BT30" s="64"/>
    </row>
    <row r="31" spans="1:72" ht="16.5" x14ac:dyDescent="0.2">
      <c r="A31" s="60">
        <v>18</v>
      </c>
      <c r="B31" s="60">
        <v>6.5</v>
      </c>
      <c r="C31" s="22">
        <f t="shared" si="19"/>
        <v>0.15116279069767441</v>
      </c>
      <c r="D31" s="60">
        <f t="shared" si="20"/>
        <v>2576463</v>
      </c>
      <c r="E31" s="70">
        <v>100</v>
      </c>
      <c r="F31" s="70">
        <f t="shared" si="21"/>
        <v>10300</v>
      </c>
      <c r="G31" s="70">
        <f t="shared" si="21"/>
        <v>30900</v>
      </c>
      <c r="H31" s="70">
        <f t="shared" si="21"/>
        <v>72100</v>
      </c>
      <c r="I31" s="70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70">
        <v>27</v>
      </c>
      <c r="AC31" s="70">
        <v>106</v>
      </c>
      <c r="AD31" s="70">
        <v>1606029</v>
      </c>
      <c r="AE31" s="70" t="s">
        <v>644</v>
      </c>
      <c r="AF31" s="70">
        <v>2</v>
      </c>
      <c r="AG31" s="70">
        <v>21</v>
      </c>
      <c r="AH31" s="70">
        <f>SUM(AG$5:AG31)</f>
        <v>519</v>
      </c>
      <c r="AK31" s="70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3450</v>
      </c>
      <c r="AX31" s="62">
        <v>18</v>
      </c>
      <c r="AY31" s="62">
        <f>INDEX(节奏总表!$I$4:$I$18,MATCH(AX31,节奏总表!$S$4:$S$18,1))</f>
        <v>10</v>
      </c>
      <c r="AZ31" s="15">
        <f>芦花古楼!BC23+芦花古楼!BD22</f>
        <v>815</v>
      </c>
      <c r="BA31" s="16"/>
      <c r="BD31" s="65" t="s">
        <v>546</v>
      </c>
      <c r="BE31" s="62">
        <v>5</v>
      </c>
      <c r="BF31" s="62">
        <v>250</v>
      </c>
      <c r="BG31" s="62">
        <v>1</v>
      </c>
      <c r="BH31" s="62">
        <f t="shared" si="18"/>
        <v>79</v>
      </c>
      <c r="BI31" s="62">
        <v>80</v>
      </c>
      <c r="BK31" s="64">
        <v>18</v>
      </c>
      <c r="BL31" s="64">
        <v>10</v>
      </c>
      <c r="BN31" s="64"/>
      <c r="BO31" s="64"/>
      <c r="BP31" s="64"/>
      <c r="BQ31" s="64"/>
      <c r="BR31" s="64"/>
      <c r="BS31" s="64"/>
      <c r="BT31" s="64"/>
    </row>
    <row r="32" spans="1:72" ht="16.5" x14ac:dyDescent="0.2">
      <c r="A32" s="60">
        <v>19</v>
      </c>
      <c r="B32" s="60">
        <v>7</v>
      </c>
      <c r="C32" s="22">
        <f t="shared" si="19"/>
        <v>0.16279069767441862</v>
      </c>
      <c r="D32" s="60">
        <f t="shared" si="20"/>
        <v>2774653</v>
      </c>
      <c r="E32" s="70">
        <v>100</v>
      </c>
      <c r="F32" s="70">
        <f t="shared" si="21"/>
        <v>11000</v>
      </c>
      <c r="G32" s="70">
        <f t="shared" si="21"/>
        <v>33200</v>
      </c>
      <c r="H32" s="70">
        <f t="shared" si="21"/>
        <v>77600</v>
      </c>
      <c r="I32" s="70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70">
        <v>28</v>
      </c>
      <c r="AC32" s="70">
        <v>106</v>
      </c>
      <c r="AD32" s="70">
        <v>1606030</v>
      </c>
      <c r="AE32" s="70" t="s">
        <v>645</v>
      </c>
      <c r="AF32" s="70">
        <v>2</v>
      </c>
      <c r="AG32" s="70">
        <v>21</v>
      </c>
      <c r="AH32" s="70">
        <f>SUM(AG$5:AG32)</f>
        <v>540</v>
      </c>
      <c r="AK32" s="70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3900</v>
      </c>
      <c r="AX32" s="62">
        <v>19</v>
      </c>
      <c r="AY32" s="62">
        <f>INDEX(节奏总表!$I$4:$I$18,MATCH(AX32,节奏总表!$S$4:$S$18,1))</f>
        <v>10</v>
      </c>
      <c r="AZ32" s="15">
        <f>芦花古楼!BC24+芦花古楼!BD23</f>
        <v>780</v>
      </c>
      <c r="BA32" s="16"/>
      <c r="BD32" s="65" t="s">
        <v>547</v>
      </c>
      <c r="BE32" s="62">
        <v>6</v>
      </c>
      <c r="BF32" s="62">
        <v>100</v>
      </c>
      <c r="BG32" s="62">
        <v>1</v>
      </c>
      <c r="BH32" s="62">
        <f t="shared" si="18"/>
        <v>79</v>
      </c>
      <c r="BI32" s="62">
        <v>79</v>
      </c>
      <c r="BK32" s="64">
        <v>19</v>
      </c>
      <c r="BL32" s="64">
        <v>10</v>
      </c>
      <c r="BN32" s="64"/>
      <c r="BO32" s="64"/>
      <c r="BP32" s="64"/>
      <c r="BQ32" s="64"/>
      <c r="BR32" s="64"/>
      <c r="BS32" s="64"/>
      <c r="BT32" s="64"/>
    </row>
    <row r="33" spans="1:72" ht="16.5" x14ac:dyDescent="0.2">
      <c r="A33" s="60">
        <v>20</v>
      </c>
      <c r="B33" s="60">
        <v>8</v>
      </c>
      <c r="C33" s="22">
        <f t="shared" si="19"/>
        <v>0.18604651162790697</v>
      </c>
      <c r="D33" s="60">
        <f t="shared" si="20"/>
        <v>3171032</v>
      </c>
      <c r="E33" s="70">
        <v>100</v>
      </c>
      <c r="F33" s="70">
        <f t="shared" si="21"/>
        <v>12600</v>
      </c>
      <c r="G33" s="70">
        <f t="shared" si="21"/>
        <v>38000</v>
      </c>
      <c r="H33" s="70">
        <f t="shared" si="21"/>
        <v>88700</v>
      </c>
      <c r="I33" s="70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70">
        <v>29</v>
      </c>
      <c r="AC33" s="70">
        <v>106</v>
      </c>
      <c r="AD33" s="70">
        <v>1606031</v>
      </c>
      <c r="AE33" s="70" t="s">
        <v>646</v>
      </c>
      <c r="AF33" s="70">
        <v>2</v>
      </c>
      <c r="AG33" s="70">
        <v>21</v>
      </c>
      <c r="AH33" s="70">
        <f>SUM(AG$5:AG33)</f>
        <v>561</v>
      </c>
      <c r="AK33" s="70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4300</v>
      </c>
      <c r="AX33" s="62">
        <v>20</v>
      </c>
      <c r="AY33" s="62">
        <f>INDEX(节奏总表!$I$4:$I$18,MATCH(AX33,节奏总表!$S$4:$S$18,1))</f>
        <v>10</v>
      </c>
      <c r="AZ33" s="15">
        <f>芦花古楼!BC25+芦花古楼!BD24</f>
        <v>735</v>
      </c>
      <c r="BA33" s="16"/>
      <c r="BD33" s="65" t="s">
        <v>548</v>
      </c>
      <c r="BE33" s="62">
        <v>6</v>
      </c>
      <c r="BF33" s="62">
        <v>100</v>
      </c>
      <c r="BG33" s="62">
        <v>1</v>
      </c>
      <c r="BH33" s="62">
        <f t="shared" si="18"/>
        <v>79</v>
      </c>
      <c r="BI33" s="62">
        <v>79</v>
      </c>
      <c r="BK33" s="64">
        <v>20</v>
      </c>
      <c r="BL33" s="64">
        <v>20</v>
      </c>
      <c r="BN33" s="64"/>
      <c r="BO33" s="64"/>
      <c r="BP33" s="64"/>
      <c r="BQ33" s="64"/>
      <c r="BR33" s="64"/>
      <c r="BS33" s="64"/>
      <c r="BT33" s="64"/>
    </row>
    <row r="34" spans="1:72" ht="16.5" x14ac:dyDescent="0.2">
      <c r="A34" s="60">
        <v>21</v>
      </c>
      <c r="B34" s="60">
        <v>10</v>
      </c>
      <c r="C34" s="22">
        <f t="shared" si="19"/>
        <v>0.23255813953488372</v>
      </c>
      <c r="D34" s="60">
        <f t="shared" si="20"/>
        <v>3963790</v>
      </c>
      <c r="E34" s="70">
        <v>100</v>
      </c>
      <c r="F34" s="70">
        <f t="shared" si="21"/>
        <v>15800</v>
      </c>
      <c r="G34" s="70">
        <f t="shared" si="21"/>
        <v>47500</v>
      </c>
      <c r="H34" s="70">
        <f t="shared" si="21"/>
        <v>110900</v>
      </c>
      <c r="I34" s="70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70">
        <v>30</v>
      </c>
      <c r="AC34" s="70">
        <v>106</v>
      </c>
      <c r="AD34" s="70">
        <v>1606032</v>
      </c>
      <c r="AE34" s="70" t="s">
        <v>647</v>
      </c>
      <c r="AF34" s="70">
        <v>3</v>
      </c>
      <c r="AG34" s="70">
        <v>21</v>
      </c>
      <c r="AH34" s="70">
        <f>SUM(AG$5:AG34)</f>
        <v>582</v>
      </c>
      <c r="AK34" s="70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2">
        <v>21</v>
      </c>
      <c r="AY34" s="62">
        <f>INDEX(节奏总表!$I$4:$I$18,MATCH(AX34,节奏总表!$S$4:$S$18,1))</f>
        <v>10</v>
      </c>
      <c r="AZ34" s="15">
        <f>芦花古楼!BC26+芦花古楼!BD25</f>
        <v>675</v>
      </c>
      <c r="BA34" s="16"/>
      <c r="BD34" s="65" t="s">
        <v>549</v>
      </c>
      <c r="BE34" s="62">
        <v>6</v>
      </c>
      <c r="BF34" s="62">
        <v>100</v>
      </c>
      <c r="BG34" s="62">
        <v>1</v>
      </c>
      <c r="BH34" s="62">
        <f t="shared" si="18"/>
        <v>79</v>
      </c>
      <c r="BI34" s="62">
        <v>79</v>
      </c>
      <c r="BK34" s="64">
        <v>21</v>
      </c>
      <c r="BL34" s="64">
        <v>20</v>
      </c>
      <c r="BN34" s="64"/>
      <c r="BO34" s="64"/>
      <c r="BP34" s="64"/>
      <c r="BQ34" s="64"/>
      <c r="BR34" s="64"/>
      <c r="BS34" s="64"/>
      <c r="BT34" s="64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70">
        <v>31</v>
      </c>
      <c r="AC35" s="70">
        <v>106</v>
      </c>
      <c r="AD35" s="70">
        <v>1606033</v>
      </c>
      <c r="AE35" s="70" t="s">
        <v>648</v>
      </c>
      <c r="AF35" s="70">
        <v>3</v>
      </c>
      <c r="AG35" s="70">
        <v>21</v>
      </c>
      <c r="AH35" s="70">
        <f>SUM(AG$5:AG35)</f>
        <v>603</v>
      </c>
      <c r="AK35" s="70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950</v>
      </c>
      <c r="AX35" s="62">
        <v>22</v>
      </c>
      <c r="AY35" s="62">
        <f>INDEX(节奏总表!$I$4:$I$18,MATCH(AX35,节奏总表!$S$4:$S$18,1))</f>
        <v>10</v>
      </c>
      <c r="AZ35" s="15">
        <f>芦花古楼!BC27+芦花古楼!BD26</f>
        <v>610</v>
      </c>
      <c r="BA35" s="16"/>
      <c r="BD35" s="65" t="s">
        <v>550</v>
      </c>
      <c r="BE35" s="62">
        <v>6</v>
      </c>
      <c r="BF35" s="62">
        <v>100</v>
      </c>
      <c r="BG35" s="62">
        <v>1</v>
      </c>
      <c r="BH35" s="62">
        <f t="shared" si="18"/>
        <v>79</v>
      </c>
      <c r="BI35" s="62">
        <v>79</v>
      </c>
      <c r="BK35" s="64">
        <v>22</v>
      </c>
      <c r="BL35" s="64">
        <v>20</v>
      </c>
      <c r="BN35" s="64"/>
      <c r="BO35" s="64"/>
      <c r="BP35" s="64"/>
      <c r="BQ35" s="64"/>
      <c r="BR35" s="64"/>
      <c r="BS35" s="64"/>
      <c r="BT35" s="64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70">
        <v>32</v>
      </c>
      <c r="AC36" s="70">
        <v>106</v>
      </c>
      <c r="AD36" s="70">
        <v>1606034</v>
      </c>
      <c r="AE36" s="70" t="s">
        <v>649</v>
      </c>
      <c r="AF36" s="70">
        <v>3</v>
      </c>
      <c r="AG36" s="70">
        <v>21</v>
      </c>
      <c r="AH36" s="70">
        <f>SUM(AG$5:AG36)</f>
        <v>624</v>
      </c>
      <c r="AK36" s="70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1260</v>
      </c>
      <c r="AX36" s="62">
        <v>23</v>
      </c>
      <c r="AY36" s="62">
        <f>INDEX(节奏总表!$I$4:$I$18,MATCH(AX36,节奏总表!$S$4:$S$18,1))</f>
        <v>10</v>
      </c>
      <c r="AZ36" s="15">
        <f>芦花古楼!BC28+芦花古楼!BD27</f>
        <v>610</v>
      </c>
      <c r="BA36" s="16"/>
      <c r="BD36" s="65" t="s">
        <v>551</v>
      </c>
      <c r="BE36" s="62">
        <v>6</v>
      </c>
      <c r="BF36" s="62">
        <v>250</v>
      </c>
      <c r="BG36" s="62">
        <v>1</v>
      </c>
      <c r="BH36" s="62">
        <f t="shared" si="18"/>
        <v>79</v>
      </c>
      <c r="BI36" s="62">
        <v>80</v>
      </c>
      <c r="BK36" s="64">
        <v>23</v>
      </c>
      <c r="BL36" s="64">
        <v>20</v>
      </c>
      <c r="BN36" s="64"/>
      <c r="BO36" s="64"/>
      <c r="BP36" s="64"/>
      <c r="BQ36" s="64"/>
      <c r="BR36" s="64"/>
      <c r="BS36" s="64"/>
      <c r="BT36" s="64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70">
        <v>33</v>
      </c>
      <c r="AC37" s="70">
        <v>106</v>
      </c>
      <c r="AD37" s="70">
        <v>1606035</v>
      </c>
      <c r="AE37" s="70" t="s">
        <v>650</v>
      </c>
      <c r="AF37" s="70">
        <v>4</v>
      </c>
      <c r="AG37" s="70">
        <v>21</v>
      </c>
      <c r="AH37" s="70">
        <f>SUM(AG$5:AG37)</f>
        <v>645</v>
      </c>
      <c r="AK37" s="70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1580</v>
      </c>
      <c r="AX37" s="62">
        <v>24</v>
      </c>
      <c r="AY37" s="62">
        <f>INDEX(节奏总表!$I$4:$I$18,MATCH(AX37,节奏总表!$S$4:$S$18,1))</f>
        <v>10</v>
      </c>
      <c r="AZ37" s="15">
        <f>芦花古楼!BC29+芦花古楼!BD28</f>
        <v>620</v>
      </c>
      <c r="BA37" s="16"/>
      <c r="BD37" s="65" t="s">
        <v>552</v>
      </c>
      <c r="BE37" s="62">
        <v>6</v>
      </c>
      <c r="BF37" s="62">
        <v>250</v>
      </c>
      <c r="BG37" s="62">
        <v>1</v>
      </c>
      <c r="BH37" s="62">
        <f t="shared" si="18"/>
        <v>79</v>
      </c>
      <c r="BI37" s="62">
        <v>80</v>
      </c>
      <c r="BK37" s="64">
        <v>24</v>
      </c>
      <c r="BL37" s="64">
        <v>20</v>
      </c>
      <c r="BN37" s="64"/>
      <c r="BO37" s="64"/>
      <c r="BP37" s="64"/>
      <c r="BQ37" s="64"/>
      <c r="BR37" s="64"/>
      <c r="BS37" s="64"/>
      <c r="BT37" s="64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70">
        <v>34</v>
      </c>
      <c r="AC38" s="70">
        <v>106</v>
      </c>
      <c r="AD38" s="70">
        <v>1606036</v>
      </c>
      <c r="AE38" s="70" t="s">
        <v>651</v>
      </c>
      <c r="AF38" s="70">
        <v>4</v>
      </c>
      <c r="AG38" s="70">
        <v>21</v>
      </c>
      <c r="AH38" s="70">
        <f>SUM(AG$5:AG38)</f>
        <v>666</v>
      </c>
      <c r="AK38" s="70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1900</v>
      </c>
      <c r="AX38" s="62">
        <v>25</v>
      </c>
      <c r="AY38" s="62">
        <f>INDEX(节奏总表!$I$4:$I$18,MATCH(AX38,节奏总表!$S$4:$S$18,1))</f>
        <v>10</v>
      </c>
      <c r="AZ38" s="15">
        <f>芦花古楼!BC30+芦花古楼!BD29</f>
        <v>630</v>
      </c>
      <c r="BA38" s="16"/>
      <c r="BD38" s="65" t="s">
        <v>553</v>
      </c>
      <c r="BE38" s="62">
        <v>7</v>
      </c>
      <c r="BF38" s="62">
        <v>100</v>
      </c>
      <c r="BG38" s="62">
        <v>1</v>
      </c>
      <c r="BH38" s="62">
        <f t="shared" si="18"/>
        <v>79</v>
      </c>
      <c r="BI38" s="62">
        <v>79</v>
      </c>
      <c r="BK38" s="64">
        <v>25</v>
      </c>
      <c r="BL38" s="64">
        <v>20</v>
      </c>
      <c r="BN38" s="64"/>
      <c r="BO38" s="64"/>
      <c r="BP38" s="64"/>
      <c r="BQ38" s="64"/>
      <c r="BR38" s="64"/>
      <c r="BS38" s="64"/>
      <c r="BT38" s="64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70">
        <v>35</v>
      </c>
      <c r="AC39" s="70">
        <v>107</v>
      </c>
      <c r="AD39" s="70">
        <v>1606037</v>
      </c>
      <c r="AE39" s="70" t="s">
        <v>652</v>
      </c>
      <c r="AF39" s="70">
        <v>2</v>
      </c>
      <c r="AG39" s="70">
        <v>21</v>
      </c>
      <c r="AH39" s="70">
        <f>SUM(AG$5:AG39)</f>
        <v>687</v>
      </c>
      <c r="AK39" s="70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3860</v>
      </c>
      <c r="AX39" s="62">
        <v>26</v>
      </c>
      <c r="AY39" s="62">
        <f>INDEX(节奏总表!$I$4:$I$18,MATCH(AX39,节奏总表!$S$4:$S$18,1))</f>
        <v>10</v>
      </c>
      <c r="AZ39" s="15">
        <f>芦花古楼!BC31+芦花古楼!BD30</f>
        <v>640</v>
      </c>
      <c r="BA39" s="16"/>
      <c r="BD39" s="65" t="s">
        <v>554</v>
      </c>
      <c r="BE39" s="62">
        <v>7</v>
      </c>
      <c r="BF39" s="62">
        <v>100</v>
      </c>
      <c r="BG39" s="62">
        <v>1</v>
      </c>
      <c r="BH39" s="62">
        <f t="shared" si="18"/>
        <v>79</v>
      </c>
      <c r="BI39" s="62">
        <v>79</v>
      </c>
      <c r="BK39" s="64">
        <v>26</v>
      </c>
      <c r="BL39" s="64">
        <v>20</v>
      </c>
      <c r="BN39" s="64"/>
      <c r="BO39" s="64"/>
      <c r="BP39" s="64"/>
      <c r="BQ39" s="64"/>
      <c r="BR39" s="64"/>
      <c r="BS39" s="64"/>
      <c r="BT39" s="64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70">
        <v>36</v>
      </c>
      <c r="AC40" s="70">
        <v>107</v>
      </c>
      <c r="AD40" s="70">
        <v>1606038</v>
      </c>
      <c r="AE40" s="70" t="s">
        <v>653</v>
      </c>
      <c r="AF40" s="70">
        <v>2</v>
      </c>
      <c r="AG40" s="70">
        <v>21</v>
      </c>
      <c r="AH40" s="70">
        <f>SUM(AG$5:AG40)</f>
        <v>708</v>
      </c>
      <c r="AK40" s="70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4420</v>
      </c>
      <c r="AX40" s="62">
        <v>27</v>
      </c>
      <c r="AY40" s="62">
        <f>INDEX(节奏总表!$I$4:$I$18,MATCH(AX40,节奏总表!$S$4:$S$18,1))</f>
        <v>10</v>
      </c>
      <c r="AZ40" s="15">
        <f>芦花古楼!BC32+芦花古楼!BD31</f>
        <v>650</v>
      </c>
      <c r="BA40" s="16"/>
      <c r="BD40" s="65" t="s">
        <v>555</v>
      </c>
      <c r="BE40" s="62">
        <v>7</v>
      </c>
      <c r="BF40" s="62">
        <v>100</v>
      </c>
      <c r="BG40" s="62">
        <v>1</v>
      </c>
      <c r="BH40" s="62">
        <f t="shared" si="18"/>
        <v>79</v>
      </c>
      <c r="BI40" s="62">
        <v>79</v>
      </c>
      <c r="BK40" s="64">
        <v>27</v>
      </c>
      <c r="BL40" s="64">
        <v>20</v>
      </c>
      <c r="BN40" s="64"/>
      <c r="BO40" s="64"/>
      <c r="BP40" s="64"/>
      <c r="BQ40" s="64"/>
      <c r="BR40" s="64"/>
      <c r="BS40" s="64"/>
      <c r="BT40" s="64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70">
        <v>37</v>
      </c>
      <c r="AC41" s="70">
        <v>107</v>
      </c>
      <c r="AD41" s="70">
        <v>1606039</v>
      </c>
      <c r="AE41" s="70" t="s">
        <v>654</v>
      </c>
      <c r="AF41" s="70">
        <v>2</v>
      </c>
      <c r="AG41" s="70">
        <v>21</v>
      </c>
      <c r="AH41" s="70">
        <f>SUM(AG$5:AG41)</f>
        <v>729</v>
      </c>
      <c r="AK41" s="70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4960</v>
      </c>
      <c r="AX41" s="62">
        <v>28</v>
      </c>
      <c r="AY41" s="62">
        <f>INDEX(节奏总表!$I$4:$I$18,MATCH(AX41,节奏总表!$S$4:$S$18,1))</f>
        <v>11</v>
      </c>
      <c r="AZ41" s="15">
        <f>芦花古楼!BC33+芦花古楼!BD32</f>
        <v>650</v>
      </c>
      <c r="BA41" s="16"/>
      <c r="BD41" s="65" t="s">
        <v>556</v>
      </c>
      <c r="BE41" s="62">
        <v>7</v>
      </c>
      <c r="BF41" s="62">
        <v>100</v>
      </c>
      <c r="BG41" s="62">
        <v>1</v>
      </c>
      <c r="BH41" s="62">
        <f t="shared" si="18"/>
        <v>79</v>
      </c>
      <c r="BI41" s="62">
        <v>79</v>
      </c>
      <c r="BK41" s="64">
        <v>28</v>
      </c>
      <c r="BL41" s="64">
        <v>20</v>
      </c>
      <c r="BN41" s="64"/>
      <c r="BO41" s="64"/>
      <c r="BP41" s="64"/>
      <c r="BQ41" s="64"/>
      <c r="BR41" s="64"/>
      <c r="BS41" s="64"/>
      <c r="BT41" s="64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70">
        <v>38</v>
      </c>
      <c r="AC42" s="70">
        <v>107</v>
      </c>
      <c r="AD42" s="70">
        <v>1606040</v>
      </c>
      <c r="AE42" s="70" t="s">
        <v>655</v>
      </c>
      <c r="AF42" s="70">
        <v>3</v>
      </c>
      <c r="AG42" s="70">
        <v>21</v>
      </c>
      <c r="AH42" s="70">
        <f>SUM(AG$5:AG42)</f>
        <v>750</v>
      </c>
      <c r="AK42" s="70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5520</v>
      </c>
      <c r="AX42" s="62">
        <v>29</v>
      </c>
      <c r="AY42" s="62">
        <f>INDEX(节奏总表!$I$4:$I$18,MATCH(AX42,节奏总表!$S$4:$S$18,1))</f>
        <v>11</v>
      </c>
      <c r="AZ42" s="15">
        <f>芦花古楼!BC34+芦花古楼!BD33</f>
        <v>660</v>
      </c>
      <c r="BA42" s="16"/>
      <c r="BD42" s="65" t="s">
        <v>557</v>
      </c>
      <c r="BE42" s="62">
        <v>7</v>
      </c>
      <c r="BF42" s="62">
        <v>250</v>
      </c>
      <c r="BG42" s="62">
        <v>1</v>
      </c>
      <c r="BH42" s="62">
        <f t="shared" si="18"/>
        <v>79</v>
      </c>
      <c r="BI42" s="62">
        <v>80</v>
      </c>
      <c r="BK42" s="64">
        <v>29</v>
      </c>
      <c r="BL42" s="64">
        <v>20</v>
      </c>
      <c r="BN42" s="64"/>
      <c r="BO42" s="64"/>
      <c r="BP42" s="64"/>
      <c r="BQ42" s="64"/>
      <c r="BR42" s="64"/>
      <c r="BS42" s="64"/>
      <c r="BT42" s="64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70">
        <v>39</v>
      </c>
      <c r="AC43" s="70">
        <v>107</v>
      </c>
      <c r="AD43" s="70">
        <v>1606041</v>
      </c>
      <c r="AE43" s="70" t="s">
        <v>656</v>
      </c>
      <c r="AF43" s="70">
        <v>3</v>
      </c>
      <c r="AG43" s="70">
        <v>21</v>
      </c>
      <c r="AH43" s="70">
        <f>SUM(AG$5:AG43)</f>
        <v>771</v>
      </c>
      <c r="AK43" s="70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6600</v>
      </c>
      <c r="AX43" s="62">
        <v>30</v>
      </c>
      <c r="AY43" s="62">
        <f>INDEX(节奏总表!$I$4:$I$18,MATCH(AX43,节奏总表!$S$4:$S$18,1))</f>
        <v>11</v>
      </c>
      <c r="AZ43" s="15">
        <f>芦花古楼!BC35+芦花古楼!BD34</f>
        <v>670</v>
      </c>
      <c r="BA43" s="16"/>
      <c r="BD43" s="65" t="s">
        <v>558</v>
      </c>
      <c r="BE43" s="62">
        <v>7</v>
      </c>
      <c r="BF43" s="62">
        <v>250</v>
      </c>
      <c r="BG43" s="62">
        <v>1</v>
      </c>
      <c r="BH43" s="62">
        <f t="shared" si="18"/>
        <v>79</v>
      </c>
      <c r="BI43" s="62">
        <v>80</v>
      </c>
      <c r="BK43" s="64">
        <v>30</v>
      </c>
      <c r="BL43" s="64">
        <v>30</v>
      </c>
      <c r="BN43" s="64"/>
      <c r="BO43" s="64"/>
      <c r="BP43" s="64"/>
      <c r="BQ43" s="64"/>
      <c r="BR43" s="64"/>
      <c r="BS43" s="64"/>
      <c r="BT43" s="64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70">
        <v>40</v>
      </c>
      <c r="AC44" s="70">
        <v>107</v>
      </c>
      <c r="AD44" s="70">
        <v>1606042</v>
      </c>
      <c r="AE44" s="70" t="s">
        <v>657</v>
      </c>
      <c r="AF44" s="70">
        <v>3</v>
      </c>
      <c r="AG44" s="70">
        <v>21</v>
      </c>
      <c r="AH44" s="70">
        <f>SUM(AG$5:AG44)</f>
        <v>792</v>
      </c>
      <c r="AK44" s="70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7800</v>
      </c>
      <c r="AX44" s="62">
        <v>31</v>
      </c>
      <c r="AY44" s="62">
        <f>INDEX(节奏总表!$I$4:$I$18,MATCH(AX44,节奏总表!$S$4:$S$18,1))</f>
        <v>11</v>
      </c>
      <c r="AZ44" s="15">
        <f>芦花古楼!BC36+芦花古楼!BD35</f>
        <v>605</v>
      </c>
      <c r="BA44" s="16"/>
      <c r="BD44" s="65" t="s">
        <v>529</v>
      </c>
      <c r="BE44" s="62">
        <v>1</v>
      </c>
      <c r="BF44" s="62">
        <v>20</v>
      </c>
      <c r="BG44" s="62">
        <v>2</v>
      </c>
      <c r="BH44" s="62">
        <f t="shared" ref="BH44:BH73" si="22">ROUND(INDEX($BD$3:$BD$9,BE44)*$BG$4*10000,0)</f>
        <v>354</v>
      </c>
      <c r="BI44" s="62">
        <v>354</v>
      </c>
      <c r="BK44" s="64">
        <v>31</v>
      </c>
      <c r="BL44" s="64">
        <v>30</v>
      </c>
      <c r="BN44" s="64"/>
      <c r="BO44" s="64"/>
      <c r="BP44" s="64"/>
      <c r="BQ44" s="64"/>
      <c r="BR44" s="64"/>
      <c r="BS44" s="64"/>
      <c r="BT44" s="64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70">
        <v>41</v>
      </c>
      <c r="AC45" s="70">
        <v>107</v>
      </c>
      <c r="AD45" s="70">
        <v>1606043</v>
      </c>
      <c r="AE45" s="70" t="s">
        <v>658</v>
      </c>
      <c r="AF45" s="70">
        <v>4</v>
      </c>
      <c r="AG45" s="70">
        <v>21</v>
      </c>
      <c r="AH45" s="70">
        <f>SUM(AG$5:AG45)</f>
        <v>813</v>
      </c>
      <c r="AK45" s="70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9100</v>
      </c>
      <c r="AX45" s="62">
        <v>32</v>
      </c>
      <c r="AY45" s="62">
        <f>INDEX(节奏总表!$I$4:$I$18,MATCH(AX45,节奏总表!$S$4:$S$18,1))</f>
        <v>11</v>
      </c>
      <c r="AZ45" s="15">
        <f>芦花古楼!BC37+芦花古楼!BD36</f>
        <v>610</v>
      </c>
      <c r="BA45" s="16"/>
      <c r="BD45" s="65" t="s">
        <v>530</v>
      </c>
      <c r="BE45" s="62">
        <v>1</v>
      </c>
      <c r="BF45" s="62">
        <v>20</v>
      </c>
      <c r="BG45" s="62">
        <v>2</v>
      </c>
      <c r="BH45" s="62">
        <f t="shared" si="22"/>
        <v>354</v>
      </c>
      <c r="BI45" s="62">
        <v>354</v>
      </c>
      <c r="BK45" s="64">
        <v>32</v>
      </c>
      <c r="BL45" s="64">
        <v>30</v>
      </c>
      <c r="BN45" s="64"/>
      <c r="BO45" s="64"/>
      <c r="BP45" s="64"/>
      <c r="BQ45" s="64"/>
      <c r="BR45" s="64"/>
      <c r="BS45" s="64"/>
      <c r="BT45" s="64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70">
        <v>42</v>
      </c>
      <c r="AC46" s="70">
        <v>107</v>
      </c>
      <c r="AD46" s="70">
        <v>1606044</v>
      </c>
      <c r="AE46" s="70" t="s">
        <v>659</v>
      </c>
      <c r="AF46" s="70">
        <v>4</v>
      </c>
      <c r="AG46" s="70">
        <v>21</v>
      </c>
      <c r="AH46" s="70">
        <f>SUM(AG$5:AG46)</f>
        <v>834</v>
      </c>
      <c r="AK46" s="70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10400</v>
      </c>
      <c r="AX46" s="62">
        <v>33</v>
      </c>
      <c r="AY46" s="62">
        <f>INDEX(节奏总表!$I$4:$I$18,MATCH(AX46,节奏总表!$S$4:$S$18,1))</f>
        <v>11</v>
      </c>
      <c r="AZ46" s="15">
        <f>芦花古楼!BC38+芦花古楼!BD37</f>
        <v>530</v>
      </c>
      <c r="BA46" s="16"/>
      <c r="BD46" s="65" t="s">
        <v>531</v>
      </c>
      <c r="BE46" s="62">
        <v>2</v>
      </c>
      <c r="BF46" s="62">
        <v>30</v>
      </c>
      <c r="BG46" s="62">
        <v>2</v>
      </c>
      <c r="BH46" s="62">
        <f t="shared" si="22"/>
        <v>236</v>
      </c>
      <c r="BI46" s="62">
        <v>236</v>
      </c>
      <c r="BK46" s="64">
        <v>33</v>
      </c>
      <c r="BL46" s="64">
        <v>30</v>
      </c>
      <c r="BN46" s="64"/>
      <c r="BO46" s="64"/>
      <c r="BP46" s="64"/>
      <c r="BQ46" s="64"/>
      <c r="BR46" s="64"/>
      <c r="BS46" s="64"/>
      <c r="BT46" s="64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70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11700</v>
      </c>
      <c r="AX47" s="62">
        <v>34</v>
      </c>
      <c r="AY47" s="62">
        <f>INDEX(节奏总表!$I$4:$I$18,MATCH(AX47,节奏总表!$S$4:$S$18,1))</f>
        <v>11</v>
      </c>
      <c r="AZ47" s="15">
        <f>芦花古楼!BC39+芦花古楼!BD38</f>
        <v>520</v>
      </c>
      <c r="BA47" s="16"/>
      <c r="BD47" s="65" t="s">
        <v>532</v>
      </c>
      <c r="BE47" s="62">
        <v>2</v>
      </c>
      <c r="BF47" s="62">
        <v>30</v>
      </c>
      <c r="BG47" s="62">
        <v>2</v>
      </c>
      <c r="BH47" s="62">
        <f t="shared" si="22"/>
        <v>236</v>
      </c>
      <c r="BI47" s="62">
        <v>236</v>
      </c>
      <c r="BK47" s="64">
        <v>34</v>
      </c>
      <c r="BL47" s="64">
        <v>30</v>
      </c>
      <c r="BN47" s="64"/>
      <c r="BO47" s="64"/>
      <c r="BP47" s="64"/>
      <c r="BQ47" s="64"/>
      <c r="BR47" s="64"/>
      <c r="BS47" s="64"/>
      <c r="BT47" s="64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70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13000</v>
      </c>
      <c r="AX48" s="62">
        <v>35</v>
      </c>
      <c r="AY48" s="62">
        <f>INDEX(节奏总表!$I$4:$I$18,MATCH(AX48,节奏总表!$S$4:$S$18,1))</f>
        <v>11</v>
      </c>
      <c r="AZ48" s="15">
        <f>芦花古楼!BC40+芦花古楼!BD39</f>
        <v>530</v>
      </c>
      <c r="BA48" s="16"/>
      <c r="BD48" s="65" t="s">
        <v>533</v>
      </c>
      <c r="BE48" s="62">
        <v>3</v>
      </c>
      <c r="BF48" s="62">
        <v>50</v>
      </c>
      <c r="BG48" s="62">
        <v>2</v>
      </c>
      <c r="BH48" s="62">
        <f t="shared" si="22"/>
        <v>142</v>
      </c>
      <c r="BI48" s="62">
        <v>142</v>
      </c>
      <c r="BK48" s="64">
        <v>35</v>
      </c>
      <c r="BL48" s="64">
        <v>30</v>
      </c>
      <c r="BN48" s="64"/>
      <c r="BO48" s="64"/>
      <c r="BP48" s="64"/>
      <c r="BQ48" s="64"/>
      <c r="BR48" s="64"/>
      <c r="BS48" s="64"/>
      <c r="BT48" s="64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70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2">
        <v>36</v>
      </c>
      <c r="AY49" s="62">
        <f>INDEX(节奏总表!$I$4:$I$18,MATCH(AX49,节奏总表!$S$4:$S$18,1))</f>
        <v>11</v>
      </c>
      <c r="AZ49" s="15">
        <f>芦花古楼!BC41+芦花古楼!BD40</f>
        <v>520</v>
      </c>
      <c r="BA49" s="16"/>
      <c r="BD49" s="65" t="s">
        <v>534</v>
      </c>
      <c r="BE49" s="62">
        <v>3</v>
      </c>
      <c r="BF49" s="62">
        <v>50</v>
      </c>
      <c r="BG49" s="62">
        <v>2</v>
      </c>
      <c r="BH49" s="62">
        <f t="shared" si="22"/>
        <v>142</v>
      </c>
      <c r="BI49" s="62">
        <v>142</v>
      </c>
      <c r="BK49" s="64">
        <v>36</v>
      </c>
      <c r="BL49" s="64">
        <v>30</v>
      </c>
      <c r="BN49" s="64"/>
      <c r="BO49" s="64"/>
      <c r="BP49" s="64"/>
      <c r="BQ49" s="64"/>
      <c r="BR49" s="64"/>
      <c r="BS49" s="64"/>
      <c r="BT49" s="64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70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315</v>
      </c>
      <c r="AX50" s="62">
        <v>37</v>
      </c>
      <c r="AY50" s="62">
        <f>INDEX(节奏总表!$I$4:$I$18,MATCH(AX50,节奏总表!$S$4:$S$18,1))</f>
        <v>11</v>
      </c>
      <c r="AZ50" s="15">
        <f>芦花古楼!BC42+芦花古楼!BD41</f>
        <v>535</v>
      </c>
      <c r="BA50" s="16"/>
      <c r="BD50" s="65" t="s">
        <v>535</v>
      </c>
      <c r="BE50" s="62">
        <v>3</v>
      </c>
      <c r="BF50" s="62">
        <v>50</v>
      </c>
      <c r="BG50" s="62">
        <v>2</v>
      </c>
      <c r="BH50" s="62">
        <f t="shared" si="22"/>
        <v>142</v>
      </c>
      <c r="BI50" s="62">
        <v>142</v>
      </c>
      <c r="BK50" s="64">
        <v>37</v>
      </c>
      <c r="BL50" s="64">
        <v>30</v>
      </c>
      <c r="BN50" s="64"/>
      <c r="BO50" s="64"/>
      <c r="BP50" s="64"/>
      <c r="BQ50" s="64"/>
      <c r="BR50" s="64"/>
      <c r="BS50" s="64"/>
      <c r="BT50" s="64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70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420</v>
      </c>
      <c r="AX51" s="62">
        <v>38</v>
      </c>
      <c r="AY51" s="62">
        <f>INDEX(节奏总表!$I$4:$I$18,MATCH(AX51,节奏总表!$S$4:$S$18,1))</f>
        <v>11</v>
      </c>
      <c r="AZ51" s="15">
        <f>芦花古楼!BC43+芦花古楼!BD42</f>
        <v>535</v>
      </c>
      <c r="BA51" s="16"/>
      <c r="BD51" s="65" t="s">
        <v>536</v>
      </c>
      <c r="BE51" s="62">
        <v>3</v>
      </c>
      <c r="BF51" s="62">
        <v>50</v>
      </c>
      <c r="BG51" s="62">
        <v>2</v>
      </c>
      <c r="BH51" s="62">
        <f t="shared" si="22"/>
        <v>142</v>
      </c>
      <c r="BI51" s="62">
        <v>142</v>
      </c>
      <c r="BK51" s="64">
        <v>38</v>
      </c>
      <c r="BL51" s="64">
        <v>30</v>
      </c>
      <c r="BN51" s="64"/>
      <c r="BO51" s="64"/>
      <c r="BP51" s="64"/>
      <c r="BQ51" s="64"/>
      <c r="BR51" s="64"/>
      <c r="BS51" s="64"/>
      <c r="BT51" s="64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70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520</v>
      </c>
      <c r="AX52" s="62">
        <v>39</v>
      </c>
      <c r="AY52" s="62">
        <f>INDEX(节奏总表!$I$4:$I$18,MATCH(AX52,节奏总表!$S$4:$S$18,1))</f>
        <v>11</v>
      </c>
      <c r="AZ52" s="15">
        <f>芦花古楼!BC44+芦花古楼!BD43</f>
        <v>550</v>
      </c>
      <c r="BA52" s="16"/>
      <c r="BD52" s="65" t="s">
        <v>537</v>
      </c>
      <c r="BE52" s="62">
        <v>4</v>
      </c>
      <c r="BF52" s="62">
        <v>70</v>
      </c>
      <c r="BG52" s="62">
        <v>2</v>
      </c>
      <c r="BH52" s="62">
        <f t="shared" si="22"/>
        <v>101</v>
      </c>
      <c r="BI52" s="62">
        <v>101</v>
      </c>
      <c r="BK52" s="64">
        <v>39</v>
      </c>
      <c r="BL52" s="64">
        <v>30</v>
      </c>
      <c r="BN52" s="64"/>
      <c r="BO52" s="64"/>
      <c r="BP52" s="64"/>
      <c r="BQ52" s="64"/>
      <c r="BR52" s="64"/>
      <c r="BS52" s="64"/>
      <c r="BT52" s="64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70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630</v>
      </c>
      <c r="AX53" s="62">
        <v>40</v>
      </c>
      <c r="AY53" s="62">
        <f>INDEX(节奏总表!$I$4:$I$18,MATCH(AX53,节奏总表!$S$4:$S$18,1))</f>
        <v>11</v>
      </c>
      <c r="AZ53" s="15">
        <f>芦花古楼!BC45+芦花古楼!BD44</f>
        <v>550</v>
      </c>
      <c r="BA53" s="16"/>
      <c r="BD53" s="65" t="s">
        <v>538</v>
      </c>
      <c r="BE53" s="62">
        <v>4</v>
      </c>
      <c r="BF53" s="62">
        <v>70</v>
      </c>
      <c r="BG53" s="62">
        <v>2</v>
      </c>
      <c r="BH53" s="62">
        <f t="shared" si="22"/>
        <v>101</v>
      </c>
      <c r="BI53" s="62">
        <v>101</v>
      </c>
      <c r="BK53" s="64">
        <v>40</v>
      </c>
      <c r="BL53" s="64">
        <v>50</v>
      </c>
      <c r="BN53" s="64"/>
      <c r="BO53" s="64"/>
      <c r="BP53" s="64"/>
      <c r="BQ53" s="64"/>
      <c r="BR53" s="64"/>
      <c r="BS53" s="64"/>
      <c r="BT53" s="64"/>
    </row>
    <row r="54" spans="1:72" ht="16.5" x14ac:dyDescent="0.2">
      <c r="AK54" s="70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1280</v>
      </c>
      <c r="AX54" s="62">
        <v>41</v>
      </c>
      <c r="AY54" s="62">
        <f>INDEX(节奏总表!$I$4:$I$18,MATCH(AX54,节奏总表!$S$4:$S$18,1))</f>
        <v>11</v>
      </c>
      <c r="AZ54" s="15">
        <f>芦花古楼!BC46+芦花古楼!BD45</f>
        <v>560</v>
      </c>
      <c r="BA54" s="16"/>
      <c r="BD54" s="65" t="s">
        <v>539</v>
      </c>
      <c r="BE54" s="62">
        <v>4</v>
      </c>
      <c r="BF54" s="62">
        <v>70</v>
      </c>
      <c r="BG54" s="62">
        <v>2</v>
      </c>
      <c r="BH54" s="62">
        <f t="shared" si="22"/>
        <v>101</v>
      </c>
      <c r="BI54" s="62">
        <v>101</v>
      </c>
      <c r="BN54" s="64"/>
      <c r="BO54" s="64"/>
      <c r="BP54" s="64"/>
      <c r="BQ54" s="64"/>
      <c r="BR54" s="64"/>
      <c r="BS54" s="64"/>
      <c r="BT54" s="64"/>
    </row>
    <row r="55" spans="1:72" ht="16.5" x14ac:dyDescent="0.2">
      <c r="AK55" s="70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1460</v>
      </c>
      <c r="AX55" s="62">
        <v>42</v>
      </c>
      <c r="AY55" s="62">
        <f>INDEX(节奏总表!$I$4:$I$18,MATCH(AX55,节奏总表!$S$4:$S$18,1))</f>
        <v>12</v>
      </c>
      <c r="AZ55" s="15">
        <f>芦花古楼!BC47+芦花古楼!BD46</f>
        <v>550</v>
      </c>
      <c r="BA55" s="16"/>
      <c r="BD55" s="65" t="s">
        <v>540</v>
      </c>
      <c r="BE55" s="62">
        <v>4</v>
      </c>
      <c r="BF55" s="62">
        <v>70</v>
      </c>
      <c r="BG55" s="62">
        <v>2</v>
      </c>
      <c r="BH55" s="62">
        <f t="shared" si="22"/>
        <v>101</v>
      </c>
      <c r="BI55" s="62">
        <v>101</v>
      </c>
      <c r="BN55" s="64"/>
      <c r="BO55" s="64"/>
      <c r="BP55" s="64"/>
      <c r="BQ55" s="64"/>
      <c r="BR55" s="64"/>
      <c r="BS55" s="64"/>
      <c r="BT55" s="64"/>
    </row>
    <row r="56" spans="1:72" ht="16.5" x14ac:dyDescent="0.2">
      <c r="AK56" s="70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1640</v>
      </c>
      <c r="AX56" s="62">
        <v>43</v>
      </c>
      <c r="AY56" s="62">
        <f>INDEX(节奏总表!$I$4:$I$18,MATCH(AX56,节奏总表!$S$4:$S$18,1))</f>
        <v>12</v>
      </c>
      <c r="AZ56" s="15">
        <f>芦花古楼!BC48+芦花古楼!BD47</f>
        <v>560</v>
      </c>
      <c r="BA56" s="16"/>
      <c r="BD56" s="65" t="s">
        <v>541</v>
      </c>
      <c r="BE56" s="62">
        <v>5</v>
      </c>
      <c r="BF56" s="62">
        <v>100</v>
      </c>
      <c r="BG56" s="62">
        <v>2</v>
      </c>
      <c r="BH56" s="62">
        <f t="shared" si="22"/>
        <v>47</v>
      </c>
      <c r="BI56" s="62">
        <v>47</v>
      </c>
      <c r="BN56" s="64"/>
      <c r="BO56" s="64"/>
      <c r="BP56" s="64"/>
      <c r="BQ56" s="64"/>
      <c r="BR56" s="64"/>
      <c r="BS56" s="64"/>
      <c r="BT56" s="64"/>
    </row>
    <row r="57" spans="1:72" ht="16.5" x14ac:dyDescent="0.2">
      <c r="AK57" s="70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1840</v>
      </c>
      <c r="AX57" s="62">
        <v>44</v>
      </c>
      <c r="AY57" s="62">
        <f>INDEX(节奏总表!$I$4:$I$18,MATCH(AX57,节奏总表!$S$4:$S$18,1))</f>
        <v>12</v>
      </c>
      <c r="AZ57" s="15">
        <f>芦花古楼!BC49+芦花古楼!BD48</f>
        <v>550</v>
      </c>
      <c r="BA57" s="16"/>
      <c r="BD57" s="65" t="s">
        <v>542</v>
      </c>
      <c r="BE57" s="62">
        <v>5</v>
      </c>
      <c r="BF57" s="62">
        <v>100</v>
      </c>
      <c r="BG57" s="62">
        <v>2</v>
      </c>
      <c r="BH57" s="62">
        <f t="shared" si="22"/>
        <v>47</v>
      </c>
      <c r="BI57" s="62">
        <v>47</v>
      </c>
      <c r="BN57" s="64"/>
      <c r="BO57" s="64"/>
      <c r="BP57" s="64"/>
      <c r="BQ57" s="64"/>
      <c r="BR57" s="64"/>
      <c r="BS57" s="64"/>
      <c r="BT57" s="64"/>
    </row>
    <row r="58" spans="1:72" ht="16.5" x14ac:dyDescent="0.2">
      <c r="AK58" s="70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2200</v>
      </c>
      <c r="AX58" s="62">
        <v>45</v>
      </c>
      <c r="AY58" s="62">
        <f>INDEX(节奏总表!$I$4:$I$18,MATCH(AX58,节奏总表!$S$4:$S$18,1))</f>
        <v>12</v>
      </c>
      <c r="AZ58" s="15">
        <f>芦花古楼!BC50+芦花古楼!BD49</f>
        <v>560</v>
      </c>
      <c r="BA58" s="16"/>
      <c r="BD58" s="65" t="s">
        <v>543</v>
      </c>
      <c r="BE58" s="62">
        <v>5</v>
      </c>
      <c r="BF58" s="62">
        <v>100</v>
      </c>
      <c r="BG58" s="62">
        <v>2</v>
      </c>
      <c r="BH58" s="62">
        <f t="shared" si="22"/>
        <v>47</v>
      </c>
      <c r="BI58" s="62">
        <v>47</v>
      </c>
      <c r="BN58" s="64"/>
      <c r="BO58" s="64"/>
      <c r="BP58" s="64"/>
      <c r="BQ58" s="64"/>
      <c r="BR58" s="64"/>
      <c r="BS58" s="64"/>
      <c r="BT58" s="64"/>
    </row>
    <row r="59" spans="1:72" ht="16.5" x14ac:dyDescent="0.2">
      <c r="AK59" s="70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2600</v>
      </c>
      <c r="AX59" s="62">
        <v>46</v>
      </c>
      <c r="AY59" s="62">
        <f>INDEX(节奏总表!$I$4:$I$18,MATCH(AX59,节奏总表!$S$4:$S$18,1))</f>
        <v>12</v>
      </c>
      <c r="AZ59" s="15">
        <f>芦花古楼!BC51+芦花古楼!BD50</f>
        <v>550</v>
      </c>
      <c r="BA59" s="16"/>
      <c r="BD59" s="65" t="s">
        <v>544</v>
      </c>
      <c r="BE59" s="62">
        <v>5</v>
      </c>
      <c r="BF59" s="62">
        <v>100</v>
      </c>
      <c r="BG59" s="62">
        <v>2</v>
      </c>
      <c r="BH59" s="62">
        <f t="shared" si="22"/>
        <v>47</v>
      </c>
      <c r="BI59" s="62">
        <v>47</v>
      </c>
      <c r="BN59" s="64"/>
      <c r="BO59" s="64"/>
      <c r="BP59" s="64"/>
      <c r="BQ59" s="64"/>
      <c r="BR59" s="64"/>
      <c r="BS59" s="64"/>
      <c r="BT59" s="64"/>
    </row>
    <row r="60" spans="1:72" ht="16.5" x14ac:dyDescent="0.2">
      <c r="AK60" s="70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3000</v>
      </c>
      <c r="AX60" s="62">
        <v>47</v>
      </c>
      <c r="AY60" s="62">
        <f>INDEX(节奏总表!$I$4:$I$18,MATCH(AX60,节奏总表!$S$4:$S$18,1))</f>
        <v>12</v>
      </c>
      <c r="AZ60" s="15">
        <f>芦花古楼!BC52+芦花古楼!BD51</f>
        <v>565</v>
      </c>
      <c r="BA60" s="16"/>
      <c r="BD60" s="65" t="s">
        <v>545</v>
      </c>
      <c r="BE60" s="62">
        <v>5</v>
      </c>
      <c r="BF60" s="62">
        <v>250</v>
      </c>
      <c r="BG60" s="62">
        <v>2</v>
      </c>
      <c r="BH60" s="62">
        <f t="shared" si="22"/>
        <v>47</v>
      </c>
      <c r="BI60" s="62">
        <v>47</v>
      </c>
      <c r="BN60" s="64"/>
      <c r="BO60" s="64"/>
      <c r="BP60" s="64"/>
      <c r="BQ60" s="64"/>
      <c r="BR60" s="64"/>
      <c r="BS60" s="64"/>
      <c r="BT60" s="64"/>
    </row>
    <row r="61" spans="1:72" ht="16.5" x14ac:dyDescent="0.2">
      <c r="AK61" s="70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3450</v>
      </c>
      <c r="AX61" s="62">
        <v>48</v>
      </c>
      <c r="AY61" s="62">
        <f>INDEX(节奏总表!$I$4:$I$18,MATCH(AX61,节奏总表!$S$4:$S$18,1))</f>
        <v>12</v>
      </c>
      <c r="AZ61" s="15">
        <f>芦花古楼!BC53+芦花古楼!BD52</f>
        <v>565</v>
      </c>
      <c r="BA61" s="16"/>
      <c r="BD61" s="65" t="s">
        <v>546</v>
      </c>
      <c r="BE61" s="62">
        <v>5</v>
      </c>
      <c r="BF61" s="62">
        <v>250</v>
      </c>
      <c r="BG61" s="62">
        <v>2</v>
      </c>
      <c r="BH61" s="62">
        <f t="shared" si="22"/>
        <v>47</v>
      </c>
      <c r="BI61" s="62">
        <v>47</v>
      </c>
      <c r="BN61" s="64"/>
      <c r="BO61" s="64"/>
      <c r="BP61" s="64"/>
      <c r="BQ61" s="64"/>
      <c r="BR61" s="64"/>
      <c r="BS61" s="64"/>
      <c r="BT61" s="64"/>
    </row>
    <row r="62" spans="1:72" ht="16.5" x14ac:dyDescent="0.2">
      <c r="AK62" s="70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3900</v>
      </c>
      <c r="AX62" s="62">
        <v>49</v>
      </c>
      <c r="AY62" s="62">
        <f>INDEX(节奏总表!$I$4:$I$18,MATCH(AX62,节奏总表!$S$4:$S$18,1))</f>
        <v>12</v>
      </c>
      <c r="AZ62" s="15">
        <f>芦花古楼!BC54+芦花古楼!BD53</f>
        <v>580</v>
      </c>
      <c r="BA62" s="16"/>
      <c r="BD62" s="65" t="s">
        <v>547</v>
      </c>
      <c r="BE62" s="62">
        <v>6</v>
      </c>
      <c r="BF62" s="62">
        <v>100</v>
      </c>
      <c r="BG62" s="62">
        <v>2</v>
      </c>
      <c r="BH62" s="62">
        <f t="shared" si="22"/>
        <v>47</v>
      </c>
      <c r="BI62" s="62">
        <v>47</v>
      </c>
      <c r="BN62" s="64"/>
      <c r="BO62" s="64"/>
      <c r="BP62" s="64"/>
      <c r="BQ62" s="64"/>
      <c r="BR62" s="64"/>
      <c r="BS62" s="64"/>
      <c r="BT62" s="64"/>
    </row>
    <row r="63" spans="1:72" ht="16.5" x14ac:dyDescent="0.2">
      <c r="AK63" s="70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4300</v>
      </c>
      <c r="AX63" s="62">
        <v>50</v>
      </c>
      <c r="AY63" s="62">
        <f>INDEX(节奏总表!$I$4:$I$18,MATCH(AX63,节奏总表!$S$4:$S$18,1))</f>
        <v>12</v>
      </c>
      <c r="AZ63" s="15">
        <f>芦花古楼!BC55+芦花古楼!BD54</f>
        <v>580</v>
      </c>
      <c r="BA63" s="16"/>
      <c r="BD63" s="65" t="s">
        <v>548</v>
      </c>
      <c r="BE63" s="62">
        <v>6</v>
      </c>
      <c r="BF63" s="62">
        <v>100</v>
      </c>
      <c r="BG63" s="62">
        <v>2</v>
      </c>
      <c r="BH63" s="62">
        <f t="shared" si="22"/>
        <v>47</v>
      </c>
      <c r="BI63" s="62">
        <v>47</v>
      </c>
      <c r="BN63" s="64"/>
      <c r="BO63" s="64"/>
      <c r="BP63" s="64"/>
      <c r="BQ63" s="64"/>
      <c r="BR63" s="64"/>
      <c r="BS63" s="64"/>
      <c r="BT63" s="64"/>
    </row>
    <row r="64" spans="1:72" ht="16.5" x14ac:dyDescent="0.2">
      <c r="AK64" s="70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2">
        <v>51</v>
      </c>
      <c r="AY64" s="62">
        <f>INDEX(节奏总表!$I$4:$I$18,MATCH(AX64,节奏总表!$S$4:$S$18,1))</f>
        <v>12</v>
      </c>
      <c r="AZ64" s="15">
        <f>芦花古楼!BC56+芦花古楼!BD55</f>
        <v>590</v>
      </c>
      <c r="BA64" s="16"/>
      <c r="BD64" s="65" t="s">
        <v>549</v>
      </c>
      <c r="BE64" s="62">
        <v>6</v>
      </c>
      <c r="BF64" s="62">
        <v>100</v>
      </c>
      <c r="BG64" s="62">
        <v>2</v>
      </c>
      <c r="BH64" s="62">
        <f t="shared" si="22"/>
        <v>47</v>
      </c>
      <c r="BI64" s="62">
        <v>47</v>
      </c>
      <c r="BN64" s="64"/>
      <c r="BO64" s="64"/>
      <c r="BP64" s="64"/>
      <c r="BQ64" s="64"/>
      <c r="BR64" s="64"/>
      <c r="BS64" s="64"/>
      <c r="BT64" s="64"/>
    </row>
    <row r="65" spans="37:72" ht="16.5" x14ac:dyDescent="0.2">
      <c r="AK65" s="70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315</v>
      </c>
      <c r="AX65" s="62">
        <v>52</v>
      </c>
      <c r="AY65" s="62">
        <f>INDEX(节奏总表!$I$4:$I$18,MATCH(AX65,节奏总表!$S$4:$S$18,1))</f>
        <v>12</v>
      </c>
      <c r="AZ65" s="15">
        <f>芦花古楼!BC57+芦花古楼!BD56</f>
        <v>580</v>
      </c>
      <c r="BA65" s="16"/>
      <c r="BD65" s="65" t="s">
        <v>550</v>
      </c>
      <c r="BE65" s="62">
        <v>6</v>
      </c>
      <c r="BF65" s="62">
        <v>100</v>
      </c>
      <c r="BG65" s="62">
        <v>2</v>
      </c>
      <c r="BH65" s="62">
        <f t="shared" si="22"/>
        <v>47</v>
      </c>
      <c r="BI65" s="62">
        <v>47</v>
      </c>
      <c r="BN65" s="64"/>
      <c r="BO65" s="64"/>
      <c r="BP65" s="64"/>
      <c r="BQ65" s="64"/>
      <c r="BR65" s="64"/>
      <c r="BS65" s="64"/>
      <c r="BT65" s="64"/>
    </row>
    <row r="66" spans="37:72" ht="16.5" x14ac:dyDescent="0.2">
      <c r="AK66" s="70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420</v>
      </c>
      <c r="AX66" s="62">
        <v>53</v>
      </c>
      <c r="AY66" s="62">
        <f>INDEX(节奏总表!$I$4:$I$18,MATCH(AX66,节奏总表!$S$4:$S$18,1))</f>
        <v>12</v>
      </c>
      <c r="AZ66" s="15">
        <f>芦花古楼!BC58+芦花古楼!BD57</f>
        <v>590</v>
      </c>
      <c r="BA66" s="16"/>
      <c r="BD66" s="65" t="s">
        <v>551</v>
      </c>
      <c r="BE66" s="62">
        <v>6</v>
      </c>
      <c r="BF66" s="62">
        <v>250</v>
      </c>
      <c r="BG66" s="62">
        <v>2</v>
      </c>
      <c r="BH66" s="62">
        <f t="shared" si="22"/>
        <v>47</v>
      </c>
      <c r="BI66" s="62">
        <v>47</v>
      </c>
      <c r="BN66" s="64"/>
      <c r="BO66" s="64"/>
      <c r="BP66" s="64"/>
      <c r="BQ66" s="64"/>
      <c r="BR66" s="64"/>
      <c r="BS66" s="64"/>
      <c r="BT66" s="64"/>
    </row>
    <row r="67" spans="37:72" ht="16.5" x14ac:dyDescent="0.2">
      <c r="AK67" s="70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520</v>
      </c>
      <c r="AX67" s="62">
        <v>54</v>
      </c>
      <c r="AY67" s="62">
        <f>INDEX(节奏总表!$I$4:$I$18,MATCH(AX67,节奏总表!$S$4:$S$18,1))</f>
        <v>12</v>
      </c>
      <c r="AZ67" s="15">
        <f>芦花古楼!BC59+芦花古楼!BD58</f>
        <v>580</v>
      </c>
      <c r="BA67" s="16"/>
      <c r="BD67" s="65" t="s">
        <v>552</v>
      </c>
      <c r="BE67" s="62">
        <v>6</v>
      </c>
      <c r="BF67" s="62">
        <v>250</v>
      </c>
      <c r="BG67" s="62">
        <v>2</v>
      </c>
      <c r="BH67" s="62">
        <f t="shared" si="22"/>
        <v>47</v>
      </c>
      <c r="BI67" s="62">
        <v>47</v>
      </c>
      <c r="BN67" s="64"/>
      <c r="BO67" s="64"/>
      <c r="BP67" s="64"/>
      <c r="BQ67" s="64"/>
      <c r="BR67" s="64"/>
      <c r="BS67" s="64"/>
      <c r="BT67" s="64"/>
    </row>
    <row r="68" spans="37:72" ht="16.5" x14ac:dyDescent="0.2">
      <c r="AK68" s="70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630</v>
      </c>
      <c r="AX68" s="62">
        <v>55</v>
      </c>
      <c r="AY68" s="62">
        <f>INDEX(节奏总表!$I$4:$I$18,MATCH(AX68,节奏总表!$S$4:$S$18,1))</f>
        <v>12</v>
      </c>
      <c r="AZ68" s="15">
        <f>芦花古楼!BC60+芦花古楼!BD59</f>
        <v>590</v>
      </c>
      <c r="BA68" s="16"/>
      <c r="BD68" s="65" t="s">
        <v>553</v>
      </c>
      <c r="BE68" s="62">
        <v>7</v>
      </c>
      <c r="BF68" s="62">
        <v>100</v>
      </c>
      <c r="BG68" s="62">
        <v>2</v>
      </c>
      <c r="BH68" s="62">
        <f t="shared" si="22"/>
        <v>47</v>
      </c>
      <c r="BI68" s="62">
        <v>47</v>
      </c>
      <c r="BN68" s="64"/>
      <c r="BO68" s="64"/>
      <c r="BP68" s="64"/>
      <c r="BQ68" s="64"/>
      <c r="BR68" s="64"/>
      <c r="BS68" s="64"/>
      <c r="BT68" s="64"/>
    </row>
    <row r="69" spans="37:72" ht="16.5" x14ac:dyDescent="0.2">
      <c r="AK69" s="70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1280</v>
      </c>
      <c r="AX69" s="62">
        <v>56</v>
      </c>
      <c r="AY69" s="62">
        <f>INDEX(节奏总表!$I$4:$I$18,MATCH(AX69,节奏总表!$S$4:$S$18,1))</f>
        <v>12</v>
      </c>
      <c r="AZ69" s="15">
        <f>芦花古楼!BC61+芦花古楼!BD60</f>
        <v>580</v>
      </c>
      <c r="BA69" s="16"/>
      <c r="BD69" s="65" t="s">
        <v>554</v>
      </c>
      <c r="BE69" s="62">
        <v>7</v>
      </c>
      <c r="BF69" s="62">
        <v>100</v>
      </c>
      <c r="BG69" s="62">
        <v>2</v>
      </c>
      <c r="BH69" s="62">
        <f t="shared" si="22"/>
        <v>47</v>
      </c>
      <c r="BI69" s="62">
        <v>47</v>
      </c>
      <c r="BN69" s="64"/>
      <c r="BO69" s="64"/>
      <c r="BP69" s="64"/>
      <c r="BQ69" s="64"/>
      <c r="BR69" s="64"/>
      <c r="BS69" s="64"/>
      <c r="BT69" s="64"/>
    </row>
    <row r="70" spans="37:72" ht="16.5" x14ac:dyDescent="0.2">
      <c r="AK70" s="70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1460</v>
      </c>
      <c r="AX70" s="62">
        <v>57</v>
      </c>
      <c r="AY70" s="62">
        <f>INDEX(节奏总表!$I$4:$I$18,MATCH(AX70,节奏总表!$S$4:$S$18,1))</f>
        <v>12</v>
      </c>
      <c r="AZ70" s="15">
        <f>芦花古楼!BC62+芦花古楼!BD61</f>
        <v>595</v>
      </c>
      <c r="BA70" s="16"/>
      <c r="BD70" s="65" t="s">
        <v>555</v>
      </c>
      <c r="BE70" s="62">
        <v>7</v>
      </c>
      <c r="BF70" s="62">
        <v>100</v>
      </c>
      <c r="BG70" s="62">
        <v>2</v>
      </c>
      <c r="BH70" s="62">
        <f t="shared" si="22"/>
        <v>47</v>
      </c>
      <c r="BI70" s="62">
        <v>47</v>
      </c>
      <c r="BN70" s="64"/>
      <c r="BO70" s="64"/>
      <c r="BP70" s="64"/>
      <c r="BQ70" s="64"/>
      <c r="BR70" s="64"/>
      <c r="BS70" s="64"/>
      <c r="BT70" s="64"/>
    </row>
    <row r="71" spans="37:72" ht="16.5" x14ac:dyDescent="0.2">
      <c r="AK71" s="70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1640</v>
      </c>
      <c r="AX71" s="62">
        <v>58</v>
      </c>
      <c r="AY71" s="62">
        <f>INDEX(节奏总表!$I$4:$I$18,MATCH(AX71,节奏总表!$S$4:$S$18,1))</f>
        <v>12</v>
      </c>
      <c r="AZ71" s="15">
        <f>芦花古楼!BC63+芦花古楼!BD62</f>
        <v>595</v>
      </c>
      <c r="BA71" s="16"/>
      <c r="BD71" s="65" t="s">
        <v>556</v>
      </c>
      <c r="BE71" s="62">
        <v>7</v>
      </c>
      <c r="BF71" s="62">
        <v>100</v>
      </c>
      <c r="BG71" s="62">
        <v>2</v>
      </c>
      <c r="BH71" s="62">
        <f t="shared" si="22"/>
        <v>47</v>
      </c>
      <c r="BI71" s="62">
        <v>47</v>
      </c>
      <c r="BN71" s="64"/>
      <c r="BO71" s="64"/>
      <c r="BP71" s="64"/>
      <c r="BQ71" s="64"/>
      <c r="BR71" s="64"/>
      <c r="BS71" s="64"/>
      <c r="BT71" s="64"/>
    </row>
    <row r="72" spans="37:72" ht="16.5" x14ac:dyDescent="0.2">
      <c r="AK72" s="70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1840</v>
      </c>
      <c r="AX72" s="62">
        <v>59</v>
      </c>
      <c r="AY72" s="62">
        <f>INDEX(节奏总表!$I$4:$I$18,MATCH(AX72,节奏总表!$S$4:$S$18,1))</f>
        <v>12</v>
      </c>
      <c r="AZ72" s="15">
        <f>芦花古楼!BC64+芦花古楼!BD63</f>
        <v>610</v>
      </c>
      <c r="BA72" s="16"/>
      <c r="BD72" s="65" t="s">
        <v>557</v>
      </c>
      <c r="BE72" s="62">
        <v>7</v>
      </c>
      <c r="BF72" s="62">
        <v>250</v>
      </c>
      <c r="BG72" s="62">
        <v>2</v>
      </c>
      <c r="BH72" s="62">
        <f t="shared" si="22"/>
        <v>47</v>
      </c>
      <c r="BI72" s="62">
        <v>47</v>
      </c>
      <c r="BN72" s="64"/>
      <c r="BO72" s="64"/>
      <c r="BP72" s="64"/>
      <c r="BQ72" s="64"/>
      <c r="BR72" s="64"/>
      <c r="BS72" s="64"/>
      <c r="BT72" s="64"/>
    </row>
    <row r="73" spans="37:72" ht="16.5" x14ac:dyDescent="0.2">
      <c r="AK73" s="70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2200</v>
      </c>
      <c r="AX73" s="62">
        <v>60</v>
      </c>
      <c r="AY73" s="62">
        <f>INDEX(节奏总表!$I$4:$I$18,MATCH(AX73,节奏总表!$S$4:$S$18,1))</f>
        <v>13</v>
      </c>
      <c r="AZ73" s="15">
        <f>芦花古楼!BC65+芦花古楼!BD64</f>
        <v>610</v>
      </c>
      <c r="BA73" s="16"/>
      <c r="BD73" s="65" t="s">
        <v>558</v>
      </c>
      <c r="BE73" s="62">
        <v>7</v>
      </c>
      <c r="BF73" s="62">
        <v>250</v>
      </c>
      <c r="BG73" s="62">
        <v>2</v>
      </c>
      <c r="BH73" s="62">
        <f t="shared" si="22"/>
        <v>47</v>
      </c>
      <c r="BI73" s="62">
        <v>47</v>
      </c>
      <c r="BN73" s="64"/>
      <c r="BO73" s="64"/>
      <c r="BP73" s="64"/>
      <c r="BQ73" s="64"/>
      <c r="BR73" s="64"/>
      <c r="BS73" s="64"/>
      <c r="BT73" s="64"/>
    </row>
    <row r="74" spans="37:72" ht="16.5" x14ac:dyDescent="0.2">
      <c r="AK74" s="70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2600</v>
      </c>
      <c r="AX74" s="62">
        <v>61</v>
      </c>
      <c r="AY74" s="62">
        <f>INDEX(节奏总表!$I$4:$I$18,MATCH(AX74,节奏总表!$S$4:$S$18,1))</f>
        <v>13</v>
      </c>
      <c r="AZ74" s="15">
        <f>芦花古楼!BC66+芦花古楼!BD65</f>
        <v>620</v>
      </c>
      <c r="BA74" s="16"/>
      <c r="BD74" s="65" t="s">
        <v>529</v>
      </c>
      <c r="BE74" s="62">
        <v>1</v>
      </c>
      <c r="BF74" s="62">
        <v>20</v>
      </c>
      <c r="BG74" s="62">
        <v>3</v>
      </c>
      <c r="BH74" s="62">
        <f t="shared" ref="BH74:BH103" si="33">ROUND(INDEX($BD$3:$BD$9,BE74)*$BG$5*10000,0)</f>
        <v>236</v>
      </c>
      <c r="BI74" s="62">
        <v>236</v>
      </c>
      <c r="BN74" s="64"/>
      <c r="BO74" s="64"/>
      <c r="BP74" s="64"/>
      <c r="BQ74" s="64"/>
      <c r="BR74" s="64"/>
      <c r="BS74" s="64"/>
      <c r="BT74" s="64"/>
    </row>
    <row r="75" spans="37:72" ht="16.5" x14ac:dyDescent="0.2">
      <c r="AK75" s="70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3000</v>
      </c>
      <c r="AX75" s="62">
        <v>62</v>
      </c>
      <c r="AY75" s="62">
        <f>INDEX(节奏总表!$I$4:$I$18,MATCH(AX75,节奏总表!$S$4:$S$18,1))</f>
        <v>13</v>
      </c>
      <c r="AZ75" s="15">
        <f>芦花古楼!BC67+芦花古楼!BD66</f>
        <v>520</v>
      </c>
      <c r="BA75" s="16"/>
      <c r="BD75" s="65" t="s">
        <v>530</v>
      </c>
      <c r="BE75" s="62">
        <v>1</v>
      </c>
      <c r="BF75" s="62">
        <v>20</v>
      </c>
      <c r="BG75" s="62">
        <v>3</v>
      </c>
      <c r="BH75" s="62">
        <f t="shared" si="33"/>
        <v>236</v>
      </c>
      <c r="BI75" s="62">
        <v>236</v>
      </c>
      <c r="BN75" s="64"/>
      <c r="BO75" s="64"/>
      <c r="BP75" s="64"/>
      <c r="BQ75" s="64"/>
      <c r="BR75" s="64"/>
      <c r="BS75" s="64"/>
      <c r="BT75" s="64"/>
    </row>
    <row r="76" spans="37:72" ht="16.5" x14ac:dyDescent="0.2">
      <c r="AK76" s="70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3450</v>
      </c>
      <c r="AX76" s="62">
        <v>63</v>
      </c>
      <c r="AY76" s="62">
        <f>INDEX(节奏总表!$I$4:$I$18,MATCH(AX76,节奏总表!$S$4:$S$18,1))</f>
        <v>13</v>
      </c>
      <c r="AZ76" s="15">
        <f>芦花古楼!BC68+芦花古楼!BD67</f>
        <v>615</v>
      </c>
      <c r="BA76" s="16"/>
      <c r="BD76" s="65" t="s">
        <v>531</v>
      </c>
      <c r="BE76" s="62">
        <v>2</v>
      </c>
      <c r="BF76" s="62">
        <v>30</v>
      </c>
      <c r="BG76" s="62">
        <v>3</v>
      </c>
      <c r="BH76" s="62">
        <f t="shared" si="33"/>
        <v>157</v>
      </c>
      <c r="BI76" s="62">
        <v>157</v>
      </c>
      <c r="BN76" s="64"/>
      <c r="BO76" s="64"/>
      <c r="BP76" s="64"/>
      <c r="BQ76" s="64"/>
      <c r="BR76" s="64"/>
      <c r="BS76" s="64"/>
      <c r="BT76" s="64"/>
    </row>
    <row r="77" spans="37:72" ht="16.5" x14ac:dyDescent="0.2">
      <c r="AK77" s="70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3900</v>
      </c>
      <c r="AX77" s="62">
        <v>64</v>
      </c>
      <c r="AY77" s="62">
        <f>INDEX(节奏总表!$I$4:$I$18,MATCH(AX77,节奏总表!$S$4:$S$18,1))</f>
        <v>13</v>
      </c>
      <c r="AZ77" s="15">
        <f>芦花古楼!BC69+芦花古楼!BD68</f>
        <v>515</v>
      </c>
      <c r="BA77" s="16"/>
      <c r="BD77" s="65" t="s">
        <v>532</v>
      </c>
      <c r="BE77" s="62">
        <v>2</v>
      </c>
      <c r="BF77" s="62">
        <v>30</v>
      </c>
      <c r="BG77" s="62">
        <v>3</v>
      </c>
      <c r="BH77" s="62">
        <f t="shared" si="33"/>
        <v>157</v>
      </c>
      <c r="BI77" s="62">
        <v>157</v>
      </c>
      <c r="BN77" s="64"/>
      <c r="BO77" s="64"/>
      <c r="BP77" s="64"/>
      <c r="BQ77" s="64"/>
      <c r="BR77" s="64"/>
      <c r="BS77" s="64"/>
      <c r="BT77" s="64"/>
    </row>
    <row r="78" spans="37:72" ht="16.5" x14ac:dyDescent="0.2">
      <c r="AK78" s="70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4300</v>
      </c>
      <c r="AX78" s="62">
        <v>65</v>
      </c>
      <c r="AY78" s="62">
        <f>INDEX(节奏总表!$I$4:$I$18,MATCH(AX78,节奏总表!$S$4:$S$18,1))</f>
        <v>13</v>
      </c>
      <c r="AZ78" s="15">
        <f>芦花古楼!BC70+芦花古楼!BD69</f>
        <v>520</v>
      </c>
      <c r="BA78" s="16"/>
      <c r="BD78" s="65" t="s">
        <v>533</v>
      </c>
      <c r="BE78" s="62">
        <v>3</v>
      </c>
      <c r="BF78" s="62">
        <v>50</v>
      </c>
      <c r="BG78" s="62">
        <v>3</v>
      </c>
      <c r="BH78" s="62">
        <f t="shared" si="33"/>
        <v>94</v>
      </c>
      <c r="BI78" s="62">
        <v>94</v>
      </c>
      <c r="BN78" s="64"/>
      <c r="BO78" s="64"/>
      <c r="BP78" s="64"/>
      <c r="BQ78" s="64"/>
      <c r="BR78" s="64"/>
      <c r="BS78" s="64"/>
      <c r="BT78" s="64"/>
    </row>
    <row r="79" spans="37:72" ht="16.5" x14ac:dyDescent="0.2">
      <c r="AK79" s="70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2">
        <v>66</v>
      </c>
      <c r="AY79" s="62">
        <f>INDEX(节奏总表!$I$4:$I$18,MATCH(AX79,节奏总表!$S$4:$S$18,1))</f>
        <v>13</v>
      </c>
      <c r="AZ79" s="15">
        <f>芦花古楼!BC71+芦花古楼!BD70</f>
        <v>615</v>
      </c>
      <c r="BA79" s="16"/>
      <c r="BD79" s="65" t="s">
        <v>534</v>
      </c>
      <c r="BE79" s="62">
        <v>3</v>
      </c>
      <c r="BF79" s="62">
        <v>50</v>
      </c>
      <c r="BG79" s="62">
        <v>3</v>
      </c>
      <c r="BH79" s="62">
        <f t="shared" si="33"/>
        <v>94</v>
      </c>
      <c r="BI79" s="62">
        <v>94</v>
      </c>
      <c r="BN79" s="64"/>
      <c r="BO79" s="64"/>
      <c r="BP79" s="64"/>
      <c r="BQ79" s="64"/>
      <c r="BR79" s="64"/>
      <c r="BS79" s="64"/>
      <c r="BT79" s="64"/>
    </row>
    <row r="80" spans="37:72" ht="16.5" x14ac:dyDescent="0.2">
      <c r="AK80" s="70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315</v>
      </c>
      <c r="AX80" s="62">
        <v>67</v>
      </c>
      <c r="AY80" s="62">
        <f>INDEX(节奏总表!$I$4:$I$18,MATCH(AX80,节奏总表!$S$4:$S$18,1))</f>
        <v>13</v>
      </c>
      <c r="AZ80" s="15">
        <f>芦花古楼!BC72+芦花古楼!BD71</f>
        <v>515</v>
      </c>
      <c r="BA80" s="16"/>
      <c r="BD80" s="65" t="s">
        <v>535</v>
      </c>
      <c r="BE80" s="62">
        <v>3</v>
      </c>
      <c r="BF80" s="62">
        <v>50</v>
      </c>
      <c r="BG80" s="62">
        <v>3</v>
      </c>
      <c r="BH80" s="62">
        <f t="shared" si="33"/>
        <v>94</v>
      </c>
      <c r="BI80" s="62">
        <v>94</v>
      </c>
      <c r="BN80" s="64"/>
      <c r="BO80" s="64"/>
      <c r="BP80" s="64"/>
      <c r="BQ80" s="64"/>
      <c r="BR80" s="64"/>
      <c r="BS80" s="64"/>
      <c r="BT80" s="64"/>
    </row>
    <row r="81" spans="37:72" ht="16.5" x14ac:dyDescent="0.2">
      <c r="AK81" s="70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420</v>
      </c>
      <c r="AX81" s="62">
        <v>68</v>
      </c>
      <c r="AY81" s="62">
        <f>INDEX(节奏总表!$I$4:$I$18,MATCH(AX81,节奏总表!$S$4:$S$18,1))</f>
        <v>13</v>
      </c>
      <c r="AZ81" s="15">
        <f>芦花古楼!BC73+芦花古楼!BD72</f>
        <v>520</v>
      </c>
      <c r="BA81" s="16"/>
      <c r="BD81" s="65" t="s">
        <v>536</v>
      </c>
      <c r="BE81" s="62">
        <v>3</v>
      </c>
      <c r="BF81" s="62">
        <v>50</v>
      </c>
      <c r="BG81" s="62">
        <v>3</v>
      </c>
      <c r="BH81" s="62">
        <f t="shared" si="33"/>
        <v>94</v>
      </c>
      <c r="BI81" s="62">
        <v>94</v>
      </c>
      <c r="BN81" s="64"/>
      <c r="BO81" s="64"/>
      <c r="BP81" s="64"/>
      <c r="BQ81" s="64"/>
      <c r="BR81" s="64"/>
      <c r="BS81" s="64"/>
      <c r="BT81" s="64"/>
    </row>
    <row r="82" spans="37:72" ht="16.5" x14ac:dyDescent="0.2">
      <c r="AK82" s="70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520</v>
      </c>
      <c r="AX82" s="62">
        <v>69</v>
      </c>
      <c r="AY82" s="62">
        <f>INDEX(节奏总表!$I$4:$I$18,MATCH(AX82,节奏总表!$S$4:$S$18,1))</f>
        <v>13</v>
      </c>
      <c r="AZ82" s="15">
        <f>芦花古楼!BC74+芦花古楼!BD73</f>
        <v>615</v>
      </c>
      <c r="BA82" s="16"/>
      <c r="BD82" s="65" t="s">
        <v>537</v>
      </c>
      <c r="BE82" s="62">
        <v>4</v>
      </c>
      <c r="BF82" s="62">
        <v>70</v>
      </c>
      <c r="BG82" s="62">
        <v>3</v>
      </c>
      <c r="BH82" s="62">
        <f t="shared" si="33"/>
        <v>67</v>
      </c>
      <c r="BI82" s="62">
        <v>67</v>
      </c>
      <c r="BN82" s="64"/>
      <c r="BO82" s="64"/>
      <c r="BP82" s="64"/>
      <c r="BQ82" s="64"/>
      <c r="BR82" s="64"/>
      <c r="BS82" s="64"/>
      <c r="BT82" s="64"/>
    </row>
    <row r="83" spans="37:72" ht="16.5" x14ac:dyDescent="0.2">
      <c r="AK83" s="70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630</v>
      </c>
      <c r="AX83" s="62">
        <v>70</v>
      </c>
      <c r="AY83" s="62">
        <f>INDEX(节奏总表!$I$4:$I$18,MATCH(AX83,节奏总表!$S$4:$S$18,1))</f>
        <v>13</v>
      </c>
      <c r="AZ83" s="15">
        <f>芦花古楼!BC75+芦花古楼!BD74</f>
        <v>520</v>
      </c>
      <c r="BA83" s="16"/>
      <c r="BD83" s="65" t="s">
        <v>538</v>
      </c>
      <c r="BE83" s="62">
        <v>4</v>
      </c>
      <c r="BF83" s="62">
        <v>70</v>
      </c>
      <c r="BG83" s="62">
        <v>3</v>
      </c>
      <c r="BH83" s="62">
        <f t="shared" si="33"/>
        <v>67</v>
      </c>
      <c r="BI83" s="62">
        <v>67</v>
      </c>
      <c r="BN83" s="64"/>
      <c r="BO83" s="64"/>
      <c r="BP83" s="64"/>
      <c r="BQ83" s="64"/>
      <c r="BR83" s="64"/>
      <c r="BS83" s="64"/>
      <c r="BT83" s="64"/>
    </row>
    <row r="84" spans="37:72" ht="16.5" x14ac:dyDescent="0.2">
      <c r="AK84" s="70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1280</v>
      </c>
      <c r="AX84" s="62">
        <v>71</v>
      </c>
      <c r="AY84" s="62">
        <f>INDEX(节奏总表!$I$4:$I$18,MATCH(AX84,节奏总表!$S$4:$S$18,1))</f>
        <v>13</v>
      </c>
      <c r="AZ84" s="15">
        <f>芦花古楼!BC76+芦花古楼!BD75</f>
        <v>530</v>
      </c>
      <c r="BA84" s="16"/>
      <c r="BD84" s="65" t="s">
        <v>539</v>
      </c>
      <c r="BE84" s="62">
        <v>4</v>
      </c>
      <c r="BF84" s="62">
        <v>70</v>
      </c>
      <c r="BG84" s="62">
        <v>3</v>
      </c>
      <c r="BH84" s="62">
        <f t="shared" si="33"/>
        <v>67</v>
      </c>
      <c r="BI84" s="62">
        <v>67</v>
      </c>
      <c r="BN84" s="64"/>
      <c r="BO84" s="64"/>
      <c r="BP84" s="64"/>
      <c r="BQ84" s="64"/>
      <c r="BR84" s="64"/>
      <c r="BS84" s="64"/>
      <c r="BT84" s="64"/>
    </row>
    <row r="85" spans="37:72" ht="16.5" x14ac:dyDescent="0.2">
      <c r="AK85" s="70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1460</v>
      </c>
      <c r="AX85" s="62">
        <v>72</v>
      </c>
      <c r="AY85" s="62">
        <f>INDEX(节奏总表!$I$4:$I$18,MATCH(AX85,节奏总表!$S$4:$S$18,1))</f>
        <v>13</v>
      </c>
      <c r="AZ85" s="15">
        <f>芦花古楼!BC77+芦花古楼!BD76</f>
        <v>635</v>
      </c>
      <c r="BA85" s="16"/>
      <c r="BD85" s="65" t="s">
        <v>540</v>
      </c>
      <c r="BE85" s="62">
        <v>4</v>
      </c>
      <c r="BF85" s="62">
        <v>70</v>
      </c>
      <c r="BG85" s="62">
        <v>3</v>
      </c>
      <c r="BH85" s="62">
        <f t="shared" si="33"/>
        <v>67</v>
      </c>
      <c r="BI85" s="62">
        <v>67</v>
      </c>
      <c r="BN85" s="64"/>
      <c r="BO85" s="64"/>
      <c r="BP85" s="64"/>
      <c r="BQ85" s="64"/>
      <c r="BR85" s="64"/>
      <c r="BS85" s="64"/>
      <c r="BT85" s="64"/>
    </row>
    <row r="86" spans="37:72" ht="16.5" x14ac:dyDescent="0.2">
      <c r="AK86" s="70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1640</v>
      </c>
      <c r="AX86" s="62">
        <v>73</v>
      </c>
      <c r="AY86" s="62">
        <f>INDEX(节奏总表!$I$4:$I$18,MATCH(AX86,节奏总表!$S$4:$S$18,1))</f>
        <v>13</v>
      </c>
      <c r="AZ86" s="15">
        <f>芦花古楼!BC78+芦花古楼!BD77</f>
        <v>540</v>
      </c>
      <c r="BA86" s="16"/>
      <c r="BD86" s="65" t="s">
        <v>541</v>
      </c>
      <c r="BE86" s="62">
        <v>5</v>
      </c>
      <c r="BF86" s="62">
        <v>100</v>
      </c>
      <c r="BG86" s="62">
        <v>3</v>
      </c>
      <c r="BH86" s="62">
        <f t="shared" si="33"/>
        <v>31</v>
      </c>
      <c r="BI86" s="62">
        <v>31</v>
      </c>
      <c r="BN86" s="64"/>
      <c r="BO86" s="64"/>
      <c r="BP86" s="64"/>
      <c r="BQ86" s="64"/>
      <c r="BR86" s="64"/>
      <c r="BS86" s="64"/>
      <c r="BT86" s="64"/>
    </row>
    <row r="87" spans="37:72" ht="16.5" x14ac:dyDescent="0.2">
      <c r="AK87" s="70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1840</v>
      </c>
      <c r="AX87" s="62">
        <v>74</v>
      </c>
      <c r="AY87" s="62">
        <f>INDEX(节奏总表!$I$4:$I$18,MATCH(AX87,节奏总表!$S$4:$S$18,1))</f>
        <v>13</v>
      </c>
      <c r="AZ87" s="15">
        <f>芦花古楼!BC79+芦花古楼!BD78</f>
        <v>545</v>
      </c>
      <c r="BA87" s="16"/>
      <c r="BD87" s="65" t="s">
        <v>542</v>
      </c>
      <c r="BE87" s="62">
        <v>5</v>
      </c>
      <c r="BF87" s="62">
        <v>100</v>
      </c>
      <c r="BG87" s="62">
        <v>3</v>
      </c>
      <c r="BH87" s="62">
        <f t="shared" si="33"/>
        <v>31</v>
      </c>
      <c r="BI87" s="62">
        <v>31</v>
      </c>
      <c r="BN87" s="64"/>
      <c r="BO87" s="64"/>
      <c r="BP87" s="64"/>
      <c r="BQ87" s="64"/>
      <c r="BR87" s="64"/>
      <c r="BS87" s="64"/>
      <c r="BT87" s="64"/>
    </row>
    <row r="88" spans="37:72" ht="16.5" x14ac:dyDescent="0.2">
      <c r="AK88" s="70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2200</v>
      </c>
      <c r="AX88" s="62">
        <v>75</v>
      </c>
      <c r="AY88" s="62">
        <f>INDEX(节奏总表!$I$4:$I$18,MATCH(AX88,节奏总表!$S$4:$S$18,1))</f>
        <v>13</v>
      </c>
      <c r="AZ88" s="15">
        <f>芦花古楼!BC80+芦花古楼!BD79</f>
        <v>645</v>
      </c>
      <c r="BA88" s="16"/>
      <c r="BD88" s="65" t="s">
        <v>543</v>
      </c>
      <c r="BE88" s="62">
        <v>5</v>
      </c>
      <c r="BF88" s="62">
        <v>100</v>
      </c>
      <c r="BG88" s="62">
        <v>3</v>
      </c>
      <c r="BH88" s="62">
        <f t="shared" si="33"/>
        <v>31</v>
      </c>
      <c r="BI88" s="62">
        <v>31</v>
      </c>
      <c r="BN88" s="64"/>
      <c r="BO88" s="64"/>
      <c r="BP88" s="64"/>
      <c r="BQ88" s="64"/>
      <c r="BR88" s="64"/>
      <c r="BS88" s="64"/>
      <c r="BT88" s="64"/>
    </row>
    <row r="89" spans="37:72" ht="16.5" x14ac:dyDescent="0.2">
      <c r="AK89" s="70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2600</v>
      </c>
      <c r="AX89" s="62">
        <v>76</v>
      </c>
      <c r="AY89" s="62">
        <f>INDEX(节奏总表!$I$4:$I$18,MATCH(AX89,节奏总表!$S$4:$S$18,1))</f>
        <v>13</v>
      </c>
      <c r="AZ89" s="15">
        <f>芦花古楼!BC81+芦花古楼!BD80</f>
        <v>540</v>
      </c>
      <c r="BA89" s="16"/>
      <c r="BD89" s="65" t="s">
        <v>544</v>
      </c>
      <c r="BE89" s="62">
        <v>5</v>
      </c>
      <c r="BF89" s="62">
        <v>100</v>
      </c>
      <c r="BG89" s="62">
        <v>3</v>
      </c>
      <c r="BH89" s="62">
        <f t="shared" si="33"/>
        <v>31</v>
      </c>
      <c r="BI89" s="62">
        <v>31</v>
      </c>
      <c r="BN89" s="64"/>
      <c r="BO89" s="64"/>
      <c r="BP89" s="64"/>
      <c r="BQ89" s="64"/>
      <c r="BR89" s="64"/>
      <c r="BS89" s="64"/>
      <c r="BT89" s="64"/>
    </row>
    <row r="90" spans="37:72" ht="16.5" x14ac:dyDescent="0.2">
      <c r="AK90" s="70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3000</v>
      </c>
      <c r="AX90" s="62">
        <v>77</v>
      </c>
      <c r="AY90" s="62">
        <f>INDEX(节奏总表!$I$4:$I$18,MATCH(AX90,节奏总表!$S$4:$S$18,1))</f>
        <v>13</v>
      </c>
      <c r="AZ90" s="15">
        <f>芦花古楼!BC82+芦花古楼!BD81</f>
        <v>545</v>
      </c>
      <c r="BA90" s="16"/>
      <c r="BD90" s="65" t="s">
        <v>545</v>
      </c>
      <c r="BE90" s="62">
        <v>5</v>
      </c>
      <c r="BF90" s="62">
        <v>250</v>
      </c>
      <c r="BG90" s="62">
        <v>3</v>
      </c>
      <c r="BH90" s="62">
        <f t="shared" si="33"/>
        <v>31</v>
      </c>
      <c r="BI90" s="62">
        <v>31</v>
      </c>
      <c r="BN90" s="64"/>
      <c r="BO90" s="64"/>
      <c r="BP90" s="64"/>
      <c r="BQ90" s="64"/>
      <c r="BR90" s="64"/>
      <c r="BS90" s="64"/>
      <c r="BT90" s="64"/>
    </row>
    <row r="91" spans="37:72" ht="16.5" x14ac:dyDescent="0.2">
      <c r="AK91" s="70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3450</v>
      </c>
      <c r="AX91" s="62">
        <v>78</v>
      </c>
      <c r="AY91" s="62">
        <f>INDEX(节奏总表!$I$4:$I$18,MATCH(AX91,节奏总表!$S$4:$S$18,1))</f>
        <v>13</v>
      </c>
      <c r="AZ91" s="15">
        <f>芦花古楼!BC83+芦花古楼!BD82</f>
        <v>645</v>
      </c>
      <c r="BA91" s="16"/>
      <c r="BD91" s="65" t="s">
        <v>546</v>
      </c>
      <c r="BE91" s="62">
        <v>5</v>
      </c>
      <c r="BF91" s="62">
        <v>250</v>
      </c>
      <c r="BG91" s="62">
        <v>3</v>
      </c>
      <c r="BH91" s="62">
        <f t="shared" si="33"/>
        <v>31</v>
      </c>
      <c r="BI91" s="62">
        <v>31</v>
      </c>
      <c r="BN91" s="64"/>
      <c r="BO91" s="64"/>
      <c r="BP91" s="64"/>
      <c r="BQ91" s="64"/>
      <c r="BR91" s="64"/>
      <c r="BS91" s="64"/>
      <c r="BT91" s="64"/>
    </row>
    <row r="92" spans="37:72" ht="16.5" x14ac:dyDescent="0.2">
      <c r="AK92" s="70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3900</v>
      </c>
      <c r="AX92" s="62">
        <v>79</v>
      </c>
      <c r="AY92" s="62">
        <f>INDEX(节奏总表!$I$4:$I$18,MATCH(AX92,节奏总表!$S$4:$S$18,1))</f>
        <v>13</v>
      </c>
      <c r="AZ92" s="15">
        <f>芦花古楼!BC84+芦花古楼!BD83</f>
        <v>540</v>
      </c>
      <c r="BA92" s="16"/>
      <c r="BD92" s="65" t="s">
        <v>547</v>
      </c>
      <c r="BE92" s="62">
        <v>6</v>
      </c>
      <c r="BF92" s="62">
        <v>100</v>
      </c>
      <c r="BG92" s="62">
        <v>3</v>
      </c>
      <c r="BH92" s="62">
        <f t="shared" si="33"/>
        <v>31</v>
      </c>
      <c r="BI92" s="62">
        <v>31</v>
      </c>
      <c r="BN92" s="64"/>
      <c r="BO92" s="64"/>
      <c r="BP92" s="64"/>
      <c r="BQ92" s="64"/>
      <c r="BR92" s="64"/>
      <c r="BS92" s="64"/>
      <c r="BT92" s="64"/>
    </row>
    <row r="93" spans="37:72" ht="16.5" x14ac:dyDescent="0.2">
      <c r="AK93" s="70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4300</v>
      </c>
      <c r="AX93" s="62">
        <v>80</v>
      </c>
      <c r="AY93" s="62">
        <f>INDEX(节奏总表!$I$4:$I$18,MATCH(AX93,节奏总表!$S$4:$S$18,1))</f>
        <v>13</v>
      </c>
      <c r="AZ93" s="15">
        <f>芦花古楼!BC85+芦花古楼!BD84</f>
        <v>545</v>
      </c>
      <c r="BA93" s="16"/>
      <c r="BD93" s="65" t="s">
        <v>548</v>
      </c>
      <c r="BE93" s="62">
        <v>6</v>
      </c>
      <c r="BF93" s="62">
        <v>100</v>
      </c>
      <c r="BG93" s="62">
        <v>3</v>
      </c>
      <c r="BH93" s="62">
        <f t="shared" si="33"/>
        <v>31</v>
      </c>
      <c r="BI93" s="62">
        <v>31</v>
      </c>
      <c r="BN93" s="64"/>
      <c r="BO93" s="64"/>
      <c r="BP93" s="64"/>
      <c r="BQ93" s="64"/>
      <c r="BR93" s="64"/>
      <c r="BS93" s="64"/>
      <c r="BT93" s="64"/>
    </row>
    <row r="94" spans="37:72" ht="16.5" x14ac:dyDescent="0.2">
      <c r="AK94" s="70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2">
        <v>81</v>
      </c>
      <c r="AY94" s="62">
        <f>INDEX(节奏总表!$I$4:$I$18,MATCH(AX94,节奏总表!$S$4:$S$18,1))</f>
        <v>13</v>
      </c>
      <c r="AZ94" s="15">
        <f>芦花古楼!BC86+芦花古楼!BD85</f>
        <v>645</v>
      </c>
      <c r="BA94" s="16"/>
      <c r="BD94" s="65" t="s">
        <v>549</v>
      </c>
      <c r="BE94" s="62">
        <v>6</v>
      </c>
      <c r="BF94" s="62">
        <v>100</v>
      </c>
      <c r="BG94" s="62">
        <v>3</v>
      </c>
      <c r="BH94" s="62">
        <f t="shared" si="33"/>
        <v>31</v>
      </c>
      <c r="BI94" s="62">
        <v>31</v>
      </c>
      <c r="BN94" s="64"/>
      <c r="BO94" s="64"/>
      <c r="BP94" s="64"/>
      <c r="BQ94" s="64"/>
      <c r="BR94" s="64"/>
      <c r="BS94" s="64"/>
      <c r="BT94" s="64"/>
    </row>
    <row r="95" spans="37:72" ht="16.5" x14ac:dyDescent="0.2">
      <c r="AK95" s="70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950</v>
      </c>
      <c r="AX95" s="62">
        <v>82</v>
      </c>
      <c r="AY95" s="62">
        <f>INDEX(节奏总表!$I$4:$I$18,MATCH(AX95,节奏总表!$S$4:$S$18,1))</f>
        <v>13</v>
      </c>
      <c r="AZ95" s="15">
        <f>芦花古楼!BC87+芦花古楼!BD86</f>
        <v>540</v>
      </c>
      <c r="BA95" s="16"/>
      <c r="BD95" s="65" t="s">
        <v>550</v>
      </c>
      <c r="BE95" s="62">
        <v>6</v>
      </c>
      <c r="BF95" s="62">
        <v>100</v>
      </c>
      <c r="BG95" s="62">
        <v>3</v>
      </c>
      <c r="BH95" s="62">
        <f t="shared" si="33"/>
        <v>31</v>
      </c>
      <c r="BI95" s="62">
        <v>31</v>
      </c>
      <c r="BN95" s="64"/>
      <c r="BO95" s="64"/>
      <c r="BP95" s="64"/>
      <c r="BQ95" s="64"/>
      <c r="BR95" s="64"/>
      <c r="BS95" s="64"/>
      <c r="BT95" s="64"/>
    </row>
    <row r="96" spans="37:72" ht="16.5" x14ac:dyDescent="0.2">
      <c r="AK96" s="70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1260</v>
      </c>
      <c r="AX96" s="62">
        <v>83</v>
      </c>
      <c r="AY96" s="62">
        <f>INDEX(节奏总表!$I$4:$I$18,MATCH(AX96,节奏总表!$S$4:$S$18,1))</f>
        <v>13</v>
      </c>
      <c r="AZ96" s="15">
        <f>芦花古楼!BC88+芦花古楼!BD87</f>
        <v>545</v>
      </c>
      <c r="BA96" s="16"/>
      <c r="BD96" s="65" t="s">
        <v>551</v>
      </c>
      <c r="BE96" s="62">
        <v>6</v>
      </c>
      <c r="BF96" s="62">
        <v>250</v>
      </c>
      <c r="BG96" s="62">
        <v>3</v>
      </c>
      <c r="BH96" s="62">
        <f t="shared" si="33"/>
        <v>31</v>
      </c>
      <c r="BI96" s="62">
        <v>31</v>
      </c>
      <c r="BN96" s="64"/>
      <c r="BO96" s="64"/>
      <c r="BP96" s="64"/>
      <c r="BQ96" s="64"/>
      <c r="BR96" s="64"/>
      <c r="BS96" s="64"/>
      <c r="BT96" s="64"/>
    </row>
    <row r="97" spans="37:72" ht="16.5" x14ac:dyDescent="0.2">
      <c r="AK97" s="70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1580</v>
      </c>
      <c r="AX97" s="62">
        <v>84</v>
      </c>
      <c r="AY97" s="62">
        <f>INDEX(节奏总表!$I$4:$I$18,MATCH(AX97,节奏总表!$S$4:$S$18,1))</f>
        <v>13</v>
      </c>
      <c r="AZ97" s="15">
        <f>芦花古楼!BC89+芦花古楼!BD88</f>
        <v>645</v>
      </c>
      <c r="BA97" s="16"/>
      <c r="BD97" s="65" t="s">
        <v>552</v>
      </c>
      <c r="BE97" s="62">
        <v>6</v>
      </c>
      <c r="BF97" s="62">
        <v>250</v>
      </c>
      <c r="BG97" s="62">
        <v>3</v>
      </c>
      <c r="BH97" s="62">
        <f t="shared" si="33"/>
        <v>31</v>
      </c>
      <c r="BI97" s="62">
        <v>31</v>
      </c>
      <c r="BN97" s="64"/>
      <c r="BO97" s="64"/>
      <c r="BP97" s="64"/>
      <c r="BQ97" s="64"/>
      <c r="BR97" s="64"/>
      <c r="BS97" s="64"/>
      <c r="BT97" s="64"/>
    </row>
    <row r="98" spans="37:72" ht="16.5" x14ac:dyDescent="0.2">
      <c r="AK98" s="70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1900</v>
      </c>
      <c r="AX98" s="62">
        <v>85</v>
      </c>
      <c r="AY98" s="62">
        <f>INDEX(节奏总表!$I$4:$I$18,MATCH(AX98,节奏总表!$S$4:$S$18,1))</f>
        <v>14</v>
      </c>
      <c r="AZ98" s="15">
        <f>芦花古楼!BC90+芦花古楼!BD89</f>
        <v>545</v>
      </c>
      <c r="BA98" s="16"/>
      <c r="BD98" s="65" t="s">
        <v>553</v>
      </c>
      <c r="BE98" s="62">
        <v>7</v>
      </c>
      <c r="BF98" s="62">
        <v>100</v>
      </c>
      <c r="BG98" s="62">
        <v>3</v>
      </c>
      <c r="BH98" s="62">
        <f t="shared" si="33"/>
        <v>31</v>
      </c>
      <c r="BI98" s="62">
        <v>31</v>
      </c>
      <c r="BN98" s="64"/>
      <c r="BO98" s="64"/>
      <c r="BP98" s="64"/>
      <c r="BQ98" s="64"/>
      <c r="BR98" s="64"/>
      <c r="BS98" s="64"/>
      <c r="BT98" s="64"/>
    </row>
    <row r="99" spans="37:72" ht="16.5" x14ac:dyDescent="0.2">
      <c r="AK99" s="70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3860</v>
      </c>
      <c r="AX99" s="62">
        <v>86</v>
      </c>
      <c r="AY99" s="62">
        <f>INDEX(节奏总表!$I$4:$I$18,MATCH(AX99,节奏总表!$S$4:$S$18,1))</f>
        <v>14</v>
      </c>
      <c r="AZ99" s="15">
        <f>芦花古楼!BC91+芦花古楼!BD90</f>
        <v>555</v>
      </c>
      <c r="BA99" s="16"/>
      <c r="BD99" s="65" t="s">
        <v>554</v>
      </c>
      <c r="BE99" s="62">
        <v>7</v>
      </c>
      <c r="BF99" s="62">
        <v>100</v>
      </c>
      <c r="BG99" s="62">
        <v>3</v>
      </c>
      <c r="BH99" s="62">
        <f t="shared" si="33"/>
        <v>31</v>
      </c>
      <c r="BI99" s="62">
        <v>31</v>
      </c>
      <c r="BN99" s="64"/>
      <c r="BO99" s="64"/>
      <c r="BP99" s="64"/>
      <c r="BQ99" s="64"/>
      <c r="BR99" s="64"/>
      <c r="BS99" s="64"/>
      <c r="BT99" s="64"/>
    </row>
    <row r="100" spans="37:72" ht="16.5" x14ac:dyDescent="0.2">
      <c r="AK100" s="70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4420</v>
      </c>
      <c r="AX100" s="62">
        <v>87</v>
      </c>
      <c r="AY100" s="62">
        <f>INDEX(节奏总表!$I$4:$I$18,MATCH(AX100,节奏总表!$S$4:$S$18,1))</f>
        <v>14</v>
      </c>
      <c r="AZ100" s="15">
        <f>芦花古楼!BC92+芦花古楼!BD91</f>
        <v>665</v>
      </c>
      <c r="BA100" s="16"/>
      <c r="BD100" s="65" t="s">
        <v>555</v>
      </c>
      <c r="BE100" s="62">
        <v>7</v>
      </c>
      <c r="BF100" s="62">
        <v>100</v>
      </c>
      <c r="BG100" s="62">
        <v>3</v>
      </c>
      <c r="BH100" s="62">
        <f t="shared" si="33"/>
        <v>31</v>
      </c>
      <c r="BI100" s="62">
        <v>31</v>
      </c>
      <c r="BN100" s="64"/>
      <c r="BO100" s="64"/>
      <c r="BP100" s="64"/>
      <c r="BQ100" s="64"/>
      <c r="BR100" s="64"/>
      <c r="BS100" s="64"/>
      <c r="BT100" s="64"/>
    </row>
    <row r="101" spans="37:72" ht="16.5" x14ac:dyDescent="0.2">
      <c r="AK101" s="70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4960</v>
      </c>
      <c r="AX101" s="62">
        <v>88</v>
      </c>
      <c r="AY101" s="62">
        <f>INDEX(节奏总表!$I$4:$I$18,MATCH(AX101,节奏总表!$S$4:$S$18,1))</f>
        <v>14</v>
      </c>
      <c r="AZ101" s="15">
        <f>芦花古楼!BC93+芦花古楼!BD92</f>
        <v>565</v>
      </c>
      <c r="BA101" s="16"/>
      <c r="BD101" s="65" t="s">
        <v>556</v>
      </c>
      <c r="BE101" s="62">
        <v>7</v>
      </c>
      <c r="BF101" s="62">
        <v>100</v>
      </c>
      <c r="BG101" s="62">
        <v>3</v>
      </c>
      <c r="BH101" s="62">
        <f t="shared" si="33"/>
        <v>31</v>
      </c>
      <c r="BI101" s="62">
        <v>31</v>
      </c>
      <c r="BN101" s="64"/>
      <c r="BO101" s="64"/>
      <c r="BP101" s="64"/>
      <c r="BQ101" s="64"/>
      <c r="BR101" s="64"/>
      <c r="BS101" s="64"/>
      <c r="BT101" s="64"/>
    </row>
    <row r="102" spans="37:72" ht="16.5" x14ac:dyDescent="0.2">
      <c r="AK102" s="70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5520</v>
      </c>
      <c r="AX102" s="62">
        <v>89</v>
      </c>
      <c r="AY102" s="62">
        <f>INDEX(节奏总表!$I$4:$I$18,MATCH(AX102,节奏总表!$S$4:$S$18,1))</f>
        <v>14</v>
      </c>
      <c r="AZ102" s="15">
        <f>芦花古楼!BC94+芦花古楼!BD93</f>
        <v>570</v>
      </c>
      <c r="BA102" s="16"/>
      <c r="BD102" s="65" t="s">
        <v>557</v>
      </c>
      <c r="BE102" s="62">
        <v>7</v>
      </c>
      <c r="BF102" s="62">
        <v>250</v>
      </c>
      <c r="BG102" s="62">
        <v>3</v>
      </c>
      <c r="BH102" s="62">
        <f t="shared" si="33"/>
        <v>31</v>
      </c>
      <c r="BI102" s="62">
        <v>31</v>
      </c>
      <c r="BN102" s="64"/>
      <c r="BO102" s="64"/>
      <c r="BP102" s="64"/>
      <c r="BQ102" s="64"/>
      <c r="BR102" s="64"/>
      <c r="BS102" s="64"/>
      <c r="BT102" s="64"/>
    </row>
    <row r="103" spans="37:72" ht="16.5" x14ac:dyDescent="0.2">
      <c r="AK103" s="70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6600</v>
      </c>
      <c r="AX103" s="62">
        <v>90</v>
      </c>
      <c r="AY103" s="62">
        <f>INDEX(节奏总表!$I$4:$I$18,MATCH(AX103,节奏总表!$S$4:$S$18,1))</f>
        <v>14</v>
      </c>
      <c r="AZ103" s="15">
        <f>芦花古楼!BC95+芦花古楼!BD94</f>
        <v>675</v>
      </c>
      <c r="BA103" s="16"/>
      <c r="BD103" s="65" t="s">
        <v>558</v>
      </c>
      <c r="BE103" s="62">
        <v>7</v>
      </c>
      <c r="BF103" s="62">
        <v>250</v>
      </c>
      <c r="BG103" s="62">
        <v>3</v>
      </c>
      <c r="BH103" s="62">
        <f t="shared" si="33"/>
        <v>31</v>
      </c>
      <c r="BI103" s="62">
        <v>31</v>
      </c>
      <c r="BN103" s="64"/>
      <c r="BO103" s="64"/>
      <c r="BP103" s="64"/>
      <c r="BQ103" s="64"/>
      <c r="BR103" s="64"/>
      <c r="BS103" s="64"/>
      <c r="BT103" s="64"/>
    </row>
    <row r="104" spans="37:72" ht="16.5" x14ac:dyDescent="0.2">
      <c r="AK104" s="70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7800</v>
      </c>
      <c r="AX104" s="62">
        <v>91</v>
      </c>
      <c r="AY104" s="62">
        <f>INDEX(节奏总表!$I$4:$I$18,MATCH(AX104,节奏总表!$S$4:$S$18,1))</f>
        <v>14</v>
      </c>
      <c r="AZ104" s="15">
        <f>芦花古楼!BC96+芦花古楼!BD95</f>
        <v>565</v>
      </c>
      <c r="BA104" s="16"/>
      <c r="BN104" s="64"/>
      <c r="BO104" s="64"/>
      <c r="BP104" s="64"/>
      <c r="BQ104" s="64"/>
      <c r="BR104" s="64"/>
      <c r="BS104" s="64"/>
      <c r="BT104" s="64"/>
    </row>
    <row r="105" spans="37:72" ht="16.5" x14ac:dyDescent="0.2">
      <c r="AK105" s="70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9100</v>
      </c>
      <c r="AX105" s="62">
        <v>92</v>
      </c>
      <c r="AY105" s="62">
        <f>INDEX(节奏总表!$I$4:$I$18,MATCH(AX105,节奏总表!$S$4:$S$18,1))</f>
        <v>14</v>
      </c>
      <c r="AZ105" s="15">
        <f>芦花古楼!BC97+芦花古楼!BD96</f>
        <v>570</v>
      </c>
      <c r="BA105" s="16"/>
      <c r="BN105" s="64"/>
      <c r="BO105" s="64"/>
      <c r="BP105" s="64"/>
      <c r="BQ105" s="64"/>
      <c r="BR105" s="64"/>
      <c r="BS105" s="64"/>
      <c r="BT105" s="64"/>
    </row>
    <row r="106" spans="37:72" ht="16.5" x14ac:dyDescent="0.2">
      <c r="AK106" s="70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10400</v>
      </c>
      <c r="AX106" s="62">
        <v>93</v>
      </c>
      <c r="AY106" s="62">
        <f>INDEX(节奏总表!$I$4:$I$18,MATCH(AX106,节奏总表!$S$4:$S$18,1))</f>
        <v>14</v>
      </c>
      <c r="AZ106" s="15">
        <f>芦花古楼!BC98+芦花古楼!BD97</f>
        <v>675</v>
      </c>
      <c r="BA106" s="16"/>
      <c r="BN106" s="64"/>
      <c r="BO106" s="64"/>
      <c r="BP106" s="64"/>
      <c r="BQ106" s="64"/>
      <c r="BR106" s="64"/>
      <c r="BS106" s="64"/>
      <c r="BT106" s="64"/>
    </row>
    <row r="107" spans="37:72" ht="16.5" x14ac:dyDescent="0.2">
      <c r="AK107" s="70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11700</v>
      </c>
      <c r="AX107" s="62">
        <v>94</v>
      </c>
      <c r="AY107" s="62">
        <f>INDEX(节奏总表!$I$4:$I$18,MATCH(AX107,节奏总表!$S$4:$S$18,1))</f>
        <v>14</v>
      </c>
      <c r="AZ107" s="15">
        <f>芦花古楼!BC99+芦花古楼!BD98</f>
        <v>565</v>
      </c>
      <c r="BA107" s="16"/>
      <c r="BN107" s="64"/>
      <c r="BO107" s="64"/>
      <c r="BP107" s="64"/>
      <c r="BQ107" s="64"/>
      <c r="BR107" s="64"/>
      <c r="BS107" s="64"/>
      <c r="BT107" s="64"/>
    </row>
    <row r="108" spans="37:72" ht="16.5" x14ac:dyDescent="0.2">
      <c r="AK108" s="70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13000</v>
      </c>
      <c r="AX108" s="62">
        <v>95</v>
      </c>
      <c r="AY108" s="62">
        <f>INDEX(节奏总表!$I$4:$I$18,MATCH(AX108,节奏总表!$S$4:$S$18,1))</f>
        <v>14</v>
      </c>
      <c r="AZ108" s="15">
        <f>芦花古楼!BC100+芦花古楼!BD99</f>
        <v>570</v>
      </c>
      <c r="BA108" s="16"/>
      <c r="BN108" s="64"/>
      <c r="BO108" s="64"/>
      <c r="BP108" s="64"/>
      <c r="BQ108" s="64"/>
      <c r="BR108" s="64"/>
      <c r="BS108" s="64"/>
      <c r="BT108" s="64"/>
    </row>
    <row r="109" spans="37:72" ht="16.5" x14ac:dyDescent="0.2">
      <c r="AK109" s="70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2">
        <v>96</v>
      </c>
      <c r="AY109" s="62">
        <f>INDEX(节奏总表!$I$4:$I$18,MATCH(AX109,节奏总表!$S$4:$S$18,1))</f>
        <v>14</v>
      </c>
      <c r="AZ109" s="15">
        <f>芦花古楼!BC101+芦花古楼!BD100</f>
        <v>675</v>
      </c>
      <c r="BA109" s="16"/>
      <c r="BN109" s="64"/>
      <c r="BO109" s="64"/>
      <c r="BP109" s="64"/>
      <c r="BQ109" s="64"/>
      <c r="BR109" s="64"/>
      <c r="BS109" s="64"/>
      <c r="BT109" s="64"/>
    </row>
    <row r="110" spans="37:72" ht="16.5" x14ac:dyDescent="0.2">
      <c r="AK110" s="70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2220</v>
      </c>
      <c r="AX110" s="62">
        <v>97</v>
      </c>
      <c r="AY110" s="62">
        <f>INDEX(节奏总表!$I$4:$I$18,MATCH(AX110,节奏总表!$S$4:$S$18,1))</f>
        <v>14</v>
      </c>
      <c r="AZ110" s="15">
        <f>芦花古楼!BC102+芦花古楼!BD101</f>
        <v>565</v>
      </c>
      <c r="BA110" s="16"/>
      <c r="BN110" s="64"/>
      <c r="BO110" s="64"/>
      <c r="BP110" s="64"/>
      <c r="BQ110" s="64"/>
      <c r="BR110" s="64"/>
      <c r="BS110" s="64"/>
      <c r="BT110" s="64"/>
    </row>
    <row r="111" spans="37:72" ht="16.5" x14ac:dyDescent="0.2">
      <c r="AK111" s="70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2960</v>
      </c>
      <c r="AX111" s="62">
        <v>98</v>
      </c>
      <c r="AY111" s="62">
        <f>INDEX(节奏总表!$I$4:$I$18,MATCH(AX111,节奏总表!$S$4:$S$18,1))</f>
        <v>14</v>
      </c>
      <c r="AZ111" s="15">
        <f>芦花古楼!BC103+芦花古楼!BD102</f>
        <v>570</v>
      </c>
      <c r="BA111" s="16"/>
    </row>
    <row r="112" spans="37:72" ht="16.5" x14ac:dyDescent="0.2">
      <c r="AK112" s="70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3700</v>
      </c>
      <c r="AX112" s="62">
        <v>99</v>
      </c>
      <c r="AY112" s="62">
        <f>INDEX(节奏总表!$I$4:$I$18,MATCH(AX112,节奏总表!$S$4:$S$18,1))</f>
        <v>14</v>
      </c>
      <c r="AZ112" s="15">
        <f>芦花古楼!BC104+芦花古楼!BD103</f>
        <v>675</v>
      </c>
      <c r="BA112" s="16"/>
    </row>
    <row r="113" spans="37:53" ht="16.5" x14ac:dyDescent="0.2">
      <c r="AK113" s="70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4440</v>
      </c>
      <c r="AX113" s="62">
        <v>100</v>
      </c>
      <c r="AY113" s="62">
        <f>INDEX(节奏总表!$I$4:$I$18,MATCH(AX113,节奏总表!$S$4:$S$18,1))</f>
        <v>14</v>
      </c>
      <c r="AZ113" s="15">
        <f>芦花古楼!BC105+芦花古楼!BD104</f>
        <v>570</v>
      </c>
      <c r="BA113" s="16"/>
    </row>
    <row r="114" spans="37:53" ht="16.5" x14ac:dyDescent="0.2">
      <c r="AK114" s="70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9020</v>
      </c>
    </row>
    <row r="115" spans="37:53" ht="16.5" x14ac:dyDescent="0.2">
      <c r="AK115" s="70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10320</v>
      </c>
    </row>
    <row r="116" spans="37:53" ht="16.5" x14ac:dyDescent="0.2">
      <c r="AK116" s="70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11600</v>
      </c>
    </row>
    <row r="117" spans="37:53" ht="16.5" x14ac:dyDescent="0.2">
      <c r="AK117" s="70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12900</v>
      </c>
    </row>
    <row r="118" spans="37:53" ht="16.5" x14ac:dyDescent="0.2">
      <c r="AK118" s="70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15450</v>
      </c>
    </row>
    <row r="119" spans="37:53" ht="16.5" x14ac:dyDescent="0.2">
      <c r="AK119" s="70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18250</v>
      </c>
    </row>
    <row r="120" spans="37:53" ht="16.5" x14ac:dyDescent="0.2">
      <c r="AK120" s="70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21250</v>
      </c>
    </row>
    <row r="121" spans="37:53" ht="16.5" x14ac:dyDescent="0.2">
      <c r="AK121" s="70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24300</v>
      </c>
    </row>
    <row r="122" spans="37:53" ht="16.5" x14ac:dyDescent="0.2">
      <c r="AK122" s="70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27350</v>
      </c>
    </row>
    <row r="123" spans="37:53" ht="16.5" x14ac:dyDescent="0.2">
      <c r="AK123" s="70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30400</v>
      </c>
    </row>
    <row r="124" spans="37:53" ht="16.5" x14ac:dyDescent="0.2">
      <c r="AK124" s="70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70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315</v>
      </c>
    </row>
    <row r="126" spans="37:53" ht="16.5" x14ac:dyDescent="0.2">
      <c r="AK126" s="70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420</v>
      </c>
    </row>
    <row r="127" spans="37:53" ht="16.5" x14ac:dyDescent="0.2">
      <c r="AK127" s="70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520</v>
      </c>
    </row>
    <row r="128" spans="37:53" ht="16.5" x14ac:dyDescent="0.2">
      <c r="AK128" s="70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630</v>
      </c>
    </row>
    <row r="129" spans="37:47" ht="16.5" x14ac:dyDescent="0.2">
      <c r="AK129" s="70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1280</v>
      </c>
    </row>
    <row r="130" spans="37:47" ht="16.5" x14ac:dyDescent="0.2">
      <c r="AK130" s="70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1460</v>
      </c>
    </row>
    <row r="131" spans="37:47" ht="16.5" x14ac:dyDescent="0.2">
      <c r="AK131" s="70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1640</v>
      </c>
    </row>
    <row r="132" spans="37:47" ht="16.5" x14ac:dyDescent="0.2">
      <c r="AK132" s="70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1840</v>
      </c>
    </row>
    <row r="133" spans="37:47" ht="16.5" x14ac:dyDescent="0.2">
      <c r="AK133" s="70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2200</v>
      </c>
    </row>
    <row r="134" spans="37:47" ht="16.5" x14ac:dyDescent="0.2">
      <c r="AK134" s="70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2600</v>
      </c>
    </row>
    <row r="135" spans="37:47" ht="16.5" x14ac:dyDescent="0.2">
      <c r="AK135" s="70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3000</v>
      </c>
    </row>
    <row r="136" spans="37:47" ht="16.5" x14ac:dyDescent="0.2">
      <c r="AK136" s="70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3450</v>
      </c>
    </row>
    <row r="137" spans="37:47" ht="16.5" x14ac:dyDescent="0.2">
      <c r="AK137" s="70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3900</v>
      </c>
    </row>
    <row r="138" spans="37:47" ht="16.5" x14ac:dyDescent="0.2">
      <c r="AK138" s="70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4300</v>
      </c>
    </row>
    <row r="139" spans="37:47" ht="16.5" x14ac:dyDescent="0.2">
      <c r="AK139" s="70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70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70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70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70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70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70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70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950</v>
      </c>
    </row>
    <row r="147" spans="37:47" ht="16.5" x14ac:dyDescent="0.2">
      <c r="AK147" s="70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1260</v>
      </c>
    </row>
    <row r="148" spans="37:47" ht="16.5" x14ac:dyDescent="0.2">
      <c r="AK148" s="70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1580</v>
      </c>
    </row>
    <row r="149" spans="37:47" ht="16.5" x14ac:dyDescent="0.2">
      <c r="AK149" s="70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1900</v>
      </c>
    </row>
    <row r="150" spans="37:47" ht="16.5" x14ac:dyDescent="0.2">
      <c r="AK150" s="70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3860</v>
      </c>
    </row>
    <row r="151" spans="37:47" ht="16.5" x14ac:dyDescent="0.2">
      <c r="AK151" s="70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4420</v>
      </c>
    </row>
    <row r="152" spans="37:47" ht="16.5" x14ac:dyDescent="0.2">
      <c r="AK152" s="70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4960</v>
      </c>
    </row>
    <row r="153" spans="37:47" ht="16.5" x14ac:dyDescent="0.2">
      <c r="AK153" s="70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5520</v>
      </c>
    </row>
    <row r="154" spans="37:47" ht="16.5" x14ac:dyDescent="0.2">
      <c r="AK154" s="70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6600</v>
      </c>
    </row>
    <row r="155" spans="37:47" ht="16.5" x14ac:dyDescent="0.2">
      <c r="AK155" s="70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7800</v>
      </c>
    </row>
    <row r="156" spans="37:47" ht="16.5" x14ac:dyDescent="0.2">
      <c r="AK156" s="70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9100</v>
      </c>
    </row>
    <row r="157" spans="37:47" ht="16.5" x14ac:dyDescent="0.2">
      <c r="AK157" s="70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10400</v>
      </c>
    </row>
    <row r="158" spans="37:47" ht="16.5" x14ac:dyDescent="0.2">
      <c r="AK158" s="70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11700</v>
      </c>
    </row>
    <row r="159" spans="37:47" ht="16.5" x14ac:dyDescent="0.2">
      <c r="AK159" s="70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13000</v>
      </c>
    </row>
    <row r="160" spans="37:47" ht="16.5" x14ac:dyDescent="0.2">
      <c r="AK160" s="70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70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70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70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70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70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70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70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950</v>
      </c>
    </row>
    <row r="168" spans="37:47" ht="16.5" x14ac:dyDescent="0.2">
      <c r="AK168" s="70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1260</v>
      </c>
    </row>
    <row r="169" spans="37:47" ht="16.5" x14ac:dyDescent="0.2">
      <c r="AK169" s="70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1580</v>
      </c>
    </row>
    <row r="170" spans="37:47" ht="16.5" x14ac:dyDescent="0.2">
      <c r="AK170" s="70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1900</v>
      </c>
    </row>
    <row r="171" spans="37:47" ht="16.5" x14ac:dyDescent="0.2">
      <c r="AK171" s="70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3860</v>
      </c>
    </row>
    <row r="172" spans="37:47" ht="16.5" x14ac:dyDescent="0.2">
      <c r="AK172" s="70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4420</v>
      </c>
    </row>
    <row r="173" spans="37:47" ht="16.5" x14ac:dyDescent="0.2">
      <c r="AK173" s="70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4960</v>
      </c>
    </row>
    <row r="174" spans="37:47" ht="16.5" x14ac:dyDescent="0.2">
      <c r="AK174" s="70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5520</v>
      </c>
    </row>
    <row r="175" spans="37:47" ht="16.5" x14ac:dyDescent="0.2">
      <c r="AK175" s="70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6600</v>
      </c>
    </row>
    <row r="176" spans="37:47" ht="16.5" x14ac:dyDescent="0.2">
      <c r="AK176" s="70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7800</v>
      </c>
    </row>
    <row r="177" spans="37:47" ht="16.5" x14ac:dyDescent="0.2">
      <c r="AK177" s="70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9100</v>
      </c>
    </row>
    <row r="178" spans="37:47" ht="16.5" x14ac:dyDescent="0.2">
      <c r="AK178" s="70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10400</v>
      </c>
    </row>
    <row r="179" spans="37:47" ht="16.5" x14ac:dyDescent="0.2">
      <c r="AK179" s="70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11700</v>
      </c>
    </row>
    <row r="180" spans="37:47" ht="16.5" x14ac:dyDescent="0.2">
      <c r="AK180" s="70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13000</v>
      </c>
    </row>
    <row r="181" spans="37:47" ht="16.5" x14ac:dyDescent="0.2">
      <c r="AK181" s="70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70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70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70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70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70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70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70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2220</v>
      </c>
    </row>
    <row r="189" spans="37:47" ht="16.5" x14ac:dyDescent="0.2">
      <c r="AK189" s="70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2960</v>
      </c>
    </row>
    <row r="190" spans="37:47" ht="16.5" x14ac:dyDescent="0.2">
      <c r="AK190" s="70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3700</v>
      </c>
    </row>
    <row r="191" spans="37:47" ht="16.5" x14ac:dyDescent="0.2">
      <c r="AK191" s="70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4440</v>
      </c>
    </row>
    <row r="192" spans="37:47" ht="16.5" x14ac:dyDescent="0.2">
      <c r="AK192" s="70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9020</v>
      </c>
    </row>
    <row r="193" spans="37:47" ht="16.5" x14ac:dyDescent="0.2">
      <c r="AK193" s="70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10320</v>
      </c>
    </row>
    <row r="194" spans="37:47" ht="16.5" x14ac:dyDescent="0.2">
      <c r="AK194" s="70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11600</v>
      </c>
    </row>
    <row r="195" spans="37:47" ht="16.5" x14ac:dyDescent="0.2">
      <c r="AK195" s="70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12900</v>
      </c>
    </row>
    <row r="196" spans="37:47" ht="16.5" x14ac:dyDescent="0.2">
      <c r="AK196" s="70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15450</v>
      </c>
    </row>
    <row r="197" spans="37:47" ht="16.5" x14ac:dyDescent="0.2">
      <c r="AK197" s="70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18250</v>
      </c>
    </row>
    <row r="198" spans="37:47" ht="16.5" x14ac:dyDescent="0.2">
      <c r="AK198" s="70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21250</v>
      </c>
    </row>
    <row r="199" spans="37:47" ht="16.5" x14ac:dyDescent="0.2">
      <c r="AK199" s="70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24300</v>
      </c>
    </row>
    <row r="200" spans="37:47" ht="16.5" x14ac:dyDescent="0.2">
      <c r="AK200" s="70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27350</v>
      </c>
    </row>
    <row r="201" spans="37:47" ht="16.5" x14ac:dyDescent="0.2">
      <c r="AK201" s="70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30400</v>
      </c>
    </row>
    <row r="202" spans="37:47" ht="16.5" x14ac:dyDescent="0.2">
      <c r="AK202" s="70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70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70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70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70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70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70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70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2220</v>
      </c>
    </row>
    <row r="210" spans="37:47" ht="16.5" x14ac:dyDescent="0.2">
      <c r="AK210" s="70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2960</v>
      </c>
    </row>
    <row r="211" spans="37:47" ht="16.5" x14ac:dyDescent="0.2">
      <c r="AK211" s="70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3700</v>
      </c>
    </row>
    <row r="212" spans="37:47" ht="16.5" x14ac:dyDescent="0.2">
      <c r="AK212" s="70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4440</v>
      </c>
    </row>
    <row r="213" spans="37:47" ht="16.5" x14ac:dyDescent="0.2">
      <c r="AK213" s="70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9020</v>
      </c>
    </row>
    <row r="214" spans="37:47" ht="16.5" x14ac:dyDescent="0.2">
      <c r="AK214" s="70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10320</v>
      </c>
    </row>
    <row r="215" spans="37:47" ht="16.5" x14ac:dyDescent="0.2">
      <c r="AK215" s="70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11600</v>
      </c>
    </row>
    <row r="216" spans="37:47" ht="16.5" x14ac:dyDescent="0.2">
      <c r="AK216" s="70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12900</v>
      </c>
    </row>
    <row r="217" spans="37:47" ht="16.5" x14ac:dyDescent="0.2">
      <c r="AK217" s="70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15450</v>
      </c>
    </row>
    <row r="218" spans="37:47" ht="16.5" x14ac:dyDescent="0.2">
      <c r="AK218" s="70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18250</v>
      </c>
    </row>
    <row r="219" spans="37:47" ht="16.5" x14ac:dyDescent="0.2">
      <c r="AK219" s="70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21250</v>
      </c>
    </row>
    <row r="220" spans="37:47" ht="16.5" x14ac:dyDescent="0.2">
      <c r="AK220" s="70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24300</v>
      </c>
    </row>
    <row r="221" spans="37:47" ht="16.5" x14ac:dyDescent="0.2">
      <c r="AK221" s="70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27350</v>
      </c>
    </row>
    <row r="222" spans="37:47" ht="16.5" x14ac:dyDescent="0.2">
      <c r="AK222" s="70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30400</v>
      </c>
    </row>
    <row r="223" spans="37:47" ht="16.5" x14ac:dyDescent="0.2">
      <c r="AK223" s="70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70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70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70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70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70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70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70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4755</v>
      </c>
    </row>
    <row r="231" spans="37:47" ht="16.5" x14ac:dyDescent="0.2">
      <c r="AK231" s="70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6340</v>
      </c>
    </row>
    <row r="232" spans="37:47" ht="16.5" x14ac:dyDescent="0.2">
      <c r="AK232" s="70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7930</v>
      </c>
    </row>
    <row r="233" spans="37:47" ht="16.5" x14ac:dyDescent="0.2">
      <c r="AK233" s="70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9510</v>
      </c>
    </row>
    <row r="234" spans="37:47" ht="16.5" x14ac:dyDescent="0.2">
      <c r="AK234" s="70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19340</v>
      </c>
    </row>
    <row r="235" spans="37:47" ht="16.5" x14ac:dyDescent="0.2">
      <c r="AK235" s="70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22120</v>
      </c>
    </row>
    <row r="236" spans="37:47" ht="16.5" x14ac:dyDescent="0.2">
      <c r="AK236" s="70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24880</v>
      </c>
    </row>
    <row r="237" spans="37:47" ht="16.5" x14ac:dyDescent="0.2">
      <c r="AK237" s="70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27640</v>
      </c>
    </row>
    <row r="238" spans="37:47" ht="16.5" x14ac:dyDescent="0.2">
      <c r="AK238" s="70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33150</v>
      </c>
    </row>
    <row r="239" spans="37:47" ht="16.5" x14ac:dyDescent="0.2">
      <c r="AK239" s="70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39100</v>
      </c>
    </row>
    <row r="240" spans="37:47" ht="16.5" x14ac:dyDescent="0.2">
      <c r="AK240" s="70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45600</v>
      </c>
    </row>
    <row r="241" spans="37:47" ht="16.5" x14ac:dyDescent="0.2">
      <c r="AK241" s="70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52100</v>
      </c>
    </row>
    <row r="242" spans="37:47" ht="16.5" x14ac:dyDescent="0.2">
      <c r="AK242" s="70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58650</v>
      </c>
    </row>
    <row r="243" spans="37:47" ht="16.5" x14ac:dyDescent="0.2">
      <c r="AK243" s="70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65100</v>
      </c>
    </row>
    <row r="244" spans="37:47" ht="16.5" x14ac:dyDescent="0.2">
      <c r="AK244" s="70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70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70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70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70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70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70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70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315</v>
      </c>
    </row>
    <row r="252" spans="37:47" ht="16.5" x14ac:dyDescent="0.2">
      <c r="AK252" s="70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420</v>
      </c>
    </row>
    <row r="253" spans="37:47" ht="16.5" x14ac:dyDescent="0.2">
      <c r="AK253" s="70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520</v>
      </c>
    </row>
    <row r="254" spans="37:47" ht="16.5" x14ac:dyDescent="0.2">
      <c r="AK254" s="70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630</v>
      </c>
    </row>
    <row r="255" spans="37:47" ht="16.5" x14ac:dyDescent="0.2">
      <c r="AK255" s="70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1280</v>
      </c>
    </row>
    <row r="256" spans="37:47" ht="16.5" x14ac:dyDescent="0.2">
      <c r="AK256" s="70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1460</v>
      </c>
    </row>
    <row r="257" spans="37:47" ht="16.5" x14ac:dyDescent="0.2">
      <c r="AK257" s="70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1640</v>
      </c>
    </row>
    <row r="258" spans="37:47" ht="16.5" x14ac:dyDescent="0.2">
      <c r="AK258" s="70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1840</v>
      </c>
    </row>
    <row r="259" spans="37:47" ht="16.5" x14ac:dyDescent="0.2">
      <c r="AK259" s="70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2200</v>
      </c>
    </row>
    <row r="260" spans="37:47" ht="16.5" x14ac:dyDescent="0.2">
      <c r="AK260" s="70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2600</v>
      </c>
    </row>
    <row r="261" spans="37:47" ht="16.5" x14ac:dyDescent="0.2">
      <c r="AK261" s="70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3000</v>
      </c>
    </row>
    <row r="262" spans="37:47" ht="16.5" x14ac:dyDescent="0.2">
      <c r="AK262" s="70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3450</v>
      </c>
    </row>
    <row r="263" spans="37:47" ht="16.5" x14ac:dyDescent="0.2">
      <c r="AK263" s="70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3900</v>
      </c>
    </row>
    <row r="264" spans="37:47" ht="16.5" x14ac:dyDescent="0.2">
      <c r="AK264" s="70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4300</v>
      </c>
    </row>
    <row r="265" spans="37:47" ht="16.5" x14ac:dyDescent="0.2">
      <c r="AK265" s="70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70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70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70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70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70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70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70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315</v>
      </c>
    </row>
    <row r="273" spans="37:47" ht="16.5" x14ac:dyDescent="0.2">
      <c r="AK273" s="70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420</v>
      </c>
    </row>
    <row r="274" spans="37:47" ht="16.5" x14ac:dyDescent="0.2">
      <c r="AK274" s="70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520</v>
      </c>
    </row>
    <row r="275" spans="37:47" ht="16.5" x14ac:dyDescent="0.2">
      <c r="AK275" s="70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630</v>
      </c>
    </row>
    <row r="276" spans="37:47" ht="16.5" x14ac:dyDescent="0.2">
      <c r="AK276" s="70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1280</v>
      </c>
    </row>
    <row r="277" spans="37:47" ht="16.5" x14ac:dyDescent="0.2">
      <c r="AK277" s="70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1460</v>
      </c>
    </row>
    <row r="278" spans="37:47" ht="16.5" x14ac:dyDescent="0.2">
      <c r="AK278" s="70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1640</v>
      </c>
    </row>
    <row r="279" spans="37:47" ht="16.5" x14ac:dyDescent="0.2">
      <c r="AK279" s="70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1840</v>
      </c>
    </row>
    <row r="280" spans="37:47" ht="16.5" x14ac:dyDescent="0.2">
      <c r="AK280" s="70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2200</v>
      </c>
    </row>
    <row r="281" spans="37:47" ht="16.5" x14ac:dyDescent="0.2">
      <c r="AK281" s="70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2600</v>
      </c>
    </row>
    <row r="282" spans="37:47" ht="16.5" x14ac:dyDescent="0.2">
      <c r="AK282" s="70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3000</v>
      </c>
    </row>
    <row r="283" spans="37:47" ht="16.5" x14ac:dyDescent="0.2">
      <c r="AK283" s="70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3450</v>
      </c>
    </row>
    <row r="284" spans="37:47" ht="16.5" x14ac:dyDescent="0.2">
      <c r="AK284" s="70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3900</v>
      </c>
    </row>
    <row r="285" spans="37:47" ht="16.5" x14ac:dyDescent="0.2">
      <c r="AK285" s="70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4300</v>
      </c>
    </row>
    <row r="286" spans="37:47" ht="16.5" x14ac:dyDescent="0.2">
      <c r="AK286" s="70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70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70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70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70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70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70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70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950</v>
      </c>
    </row>
    <row r="294" spans="37:47" ht="16.5" x14ac:dyDescent="0.2">
      <c r="AK294" s="70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1260</v>
      </c>
    </row>
    <row r="295" spans="37:47" ht="16.5" x14ac:dyDescent="0.2">
      <c r="AK295" s="70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1580</v>
      </c>
    </row>
    <row r="296" spans="37:47" ht="16.5" x14ac:dyDescent="0.2">
      <c r="AK296" s="70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1900</v>
      </c>
    </row>
    <row r="297" spans="37:47" ht="16.5" x14ac:dyDescent="0.2">
      <c r="AK297" s="70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3860</v>
      </c>
    </row>
    <row r="298" spans="37:47" ht="16.5" x14ac:dyDescent="0.2">
      <c r="AK298" s="70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4420</v>
      </c>
    </row>
    <row r="299" spans="37:47" ht="16.5" x14ac:dyDescent="0.2">
      <c r="AK299" s="70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4960</v>
      </c>
    </row>
    <row r="300" spans="37:47" ht="16.5" x14ac:dyDescent="0.2">
      <c r="AK300" s="70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5520</v>
      </c>
    </row>
    <row r="301" spans="37:47" ht="16.5" x14ac:dyDescent="0.2">
      <c r="AK301" s="70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6600</v>
      </c>
    </row>
    <row r="302" spans="37:47" ht="16.5" x14ac:dyDescent="0.2">
      <c r="AK302" s="70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7800</v>
      </c>
    </row>
    <row r="303" spans="37:47" ht="16.5" x14ac:dyDescent="0.2">
      <c r="AK303" s="70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9100</v>
      </c>
    </row>
    <row r="304" spans="37:47" ht="16.5" x14ac:dyDescent="0.2">
      <c r="AK304" s="70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10400</v>
      </c>
    </row>
    <row r="305" spans="37:47" ht="16.5" x14ac:dyDescent="0.2">
      <c r="AK305" s="70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11700</v>
      </c>
    </row>
    <row r="306" spans="37:47" ht="16.5" x14ac:dyDescent="0.2">
      <c r="AK306" s="70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13000</v>
      </c>
    </row>
    <row r="307" spans="37:47" ht="16.5" x14ac:dyDescent="0.2">
      <c r="AK307" s="70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70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70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70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70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70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70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70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950</v>
      </c>
    </row>
    <row r="315" spans="37:47" ht="16.5" x14ac:dyDescent="0.2">
      <c r="AK315" s="70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1260</v>
      </c>
    </row>
    <row r="316" spans="37:47" ht="16.5" x14ac:dyDescent="0.2">
      <c r="AK316" s="70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1580</v>
      </c>
    </row>
    <row r="317" spans="37:47" ht="16.5" x14ac:dyDescent="0.2">
      <c r="AK317" s="70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1900</v>
      </c>
    </row>
    <row r="318" spans="37:47" ht="16.5" x14ac:dyDescent="0.2">
      <c r="AK318" s="70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3860</v>
      </c>
    </row>
    <row r="319" spans="37:47" ht="16.5" x14ac:dyDescent="0.2">
      <c r="AK319" s="70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4420</v>
      </c>
    </row>
    <row r="320" spans="37:47" ht="16.5" x14ac:dyDescent="0.2">
      <c r="AK320" s="70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4960</v>
      </c>
    </row>
    <row r="321" spans="37:47" ht="16.5" x14ac:dyDescent="0.2">
      <c r="AK321" s="70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5520</v>
      </c>
    </row>
    <row r="322" spans="37:47" ht="16.5" x14ac:dyDescent="0.2">
      <c r="AK322" s="70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6600</v>
      </c>
    </row>
    <row r="323" spans="37:47" ht="16.5" x14ac:dyDescent="0.2">
      <c r="AK323" s="70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7800</v>
      </c>
    </row>
    <row r="324" spans="37:47" ht="16.5" x14ac:dyDescent="0.2">
      <c r="AK324" s="70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9100</v>
      </c>
    </row>
    <row r="325" spans="37:47" ht="16.5" x14ac:dyDescent="0.2">
      <c r="AK325" s="70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10400</v>
      </c>
    </row>
    <row r="326" spans="37:47" ht="16.5" x14ac:dyDescent="0.2">
      <c r="AK326" s="70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11700</v>
      </c>
    </row>
    <row r="327" spans="37:47" ht="16.5" x14ac:dyDescent="0.2">
      <c r="AK327" s="70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13000</v>
      </c>
    </row>
    <row r="328" spans="37:47" ht="16.5" x14ac:dyDescent="0.2">
      <c r="AK328" s="70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70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70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70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70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70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70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70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950</v>
      </c>
    </row>
    <row r="336" spans="37:47" ht="16.5" x14ac:dyDescent="0.2">
      <c r="AK336" s="70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1260</v>
      </c>
    </row>
    <row r="337" spans="37:47" ht="16.5" x14ac:dyDescent="0.2">
      <c r="AK337" s="70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1580</v>
      </c>
    </row>
    <row r="338" spans="37:47" ht="16.5" x14ac:dyDescent="0.2">
      <c r="AK338" s="70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1900</v>
      </c>
    </row>
    <row r="339" spans="37:47" ht="16.5" x14ac:dyDescent="0.2">
      <c r="AK339" s="70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3860</v>
      </c>
    </row>
    <row r="340" spans="37:47" ht="16.5" x14ac:dyDescent="0.2">
      <c r="AK340" s="70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4420</v>
      </c>
    </row>
    <row r="341" spans="37:47" ht="16.5" x14ac:dyDescent="0.2">
      <c r="AK341" s="70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4960</v>
      </c>
    </row>
    <row r="342" spans="37:47" ht="16.5" x14ac:dyDescent="0.2">
      <c r="AK342" s="70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5520</v>
      </c>
    </row>
    <row r="343" spans="37:47" ht="16.5" x14ac:dyDescent="0.2">
      <c r="AK343" s="70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6600</v>
      </c>
    </row>
    <row r="344" spans="37:47" ht="16.5" x14ac:dyDescent="0.2">
      <c r="AK344" s="70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7800</v>
      </c>
    </row>
    <row r="345" spans="37:47" ht="16.5" x14ac:dyDescent="0.2">
      <c r="AK345" s="70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9100</v>
      </c>
    </row>
    <row r="346" spans="37:47" ht="16.5" x14ac:dyDescent="0.2">
      <c r="AK346" s="70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10400</v>
      </c>
    </row>
    <row r="347" spans="37:47" ht="16.5" x14ac:dyDescent="0.2">
      <c r="AK347" s="70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11700</v>
      </c>
    </row>
    <row r="348" spans="37:47" ht="16.5" x14ac:dyDescent="0.2">
      <c r="AK348" s="70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13000</v>
      </c>
    </row>
    <row r="349" spans="37:47" ht="16.5" x14ac:dyDescent="0.2">
      <c r="AK349" s="70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70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70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70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70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70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70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70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2220</v>
      </c>
    </row>
    <row r="357" spans="37:47" ht="16.5" x14ac:dyDescent="0.2">
      <c r="AK357" s="70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2960</v>
      </c>
    </row>
    <row r="358" spans="37:47" ht="16.5" x14ac:dyDescent="0.2">
      <c r="AK358" s="70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3700</v>
      </c>
    </row>
    <row r="359" spans="37:47" ht="16.5" x14ac:dyDescent="0.2">
      <c r="AK359" s="70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4440</v>
      </c>
    </row>
    <row r="360" spans="37:47" ht="16.5" x14ac:dyDescent="0.2">
      <c r="AK360" s="70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9020</v>
      </c>
    </row>
    <row r="361" spans="37:47" ht="16.5" x14ac:dyDescent="0.2">
      <c r="AK361" s="70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10320</v>
      </c>
    </row>
    <row r="362" spans="37:47" ht="16.5" x14ac:dyDescent="0.2">
      <c r="AK362" s="70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11600</v>
      </c>
    </row>
    <row r="363" spans="37:47" ht="16.5" x14ac:dyDescent="0.2">
      <c r="AK363" s="70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12900</v>
      </c>
    </row>
    <row r="364" spans="37:47" ht="16.5" x14ac:dyDescent="0.2">
      <c r="AK364" s="70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15450</v>
      </c>
    </row>
    <row r="365" spans="37:47" ht="16.5" x14ac:dyDescent="0.2">
      <c r="AK365" s="70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18250</v>
      </c>
    </row>
    <row r="366" spans="37:47" ht="16.5" x14ac:dyDescent="0.2">
      <c r="AK366" s="70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21250</v>
      </c>
    </row>
    <row r="367" spans="37:47" ht="16.5" x14ac:dyDescent="0.2">
      <c r="AK367" s="70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24300</v>
      </c>
    </row>
    <row r="368" spans="37:47" ht="16.5" x14ac:dyDescent="0.2">
      <c r="AK368" s="70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27350</v>
      </c>
    </row>
    <row r="369" spans="37:47" ht="16.5" x14ac:dyDescent="0.2">
      <c r="AK369" s="70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30400</v>
      </c>
    </row>
    <row r="370" spans="37:47" ht="16.5" x14ac:dyDescent="0.2">
      <c r="AK370" s="70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70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70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70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70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70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70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70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315</v>
      </c>
    </row>
    <row r="378" spans="37:47" ht="16.5" x14ac:dyDescent="0.2">
      <c r="AK378" s="70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420</v>
      </c>
    </row>
    <row r="379" spans="37:47" ht="16.5" x14ac:dyDescent="0.2">
      <c r="AK379" s="70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520</v>
      </c>
    </row>
    <row r="380" spans="37:47" ht="16.5" x14ac:dyDescent="0.2">
      <c r="AK380" s="70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630</v>
      </c>
    </row>
    <row r="381" spans="37:47" ht="16.5" x14ac:dyDescent="0.2">
      <c r="AK381" s="70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1280</v>
      </c>
    </row>
    <row r="382" spans="37:47" ht="16.5" x14ac:dyDescent="0.2">
      <c r="AK382" s="70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1460</v>
      </c>
    </row>
    <row r="383" spans="37:47" ht="16.5" x14ac:dyDescent="0.2">
      <c r="AK383" s="70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1640</v>
      </c>
    </row>
    <row r="384" spans="37:47" ht="16.5" x14ac:dyDescent="0.2">
      <c r="AK384" s="70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1840</v>
      </c>
    </row>
    <row r="385" spans="37:47" ht="16.5" x14ac:dyDescent="0.2">
      <c r="AK385" s="70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2200</v>
      </c>
    </row>
    <row r="386" spans="37:47" ht="16.5" x14ac:dyDescent="0.2">
      <c r="AK386" s="70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2600</v>
      </c>
    </row>
    <row r="387" spans="37:47" ht="16.5" x14ac:dyDescent="0.2">
      <c r="AK387" s="70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3000</v>
      </c>
    </row>
    <row r="388" spans="37:47" ht="16.5" x14ac:dyDescent="0.2">
      <c r="AK388" s="70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3450</v>
      </c>
    </row>
    <row r="389" spans="37:47" ht="16.5" x14ac:dyDescent="0.2">
      <c r="AK389" s="70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3900</v>
      </c>
    </row>
    <row r="390" spans="37:47" ht="16.5" x14ac:dyDescent="0.2">
      <c r="AK390" s="70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4300</v>
      </c>
    </row>
    <row r="391" spans="37:47" ht="16.5" x14ac:dyDescent="0.2">
      <c r="AK391" s="70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70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70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70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70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70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70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70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315</v>
      </c>
    </row>
    <row r="399" spans="37:47" ht="16.5" x14ac:dyDescent="0.2">
      <c r="AK399" s="70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420</v>
      </c>
    </row>
    <row r="400" spans="37:47" ht="16.5" x14ac:dyDescent="0.2">
      <c r="AK400" s="70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520</v>
      </c>
    </row>
    <row r="401" spans="37:47" ht="16.5" x14ac:dyDescent="0.2">
      <c r="AK401" s="70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630</v>
      </c>
    </row>
    <row r="402" spans="37:47" ht="16.5" x14ac:dyDescent="0.2">
      <c r="AK402" s="70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1280</v>
      </c>
    </row>
    <row r="403" spans="37:47" ht="16.5" x14ac:dyDescent="0.2">
      <c r="AK403" s="70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1460</v>
      </c>
    </row>
    <row r="404" spans="37:47" ht="16.5" x14ac:dyDescent="0.2">
      <c r="AK404" s="70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1640</v>
      </c>
    </row>
    <row r="405" spans="37:47" ht="16.5" x14ac:dyDescent="0.2">
      <c r="AK405" s="70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1840</v>
      </c>
    </row>
    <row r="406" spans="37:47" ht="16.5" x14ac:dyDescent="0.2">
      <c r="AK406" s="70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2200</v>
      </c>
    </row>
    <row r="407" spans="37:47" ht="16.5" x14ac:dyDescent="0.2">
      <c r="AK407" s="70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2600</v>
      </c>
    </row>
    <row r="408" spans="37:47" ht="16.5" x14ac:dyDescent="0.2">
      <c r="AK408" s="70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3000</v>
      </c>
    </row>
    <row r="409" spans="37:47" ht="16.5" x14ac:dyDescent="0.2">
      <c r="AK409" s="70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3450</v>
      </c>
    </row>
    <row r="410" spans="37:47" ht="16.5" x14ac:dyDescent="0.2">
      <c r="AK410" s="70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3900</v>
      </c>
    </row>
    <row r="411" spans="37:47" ht="16.5" x14ac:dyDescent="0.2">
      <c r="AK411" s="70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4300</v>
      </c>
    </row>
    <row r="412" spans="37:47" ht="16.5" x14ac:dyDescent="0.2">
      <c r="AK412" s="70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70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70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70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70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70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70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70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950</v>
      </c>
    </row>
    <row r="420" spans="37:47" ht="16.5" x14ac:dyDescent="0.2">
      <c r="AK420" s="70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1260</v>
      </c>
    </row>
    <row r="421" spans="37:47" ht="16.5" x14ac:dyDescent="0.2">
      <c r="AK421" s="70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1580</v>
      </c>
    </row>
    <row r="422" spans="37:47" ht="16.5" x14ac:dyDescent="0.2">
      <c r="AK422" s="70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1900</v>
      </c>
    </row>
    <row r="423" spans="37:47" ht="16.5" x14ac:dyDescent="0.2">
      <c r="AK423" s="70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3860</v>
      </c>
    </row>
    <row r="424" spans="37:47" ht="16.5" x14ac:dyDescent="0.2">
      <c r="AK424" s="70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4420</v>
      </c>
    </row>
    <row r="425" spans="37:47" ht="16.5" x14ac:dyDescent="0.2">
      <c r="AK425" s="70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4960</v>
      </c>
    </row>
    <row r="426" spans="37:47" ht="16.5" x14ac:dyDescent="0.2">
      <c r="AK426" s="70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5520</v>
      </c>
    </row>
    <row r="427" spans="37:47" ht="16.5" x14ac:dyDescent="0.2">
      <c r="AK427" s="70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6600</v>
      </c>
    </row>
    <row r="428" spans="37:47" ht="16.5" x14ac:dyDescent="0.2">
      <c r="AK428" s="70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7800</v>
      </c>
    </row>
    <row r="429" spans="37:47" ht="16.5" x14ac:dyDescent="0.2">
      <c r="AK429" s="70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9100</v>
      </c>
    </row>
    <row r="430" spans="37:47" ht="16.5" x14ac:dyDescent="0.2">
      <c r="AK430" s="70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10400</v>
      </c>
    </row>
    <row r="431" spans="37:47" ht="16.5" x14ac:dyDescent="0.2">
      <c r="AK431" s="70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11700</v>
      </c>
    </row>
    <row r="432" spans="37:47" ht="16.5" x14ac:dyDescent="0.2">
      <c r="AK432" s="70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13000</v>
      </c>
    </row>
    <row r="433" spans="37:47" ht="16.5" x14ac:dyDescent="0.2">
      <c r="AK433" s="70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70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70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70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70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70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70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70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950</v>
      </c>
    </row>
    <row r="441" spans="37:47" ht="16.5" x14ac:dyDescent="0.2">
      <c r="AK441" s="70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1260</v>
      </c>
    </row>
    <row r="442" spans="37:47" ht="16.5" x14ac:dyDescent="0.2">
      <c r="AK442" s="70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1580</v>
      </c>
    </row>
    <row r="443" spans="37:47" ht="16.5" x14ac:dyDescent="0.2">
      <c r="AK443" s="70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1900</v>
      </c>
    </row>
    <row r="444" spans="37:47" ht="16.5" x14ac:dyDescent="0.2">
      <c r="AK444" s="70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3860</v>
      </c>
    </row>
    <row r="445" spans="37:47" ht="16.5" x14ac:dyDescent="0.2">
      <c r="AK445" s="70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4420</v>
      </c>
    </row>
    <row r="446" spans="37:47" ht="16.5" x14ac:dyDescent="0.2">
      <c r="AK446" s="70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4960</v>
      </c>
    </row>
    <row r="447" spans="37:47" ht="16.5" x14ac:dyDescent="0.2">
      <c r="AK447" s="70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5520</v>
      </c>
    </row>
    <row r="448" spans="37:47" ht="16.5" x14ac:dyDescent="0.2">
      <c r="AK448" s="70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6600</v>
      </c>
    </row>
    <row r="449" spans="37:47" ht="16.5" x14ac:dyDescent="0.2">
      <c r="AK449" s="70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7800</v>
      </c>
    </row>
    <row r="450" spans="37:47" ht="16.5" x14ac:dyDescent="0.2">
      <c r="AK450" s="70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9100</v>
      </c>
    </row>
    <row r="451" spans="37:47" ht="16.5" x14ac:dyDescent="0.2">
      <c r="AK451" s="70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10400</v>
      </c>
    </row>
    <row r="452" spans="37:47" ht="16.5" x14ac:dyDescent="0.2">
      <c r="AK452" s="70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11700</v>
      </c>
    </row>
    <row r="453" spans="37:47" ht="16.5" x14ac:dyDescent="0.2">
      <c r="AK453" s="70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13000</v>
      </c>
    </row>
    <row r="454" spans="37:47" ht="16.5" x14ac:dyDescent="0.2">
      <c r="AK454" s="70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70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70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70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70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70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70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70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950</v>
      </c>
    </row>
    <row r="462" spans="37:47" ht="16.5" x14ac:dyDescent="0.2">
      <c r="AK462" s="70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1260</v>
      </c>
    </row>
    <row r="463" spans="37:47" ht="16.5" x14ac:dyDescent="0.2">
      <c r="AK463" s="70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1580</v>
      </c>
    </row>
    <row r="464" spans="37:47" ht="16.5" x14ac:dyDescent="0.2">
      <c r="AK464" s="70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1900</v>
      </c>
    </row>
    <row r="465" spans="37:47" ht="16.5" x14ac:dyDescent="0.2">
      <c r="AK465" s="70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3860</v>
      </c>
    </row>
    <row r="466" spans="37:47" ht="16.5" x14ac:dyDescent="0.2">
      <c r="AK466" s="70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4420</v>
      </c>
    </row>
    <row r="467" spans="37:47" ht="16.5" x14ac:dyDescent="0.2">
      <c r="AK467" s="70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4960</v>
      </c>
    </row>
    <row r="468" spans="37:47" ht="16.5" x14ac:dyDescent="0.2">
      <c r="AK468" s="70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5520</v>
      </c>
    </row>
    <row r="469" spans="37:47" ht="16.5" x14ac:dyDescent="0.2">
      <c r="AK469" s="70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6600</v>
      </c>
    </row>
    <row r="470" spans="37:47" ht="16.5" x14ac:dyDescent="0.2">
      <c r="AK470" s="70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7800</v>
      </c>
    </row>
    <row r="471" spans="37:47" ht="16.5" x14ac:dyDescent="0.2">
      <c r="AK471" s="70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9100</v>
      </c>
    </row>
    <row r="472" spans="37:47" ht="16.5" x14ac:dyDescent="0.2">
      <c r="AK472" s="70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10400</v>
      </c>
    </row>
    <row r="473" spans="37:47" ht="16.5" x14ac:dyDescent="0.2">
      <c r="AK473" s="70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11700</v>
      </c>
    </row>
    <row r="474" spans="37:47" ht="16.5" x14ac:dyDescent="0.2">
      <c r="AK474" s="70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13000</v>
      </c>
    </row>
    <row r="475" spans="37:47" ht="16.5" x14ac:dyDescent="0.2">
      <c r="AK475" s="70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70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70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70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70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70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70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70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2220</v>
      </c>
    </row>
    <row r="483" spans="37:47" ht="16.5" x14ac:dyDescent="0.2">
      <c r="AK483" s="70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2960</v>
      </c>
    </row>
    <row r="484" spans="37:47" ht="16.5" x14ac:dyDescent="0.2">
      <c r="AK484" s="70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3700</v>
      </c>
    </row>
    <row r="485" spans="37:47" ht="16.5" x14ac:dyDescent="0.2">
      <c r="AK485" s="70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4440</v>
      </c>
    </row>
    <row r="486" spans="37:47" ht="16.5" x14ac:dyDescent="0.2">
      <c r="AK486" s="70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9020</v>
      </c>
    </row>
    <row r="487" spans="37:47" ht="16.5" x14ac:dyDescent="0.2">
      <c r="AK487" s="70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10320</v>
      </c>
    </row>
    <row r="488" spans="37:47" ht="16.5" x14ac:dyDescent="0.2">
      <c r="AK488" s="70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11600</v>
      </c>
    </row>
    <row r="489" spans="37:47" ht="16.5" x14ac:dyDescent="0.2">
      <c r="AK489" s="70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12900</v>
      </c>
    </row>
    <row r="490" spans="37:47" ht="16.5" x14ac:dyDescent="0.2">
      <c r="AK490" s="70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15450</v>
      </c>
    </row>
    <row r="491" spans="37:47" ht="16.5" x14ac:dyDescent="0.2">
      <c r="AK491" s="70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18250</v>
      </c>
    </row>
    <row r="492" spans="37:47" ht="16.5" x14ac:dyDescent="0.2">
      <c r="AK492" s="70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21250</v>
      </c>
    </row>
    <row r="493" spans="37:47" ht="16.5" x14ac:dyDescent="0.2">
      <c r="AK493" s="70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24300</v>
      </c>
    </row>
    <row r="494" spans="37:47" ht="16.5" x14ac:dyDescent="0.2">
      <c r="AK494" s="70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27350</v>
      </c>
    </row>
    <row r="495" spans="37:47" ht="16.5" x14ac:dyDescent="0.2">
      <c r="AK495" s="70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30400</v>
      </c>
    </row>
    <row r="496" spans="37:47" ht="16.5" x14ac:dyDescent="0.2">
      <c r="AK496" s="70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70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70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70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70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70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70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70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950</v>
      </c>
    </row>
    <row r="504" spans="37:47" ht="16.5" x14ac:dyDescent="0.2">
      <c r="AK504" s="70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1260</v>
      </c>
    </row>
    <row r="505" spans="37:47" ht="16.5" x14ac:dyDescent="0.2">
      <c r="AK505" s="70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1580</v>
      </c>
    </row>
    <row r="506" spans="37:47" ht="16.5" x14ac:dyDescent="0.2">
      <c r="AK506" s="70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1900</v>
      </c>
    </row>
    <row r="507" spans="37:47" ht="16.5" x14ac:dyDescent="0.2">
      <c r="AK507" s="70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3860</v>
      </c>
    </row>
    <row r="508" spans="37:47" ht="16.5" x14ac:dyDescent="0.2">
      <c r="AK508" s="70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4420</v>
      </c>
    </row>
    <row r="509" spans="37:47" ht="16.5" x14ac:dyDescent="0.2">
      <c r="AK509" s="70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4960</v>
      </c>
    </row>
    <row r="510" spans="37:47" ht="16.5" x14ac:dyDescent="0.2">
      <c r="AK510" s="70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5520</v>
      </c>
    </row>
    <row r="511" spans="37:47" ht="16.5" x14ac:dyDescent="0.2">
      <c r="AK511" s="70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6600</v>
      </c>
    </row>
    <row r="512" spans="37:47" ht="16.5" x14ac:dyDescent="0.2">
      <c r="AK512" s="70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7800</v>
      </c>
    </row>
    <row r="513" spans="37:47" ht="16.5" x14ac:dyDescent="0.2">
      <c r="AK513" s="70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9100</v>
      </c>
    </row>
    <row r="514" spans="37:47" ht="16.5" x14ac:dyDescent="0.2">
      <c r="AK514" s="70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10400</v>
      </c>
    </row>
    <row r="515" spans="37:47" ht="16.5" x14ac:dyDescent="0.2">
      <c r="AK515" s="70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11700</v>
      </c>
    </row>
    <row r="516" spans="37:47" ht="16.5" x14ac:dyDescent="0.2">
      <c r="AK516" s="70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13000</v>
      </c>
    </row>
    <row r="517" spans="37:47" ht="16.5" x14ac:dyDescent="0.2">
      <c r="AK517" s="70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70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70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70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70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70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70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70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950</v>
      </c>
    </row>
    <row r="525" spans="37:47" ht="16.5" x14ac:dyDescent="0.2">
      <c r="AK525" s="70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1260</v>
      </c>
    </row>
    <row r="526" spans="37:47" ht="16.5" x14ac:dyDescent="0.2">
      <c r="AK526" s="70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1580</v>
      </c>
    </row>
    <row r="527" spans="37:47" ht="16.5" x14ac:dyDescent="0.2">
      <c r="AK527" s="70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1900</v>
      </c>
    </row>
    <row r="528" spans="37:47" ht="16.5" x14ac:dyDescent="0.2">
      <c r="AK528" s="70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3860</v>
      </c>
    </row>
    <row r="529" spans="37:47" ht="16.5" x14ac:dyDescent="0.2">
      <c r="AK529" s="70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4420</v>
      </c>
    </row>
    <row r="530" spans="37:47" ht="16.5" x14ac:dyDescent="0.2">
      <c r="AK530" s="70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4960</v>
      </c>
    </row>
    <row r="531" spans="37:47" ht="16.5" x14ac:dyDescent="0.2">
      <c r="AK531" s="70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5520</v>
      </c>
    </row>
    <row r="532" spans="37:47" ht="16.5" x14ac:dyDescent="0.2">
      <c r="AK532" s="70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6600</v>
      </c>
    </row>
    <row r="533" spans="37:47" ht="16.5" x14ac:dyDescent="0.2">
      <c r="AK533" s="70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7800</v>
      </c>
    </row>
    <row r="534" spans="37:47" ht="16.5" x14ac:dyDescent="0.2">
      <c r="AK534" s="70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9100</v>
      </c>
    </row>
    <row r="535" spans="37:47" ht="16.5" x14ac:dyDescent="0.2">
      <c r="AK535" s="70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10400</v>
      </c>
    </row>
    <row r="536" spans="37:47" ht="16.5" x14ac:dyDescent="0.2">
      <c r="AK536" s="70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11700</v>
      </c>
    </row>
    <row r="537" spans="37:47" ht="16.5" x14ac:dyDescent="0.2">
      <c r="AK537" s="70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13000</v>
      </c>
    </row>
    <row r="538" spans="37:47" ht="16.5" x14ac:dyDescent="0.2">
      <c r="AK538" s="70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70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70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70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70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70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70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70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950</v>
      </c>
    </row>
    <row r="546" spans="37:47" ht="16.5" x14ac:dyDescent="0.2">
      <c r="AK546" s="70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1260</v>
      </c>
    </row>
    <row r="547" spans="37:47" ht="16.5" x14ac:dyDescent="0.2">
      <c r="AK547" s="70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1580</v>
      </c>
    </row>
    <row r="548" spans="37:47" ht="16.5" x14ac:dyDescent="0.2">
      <c r="AK548" s="70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1900</v>
      </c>
    </row>
    <row r="549" spans="37:47" ht="16.5" x14ac:dyDescent="0.2">
      <c r="AK549" s="70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3860</v>
      </c>
    </row>
    <row r="550" spans="37:47" ht="16.5" x14ac:dyDescent="0.2">
      <c r="AK550" s="70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4420</v>
      </c>
    </row>
    <row r="551" spans="37:47" ht="16.5" x14ac:dyDescent="0.2">
      <c r="AK551" s="70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4960</v>
      </c>
    </row>
    <row r="552" spans="37:47" ht="16.5" x14ac:dyDescent="0.2">
      <c r="AK552" s="70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5520</v>
      </c>
    </row>
    <row r="553" spans="37:47" ht="16.5" x14ac:dyDescent="0.2">
      <c r="AK553" s="70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6600</v>
      </c>
    </row>
    <row r="554" spans="37:47" ht="16.5" x14ac:dyDescent="0.2">
      <c r="AK554" s="70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7800</v>
      </c>
    </row>
    <row r="555" spans="37:47" ht="16.5" x14ac:dyDescent="0.2">
      <c r="AK555" s="70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9100</v>
      </c>
    </row>
    <row r="556" spans="37:47" ht="16.5" x14ac:dyDescent="0.2">
      <c r="AK556" s="70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10400</v>
      </c>
    </row>
    <row r="557" spans="37:47" ht="16.5" x14ac:dyDescent="0.2">
      <c r="AK557" s="70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11700</v>
      </c>
    </row>
    <row r="558" spans="37:47" ht="16.5" x14ac:dyDescent="0.2">
      <c r="AK558" s="70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13000</v>
      </c>
    </row>
    <row r="559" spans="37:47" ht="16.5" x14ac:dyDescent="0.2">
      <c r="AK559" s="70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70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70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70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70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70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70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70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2220</v>
      </c>
    </row>
    <row r="567" spans="37:47" ht="16.5" x14ac:dyDescent="0.2">
      <c r="AK567" s="70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2960</v>
      </c>
    </row>
    <row r="568" spans="37:47" ht="16.5" x14ac:dyDescent="0.2">
      <c r="AK568" s="70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3700</v>
      </c>
    </row>
    <row r="569" spans="37:47" ht="16.5" x14ac:dyDescent="0.2">
      <c r="AK569" s="70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4440</v>
      </c>
    </row>
    <row r="570" spans="37:47" ht="16.5" x14ac:dyDescent="0.2">
      <c r="AK570" s="70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9020</v>
      </c>
    </row>
    <row r="571" spans="37:47" ht="16.5" x14ac:dyDescent="0.2">
      <c r="AK571" s="70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10320</v>
      </c>
    </row>
    <row r="572" spans="37:47" ht="16.5" x14ac:dyDescent="0.2">
      <c r="AK572" s="70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11600</v>
      </c>
    </row>
    <row r="573" spans="37:47" ht="16.5" x14ac:dyDescent="0.2">
      <c r="AK573" s="70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12900</v>
      </c>
    </row>
    <row r="574" spans="37:47" ht="16.5" x14ac:dyDescent="0.2">
      <c r="AK574" s="70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15450</v>
      </c>
    </row>
    <row r="575" spans="37:47" ht="16.5" x14ac:dyDescent="0.2">
      <c r="AK575" s="70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18250</v>
      </c>
    </row>
    <row r="576" spans="37:47" ht="16.5" x14ac:dyDescent="0.2">
      <c r="AK576" s="70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21250</v>
      </c>
    </row>
    <row r="577" spans="37:47" ht="16.5" x14ac:dyDescent="0.2">
      <c r="AK577" s="70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24300</v>
      </c>
    </row>
    <row r="578" spans="37:47" ht="16.5" x14ac:dyDescent="0.2">
      <c r="AK578" s="70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27350</v>
      </c>
    </row>
    <row r="579" spans="37:47" ht="16.5" x14ac:dyDescent="0.2">
      <c r="AK579" s="70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30400</v>
      </c>
    </row>
    <row r="580" spans="37:47" ht="16.5" x14ac:dyDescent="0.2">
      <c r="AK580" s="70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70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70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70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70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70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70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70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2220</v>
      </c>
    </row>
    <row r="588" spans="37:47" ht="16.5" x14ac:dyDescent="0.2">
      <c r="AK588" s="70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2960</v>
      </c>
    </row>
    <row r="589" spans="37:47" ht="16.5" x14ac:dyDescent="0.2">
      <c r="AK589" s="70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3700</v>
      </c>
    </row>
    <row r="590" spans="37:47" ht="16.5" x14ac:dyDescent="0.2">
      <c r="AK590" s="70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4440</v>
      </c>
    </row>
    <row r="591" spans="37:47" ht="16.5" x14ac:dyDescent="0.2">
      <c r="AK591" s="70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9020</v>
      </c>
    </row>
    <row r="592" spans="37:47" ht="16.5" x14ac:dyDescent="0.2">
      <c r="AK592" s="70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10320</v>
      </c>
    </row>
    <row r="593" spans="37:47" ht="16.5" x14ac:dyDescent="0.2">
      <c r="AK593" s="70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11600</v>
      </c>
    </row>
    <row r="594" spans="37:47" ht="16.5" x14ac:dyDescent="0.2">
      <c r="AK594" s="70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12900</v>
      </c>
    </row>
    <row r="595" spans="37:47" ht="16.5" x14ac:dyDescent="0.2">
      <c r="AK595" s="70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15450</v>
      </c>
    </row>
    <row r="596" spans="37:47" ht="16.5" x14ac:dyDescent="0.2">
      <c r="AK596" s="70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18250</v>
      </c>
    </row>
    <row r="597" spans="37:47" ht="16.5" x14ac:dyDescent="0.2">
      <c r="AK597" s="70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21250</v>
      </c>
    </row>
    <row r="598" spans="37:47" ht="16.5" x14ac:dyDescent="0.2">
      <c r="AK598" s="70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24300</v>
      </c>
    </row>
    <row r="599" spans="37:47" ht="16.5" x14ac:dyDescent="0.2">
      <c r="AK599" s="70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27350</v>
      </c>
    </row>
    <row r="600" spans="37:47" ht="16.5" x14ac:dyDescent="0.2">
      <c r="AK600" s="70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30400</v>
      </c>
    </row>
    <row r="601" spans="37:47" ht="16.5" x14ac:dyDescent="0.2">
      <c r="AK601" s="70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70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70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70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70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70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70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70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2220</v>
      </c>
    </row>
    <row r="609" spans="37:47" ht="16.5" x14ac:dyDescent="0.2">
      <c r="AK609" s="70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2960</v>
      </c>
    </row>
    <row r="610" spans="37:47" ht="16.5" x14ac:dyDescent="0.2">
      <c r="AK610" s="70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3700</v>
      </c>
    </row>
    <row r="611" spans="37:47" ht="16.5" x14ac:dyDescent="0.2">
      <c r="AK611" s="70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4440</v>
      </c>
    </row>
    <row r="612" spans="37:47" ht="16.5" x14ac:dyDescent="0.2">
      <c r="AK612" s="70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9020</v>
      </c>
    </row>
    <row r="613" spans="37:47" ht="16.5" x14ac:dyDescent="0.2">
      <c r="AK613" s="70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10320</v>
      </c>
    </row>
    <row r="614" spans="37:47" ht="16.5" x14ac:dyDescent="0.2">
      <c r="AK614" s="70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11600</v>
      </c>
    </row>
    <row r="615" spans="37:47" ht="16.5" x14ac:dyDescent="0.2">
      <c r="AK615" s="70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12900</v>
      </c>
    </row>
    <row r="616" spans="37:47" ht="16.5" x14ac:dyDescent="0.2">
      <c r="AK616" s="70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15450</v>
      </c>
    </row>
    <row r="617" spans="37:47" ht="16.5" x14ac:dyDescent="0.2">
      <c r="AK617" s="70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18250</v>
      </c>
    </row>
    <row r="618" spans="37:47" ht="16.5" x14ac:dyDescent="0.2">
      <c r="AK618" s="70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21250</v>
      </c>
    </row>
    <row r="619" spans="37:47" ht="16.5" x14ac:dyDescent="0.2">
      <c r="AK619" s="70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24300</v>
      </c>
    </row>
    <row r="620" spans="37:47" ht="16.5" x14ac:dyDescent="0.2">
      <c r="AK620" s="70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27350</v>
      </c>
    </row>
    <row r="621" spans="37:47" ht="16.5" x14ac:dyDescent="0.2">
      <c r="AK621" s="70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30400</v>
      </c>
    </row>
    <row r="622" spans="37:47" ht="16.5" x14ac:dyDescent="0.2">
      <c r="AK622" s="70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70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70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70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70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70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70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70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4755</v>
      </c>
    </row>
    <row r="630" spans="37:47" ht="16.5" x14ac:dyDescent="0.2">
      <c r="AK630" s="70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6340</v>
      </c>
    </row>
    <row r="631" spans="37:47" ht="16.5" x14ac:dyDescent="0.2">
      <c r="AK631" s="70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7930</v>
      </c>
    </row>
    <row r="632" spans="37:47" ht="16.5" x14ac:dyDescent="0.2">
      <c r="AK632" s="70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9510</v>
      </c>
    </row>
    <row r="633" spans="37:47" ht="16.5" x14ac:dyDescent="0.2">
      <c r="AK633" s="70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19340</v>
      </c>
    </row>
    <row r="634" spans="37:47" ht="16.5" x14ac:dyDescent="0.2">
      <c r="AK634" s="70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22120</v>
      </c>
    </row>
    <row r="635" spans="37:47" ht="16.5" x14ac:dyDescent="0.2">
      <c r="AK635" s="70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24880</v>
      </c>
    </row>
    <row r="636" spans="37:47" ht="16.5" x14ac:dyDescent="0.2">
      <c r="AK636" s="70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27640</v>
      </c>
    </row>
    <row r="637" spans="37:47" ht="16.5" x14ac:dyDescent="0.2">
      <c r="AK637" s="70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33150</v>
      </c>
    </row>
    <row r="638" spans="37:47" ht="16.5" x14ac:dyDescent="0.2">
      <c r="AK638" s="70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39100</v>
      </c>
    </row>
    <row r="639" spans="37:47" ht="16.5" x14ac:dyDescent="0.2">
      <c r="AK639" s="70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45600</v>
      </c>
    </row>
    <row r="640" spans="37:47" ht="16.5" x14ac:dyDescent="0.2">
      <c r="AK640" s="70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52100</v>
      </c>
    </row>
    <row r="641" spans="37:47" ht="16.5" x14ac:dyDescent="0.2">
      <c r="AK641" s="70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58650</v>
      </c>
    </row>
    <row r="642" spans="37:47" ht="16.5" x14ac:dyDescent="0.2">
      <c r="AK642" s="70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65100</v>
      </c>
    </row>
    <row r="643" spans="37:47" ht="16.5" x14ac:dyDescent="0.2">
      <c r="AK643" s="70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70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70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70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70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70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70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70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4755</v>
      </c>
    </row>
    <row r="651" spans="37:47" ht="16.5" x14ac:dyDescent="0.2">
      <c r="AK651" s="70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6340</v>
      </c>
    </row>
    <row r="652" spans="37:47" ht="16.5" x14ac:dyDescent="0.2">
      <c r="AK652" s="70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7930</v>
      </c>
    </row>
    <row r="653" spans="37:47" ht="16.5" x14ac:dyDescent="0.2">
      <c r="AK653" s="70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9510</v>
      </c>
    </row>
    <row r="654" spans="37:47" ht="16.5" x14ac:dyDescent="0.2">
      <c r="AK654" s="70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19340</v>
      </c>
    </row>
    <row r="655" spans="37:47" ht="16.5" x14ac:dyDescent="0.2">
      <c r="AK655" s="70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22120</v>
      </c>
    </row>
    <row r="656" spans="37:47" ht="16.5" x14ac:dyDescent="0.2">
      <c r="AK656" s="70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24880</v>
      </c>
    </row>
    <row r="657" spans="37:47" ht="16.5" x14ac:dyDescent="0.2">
      <c r="AK657" s="70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27640</v>
      </c>
    </row>
    <row r="658" spans="37:47" ht="16.5" x14ac:dyDescent="0.2">
      <c r="AK658" s="70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33150</v>
      </c>
    </row>
    <row r="659" spans="37:47" ht="16.5" x14ac:dyDescent="0.2">
      <c r="AK659" s="70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39100</v>
      </c>
    </row>
    <row r="660" spans="37:47" ht="16.5" x14ac:dyDescent="0.2">
      <c r="AK660" s="70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45600</v>
      </c>
    </row>
    <row r="661" spans="37:47" ht="16.5" x14ac:dyDescent="0.2">
      <c r="AK661" s="70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52100</v>
      </c>
    </row>
    <row r="662" spans="37:47" ht="16.5" x14ac:dyDescent="0.2">
      <c r="AK662" s="70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58650</v>
      </c>
    </row>
    <row r="663" spans="37:47" ht="16.5" x14ac:dyDescent="0.2">
      <c r="AK663" s="70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65100</v>
      </c>
    </row>
    <row r="664" spans="37:47" ht="16.5" x14ac:dyDescent="0.2">
      <c r="AK664" s="70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70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70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70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70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70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70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70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950</v>
      </c>
    </row>
    <row r="672" spans="37:47" ht="16.5" x14ac:dyDescent="0.2">
      <c r="AK672" s="70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1260</v>
      </c>
    </row>
    <row r="673" spans="37:47" ht="16.5" x14ac:dyDescent="0.2">
      <c r="AK673" s="70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1580</v>
      </c>
    </row>
    <row r="674" spans="37:47" ht="16.5" x14ac:dyDescent="0.2">
      <c r="AK674" s="70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1900</v>
      </c>
    </row>
    <row r="675" spans="37:47" ht="16.5" x14ac:dyDescent="0.2">
      <c r="AK675" s="70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3860</v>
      </c>
    </row>
    <row r="676" spans="37:47" ht="16.5" x14ac:dyDescent="0.2">
      <c r="AK676" s="70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4420</v>
      </c>
    </row>
    <row r="677" spans="37:47" ht="16.5" x14ac:dyDescent="0.2">
      <c r="AK677" s="70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4960</v>
      </c>
    </row>
    <row r="678" spans="37:47" ht="16.5" x14ac:dyDescent="0.2">
      <c r="AK678" s="70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5520</v>
      </c>
    </row>
    <row r="679" spans="37:47" ht="16.5" x14ac:dyDescent="0.2">
      <c r="AK679" s="70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6600</v>
      </c>
    </row>
    <row r="680" spans="37:47" ht="16.5" x14ac:dyDescent="0.2">
      <c r="AK680" s="70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7800</v>
      </c>
    </row>
    <row r="681" spans="37:47" ht="16.5" x14ac:dyDescent="0.2">
      <c r="AK681" s="70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9100</v>
      </c>
    </row>
    <row r="682" spans="37:47" ht="16.5" x14ac:dyDescent="0.2">
      <c r="AK682" s="70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10400</v>
      </c>
    </row>
    <row r="683" spans="37:47" ht="16.5" x14ac:dyDescent="0.2">
      <c r="AK683" s="70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11700</v>
      </c>
    </row>
    <row r="684" spans="37:47" ht="16.5" x14ac:dyDescent="0.2">
      <c r="AK684" s="70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13000</v>
      </c>
    </row>
    <row r="685" spans="37:47" ht="16.5" x14ac:dyDescent="0.2">
      <c r="AK685" s="70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70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70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70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70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70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70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70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950</v>
      </c>
    </row>
    <row r="693" spans="37:47" ht="16.5" x14ac:dyDescent="0.2">
      <c r="AK693" s="70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1260</v>
      </c>
    </row>
    <row r="694" spans="37:47" ht="16.5" x14ac:dyDescent="0.2">
      <c r="AK694" s="70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1580</v>
      </c>
    </row>
    <row r="695" spans="37:47" ht="16.5" x14ac:dyDescent="0.2">
      <c r="AK695" s="70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1900</v>
      </c>
    </row>
    <row r="696" spans="37:47" ht="16.5" x14ac:dyDescent="0.2">
      <c r="AK696" s="70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3860</v>
      </c>
    </row>
    <row r="697" spans="37:47" ht="16.5" x14ac:dyDescent="0.2">
      <c r="AK697" s="70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4420</v>
      </c>
    </row>
    <row r="698" spans="37:47" ht="16.5" x14ac:dyDescent="0.2">
      <c r="AK698" s="70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4960</v>
      </c>
    </row>
    <row r="699" spans="37:47" ht="16.5" x14ac:dyDescent="0.2">
      <c r="AK699" s="70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5520</v>
      </c>
    </row>
    <row r="700" spans="37:47" ht="16.5" x14ac:dyDescent="0.2">
      <c r="AK700" s="70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6600</v>
      </c>
    </row>
    <row r="701" spans="37:47" ht="16.5" x14ac:dyDescent="0.2">
      <c r="AK701" s="70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7800</v>
      </c>
    </row>
    <row r="702" spans="37:47" ht="16.5" x14ac:dyDescent="0.2">
      <c r="AK702" s="70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9100</v>
      </c>
    </row>
    <row r="703" spans="37:47" ht="16.5" x14ac:dyDescent="0.2">
      <c r="AK703" s="70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10400</v>
      </c>
    </row>
    <row r="704" spans="37:47" ht="16.5" x14ac:dyDescent="0.2">
      <c r="AK704" s="70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11700</v>
      </c>
    </row>
    <row r="705" spans="37:47" ht="16.5" x14ac:dyDescent="0.2">
      <c r="AK705" s="70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13000</v>
      </c>
    </row>
    <row r="706" spans="37:47" ht="16.5" x14ac:dyDescent="0.2">
      <c r="AK706" s="70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70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70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70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70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70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70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70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950</v>
      </c>
    </row>
    <row r="714" spans="37:47" ht="16.5" x14ac:dyDescent="0.2">
      <c r="AK714" s="70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1260</v>
      </c>
    </row>
    <row r="715" spans="37:47" ht="16.5" x14ac:dyDescent="0.2">
      <c r="AK715" s="70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1580</v>
      </c>
    </row>
    <row r="716" spans="37:47" ht="16.5" x14ac:dyDescent="0.2">
      <c r="AK716" s="70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1900</v>
      </c>
    </row>
    <row r="717" spans="37:47" ht="16.5" x14ac:dyDescent="0.2">
      <c r="AK717" s="70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3860</v>
      </c>
    </row>
    <row r="718" spans="37:47" ht="16.5" x14ac:dyDescent="0.2">
      <c r="AK718" s="70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4420</v>
      </c>
    </row>
    <row r="719" spans="37:47" ht="16.5" x14ac:dyDescent="0.2">
      <c r="AK719" s="70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4960</v>
      </c>
    </row>
    <row r="720" spans="37:47" ht="16.5" x14ac:dyDescent="0.2">
      <c r="AK720" s="70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5520</v>
      </c>
    </row>
    <row r="721" spans="37:47" ht="16.5" x14ac:dyDescent="0.2">
      <c r="AK721" s="70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6600</v>
      </c>
    </row>
    <row r="722" spans="37:47" ht="16.5" x14ac:dyDescent="0.2">
      <c r="AK722" s="70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7800</v>
      </c>
    </row>
    <row r="723" spans="37:47" ht="16.5" x14ac:dyDescent="0.2">
      <c r="AK723" s="70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9100</v>
      </c>
    </row>
    <row r="724" spans="37:47" ht="16.5" x14ac:dyDescent="0.2">
      <c r="AK724" s="70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10400</v>
      </c>
    </row>
    <row r="725" spans="37:47" ht="16.5" x14ac:dyDescent="0.2">
      <c r="AK725" s="70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11700</v>
      </c>
    </row>
    <row r="726" spans="37:47" ht="16.5" x14ac:dyDescent="0.2">
      <c r="AK726" s="70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13000</v>
      </c>
    </row>
    <row r="727" spans="37:47" ht="16.5" x14ac:dyDescent="0.2">
      <c r="AK727" s="70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70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70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70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70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70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70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70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2220</v>
      </c>
    </row>
    <row r="735" spans="37:47" ht="16.5" x14ac:dyDescent="0.2">
      <c r="AK735" s="70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2960</v>
      </c>
    </row>
    <row r="736" spans="37:47" ht="16.5" x14ac:dyDescent="0.2">
      <c r="AK736" s="70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3700</v>
      </c>
    </row>
    <row r="737" spans="37:47" ht="16.5" x14ac:dyDescent="0.2">
      <c r="AK737" s="70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4440</v>
      </c>
    </row>
    <row r="738" spans="37:47" ht="16.5" x14ac:dyDescent="0.2">
      <c r="AK738" s="70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9020</v>
      </c>
    </row>
    <row r="739" spans="37:47" ht="16.5" x14ac:dyDescent="0.2">
      <c r="AK739" s="70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10320</v>
      </c>
    </row>
    <row r="740" spans="37:47" ht="16.5" x14ac:dyDescent="0.2">
      <c r="AK740" s="70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11600</v>
      </c>
    </row>
    <row r="741" spans="37:47" ht="16.5" x14ac:dyDescent="0.2">
      <c r="AK741" s="70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12900</v>
      </c>
    </row>
    <row r="742" spans="37:47" ht="16.5" x14ac:dyDescent="0.2">
      <c r="AK742" s="70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15450</v>
      </c>
    </row>
    <row r="743" spans="37:47" ht="16.5" x14ac:dyDescent="0.2">
      <c r="AK743" s="70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18250</v>
      </c>
    </row>
    <row r="744" spans="37:47" ht="16.5" x14ac:dyDescent="0.2">
      <c r="AK744" s="70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21250</v>
      </c>
    </row>
    <row r="745" spans="37:47" ht="16.5" x14ac:dyDescent="0.2">
      <c r="AK745" s="70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24300</v>
      </c>
    </row>
    <row r="746" spans="37:47" ht="16.5" x14ac:dyDescent="0.2">
      <c r="AK746" s="70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27350</v>
      </c>
    </row>
    <row r="747" spans="37:47" ht="16.5" x14ac:dyDescent="0.2">
      <c r="AK747" s="70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30400</v>
      </c>
    </row>
    <row r="748" spans="37:47" ht="16.5" x14ac:dyDescent="0.2">
      <c r="AK748" s="70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70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70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70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70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70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70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70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2220</v>
      </c>
    </row>
    <row r="756" spans="37:47" ht="16.5" x14ac:dyDescent="0.2">
      <c r="AK756" s="70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2960</v>
      </c>
    </row>
    <row r="757" spans="37:47" ht="16.5" x14ac:dyDescent="0.2">
      <c r="AK757" s="70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3700</v>
      </c>
    </row>
    <row r="758" spans="37:47" ht="16.5" x14ac:dyDescent="0.2">
      <c r="AK758" s="70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4440</v>
      </c>
    </row>
    <row r="759" spans="37:47" ht="16.5" x14ac:dyDescent="0.2">
      <c r="AK759" s="70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9020</v>
      </c>
    </row>
    <row r="760" spans="37:47" ht="16.5" x14ac:dyDescent="0.2">
      <c r="AK760" s="70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10320</v>
      </c>
    </row>
    <row r="761" spans="37:47" ht="16.5" x14ac:dyDescent="0.2">
      <c r="AK761" s="70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11600</v>
      </c>
    </row>
    <row r="762" spans="37:47" ht="16.5" x14ac:dyDescent="0.2">
      <c r="AK762" s="70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12900</v>
      </c>
    </row>
    <row r="763" spans="37:47" ht="16.5" x14ac:dyDescent="0.2">
      <c r="AK763" s="70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15450</v>
      </c>
    </row>
    <row r="764" spans="37:47" ht="16.5" x14ac:dyDescent="0.2">
      <c r="AK764" s="70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18250</v>
      </c>
    </row>
    <row r="765" spans="37:47" ht="16.5" x14ac:dyDescent="0.2">
      <c r="AK765" s="70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21250</v>
      </c>
    </row>
    <row r="766" spans="37:47" ht="16.5" x14ac:dyDescent="0.2">
      <c r="AK766" s="70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24300</v>
      </c>
    </row>
    <row r="767" spans="37:47" ht="16.5" x14ac:dyDescent="0.2">
      <c r="AK767" s="70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27350</v>
      </c>
    </row>
    <row r="768" spans="37:47" ht="16.5" x14ac:dyDescent="0.2">
      <c r="AK768" s="70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30400</v>
      </c>
    </row>
    <row r="769" spans="37:47" ht="16.5" x14ac:dyDescent="0.2">
      <c r="AK769" s="70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70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70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70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70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70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70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70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2220</v>
      </c>
    </row>
    <row r="777" spans="37:47" ht="16.5" x14ac:dyDescent="0.2">
      <c r="AK777" s="70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2960</v>
      </c>
    </row>
    <row r="778" spans="37:47" ht="16.5" x14ac:dyDescent="0.2">
      <c r="AK778" s="70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3700</v>
      </c>
    </row>
    <row r="779" spans="37:47" ht="16.5" x14ac:dyDescent="0.2">
      <c r="AK779" s="70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4440</v>
      </c>
    </row>
    <row r="780" spans="37:47" ht="16.5" x14ac:dyDescent="0.2">
      <c r="AK780" s="70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9020</v>
      </c>
    </row>
    <row r="781" spans="37:47" ht="16.5" x14ac:dyDescent="0.2">
      <c r="AK781" s="70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10320</v>
      </c>
    </row>
    <row r="782" spans="37:47" ht="16.5" x14ac:dyDescent="0.2">
      <c r="AK782" s="70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11600</v>
      </c>
    </row>
    <row r="783" spans="37:47" ht="16.5" x14ac:dyDescent="0.2">
      <c r="AK783" s="70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12900</v>
      </c>
    </row>
    <row r="784" spans="37:47" ht="16.5" x14ac:dyDescent="0.2">
      <c r="AK784" s="70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15450</v>
      </c>
    </row>
    <row r="785" spans="37:47" ht="16.5" x14ac:dyDescent="0.2">
      <c r="AK785" s="70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18250</v>
      </c>
    </row>
    <row r="786" spans="37:47" ht="16.5" x14ac:dyDescent="0.2">
      <c r="AK786" s="70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21250</v>
      </c>
    </row>
    <row r="787" spans="37:47" ht="16.5" x14ac:dyDescent="0.2">
      <c r="AK787" s="70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24300</v>
      </c>
    </row>
    <row r="788" spans="37:47" ht="16.5" x14ac:dyDescent="0.2">
      <c r="AK788" s="70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27350</v>
      </c>
    </row>
    <row r="789" spans="37:47" ht="16.5" x14ac:dyDescent="0.2">
      <c r="AK789" s="70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30400</v>
      </c>
    </row>
    <row r="790" spans="37:47" ht="16.5" x14ac:dyDescent="0.2">
      <c r="AK790" s="70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70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70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70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70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70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70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70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4755</v>
      </c>
    </row>
    <row r="798" spans="37:47" ht="16.5" x14ac:dyDescent="0.2">
      <c r="AK798" s="70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6340</v>
      </c>
    </row>
    <row r="799" spans="37:47" ht="16.5" x14ac:dyDescent="0.2">
      <c r="AK799" s="70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7930</v>
      </c>
    </row>
    <row r="800" spans="37:47" ht="16.5" x14ac:dyDescent="0.2">
      <c r="AK800" s="70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9510</v>
      </c>
    </row>
    <row r="801" spans="37:47" ht="16.5" x14ac:dyDescent="0.2">
      <c r="AK801" s="70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19340</v>
      </c>
    </row>
    <row r="802" spans="37:47" ht="16.5" x14ac:dyDescent="0.2">
      <c r="AK802" s="70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22120</v>
      </c>
    </row>
    <row r="803" spans="37:47" ht="16.5" x14ac:dyDescent="0.2">
      <c r="AK803" s="70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24880</v>
      </c>
    </row>
    <row r="804" spans="37:47" ht="16.5" x14ac:dyDescent="0.2">
      <c r="AK804" s="70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27640</v>
      </c>
    </row>
    <row r="805" spans="37:47" ht="16.5" x14ac:dyDescent="0.2">
      <c r="AK805" s="70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33150</v>
      </c>
    </row>
    <row r="806" spans="37:47" ht="16.5" x14ac:dyDescent="0.2">
      <c r="AK806" s="70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39100</v>
      </c>
    </row>
    <row r="807" spans="37:47" ht="16.5" x14ac:dyDescent="0.2">
      <c r="AK807" s="70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45600</v>
      </c>
    </row>
    <row r="808" spans="37:47" ht="16.5" x14ac:dyDescent="0.2">
      <c r="AK808" s="70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52100</v>
      </c>
    </row>
    <row r="809" spans="37:47" ht="16.5" x14ac:dyDescent="0.2">
      <c r="AK809" s="70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58650</v>
      </c>
    </row>
    <row r="810" spans="37:47" ht="16.5" x14ac:dyDescent="0.2">
      <c r="AK810" s="70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65100</v>
      </c>
    </row>
    <row r="811" spans="37:47" ht="16.5" x14ac:dyDescent="0.2">
      <c r="AK811" s="70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70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70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70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70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70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70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70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4755</v>
      </c>
    </row>
    <row r="819" spans="37:47" ht="16.5" x14ac:dyDescent="0.2">
      <c r="AK819" s="70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6340</v>
      </c>
    </row>
    <row r="820" spans="37:47" ht="16.5" x14ac:dyDescent="0.2">
      <c r="AK820" s="70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7930</v>
      </c>
    </row>
    <row r="821" spans="37:47" ht="16.5" x14ac:dyDescent="0.2">
      <c r="AK821" s="70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9510</v>
      </c>
    </row>
    <row r="822" spans="37:47" ht="16.5" x14ac:dyDescent="0.2">
      <c r="AK822" s="70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19340</v>
      </c>
    </row>
    <row r="823" spans="37:47" ht="16.5" x14ac:dyDescent="0.2">
      <c r="AK823" s="70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22120</v>
      </c>
    </row>
    <row r="824" spans="37:47" ht="16.5" x14ac:dyDescent="0.2">
      <c r="AK824" s="70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24880</v>
      </c>
    </row>
    <row r="825" spans="37:47" ht="16.5" x14ac:dyDescent="0.2">
      <c r="AK825" s="70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27640</v>
      </c>
    </row>
    <row r="826" spans="37:47" ht="16.5" x14ac:dyDescent="0.2">
      <c r="AK826" s="70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33150</v>
      </c>
    </row>
    <row r="827" spans="37:47" ht="16.5" x14ac:dyDescent="0.2">
      <c r="AK827" s="70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39100</v>
      </c>
    </row>
    <row r="828" spans="37:47" ht="16.5" x14ac:dyDescent="0.2">
      <c r="AK828" s="70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45600</v>
      </c>
    </row>
    <row r="829" spans="37:47" ht="16.5" x14ac:dyDescent="0.2">
      <c r="AK829" s="70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52100</v>
      </c>
    </row>
    <row r="830" spans="37:47" ht="16.5" x14ac:dyDescent="0.2">
      <c r="AK830" s="70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58650</v>
      </c>
    </row>
    <row r="831" spans="37:47" ht="16.5" x14ac:dyDescent="0.2">
      <c r="AK831" s="70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65100</v>
      </c>
    </row>
    <row r="832" spans="37:47" ht="16.5" x14ac:dyDescent="0.2">
      <c r="AK832" s="70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70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70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70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70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70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68"/>
  <sheetViews>
    <sheetView workbookViewId="0">
      <selection activeCell="I26" sqref="I26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5" ht="17.25" x14ac:dyDescent="0.2">
      <c r="A2" s="12" t="s">
        <v>16</v>
      </c>
      <c r="B2" s="12" t="s">
        <v>20</v>
      </c>
      <c r="C2" s="12" t="s">
        <v>21</v>
      </c>
      <c r="D2" s="12" t="s">
        <v>394</v>
      </c>
      <c r="E2" s="12" t="s">
        <v>608</v>
      </c>
    </row>
    <row r="3" spans="1:5" ht="16.5" x14ac:dyDescent="0.2">
      <c r="A3" s="13" t="s">
        <v>22</v>
      </c>
      <c r="B3" s="13">
        <v>1000</v>
      </c>
      <c r="C3" s="13"/>
      <c r="D3" s="45">
        <v>0.1</v>
      </c>
      <c r="E3" s="69"/>
    </row>
    <row r="4" spans="1:5" ht="16.5" x14ac:dyDescent="0.2">
      <c r="A4" s="35" t="s">
        <v>317</v>
      </c>
      <c r="B4" s="35"/>
      <c r="C4" s="35"/>
      <c r="D4" s="45"/>
      <c r="E4" s="69"/>
    </row>
    <row r="5" spans="1:5" ht="16.5" x14ac:dyDescent="0.2">
      <c r="A5" s="35" t="s">
        <v>318</v>
      </c>
      <c r="B5" s="35"/>
      <c r="C5" s="35"/>
      <c r="D5" s="45"/>
      <c r="E5" s="69"/>
    </row>
    <row r="6" spans="1:5" ht="16.5" x14ac:dyDescent="0.2">
      <c r="A6" s="35" t="s">
        <v>319</v>
      </c>
      <c r="B6" s="35"/>
      <c r="C6" s="35"/>
      <c r="D6" s="45"/>
      <c r="E6" s="69"/>
    </row>
    <row r="7" spans="1:5" ht="16.5" x14ac:dyDescent="0.2">
      <c r="A7" s="35" t="s">
        <v>320</v>
      </c>
      <c r="B7" s="35"/>
      <c r="C7" s="35"/>
      <c r="D7" s="45"/>
      <c r="E7" s="69"/>
    </row>
    <row r="8" spans="1:5" ht="16.5" x14ac:dyDescent="0.2">
      <c r="A8" s="35" t="s">
        <v>316</v>
      </c>
      <c r="B8" s="35"/>
      <c r="C8" s="35"/>
      <c r="D8" s="45"/>
      <c r="E8" s="69"/>
    </row>
    <row r="9" spans="1:5" ht="16.5" x14ac:dyDescent="0.2">
      <c r="A9" s="13" t="s">
        <v>17</v>
      </c>
      <c r="B9" s="13">
        <v>500</v>
      </c>
      <c r="C9" s="13"/>
      <c r="D9" s="45"/>
      <c r="E9" s="69"/>
    </row>
    <row r="10" spans="1:5" ht="16.5" x14ac:dyDescent="0.2">
      <c r="A10" s="13" t="s">
        <v>18</v>
      </c>
      <c r="B10" s="13">
        <v>1200</v>
      </c>
      <c r="C10" s="13"/>
      <c r="D10" s="45"/>
      <c r="E10" s="69"/>
    </row>
    <row r="11" spans="1:5" ht="16.5" x14ac:dyDescent="0.2">
      <c r="A11" s="13" t="s">
        <v>19</v>
      </c>
      <c r="B11" s="13">
        <v>3500</v>
      </c>
      <c r="C11" s="13"/>
      <c r="D11" s="45"/>
      <c r="E11" s="69"/>
    </row>
    <row r="12" spans="1:5" ht="16.5" x14ac:dyDescent="0.2">
      <c r="A12" s="13" t="s">
        <v>23</v>
      </c>
      <c r="B12" s="13"/>
      <c r="C12" s="13">
        <v>10</v>
      </c>
      <c r="D12" s="45"/>
      <c r="E12" s="69"/>
    </row>
    <row r="13" spans="1:5" ht="16.5" x14ac:dyDescent="0.2">
      <c r="A13" s="13" t="s">
        <v>24</v>
      </c>
      <c r="B13" s="13"/>
      <c r="C13" s="13">
        <v>1</v>
      </c>
      <c r="D13" s="45"/>
      <c r="E13" s="69"/>
    </row>
    <row r="14" spans="1:5" ht="16.5" x14ac:dyDescent="0.2">
      <c r="A14" s="13" t="s">
        <v>618</v>
      </c>
      <c r="B14" s="13"/>
      <c r="C14" s="13">
        <v>40</v>
      </c>
      <c r="D14" s="45"/>
      <c r="E14" s="69">
        <v>1</v>
      </c>
    </row>
    <row r="15" spans="1:5" ht="16.5" x14ac:dyDescent="0.2">
      <c r="A15" s="39" t="s">
        <v>619</v>
      </c>
      <c r="B15" s="13"/>
      <c r="C15" s="39">
        <v>40</v>
      </c>
      <c r="D15" s="45"/>
      <c r="E15" s="69">
        <v>1</v>
      </c>
    </row>
    <row r="16" spans="1:5" ht="16.5" x14ac:dyDescent="0.2">
      <c r="A16" s="39" t="s">
        <v>620</v>
      </c>
      <c r="B16" s="13"/>
      <c r="C16" s="13">
        <v>120</v>
      </c>
      <c r="D16" s="45"/>
      <c r="E16" s="69">
        <v>2</v>
      </c>
    </row>
    <row r="17" spans="1:5" ht="16.5" x14ac:dyDescent="0.2">
      <c r="A17" s="39" t="s">
        <v>621</v>
      </c>
      <c r="B17" s="39"/>
      <c r="C17" s="39">
        <v>40</v>
      </c>
      <c r="D17" s="45"/>
      <c r="E17" s="69">
        <v>1</v>
      </c>
    </row>
    <row r="18" spans="1:5" ht="16.5" x14ac:dyDescent="0.2">
      <c r="A18" s="39" t="s">
        <v>622</v>
      </c>
      <c r="B18" s="39"/>
      <c r="C18" s="39">
        <v>40</v>
      </c>
      <c r="D18" s="45"/>
      <c r="E18" s="69">
        <v>1</v>
      </c>
    </row>
    <row r="19" spans="1:5" ht="18" customHeight="1" x14ac:dyDescent="0.2">
      <c r="A19" s="39" t="s">
        <v>623</v>
      </c>
      <c r="B19" s="39"/>
      <c r="C19" s="66">
        <v>40</v>
      </c>
      <c r="D19" s="45"/>
      <c r="E19" s="69">
        <v>1</v>
      </c>
    </row>
    <row r="20" spans="1:5" ht="19.5" customHeight="1" x14ac:dyDescent="0.2">
      <c r="A20" s="39" t="s">
        <v>624</v>
      </c>
      <c r="B20" s="39"/>
      <c r="C20" s="66">
        <v>120</v>
      </c>
      <c r="D20" s="45"/>
      <c r="E20" s="69">
        <v>2</v>
      </c>
    </row>
    <row r="21" spans="1:5" ht="16.5" x14ac:dyDescent="0.2">
      <c r="A21" s="39" t="s">
        <v>625</v>
      </c>
      <c r="B21" s="39"/>
      <c r="C21" s="66">
        <v>280</v>
      </c>
      <c r="D21" s="45"/>
      <c r="E21" s="69">
        <v>3</v>
      </c>
    </row>
    <row r="22" spans="1:5" ht="16.5" x14ac:dyDescent="0.2">
      <c r="A22" s="39" t="s">
        <v>626</v>
      </c>
      <c r="B22" s="39"/>
      <c r="C22" s="39">
        <v>40</v>
      </c>
      <c r="D22" s="45"/>
      <c r="E22" s="69">
        <v>1</v>
      </c>
    </row>
    <row r="23" spans="1:5" ht="16.5" x14ac:dyDescent="0.2">
      <c r="A23" s="39" t="s">
        <v>627</v>
      </c>
      <c r="B23" s="39"/>
      <c r="C23" s="66">
        <v>120</v>
      </c>
      <c r="D23" s="45"/>
      <c r="E23" s="69">
        <v>2</v>
      </c>
    </row>
    <row r="24" spans="1:5" ht="16.5" x14ac:dyDescent="0.2">
      <c r="A24" s="39" t="s">
        <v>628</v>
      </c>
      <c r="B24" s="39"/>
      <c r="C24" s="66">
        <v>120</v>
      </c>
      <c r="D24" s="45"/>
      <c r="E24" s="69">
        <v>2</v>
      </c>
    </row>
    <row r="25" spans="1:5" ht="16.5" x14ac:dyDescent="0.2">
      <c r="A25" s="39" t="s">
        <v>629</v>
      </c>
      <c r="B25" s="39"/>
      <c r="C25" s="66">
        <v>280</v>
      </c>
      <c r="D25" s="45"/>
      <c r="E25" s="69">
        <v>3</v>
      </c>
    </row>
    <row r="26" spans="1:5" ht="16.5" x14ac:dyDescent="0.2">
      <c r="A26" s="39" t="s">
        <v>630</v>
      </c>
      <c r="B26" s="39"/>
      <c r="C26" s="39">
        <v>280</v>
      </c>
      <c r="D26" s="45"/>
      <c r="E26" s="69">
        <v>3</v>
      </c>
    </row>
    <row r="27" spans="1:5" ht="16.5" x14ac:dyDescent="0.2">
      <c r="A27" s="39" t="s">
        <v>631</v>
      </c>
      <c r="B27" s="39"/>
      <c r="C27" s="66">
        <v>600</v>
      </c>
      <c r="D27" s="45"/>
      <c r="E27" s="69">
        <v>4</v>
      </c>
    </row>
    <row r="28" spans="1:5" ht="16.5" x14ac:dyDescent="0.2">
      <c r="A28" s="39" t="s">
        <v>632</v>
      </c>
      <c r="B28" s="39"/>
      <c r="C28" s="66">
        <v>40</v>
      </c>
      <c r="D28" s="45"/>
      <c r="E28" s="69">
        <v>1</v>
      </c>
    </row>
    <row r="29" spans="1:5" ht="16.5" x14ac:dyDescent="0.2">
      <c r="A29" s="39" t="s">
        <v>633</v>
      </c>
      <c r="B29" s="39"/>
      <c r="C29" s="66">
        <v>120</v>
      </c>
      <c r="D29" s="45"/>
      <c r="E29" s="69">
        <v>2</v>
      </c>
    </row>
    <row r="30" spans="1:5" ht="16.5" x14ac:dyDescent="0.2">
      <c r="A30" s="39" t="s">
        <v>634</v>
      </c>
      <c r="B30" s="39"/>
      <c r="C30" s="39">
        <v>120</v>
      </c>
      <c r="D30" s="45"/>
      <c r="E30" s="69">
        <v>2</v>
      </c>
    </row>
    <row r="31" spans="1:5" ht="16.5" x14ac:dyDescent="0.2">
      <c r="A31" s="39" t="s">
        <v>635</v>
      </c>
      <c r="B31" s="39"/>
      <c r="C31" s="66">
        <v>280</v>
      </c>
      <c r="D31" s="45"/>
      <c r="E31" s="69">
        <v>3</v>
      </c>
    </row>
    <row r="32" spans="1:5" ht="16.5" x14ac:dyDescent="0.2">
      <c r="A32" s="39" t="s">
        <v>636</v>
      </c>
      <c r="B32" s="39"/>
      <c r="C32" s="66">
        <v>280</v>
      </c>
      <c r="D32" s="45"/>
      <c r="E32" s="69">
        <v>3</v>
      </c>
    </row>
    <row r="33" spans="1:5" ht="16.5" x14ac:dyDescent="0.2">
      <c r="A33" s="39" t="s">
        <v>637</v>
      </c>
      <c r="B33" s="39"/>
      <c r="C33" s="66">
        <v>600</v>
      </c>
      <c r="D33" s="45"/>
      <c r="E33" s="69">
        <v>4</v>
      </c>
    </row>
    <row r="34" spans="1:5" ht="16.5" x14ac:dyDescent="0.2">
      <c r="A34" s="39" t="s">
        <v>638</v>
      </c>
      <c r="B34" s="39"/>
      <c r="C34" s="66">
        <v>40</v>
      </c>
      <c r="D34" s="45"/>
      <c r="E34" s="69">
        <v>1</v>
      </c>
    </row>
    <row r="35" spans="1:5" ht="16.5" x14ac:dyDescent="0.2">
      <c r="A35" s="39" t="s">
        <v>639</v>
      </c>
      <c r="B35" s="39"/>
      <c r="C35" s="66">
        <v>120</v>
      </c>
      <c r="D35" s="45"/>
      <c r="E35" s="69">
        <v>2</v>
      </c>
    </row>
    <row r="36" spans="1:5" ht="16.5" x14ac:dyDescent="0.2">
      <c r="A36" s="39" t="s">
        <v>640</v>
      </c>
      <c r="B36" s="39"/>
      <c r="C36" s="66">
        <v>120</v>
      </c>
      <c r="D36" s="45"/>
      <c r="E36" s="69">
        <v>2</v>
      </c>
    </row>
    <row r="37" spans="1:5" ht="16.5" x14ac:dyDescent="0.2">
      <c r="A37" s="39" t="s">
        <v>641</v>
      </c>
      <c r="B37" s="39"/>
      <c r="C37" s="66">
        <v>280</v>
      </c>
      <c r="D37" s="45"/>
      <c r="E37" s="69">
        <v>3</v>
      </c>
    </row>
    <row r="38" spans="1:5" ht="16.5" x14ac:dyDescent="0.2">
      <c r="A38" s="39" t="s">
        <v>642</v>
      </c>
      <c r="B38" s="39"/>
      <c r="C38" s="66">
        <v>280</v>
      </c>
      <c r="D38" s="45"/>
      <c r="E38" s="69">
        <v>3</v>
      </c>
    </row>
    <row r="39" spans="1:5" ht="16.5" x14ac:dyDescent="0.2">
      <c r="A39" s="39" t="s">
        <v>643</v>
      </c>
      <c r="B39" s="39"/>
      <c r="C39" s="66">
        <v>600</v>
      </c>
      <c r="D39" s="45"/>
      <c r="E39" s="69">
        <v>4</v>
      </c>
    </row>
    <row r="40" spans="1:5" ht="16.5" x14ac:dyDescent="0.2">
      <c r="A40" s="39" t="s">
        <v>644</v>
      </c>
      <c r="B40" s="39"/>
      <c r="C40" s="66">
        <v>120</v>
      </c>
      <c r="D40" s="45"/>
      <c r="E40" s="69">
        <v>2</v>
      </c>
    </row>
    <row r="41" spans="1:5" ht="16.5" x14ac:dyDescent="0.2">
      <c r="A41" s="39" t="s">
        <v>645</v>
      </c>
      <c r="B41" s="39"/>
      <c r="C41" s="66">
        <v>120</v>
      </c>
      <c r="D41" s="45"/>
      <c r="E41" s="69">
        <v>2</v>
      </c>
    </row>
    <row r="42" spans="1:5" ht="16.5" x14ac:dyDescent="0.2">
      <c r="A42" s="39" t="s">
        <v>646</v>
      </c>
      <c r="B42" s="39"/>
      <c r="C42" s="66">
        <v>120</v>
      </c>
      <c r="D42" s="45"/>
      <c r="E42" s="69">
        <v>2</v>
      </c>
    </row>
    <row r="43" spans="1:5" ht="16.5" x14ac:dyDescent="0.2">
      <c r="A43" s="39" t="s">
        <v>647</v>
      </c>
      <c r="B43" s="39"/>
      <c r="C43" s="66">
        <v>280</v>
      </c>
      <c r="D43" s="45"/>
      <c r="E43" s="69">
        <v>3</v>
      </c>
    </row>
    <row r="44" spans="1:5" ht="16.5" x14ac:dyDescent="0.2">
      <c r="A44" s="74" t="s">
        <v>648</v>
      </c>
      <c r="B44" s="74"/>
      <c r="C44" s="74">
        <v>280</v>
      </c>
      <c r="D44" s="74"/>
      <c r="E44" s="74">
        <v>3</v>
      </c>
    </row>
    <row r="45" spans="1:5" ht="16.5" x14ac:dyDescent="0.2">
      <c r="A45" s="74" t="s">
        <v>649</v>
      </c>
      <c r="B45" s="74"/>
      <c r="C45" s="74">
        <v>280</v>
      </c>
      <c r="D45" s="74"/>
      <c r="E45" s="74">
        <v>3</v>
      </c>
    </row>
    <row r="46" spans="1:5" ht="16.5" x14ac:dyDescent="0.2">
      <c r="A46" s="74" t="s">
        <v>650</v>
      </c>
      <c r="B46" s="74"/>
      <c r="C46" s="74">
        <v>600</v>
      </c>
      <c r="D46" s="74"/>
      <c r="E46" s="74">
        <v>4</v>
      </c>
    </row>
    <row r="47" spans="1:5" ht="16.5" x14ac:dyDescent="0.2">
      <c r="A47" s="74" t="s">
        <v>651</v>
      </c>
      <c r="B47" s="74"/>
      <c r="C47" s="74">
        <v>600</v>
      </c>
      <c r="D47" s="74"/>
      <c r="E47" s="74">
        <v>4</v>
      </c>
    </row>
    <row r="48" spans="1:5" ht="16.5" x14ac:dyDescent="0.2">
      <c r="A48" s="74" t="s">
        <v>652</v>
      </c>
      <c r="B48" s="74"/>
      <c r="C48" s="74">
        <v>120</v>
      </c>
      <c r="D48" s="74"/>
      <c r="E48" s="74">
        <v>2</v>
      </c>
    </row>
    <row r="49" spans="1:5" ht="16.5" x14ac:dyDescent="0.2">
      <c r="A49" s="74" t="s">
        <v>653</v>
      </c>
      <c r="B49" s="74"/>
      <c r="C49" s="74">
        <v>120</v>
      </c>
      <c r="D49" s="74"/>
      <c r="E49" s="74">
        <v>2</v>
      </c>
    </row>
    <row r="50" spans="1:5" ht="16.5" x14ac:dyDescent="0.2">
      <c r="A50" s="74" t="s">
        <v>654</v>
      </c>
      <c r="B50" s="74"/>
      <c r="C50" s="74">
        <v>120</v>
      </c>
      <c r="D50" s="74"/>
      <c r="E50" s="74">
        <v>2</v>
      </c>
    </row>
    <row r="51" spans="1:5" ht="16.5" x14ac:dyDescent="0.2">
      <c r="A51" s="74" t="s">
        <v>655</v>
      </c>
      <c r="B51" s="74"/>
      <c r="C51" s="74">
        <v>280</v>
      </c>
      <c r="D51" s="74"/>
      <c r="E51" s="74">
        <v>3</v>
      </c>
    </row>
    <row r="52" spans="1:5" ht="16.5" x14ac:dyDescent="0.2">
      <c r="A52" s="74" t="s">
        <v>656</v>
      </c>
      <c r="B52" s="74"/>
      <c r="C52" s="74">
        <v>280</v>
      </c>
      <c r="D52" s="74"/>
      <c r="E52" s="74">
        <v>3</v>
      </c>
    </row>
    <row r="53" spans="1:5" ht="16.5" x14ac:dyDescent="0.2">
      <c r="A53" s="74" t="s">
        <v>657</v>
      </c>
      <c r="B53" s="74"/>
      <c r="C53" s="74">
        <v>280</v>
      </c>
      <c r="D53" s="74"/>
      <c r="E53" s="74">
        <v>3</v>
      </c>
    </row>
    <row r="54" spans="1:5" ht="16.5" x14ac:dyDescent="0.2">
      <c r="A54" s="74" t="s">
        <v>658</v>
      </c>
      <c r="B54" s="74"/>
      <c r="C54" s="74">
        <v>600</v>
      </c>
      <c r="D54" s="74"/>
      <c r="E54" s="74">
        <v>4</v>
      </c>
    </row>
    <row r="55" spans="1:5" ht="16.5" x14ac:dyDescent="0.2">
      <c r="A55" s="74" t="s">
        <v>659</v>
      </c>
      <c r="B55" s="74"/>
      <c r="C55" s="74">
        <v>600</v>
      </c>
      <c r="D55" s="74"/>
      <c r="E55" s="74">
        <v>4</v>
      </c>
    </row>
    <row r="56" spans="1:5" ht="15.75" customHeight="1" x14ac:dyDescent="0.2">
      <c r="A56" s="62" t="s">
        <v>564</v>
      </c>
      <c r="B56" s="62"/>
      <c r="C56" s="62">
        <v>150</v>
      </c>
      <c r="D56" s="62"/>
      <c r="E56" s="69"/>
    </row>
    <row r="57" spans="1:5" ht="16.5" x14ac:dyDescent="0.2">
      <c r="A57" s="17" t="s">
        <v>27</v>
      </c>
      <c r="B57" s="17"/>
      <c r="C57" s="17">
        <v>7</v>
      </c>
      <c r="D57" s="45"/>
      <c r="E57" s="69"/>
    </row>
    <row r="58" spans="1:5" ht="16.5" x14ac:dyDescent="0.2">
      <c r="A58" s="17" t="s">
        <v>28</v>
      </c>
      <c r="B58" s="17"/>
      <c r="C58" s="17">
        <v>35</v>
      </c>
      <c r="D58" s="45"/>
      <c r="E58" s="69"/>
    </row>
    <row r="59" spans="1:5" ht="16.5" x14ac:dyDescent="0.2">
      <c r="A59" s="17" t="s">
        <v>29</v>
      </c>
      <c r="B59" s="17"/>
      <c r="C59" s="17">
        <v>100</v>
      </c>
      <c r="D59" s="45"/>
      <c r="E59" s="69"/>
    </row>
    <row r="60" spans="1:5" ht="16.5" x14ac:dyDescent="0.2">
      <c r="A60" s="13" t="s">
        <v>30</v>
      </c>
      <c r="B60" s="13"/>
      <c r="C60" s="13">
        <v>10</v>
      </c>
      <c r="D60" s="45"/>
      <c r="E60" s="69"/>
    </row>
    <row r="61" spans="1:5" ht="16.5" x14ac:dyDescent="0.2">
      <c r="A61" s="13" t="s">
        <v>31</v>
      </c>
      <c r="B61" s="13"/>
      <c r="C61" s="13">
        <v>50</v>
      </c>
      <c r="D61" s="45"/>
      <c r="E61" s="69"/>
    </row>
    <row r="62" spans="1:5" ht="16.5" x14ac:dyDescent="0.2">
      <c r="A62" s="13" t="s">
        <v>32</v>
      </c>
      <c r="B62" s="13"/>
      <c r="C62" s="13">
        <v>200</v>
      </c>
      <c r="D62" s="45"/>
      <c r="E62" s="69"/>
    </row>
    <row r="63" spans="1:5" ht="16.5" x14ac:dyDescent="0.2">
      <c r="A63" s="13" t="s">
        <v>25</v>
      </c>
      <c r="B63" s="13"/>
      <c r="C63" s="13">
        <v>350</v>
      </c>
      <c r="D63" s="45"/>
      <c r="E63" s="69"/>
    </row>
    <row r="64" spans="1:5" ht="16.5" x14ac:dyDescent="0.2">
      <c r="A64" s="13" t="s">
        <v>26</v>
      </c>
      <c r="B64" s="13"/>
      <c r="C64" s="13">
        <v>75</v>
      </c>
      <c r="D64" s="45"/>
      <c r="E64" s="69"/>
    </row>
    <row r="65" spans="1:5" ht="16.5" x14ac:dyDescent="0.2">
      <c r="A65" s="13" t="s">
        <v>337</v>
      </c>
      <c r="B65" s="13">
        <v>2500</v>
      </c>
      <c r="C65" s="13">
        <v>2.5</v>
      </c>
      <c r="D65" s="45"/>
      <c r="E65" s="69"/>
    </row>
    <row r="66" spans="1:5" ht="16.5" x14ac:dyDescent="0.2">
      <c r="A66" s="13" t="s">
        <v>338</v>
      </c>
      <c r="B66" s="13">
        <v>5000</v>
      </c>
      <c r="C66" s="13">
        <v>5</v>
      </c>
      <c r="D66" s="45"/>
      <c r="E66" s="69"/>
    </row>
    <row r="67" spans="1:5" ht="16.5" x14ac:dyDescent="0.2">
      <c r="A67" s="13" t="s">
        <v>339</v>
      </c>
      <c r="B67" s="13">
        <v>20000</v>
      </c>
      <c r="C67" s="13">
        <v>20</v>
      </c>
      <c r="D67" s="45"/>
      <c r="E67" s="69"/>
    </row>
    <row r="68" spans="1:5" ht="16.5" x14ac:dyDescent="0.2">
      <c r="A68" s="26" t="s">
        <v>179</v>
      </c>
      <c r="B68" s="26"/>
      <c r="C68" s="26">
        <v>1</v>
      </c>
      <c r="D68" s="45"/>
      <c r="E68" s="69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21"/>
  <sheetViews>
    <sheetView workbookViewId="0">
      <selection activeCell="G26" sqref="G26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108</v>
      </c>
      <c r="B3" s="12" t="s">
        <v>109</v>
      </c>
      <c r="C3" s="12" t="s">
        <v>112</v>
      </c>
      <c r="D3" s="12" t="s">
        <v>113</v>
      </c>
      <c r="F3" s="30" t="s">
        <v>110</v>
      </c>
      <c r="G3" s="26">
        <v>100</v>
      </c>
      <c r="I3" s="12" t="s">
        <v>134</v>
      </c>
      <c r="J3" s="12" t="s">
        <v>101</v>
      </c>
      <c r="K3" s="12" t="s">
        <v>367</v>
      </c>
      <c r="L3" s="12" t="s">
        <v>103</v>
      </c>
      <c r="M3" s="12" t="s">
        <v>120</v>
      </c>
      <c r="N3" s="12" t="s">
        <v>121</v>
      </c>
      <c r="O3" s="12" t="s">
        <v>122</v>
      </c>
      <c r="P3" s="12" t="s">
        <v>123</v>
      </c>
      <c r="Q3" s="12" t="s">
        <v>115</v>
      </c>
      <c r="R3" s="12" t="s">
        <v>164</v>
      </c>
      <c r="S3" s="12" t="s">
        <v>519</v>
      </c>
      <c r="U3" s="59" t="s">
        <v>510</v>
      </c>
      <c r="V3" s="59" t="s">
        <v>511</v>
      </c>
      <c r="W3" s="59" t="s">
        <v>512</v>
      </c>
      <c r="X3" s="59" t="s">
        <v>513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111</v>
      </c>
      <c r="G4" s="26">
        <v>110</v>
      </c>
      <c r="I4" s="26">
        <v>1</v>
      </c>
      <c r="J4" s="26" t="s">
        <v>102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116</v>
      </c>
      <c r="R4" s="15">
        <f>O4</f>
        <v>0.03</v>
      </c>
      <c r="S4" s="15">
        <f>SUM(R$4:R4)</f>
        <v>0.03</v>
      </c>
      <c r="U4" s="61">
        <v>2</v>
      </c>
      <c r="V4" s="61">
        <v>0</v>
      </c>
      <c r="W4" s="61">
        <v>0</v>
      </c>
      <c r="X4" s="61">
        <v>0</v>
      </c>
    </row>
    <row r="5" spans="1:24" ht="16.5" x14ac:dyDescent="0.2">
      <c r="I5" s="26">
        <v>2</v>
      </c>
      <c r="J5" s="26" t="s">
        <v>104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117</v>
      </c>
      <c r="R5" s="15">
        <f>O5-O4</f>
        <v>7.0000000000000007E-2</v>
      </c>
      <c r="S5" s="15">
        <f>SUM(R$4:R5)</f>
        <v>0.1</v>
      </c>
      <c r="U5" s="61">
        <v>4</v>
      </c>
      <c r="V5" s="61">
        <v>0</v>
      </c>
      <c r="W5" s="61">
        <v>0</v>
      </c>
      <c r="X5" s="61">
        <v>0</v>
      </c>
    </row>
    <row r="6" spans="1:24" ht="17.25" x14ac:dyDescent="0.2">
      <c r="A6" s="12" t="s">
        <v>114</v>
      </c>
      <c r="I6" s="26">
        <v>3</v>
      </c>
      <c r="J6" s="26" t="s">
        <v>105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118</v>
      </c>
      <c r="R6" s="15">
        <f t="shared" ref="R6:R18" si="0">O6-O5</f>
        <v>0.30000000000000004</v>
      </c>
      <c r="S6" s="15">
        <f>SUM(R$4:R6)</f>
        <v>0.4</v>
      </c>
      <c r="U6" s="61">
        <v>7</v>
      </c>
      <c r="V6" s="61">
        <v>0</v>
      </c>
      <c r="W6" s="61">
        <v>0</v>
      </c>
      <c r="X6" s="61">
        <v>0</v>
      </c>
    </row>
    <row r="7" spans="1:24" ht="18" customHeight="1" x14ac:dyDescent="0.2">
      <c r="A7" s="26">
        <v>20</v>
      </c>
      <c r="I7" s="26">
        <v>4</v>
      </c>
      <c r="J7" s="26" t="s">
        <v>106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119</v>
      </c>
      <c r="R7" s="15">
        <f t="shared" si="0"/>
        <v>0.6</v>
      </c>
      <c r="S7" s="15">
        <f>SUM(R$4:R7)</f>
        <v>1</v>
      </c>
      <c r="U7" s="61">
        <v>10</v>
      </c>
      <c r="V7" s="61">
        <v>4</v>
      </c>
      <c r="W7" s="61">
        <v>0</v>
      </c>
      <c r="X7" s="61">
        <v>0</v>
      </c>
    </row>
    <row r="8" spans="1:24" ht="16.5" x14ac:dyDescent="0.2">
      <c r="A8" s="26">
        <v>30</v>
      </c>
      <c r="I8" s="26">
        <v>5</v>
      </c>
      <c r="J8" s="26" t="s">
        <v>107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1">
        <v>20</v>
      </c>
      <c r="V8" s="61">
        <v>10</v>
      </c>
      <c r="W8" s="61">
        <v>5</v>
      </c>
      <c r="X8" s="61">
        <v>5</v>
      </c>
    </row>
    <row r="9" spans="1:24" ht="16.5" x14ac:dyDescent="0.2">
      <c r="A9" s="26">
        <v>30</v>
      </c>
      <c r="I9" s="26">
        <v>6</v>
      </c>
      <c r="J9" s="26" t="s">
        <v>124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1">
        <v>35</v>
      </c>
      <c r="V9" s="61">
        <v>20</v>
      </c>
      <c r="W9" s="61">
        <v>10</v>
      </c>
      <c r="X9" s="61">
        <v>10</v>
      </c>
    </row>
    <row r="10" spans="1:24" ht="16.5" x14ac:dyDescent="0.2">
      <c r="A10" s="26">
        <v>40</v>
      </c>
      <c r="I10" s="26">
        <v>7</v>
      </c>
      <c r="J10" s="26" t="s">
        <v>125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1">
        <v>50</v>
      </c>
      <c r="V10" s="61">
        <v>30</v>
      </c>
      <c r="W10" s="61">
        <v>15</v>
      </c>
      <c r="X10" s="61">
        <v>15</v>
      </c>
    </row>
    <row r="11" spans="1:24" ht="16.5" x14ac:dyDescent="0.2">
      <c r="A11" s="26">
        <v>40</v>
      </c>
      <c r="I11" s="26">
        <v>8</v>
      </c>
      <c r="J11" s="26" t="s">
        <v>126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1">
        <v>65</v>
      </c>
      <c r="V11" s="61">
        <v>40</v>
      </c>
      <c r="W11" s="61">
        <v>20</v>
      </c>
      <c r="X11" s="61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127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1">
        <v>80</v>
      </c>
      <c r="V12" s="61">
        <v>55</v>
      </c>
      <c r="W12" s="61">
        <v>30</v>
      </c>
      <c r="X12" s="61">
        <v>30</v>
      </c>
    </row>
    <row r="13" spans="1:24" ht="16.5" x14ac:dyDescent="0.2">
      <c r="A13" s="26">
        <v>60</v>
      </c>
      <c r="I13" s="26">
        <v>10</v>
      </c>
      <c r="J13" s="26" t="s">
        <v>128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1">
        <v>100</v>
      </c>
      <c r="V13" s="61">
        <v>70</v>
      </c>
      <c r="W13" s="61">
        <v>45</v>
      </c>
      <c r="X13" s="61">
        <v>45</v>
      </c>
    </row>
    <row r="14" spans="1:24" ht="16.5" x14ac:dyDescent="0.2">
      <c r="A14" s="26">
        <v>80</v>
      </c>
      <c r="I14" s="26">
        <v>11</v>
      </c>
      <c r="J14" s="26" t="s">
        <v>129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1">
        <v>0</v>
      </c>
      <c r="V14" s="61">
        <v>85</v>
      </c>
      <c r="W14" s="61">
        <v>60</v>
      </c>
      <c r="X14" s="61">
        <v>60</v>
      </c>
    </row>
    <row r="15" spans="1:24" ht="16.5" x14ac:dyDescent="0.2">
      <c r="A15" s="26">
        <v>90</v>
      </c>
      <c r="I15" s="26">
        <v>12</v>
      </c>
      <c r="J15" s="26" t="s">
        <v>130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1">
        <v>0</v>
      </c>
      <c r="V15" s="61">
        <v>100</v>
      </c>
      <c r="W15" s="61">
        <v>80</v>
      </c>
      <c r="X15" s="61">
        <v>80</v>
      </c>
    </row>
    <row r="16" spans="1:24" ht="16.5" x14ac:dyDescent="0.2">
      <c r="A16" s="26">
        <v>100</v>
      </c>
      <c r="I16" s="26">
        <v>13</v>
      </c>
      <c r="J16" s="26" t="s">
        <v>131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1">
        <v>0</v>
      </c>
      <c r="V16" s="61">
        <v>0</v>
      </c>
      <c r="W16" s="61">
        <v>100</v>
      </c>
      <c r="X16" s="61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132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1">
        <v>0</v>
      </c>
      <c r="V17" s="61">
        <v>0</v>
      </c>
      <c r="W17" s="61">
        <v>0</v>
      </c>
      <c r="X17" s="61">
        <v>0</v>
      </c>
    </row>
    <row r="18" spans="1:24" ht="16.5" x14ac:dyDescent="0.2">
      <c r="A18" s="16"/>
      <c r="I18" s="26">
        <v>15</v>
      </c>
      <c r="J18" s="26" t="s">
        <v>133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1">
        <v>0</v>
      </c>
      <c r="V18" s="61">
        <v>0</v>
      </c>
      <c r="W18" s="61">
        <v>0</v>
      </c>
      <c r="X18" s="61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AF1" workbookViewId="0">
      <selection activeCell="BA5" sqref="BA5:BA13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98" t="s">
        <v>138</v>
      </c>
      <c r="B3" s="98"/>
      <c r="C3" s="98"/>
      <c r="D3" s="98"/>
      <c r="E3" s="98"/>
      <c r="F3" s="98"/>
      <c r="G3" s="98"/>
      <c r="H3" s="98"/>
      <c r="I3" s="98"/>
      <c r="K3" s="97" t="s">
        <v>147</v>
      </c>
      <c r="L3" s="97"/>
      <c r="M3" s="97"/>
      <c r="N3" s="97"/>
      <c r="O3" s="97"/>
      <c r="P3" s="97"/>
      <c r="Q3" s="97"/>
      <c r="R3" s="97"/>
      <c r="S3" s="97"/>
      <c r="T3" s="97"/>
      <c r="V3" s="97" t="s">
        <v>153</v>
      </c>
      <c r="W3" s="97"/>
      <c r="X3" s="97"/>
      <c r="Y3" s="97"/>
      <c r="Z3" s="97"/>
      <c r="AA3" s="97"/>
      <c r="AB3" s="97"/>
      <c r="AC3" s="97"/>
      <c r="AD3" s="97"/>
      <c r="AE3" s="97"/>
      <c r="AH3" s="98" t="s">
        <v>135</v>
      </c>
      <c r="AI3" s="98"/>
      <c r="AJ3" s="98"/>
      <c r="AK3" s="98"/>
      <c r="AL3" s="98"/>
      <c r="AM3" s="98"/>
      <c r="AP3" s="97" t="s">
        <v>742</v>
      </c>
      <c r="AQ3" s="97"/>
      <c r="AR3" s="97"/>
      <c r="AS3" s="97"/>
      <c r="AT3" s="97"/>
      <c r="AU3" s="97"/>
      <c r="AX3" s="97" t="s">
        <v>40</v>
      </c>
      <c r="AY3" s="97"/>
      <c r="AZ3" s="97"/>
      <c r="BA3" s="97"/>
      <c r="BB3" s="97"/>
      <c r="BC3" s="97"/>
    </row>
    <row r="4" spans="1:55" ht="17.25" x14ac:dyDescent="0.2">
      <c r="A4" s="12" t="s">
        <v>34</v>
      </c>
      <c r="B4" s="12" t="s">
        <v>139</v>
      </c>
      <c r="C4" s="12" t="s">
        <v>36</v>
      </c>
      <c r="D4" s="12" t="s">
        <v>140</v>
      </c>
      <c r="E4" s="12" t="s">
        <v>142</v>
      </c>
      <c r="F4" s="12" t="s">
        <v>143</v>
      </c>
      <c r="G4" s="12" t="s">
        <v>141</v>
      </c>
      <c r="H4" s="12" t="s">
        <v>144</v>
      </c>
      <c r="I4" s="12" t="s">
        <v>146</v>
      </c>
      <c r="K4" s="12" t="s">
        <v>34</v>
      </c>
      <c r="L4" s="12" t="s">
        <v>152</v>
      </c>
      <c r="M4" s="12" t="s">
        <v>148</v>
      </c>
      <c r="N4" s="12" t="s">
        <v>149</v>
      </c>
      <c r="O4" s="12" t="s">
        <v>139</v>
      </c>
      <c r="P4" s="12" t="s">
        <v>150</v>
      </c>
      <c r="Q4" s="12" t="s">
        <v>151</v>
      </c>
      <c r="R4" s="12" t="s">
        <v>145</v>
      </c>
      <c r="S4" s="12" t="s">
        <v>340</v>
      </c>
      <c r="T4" s="12" t="s">
        <v>341</v>
      </c>
      <c r="V4" s="12" t="s">
        <v>34</v>
      </c>
      <c r="W4" s="12" t="s">
        <v>152</v>
      </c>
      <c r="X4" s="12" t="s">
        <v>148</v>
      </c>
      <c r="Y4" s="12" t="s">
        <v>149</v>
      </c>
      <c r="Z4" s="12" t="s">
        <v>139</v>
      </c>
      <c r="AA4" s="12" t="s">
        <v>150</v>
      </c>
      <c r="AB4" s="12" t="s">
        <v>151</v>
      </c>
      <c r="AC4" s="12" t="s">
        <v>145</v>
      </c>
      <c r="AD4" s="12" t="s">
        <v>340</v>
      </c>
      <c r="AE4" s="12" t="s">
        <v>341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150</v>
      </c>
      <c r="AM4" s="12" t="s">
        <v>145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136</v>
      </c>
      <c r="AU4" s="12" t="s">
        <v>137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136</v>
      </c>
      <c r="BC4" s="12" t="s">
        <v>137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v>0</v>
      </c>
      <c r="AT5" s="15">
        <f>INDEX($P$6:$P$20,AQ5)</f>
        <v>300</v>
      </c>
      <c r="AU5" s="15">
        <f>INDEX($R$6:$R$20,AQ5)</f>
        <v>1125</v>
      </c>
      <c r="AX5" s="18">
        <v>1</v>
      </c>
      <c r="AY5" s="18">
        <v>1</v>
      </c>
      <c r="AZ5" s="18">
        <v>1</v>
      </c>
      <c r="BA5" s="15">
        <v>100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10</v>
      </c>
      <c r="N6" s="26">
        <f>INDEX($C$6:$C$20,K6)*M6</f>
        <v>50</v>
      </c>
      <c r="O6" s="26">
        <v>30</v>
      </c>
      <c r="P6" s="26">
        <f>INDEX($E$6:$E$20,K6)*O6</f>
        <v>300</v>
      </c>
      <c r="Q6" s="26">
        <v>45</v>
      </c>
      <c r="R6" s="26">
        <f>INDEX($H$6:$H$20,K6)*Q6</f>
        <v>1125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75">
        <v>20</v>
      </c>
      <c r="Y6" s="26">
        <f>INDEX($C$6:$C$20,V6)*X6</f>
        <v>100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v>50</v>
      </c>
      <c r="AT6" s="15">
        <f t="shared" ref="AT6:AT11" si="5">INDEX($P$6:$P$20,AQ6)</f>
        <v>300</v>
      </c>
      <c r="AU6" s="15">
        <f t="shared" ref="AU6:AU11" si="6">INDEX($R$6:$R$20,AQ6)</f>
        <v>1125</v>
      </c>
      <c r="AX6" s="18">
        <v>2</v>
      </c>
      <c r="AY6" s="18">
        <v>1</v>
      </c>
      <c r="AZ6" s="18">
        <v>2</v>
      </c>
      <c r="BA6" s="15">
        <v>100</v>
      </c>
      <c r="BB6" s="15">
        <f t="shared" ref="BB6:BB10" si="7">INDEX($AA$6:$AA$20,AY6)</f>
        <v>600</v>
      </c>
      <c r="BC6" s="15">
        <f t="shared" ref="BC6:BC10" si="8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9">(H7-H6)/$B7</f>
        <v>2.125</v>
      </c>
      <c r="K7" s="26">
        <v>2</v>
      </c>
      <c r="L7" s="26">
        <v>9</v>
      </c>
      <c r="M7" s="26">
        <v>20</v>
      </c>
      <c r="N7" s="26">
        <f t="shared" ref="N7:N20" si="10">INDEX($C$6:$C$20,K7)*M7</f>
        <v>140</v>
      </c>
      <c r="O7" s="26">
        <v>30</v>
      </c>
      <c r="P7" s="26">
        <f t="shared" ref="P7:P20" si="11">INDEX($E$6:$E$20,K7)*O7</f>
        <v>450</v>
      </c>
      <c r="Q7" s="75">
        <v>45</v>
      </c>
      <c r="R7" s="26">
        <f t="shared" ref="R7:R20" si="12">INDEX($H$6:$H$20,K7)*Q7</f>
        <v>1890</v>
      </c>
      <c r="S7" s="39">
        <v>90</v>
      </c>
      <c r="T7" s="39">
        <f t="shared" ref="T7:T20" si="13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4">INDEX($C$6:$C$20,V7)*X7</f>
        <v>280</v>
      </c>
      <c r="Z7" s="26">
        <v>60</v>
      </c>
      <c r="AA7" s="26">
        <f t="shared" ref="AA7:AA20" si="15">INDEX($E$6:$E$20,V7)*Z7</f>
        <v>900</v>
      </c>
      <c r="AB7" s="75">
        <v>90</v>
      </c>
      <c r="AC7" s="26">
        <f t="shared" ref="AC7:AC20" si="16">INDEX($H$6:$H$20,V7)*AB7</f>
        <v>3780</v>
      </c>
      <c r="AD7" s="39">
        <v>180</v>
      </c>
      <c r="AE7" s="39">
        <f t="shared" ref="AE7:AE20" si="17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v>50</v>
      </c>
      <c r="AT7" s="15">
        <f t="shared" si="5"/>
        <v>300</v>
      </c>
      <c r="AU7" s="15">
        <f t="shared" si="6"/>
        <v>1125</v>
      </c>
      <c r="AX7" s="18">
        <v>3</v>
      </c>
      <c r="AY7" s="18">
        <v>1</v>
      </c>
      <c r="AZ7" s="18">
        <v>3</v>
      </c>
      <c r="BA7" s="15">
        <v>100</v>
      </c>
      <c r="BB7" s="15">
        <f t="shared" si="7"/>
        <v>600</v>
      </c>
      <c r="BC7" s="15">
        <f t="shared" si="8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9"/>
        <v>3.1111111111111112</v>
      </c>
      <c r="K8" s="26">
        <v>3</v>
      </c>
      <c r="L8" s="39">
        <v>9</v>
      </c>
      <c r="M8" s="26">
        <v>20</v>
      </c>
      <c r="N8" s="26">
        <f t="shared" si="10"/>
        <v>200</v>
      </c>
      <c r="O8" s="26">
        <v>30</v>
      </c>
      <c r="P8" s="26">
        <f t="shared" si="11"/>
        <v>600</v>
      </c>
      <c r="Q8" s="75">
        <v>45</v>
      </c>
      <c r="R8" s="26">
        <f t="shared" si="12"/>
        <v>3150</v>
      </c>
      <c r="S8" s="39">
        <v>120</v>
      </c>
      <c r="T8" s="39">
        <f t="shared" si="13"/>
        <v>8400</v>
      </c>
      <c r="V8" s="26">
        <v>3</v>
      </c>
      <c r="W8" s="26">
        <v>8</v>
      </c>
      <c r="X8" s="26">
        <v>40</v>
      </c>
      <c r="Y8" s="26">
        <f t="shared" si="14"/>
        <v>400</v>
      </c>
      <c r="Z8" s="26">
        <v>60</v>
      </c>
      <c r="AA8" s="26">
        <f t="shared" si="15"/>
        <v>1200</v>
      </c>
      <c r="AB8" s="75">
        <v>90</v>
      </c>
      <c r="AC8" s="26">
        <f t="shared" si="16"/>
        <v>6300</v>
      </c>
      <c r="AD8" s="39">
        <v>240</v>
      </c>
      <c r="AE8" s="39">
        <f t="shared" si="17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v>50</v>
      </c>
      <c r="AT8" s="15">
        <f t="shared" si="5"/>
        <v>300</v>
      </c>
      <c r="AU8" s="15">
        <f t="shared" si="6"/>
        <v>1125</v>
      </c>
      <c r="AX8" s="18">
        <v>4</v>
      </c>
      <c r="AY8" s="18">
        <v>1</v>
      </c>
      <c r="AZ8" s="18">
        <v>4</v>
      </c>
      <c r="BA8" s="15">
        <v>150</v>
      </c>
      <c r="BB8" s="15">
        <f t="shared" si="7"/>
        <v>600</v>
      </c>
      <c r="BC8" s="15">
        <f t="shared" si="8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9"/>
        <v>3.7777777777777777</v>
      </c>
      <c r="K9" s="26">
        <v>4</v>
      </c>
      <c r="L9" s="39">
        <v>9</v>
      </c>
      <c r="M9" s="26">
        <v>20</v>
      </c>
      <c r="N9" s="26">
        <f t="shared" si="10"/>
        <v>260</v>
      </c>
      <c r="O9" s="26">
        <v>30</v>
      </c>
      <c r="P9" s="26">
        <f t="shared" si="11"/>
        <v>750</v>
      </c>
      <c r="Q9" s="75">
        <v>45</v>
      </c>
      <c r="R9" s="26">
        <f t="shared" si="12"/>
        <v>4680</v>
      </c>
      <c r="S9" s="39">
        <v>120</v>
      </c>
      <c r="T9" s="39">
        <f t="shared" si="13"/>
        <v>12480</v>
      </c>
      <c r="V9" s="26">
        <v>4</v>
      </c>
      <c r="W9" s="26">
        <v>7</v>
      </c>
      <c r="X9" s="26">
        <v>40</v>
      </c>
      <c r="Y9" s="26">
        <f t="shared" si="14"/>
        <v>520</v>
      </c>
      <c r="Z9" s="26">
        <v>60</v>
      </c>
      <c r="AA9" s="26">
        <f t="shared" si="15"/>
        <v>1500</v>
      </c>
      <c r="AB9" s="75">
        <v>90</v>
      </c>
      <c r="AC9" s="26">
        <f t="shared" si="16"/>
        <v>9360</v>
      </c>
      <c r="AD9" s="39">
        <v>240</v>
      </c>
      <c r="AE9" s="39">
        <f t="shared" si="17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v>50</v>
      </c>
      <c r="AT9" s="15">
        <f t="shared" si="5"/>
        <v>300</v>
      </c>
      <c r="AU9" s="15">
        <f t="shared" si="6"/>
        <v>1125</v>
      </c>
      <c r="AX9" s="18">
        <v>5</v>
      </c>
      <c r="AY9" s="18">
        <v>1</v>
      </c>
      <c r="AZ9" s="18">
        <v>5</v>
      </c>
      <c r="BA9" s="15">
        <v>150</v>
      </c>
      <c r="BB9" s="15">
        <f t="shared" si="7"/>
        <v>600</v>
      </c>
      <c r="BC9" s="15">
        <f t="shared" si="8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9"/>
        <v>2.6666666666666665</v>
      </c>
      <c r="K10" s="26">
        <v>5</v>
      </c>
      <c r="L10" s="26">
        <v>15</v>
      </c>
      <c r="M10" s="26">
        <v>20</v>
      </c>
      <c r="N10" s="26">
        <f t="shared" si="10"/>
        <v>320</v>
      </c>
      <c r="O10" s="26">
        <v>30</v>
      </c>
      <c r="P10" s="26">
        <f t="shared" si="11"/>
        <v>960</v>
      </c>
      <c r="Q10" s="75">
        <v>45</v>
      </c>
      <c r="R10" s="26">
        <f t="shared" si="12"/>
        <v>6480</v>
      </c>
      <c r="S10" s="39">
        <v>150</v>
      </c>
      <c r="T10" s="39">
        <f t="shared" si="13"/>
        <v>21600</v>
      </c>
      <c r="V10" s="26">
        <v>5</v>
      </c>
      <c r="W10" s="26">
        <v>15</v>
      </c>
      <c r="X10" s="26">
        <v>40</v>
      </c>
      <c r="Y10" s="26">
        <f t="shared" si="14"/>
        <v>640</v>
      </c>
      <c r="Z10" s="26">
        <v>60</v>
      </c>
      <c r="AA10" s="26">
        <f t="shared" si="15"/>
        <v>1920</v>
      </c>
      <c r="AB10" s="75">
        <v>90</v>
      </c>
      <c r="AC10" s="26">
        <f t="shared" si="16"/>
        <v>12960</v>
      </c>
      <c r="AD10" s="39">
        <v>300</v>
      </c>
      <c r="AE10" s="39">
        <f t="shared" si="17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v>50</v>
      </c>
      <c r="AT10" s="15">
        <f t="shared" si="5"/>
        <v>300</v>
      </c>
      <c r="AU10" s="15">
        <f t="shared" si="6"/>
        <v>1125</v>
      </c>
      <c r="AX10" s="18">
        <v>6</v>
      </c>
      <c r="AY10" s="18">
        <v>1</v>
      </c>
      <c r="AZ10" s="18">
        <v>6</v>
      </c>
      <c r="BA10" s="15">
        <v>150</v>
      </c>
      <c r="BB10" s="15">
        <f t="shared" si="7"/>
        <v>600</v>
      </c>
      <c r="BC10" s="15">
        <f t="shared" si="8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9"/>
        <v>3.7333333333333334</v>
      </c>
      <c r="K11" s="26">
        <v>6</v>
      </c>
      <c r="L11" s="26">
        <v>15</v>
      </c>
      <c r="M11" s="26">
        <v>20</v>
      </c>
      <c r="N11" s="26">
        <f t="shared" si="10"/>
        <v>400</v>
      </c>
      <c r="O11" s="26">
        <v>30</v>
      </c>
      <c r="P11" s="26">
        <f t="shared" si="11"/>
        <v>1200</v>
      </c>
      <c r="Q11" s="75">
        <v>45</v>
      </c>
      <c r="R11" s="26">
        <f t="shared" si="12"/>
        <v>9000</v>
      </c>
      <c r="S11" s="39">
        <v>150</v>
      </c>
      <c r="T11" s="39">
        <f t="shared" si="13"/>
        <v>30000</v>
      </c>
      <c r="V11" s="26">
        <v>6</v>
      </c>
      <c r="W11" s="26">
        <v>15</v>
      </c>
      <c r="X11" s="26">
        <v>40</v>
      </c>
      <c r="Y11" s="26">
        <f t="shared" si="14"/>
        <v>800</v>
      </c>
      <c r="Z11" s="26">
        <v>60</v>
      </c>
      <c r="AA11" s="26">
        <f t="shared" si="15"/>
        <v>2400</v>
      </c>
      <c r="AB11" s="75">
        <v>90</v>
      </c>
      <c r="AC11" s="26">
        <f t="shared" si="16"/>
        <v>18000</v>
      </c>
      <c r="AD11" s="39">
        <v>300</v>
      </c>
      <c r="AE11" s="39">
        <f t="shared" si="17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v>75</v>
      </c>
      <c r="AT11" s="15">
        <f t="shared" si="5"/>
        <v>300</v>
      </c>
      <c r="AU11" s="15">
        <f t="shared" si="6"/>
        <v>1125</v>
      </c>
      <c r="AX11" s="68">
        <v>7</v>
      </c>
      <c r="AY11" s="68">
        <v>1</v>
      </c>
      <c r="AZ11" s="68">
        <v>7</v>
      </c>
      <c r="BA11" s="15">
        <v>200</v>
      </c>
      <c r="BB11" s="15">
        <f t="shared" ref="BB11:BB13" si="18">INDEX($AA$6:$AA$20,AY11)</f>
        <v>600</v>
      </c>
      <c r="BC11" s="15">
        <f t="shared" ref="BC11:BC13" si="19">INDEX($AC$6:$AC$20,AY11)</f>
        <v>2250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9"/>
        <v>5</v>
      </c>
      <c r="K12" s="26">
        <v>7</v>
      </c>
      <c r="L12" s="26">
        <v>15</v>
      </c>
      <c r="M12" s="26">
        <v>20</v>
      </c>
      <c r="N12" s="26">
        <f t="shared" si="10"/>
        <v>500</v>
      </c>
      <c r="O12" s="26">
        <v>30</v>
      </c>
      <c r="P12" s="26">
        <f t="shared" si="11"/>
        <v>1500</v>
      </c>
      <c r="Q12" s="75">
        <v>45</v>
      </c>
      <c r="R12" s="26">
        <f t="shared" si="12"/>
        <v>12375</v>
      </c>
      <c r="S12" s="39">
        <v>150</v>
      </c>
      <c r="T12" s="39">
        <f t="shared" si="13"/>
        <v>41250</v>
      </c>
      <c r="V12" s="26">
        <v>7</v>
      </c>
      <c r="W12" s="26">
        <v>15</v>
      </c>
      <c r="X12" s="26">
        <v>40</v>
      </c>
      <c r="Y12" s="26">
        <f t="shared" si="14"/>
        <v>1000</v>
      </c>
      <c r="Z12" s="26">
        <v>60</v>
      </c>
      <c r="AA12" s="26">
        <f t="shared" si="15"/>
        <v>3000</v>
      </c>
      <c r="AB12" s="75">
        <v>90</v>
      </c>
      <c r="AC12" s="26">
        <f t="shared" si="16"/>
        <v>24750</v>
      </c>
      <c r="AD12" s="39">
        <v>300</v>
      </c>
      <c r="AE12" s="39">
        <f t="shared" si="17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8">
        <v>8</v>
      </c>
      <c r="AQ12" s="68">
        <v>1</v>
      </c>
      <c r="AR12" s="68">
        <v>8</v>
      </c>
      <c r="AS12" s="15">
        <v>75</v>
      </c>
      <c r="AT12" s="15">
        <f t="shared" ref="AT12:AT13" si="20">INDEX($P$6:$P$20,AQ12)</f>
        <v>300</v>
      </c>
      <c r="AU12" s="15">
        <f t="shared" ref="AU12:AU13" si="21">INDEX($R$6:$R$20,AQ12)</f>
        <v>1125</v>
      </c>
      <c r="AX12" s="68">
        <v>8</v>
      </c>
      <c r="AY12" s="68">
        <v>1</v>
      </c>
      <c r="AZ12" s="68">
        <v>8</v>
      </c>
      <c r="BA12" s="15">
        <v>200</v>
      </c>
      <c r="BB12" s="15">
        <f t="shared" si="18"/>
        <v>600</v>
      </c>
      <c r="BC12" s="15">
        <f t="shared" si="19"/>
        <v>2250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9"/>
        <v>5.666666666666667</v>
      </c>
      <c r="K13" s="26">
        <v>8</v>
      </c>
      <c r="L13" s="26">
        <v>15</v>
      </c>
      <c r="M13" s="26">
        <v>20</v>
      </c>
      <c r="N13" s="26">
        <f t="shared" si="10"/>
        <v>600</v>
      </c>
      <c r="O13" s="26">
        <v>30</v>
      </c>
      <c r="P13" s="26">
        <f t="shared" si="11"/>
        <v>1800</v>
      </c>
      <c r="Q13" s="75">
        <v>45</v>
      </c>
      <c r="R13" s="26">
        <f t="shared" si="12"/>
        <v>16200</v>
      </c>
      <c r="S13" s="39">
        <v>150</v>
      </c>
      <c r="T13" s="39">
        <f t="shared" si="13"/>
        <v>54000</v>
      </c>
      <c r="V13" s="26">
        <v>8</v>
      </c>
      <c r="W13" s="26">
        <v>15</v>
      </c>
      <c r="X13" s="26">
        <v>40</v>
      </c>
      <c r="Y13" s="26">
        <f t="shared" si="14"/>
        <v>1200</v>
      </c>
      <c r="Z13" s="26">
        <v>60</v>
      </c>
      <c r="AA13" s="26">
        <f t="shared" si="15"/>
        <v>3600</v>
      </c>
      <c r="AB13" s="75">
        <v>90</v>
      </c>
      <c r="AC13" s="26">
        <f t="shared" si="16"/>
        <v>32400</v>
      </c>
      <c r="AD13" s="39">
        <v>300</v>
      </c>
      <c r="AE13" s="39">
        <f t="shared" si="17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8">
        <v>9</v>
      </c>
      <c r="AQ13" s="68">
        <v>1</v>
      </c>
      <c r="AR13" s="68">
        <v>9</v>
      </c>
      <c r="AS13" s="15">
        <v>75</v>
      </c>
      <c r="AT13" s="15">
        <f t="shared" si="20"/>
        <v>300</v>
      </c>
      <c r="AU13" s="15">
        <f t="shared" si="21"/>
        <v>1125</v>
      </c>
      <c r="AX13" s="68">
        <v>9</v>
      </c>
      <c r="AY13" s="68">
        <v>1</v>
      </c>
      <c r="AZ13" s="68">
        <v>9</v>
      </c>
      <c r="BA13" s="15">
        <v>200</v>
      </c>
      <c r="BB13" s="15">
        <f t="shared" si="18"/>
        <v>600</v>
      </c>
      <c r="BC13" s="15">
        <f t="shared" si="19"/>
        <v>2250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9"/>
        <v>7.2</v>
      </c>
      <c r="K14" s="26">
        <v>9</v>
      </c>
      <c r="L14" s="26">
        <v>15</v>
      </c>
      <c r="M14" s="26">
        <v>20</v>
      </c>
      <c r="N14" s="26">
        <f t="shared" si="10"/>
        <v>720</v>
      </c>
      <c r="O14" s="26">
        <v>30</v>
      </c>
      <c r="P14" s="26">
        <f t="shared" si="11"/>
        <v>2160</v>
      </c>
      <c r="Q14" s="75">
        <v>45</v>
      </c>
      <c r="R14" s="26">
        <f t="shared" si="12"/>
        <v>21060</v>
      </c>
      <c r="S14" s="39">
        <v>150</v>
      </c>
      <c r="T14" s="39">
        <f t="shared" si="13"/>
        <v>70200</v>
      </c>
      <c r="V14" s="26">
        <v>9</v>
      </c>
      <c r="W14" s="26">
        <v>15</v>
      </c>
      <c r="X14" s="26">
        <v>40</v>
      </c>
      <c r="Y14" s="26">
        <f t="shared" si="14"/>
        <v>1440</v>
      </c>
      <c r="Z14" s="26">
        <v>60</v>
      </c>
      <c r="AA14" s="26">
        <f t="shared" si="15"/>
        <v>4320</v>
      </c>
      <c r="AB14" s="75">
        <v>90</v>
      </c>
      <c r="AC14" s="26">
        <f t="shared" si="16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8">
        <v>10</v>
      </c>
      <c r="AQ14" s="18">
        <v>2</v>
      </c>
      <c r="AR14" s="18">
        <v>1</v>
      </c>
      <c r="AS14" s="15">
        <f t="shared" ref="AS14:AS29" si="22">INDEX($N$6:$N$20,AQ14)</f>
        <v>140</v>
      </c>
      <c r="AT14" s="15">
        <f t="shared" ref="AT14:AT29" si="23">INDEX($P$6:$P$20,AQ14)</f>
        <v>450</v>
      </c>
      <c r="AU14" s="15">
        <f t="shared" ref="AU14:AU29" si="24">INDEX($R$6:$R$20,AQ14)</f>
        <v>1890</v>
      </c>
      <c r="AX14" s="18">
        <v>7</v>
      </c>
      <c r="AY14" s="18">
        <v>2</v>
      </c>
      <c r="AZ14" s="18">
        <v>1</v>
      </c>
      <c r="BA14" s="15">
        <f t="shared" ref="BA14:BA29" si="25">INDEX($Y$6:$Y$20,AY14)</f>
        <v>280</v>
      </c>
      <c r="BB14" s="15">
        <f t="shared" ref="BB14:BB29" si="26">INDEX($AA$6:$AA$20,AY14)</f>
        <v>900</v>
      </c>
      <c r="BC14" s="15">
        <f t="shared" ref="BC14:BC29" si="27">INDEX($AC$6:$AC$20,AY14)</f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9"/>
        <v>9.8666666666666671</v>
      </c>
      <c r="K15" s="26">
        <v>10</v>
      </c>
      <c r="L15" s="26">
        <v>15</v>
      </c>
      <c r="M15" s="26">
        <v>20</v>
      </c>
      <c r="N15" s="26">
        <f t="shared" si="10"/>
        <v>880</v>
      </c>
      <c r="O15" s="26">
        <v>30</v>
      </c>
      <c r="P15" s="26">
        <f t="shared" si="11"/>
        <v>2700</v>
      </c>
      <c r="Q15" s="75">
        <v>45</v>
      </c>
      <c r="R15" s="26">
        <f t="shared" si="12"/>
        <v>27720</v>
      </c>
      <c r="S15" s="39">
        <v>150</v>
      </c>
      <c r="T15" s="39">
        <f t="shared" si="13"/>
        <v>92400</v>
      </c>
      <c r="V15" s="26">
        <v>10</v>
      </c>
      <c r="W15" s="26">
        <v>15</v>
      </c>
      <c r="X15" s="26">
        <v>40</v>
      </c>
      <c r="Y15" s="26">
        <f t="shared" si="14"/>
        <v>1760</v>
      </c>
      <c r="Z15" s="26">
        <v>60</v>
      </c>
      <c r="AA15" s="26">
        <f t="shared" si="15"/>
        <v>5400</v>
      </c>
      <c r="AB15" s="75">
        <v>90</v>
      </c>
      <c r="AC15" s="26">
        <f t="shared" si="16"/>
        <v>55440</v>
      </c>
      <c r="AD15" s="39">
        <v>300</v>
      </c>
      <c r="AE15" s="39">
        <f t="shared" si="17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8">
        <v>11</v>
      </c>
      <c r="AQ15" s="18">
        <v>2</v>
      </c>
      <c r="AR15" s="18">
        <v>2</v>
      </c>
      <c r="AS15" s="15">
        <f t="shared" si="22"/>
        <v>140</v>
      </c>
      <c r="AT15" s="15">
        <f t="shared" si="23"/>
        <v>450</v>
      </c>
      <c r="AU15" s="15">
        <f t="shared" si="24"/>
        <v>1890</v>
      </c>
      <c r="AX15" s="18">
        <v>8</v>
      </c>
      <c r="AY15" s="18">
        <v>2</v>
      </c>
      <c r="AZ15" s="18">
        <v>2</v>
      </c>
      <c r="BA15" s="15">
        <f t="shared" si="25"/>
        <v>280</v>
      </c>
      <c r="BB15" s="15">
        <f t="shared" si="26"/>
        <v>900</v>
      </c>
      <c r="BC15" s="15">
        <f t="shared" si="27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9"/>
        <v>11.933333333333334</v>
      </c>
      <c r="K16" s="26">
        <v>11</v>
      </c>
      <c r="L16" s="26">
        <v>15</v>
      </c>
      <c r="M16" s="26">
        <v>20</v>
      </c>
      <c r="N16" s="26">
        <f t="shared" si="10"/>
        <v>1060</v>
      </c>
      <c r="O16" s="26">
        <v>30</v>
      </c>
      <c r="P16" s="26">
        <f t="shared" si="11"/>
        <v>3300</v>
      </c>
      <c r="Q16" s="75">
        <v>45</v>
      </c>
      <c r="R16" s="26">
        <f t="shared" si="12"/>
        <v>35775</v>
      </c>
      <c r="S16" s="39">
        <v>150</v>
      </c>
      <c r="T16" s="39">
        <f t="shared" si="13"/>
        <v>119250</v>
      </c>
      <c r="V16" s="26">
        <v>11</v>
      </c>
      <c r="W16" s="26">
        <v>15</v>
      </c>
      <c r="X16" s="26">
        <v>40</v>
      </c>
      <c r="Y16" s="26">
        <f t="shared" si="14"/>
        <v>2120</v>
      </c>
      <c r="Z16" s="26">
        <v>60</v>
      </c>
      <c r="AA16" s="26">
        <f t="shared" si="15"/>
        <v>6600</v>
      </c>
      <c r="AB16" s="75">
        <v>90</v>
      </c>
      <c r="AC16" s="26">
        <f t="shared" si="16"/>
        <v>71550</v>
      </c>
      <c r="AD16" s="39">
        <v>300</v>
      </c>
      <c r="AE16" s="39">
        <f t="shared" si="17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8">
        <v>12</v>
      </c>
      <c r="AQ16" s="18">
        <v>2</v>
      </c>
      <c r="AR16" s="18">
        <v>3</v>
      </c>
      <c r="AS16" s="15">
        <f t="shared" si="22"/>
        <v>140</v>
      </c>
      <c r="AT16" s="15">
        <f t="shared" si="23"/>
        <v>450</v>
      </c>
      <c r="AU16" s="15">
        <f t="shared" si="24"/>
        <v>1890</v>
      </c>
      <c r="AX16" s="18">
        <v>9</v>
      </c>
      <c r="AY16" s="18">
        <v>2</v>
      </c>
      <c r="AZ16" s="18">
        <v>3</v>
      </c>
      <c r="BA16" s="15">
        <f t="shared" si="25"/>
        <v>280</v>
      </c>
      <c r="BB16" s="15">
        <f t="shared" si="26"/>
        <v>900</v>
      </c>
      <c r="BC16" s="15">
        <f t="shared" si="27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9"/>
        <v>16.333333333333332</v>
      </c>
      <c r="K17" s="26">
        <v>12</v>
      </c>
      <c r="L17" s="26">
        <v>15</v>
      </c>
      <c r="M17" s="26">
        <v>20</v>
      </c>
      <c r="N17" s="26">
        <f t="shared" si="10"/>
        <v>1300</v>
      </c>
      <c r="O17" s="26">
        <v>30</v>
      </c>
      <c r="P17" s="26">
        <f t="shared" si="11"/>
        <v>3900</v>
      </c>
      <c r="Q17" s="75">
        <v>45</v>
      </c>
      <c r="R17" s="26">
        <f t="shared" si="12"/>
        <v>46800</v>
      </c>
      <c r="S17" s="39">
        <v>150</v>
      </c>
      <c r="T17" s="39">
        <f t="shared" si="13"/>
        <v>156000</v>
      </c>
      <c r="V17" s="26">
        <v>12</v>
      </c>
      <c r="W17" s="26">
        <v>15</v>
      </c>
      <c r="X17" s="26">
        <v>40</v>
      </c>
      <c r="Y17" s="26">
        <f t="shared" si="14"/>
        <v>2600</v>
      </c>
      <c r="Z17" s="26">
        <v>60</v>
      </c>
      <c r="AA17" s="26">
        <f t="shared" si="15"/>
        <v>7800</v>
      </c>
      <c r="AB17" s="75">
        <v>90</v>
      </c>
      <c r="AC17" s="26">
        <f t="shared" si="16"/>
        <v>93600</v>
      </c>
      <c r="AD17" s="39">
        <v>300</v>
      </c>
      <c r="AE17" s="39">
        <f t="shared" si="17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8">
        <v>13</v>
      </c>
      <c r="AQ17" s="18">
        <v>2</v>
      </c>
      <c r="AR17" s="18">
        <v>4</v>
      </c>
      <c r="AS17" s="15">
        <f t="shared" si="22"/>
        <v>140</v>
      </c>
      <c r="AT17" s="15">
        <f t="shared" si="23"/>
        <v>450</v>
      </c>
      <c r="AU17" s="15">
        <f t="shared" si="24"/>
        <v>1890</v>
      </c>
      <c r="AX17" s="18">
        <v>10</v>
      </c>
      <c r="AY17" s="18">
        <v>2</v>
      </c>
      <c r="AZ17" s="18">
        <v>4</v>
      </c>
      <c r="BA17" s="15">
        <f t="shared" si="25"/>
        <v>280</v>
      </c>
      <c r="BB17" s="15">
        <f t="shared" si="26"/>
        <v>900</v>
      </c>
      <c r="BC17" s="15">
        <f t="shared" si="27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9"/>
        <v>21.333333333333332</v>
      </c>
      <c r="K18" s="26">
        <v>13</v>
      </c>
      <c r="L18" s="26">
        <v>15</v>
      </c>
      <c r="M18" s="26">
        <v>20</v>
      </c>
      <c r="N18" s="26">
        <f t="shared" si="10"/>
        <v>1600</v>
      </c>
      <c r="O18" s="26">
        <v>30</v>
      </c>
      <c r="P18" s="26">
        <f t="shared" si="11"/>
        <v>4500</v>
      </c>
      <c r="Q18" s="75">
        <v>45</v>
      </c>
      <c r="R18" s="26">
        <f t="shared" si="12"/>
        <v>61200</v>
      </c>
      <c r="S18" s="39">
        <v>150</v>
      </c>
      <c r="T18" s="39">
        <f t="shared" si="13"/>
        <v>204000</v>
      </c>
      <c r="V18" s="26">
        <v>13</v>
      </c>
      <c r="W18" s="26">
        <v>15</v>
      </c>
      <c r="X18" s="26">
        <v>40</v>
      </c>
      <c r="Y18" s="26">
        <f t="shared" si="14"/>
        <v>3200</v>
      </c>
      <c r="Z18" s="26">
        <v>60</v>
      </c>
      <c r="AA18" s="26">
        <f t="shared" si="15"/>
        <v>9000</v>
      </c>
      <c r="AB18" s="75">
        <v>90</v>
      </c>
      <c r="AC18" s="26">
        <f t="shared" si="16"/>
        <v>122400</v>
      </c>
      <c r="AD18" s="39">
        <v>300</v>
      </c>
      <c r="AE18" s="39">
        <f t="shared" si="17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8">
        <v>14</v>
      </c>
      <c r="AQ18" s="18">
        <v>2</v>
      </c>
      <c r="AR18" s="18">
        <v>5</v>
      </c>
      <c r="AS18" s="15">
        <f t="shared" si="22"/>
        <v>140</v>
      </c>
      <c r="AT18" s="15">
        <f t="shared" si="23"/>
        <v>450</v>
      </c>
      <c r="AU18" s="15">
        <f t="shared" si="24"/>
        <v>1890</v>
      </c>
      <c r="AX18" s="18">
        <v>11</v>
      </c>
      <c r="AY18" s="18">
        <v>2</v>
      </c>
      <c r="AZ18" s="18">
        <v>5</v>
      </c>
      <c r="BA18" s="15">
        <f t="shared" si="25"/>
        <v>280</v>
      </c>
      <c r="BB18" s="15">
        <f t="shared" si="26"/>
        <v>900</v>
      </c>
      <c r="BC18" s="15">
        <f t="shared" si="27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9"/>
        <v>29.333333333333332</v>
      </c>
      <c r="K19" s="26">
        <v>14</v>
      </c>
      <c r="L19" s="26">
        <v>15</v>
      </c>
      <c r="M19" s="26">
        <v>20</v>
      </c>
      <c r="N19" s="26">
        <f t="shared" si="10"/>
        <v>2000</v>
      </c>
      <c r="O19" s="26">
        <v>30</v>
      </c>
      <c r="P19" s="26">
        <f t="shared" si="11"/>
        <v>5250</v>
      </c>
      <c r="Q19" s="75">
        <v>45</v>
      </c>
      <c r="R19" s="26">
        <f t="shared" si="12"/>
        <v>81000</v>
      </c>
      <c r="S19" s="39">
        <v>150</v>
      </c>
      <c r="T19" s="39">
        <f t="shared" si="13"/>
        <v>270000</v>
      </c>
      <c r="V19" s="26">
        <v>14</v>
      </c>
      <c r="W19" s="26">
        <v>15</v>
      </c>
      <c r="X19" s="26">
        <v>40</v>
      </c>
      <c r="Y19" s="26">
        <f t="shared" si="14"/>
        <v>4000</v>
      </c>
      <c r="Z19" s="26">
        <v>60</v>
      </c>
      <c r="AA19" s="26">
        <f t="shared" si="15"/>
        <v>10500</v>
      </c>
      <c r="AB19" s="75">
        <v>90</v>
      </c>
      <c r="AC19" s="26">
        <f t="shared" si="16"/>
        <v>162000</v>
      </c>
      <c r="AD19" s="39">
        <v>300</v>
      </c>
      <c r="AE19" s="39">
        <f t="shared" si="17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8">
        <v>15</v>
      </c>
      <c r="AQ19" s="18">
        <v>2</v>
      </c>
      <c r="AR19" s="18">
        <v>6</v>
      </c>
      <c r="AS19" s="15">
        <f t="shared" si="22"/>
        <v>140</v>
      </c>
      <c r="AT19" s="15">
        <f t="shared" si="23"/>
        <v>450</v>
      </c>
      <c r="AU19" s="15">
        <f t="shared" si="24"/>
        <v>1890</v>
      </c>
      <c r="AX19" s="18">
        <v>12</v>
      </c>
      <c r="AY19" s="18">
        <v>2</v>
      </c>
      <c r="AZ19" s="18">
        <v>6</v>
      </c>
      <c r="BA19" s="15">
        <f t="shared" si="25"/>
        <v>280</v>
      </c>
      <c r="BB19" s="15">
        <f t="shared" si="26"/>
        <v>900</v>
      </c>
      <c r="BC19" s="15">
        <f t="shared" si="27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9"/>
        <v>46.666666666666664</v>
      </c>
      <c r="K20" s="26">
        <v>15</v>
      </c>
      <c r="L20" s="26">
        <v>15</v>
      </c>
      <c r="M20" s="26">
        <v>20</v>
      </c>
      <c r="N20" s="26">
        <f t="shared" si="10"/>
        <v>2500</v>
      </c>
      <c r="O20" s="26">
        <v>30</v>
      </c>
      <c r="P20" s="26">
        <f t="shared" si="11"/>
        <v>6000</v>
      </c>
      <c r="Q20" s="75">
        <v>45</v>
      </c>
      <c r="R20" s="26">
        <f t="shared" si="12"/>
        <v>112500</v>
      </c>
      <c r="S20" s="39">
        <v>150</v>
      </c>
      <c r="T20" s="39">
        <f t="shared" si="13"/>
        <v>375000</v>
      </c>
      <c r="V20" s="26">
        <v>15</v>
      </c>
      <c r="W20" s="26">
        <v>15</v>
      </c>
      <c r="X20" s="26">
        <v>40</v>
      </c>
      <c r="Y20" s="26">
        <f t="shared" si="14"/>
        <v>5000</v>
      </c>
      <c r="Z20" s="26">
        <v>60</v>
      </c>
      <c r="AA20" s="26">
        <f t="shared" si="15"/>
        <v>12000</v>
      </c>
      <c r="AB20" s="75">
        <v>90</v>
      </c>
      <c r="AC20" s="26">
        <f t="shared" si="16"/>
        <v>225000</v>
      </c>
      <c r="AD20" s="39">
        <v>300</v>
      </c>
      <c r="AE20" s="39">
        <f t="shared" si="17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8">
        <v>16</v>
      </c>
      <c r="AQ20" s="18">
        <v>2</v>
      </c>
      <c r="AR20" s="18">
        <v>7</v>
      </c>
      <c r="AS20" s="15">
        <f t="shared" si="22"/>
        <v>140</v>
      </c>
      <c r="AT20" s="15">
        <f t="shared" si="23"/>
        <v>450</v>
      </c>
      <c r="AU20" s="15">
        <f t="shared" si="24"/>
        <v>1890</v>
      </c>
      <c r="AX20" s="18">
        <v>13</v>
      </c>
      <c r="AY20" s="18">
        <v>2</v>
      </c>
      <c r="AZ20" s="18">
        <v>7</v>
      </c>
      <c r="BA20" s="15">
        <f t="shared" si="25"/>
        <v>280</v>
      </c>
      <c r="BB20" s="15">
        <f t="shared" si="26"/>
        <v>900</v>
      </c>
      <c r="BC20" s="15">
        <f t="shared" si="27"/>
        <v>3780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8">
        <v>17</v>
      </c>
      <c r="AQ21" s="18">
        <v>2</v>
      </c>
      <c r="AR21" s="18">
        <v>8</v>
      </c>
      <c r="AS21" s="15">
        <f t="shared" si="22"/>
        <v>140</v>
      </c>
      <c r="AT21" s="15">
        <f t="shared" si="23"/>
        <v>450</v>
      </c>
      <c r="AU21" s="15">
        <f t="shared" si="24"/>
        <v>1890</v>
      </c>
      <c r="AX21" s="18">
        <v>14</v>
      </c>
      <c r="AY21" s="18">
        <v>2</v>
      </c>
      <c r="AZ21" s="18">
        <v>8</v>
      </c>
      <c r="BA21" s="15">
        <f t="shared" si="25"/>
        <v>280</v>
      </c>
      <c r="BB21" s="15">
        <f t="shared" si="26"/>
        <v>900</v>
      </c>
      <c r="BC21" s="15">
        <f t="shared" si="27"/>
        <v>3780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8">
        <v>18</v>
      </c>
      <c r="AQ22" s="18">
        <v>2</v>
      </c>
      <c r="AR22" s="18">
        <v>9</v>
      </c>
      <c r="AS22" s="15">
        <f t="shared" si="22"/>
        <v>140</v>
      </c>
      <c r="AT22" s="15">
        <f t="shared" si="23"/>
        <v>450</v>
      </c>
      <c r="AU22" s="15">
        <f t="shared" si="24"/>
        <v>1890</v>
      </c>
      <c r="AX22" s="18">
        <v>15</v>
      </c>
      <c r="AY22" s="18">
        <v>2</v>
      </c>
      <c r="AZ22" s="18">
        <v>9</v>
      </c>
      <c r="BA22" s="15">
        <f t="shared" si="25"/>
        <v>280</v>
      </c>
      <c r="BB22" s="15">
        <f t="shared" si="26"/>
        <v>900</v>
      </c>
      <c r="BC22" s="15">
        <f t="shared" si="27"/>
        <v>3780</v>
      </c>
    </row>
    <row r="23" spans="1:55" ht="20.25" x14ac:dyDescent="0.2">
      <c r="A23" s="97" t="s">
        <v>479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57"/>
      <c r="M23" s="97" t="s">
        <v>480</v>
      </c>
      <c r="N23" s="97"/>
      <c r="O23" s="97"/>
      <c r="P23" s="97"/>
      <c r="Q23" s="97"/>
      <c r="R23" s="97"/>
      <c r="S23" s="97"/>
      <c r="T23" s="97"/>
      <c r="U23" s="97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8">
        <v>19</v>
      </c>
      <c r="AQ23" s="18">
        <v>3</v>
      </c>
      <c r="AR23" s="18">
        <v>1</v>
      </c>
      <c r="AS23" s="15">
        <f t="shared" si="22"/>
        <v>200</v>
      </c>
      <c r="AT23" s="15">
        <f t="shared" si="23"/>
        <v>600</v>
      </c>
      <c r="AU23" s="15">
        <f t="shared" si="24"/>
        <v>3150</v>
      </c>
      <c r="AX23" s="18">
        <v>16</v>
      </c>
      <c r="AY23" s="18">
        <v>3</v>
      </c>
      <c r="AZ23" s="18">
        <v>1</v>
      </c>
      <c r="BA23" s="15">
        <f t="shared" si="25"/>
        <v>400</v>
      </c>
      <c r="BB23" s="15">
        <f t="shared" si="26"/>
        <v>1200</v>
      </c>
      <c r="BC23" s="15">
        <f t="shared" si="27"/>
        <v>6300</v>
      </c>
    </row>
    <row r="24" spans="1:55" ht="17.25" x14ac:dyDescent="0.2">
      <c r="A24" s="12" t="s">
        <v>461</v>
      </c>
      <c r="B24" s="12" t="s">
        <v>462</v>
      </c>
      <c r="C24" s="12" t="s">
        <v>463</v>
      </c>
      <c r="D24" s="36" t="s">
        <v>470</v>
      </c>
      <c r="E24" s="36" t="s">
        <v>471</v>
      </c>
      <c r="F24" s="12" t="s">
        <v>464</v>
      </c>
      <c r="G24" s="12" t="s">
        <v>465</v>
      </c>
      <c r="H24" s="12" t="s">
        <v>466</v>
      </c>
      <c r="I24" s="12" t="s">
        <v>467</v>
      </c>
      <c r="J24" s="12" t="s">
        <v>468</v>
      </c>
      <c r="K24" s="12" t="s">
        <v>469</v>
      </c>
      <c r="L24" s="57"/>
      <c r="M24" s="59" t="s">
        <v>481</v>
      </c>
      <c r="N24" s="12" t="s">
        <v>470</v>
      </c>
      <c r="O24" s="12" t="s">
        <v>471</v>
      </c>
      <c r="P24" s="12" t="s">
        <v>464</v>
      </c>
      <c r="Q24" s="12" t="s">
        <v>465</v>
      </c>
      <c r="R24" s="12" t="s">
        <v>466</v>
      </c>
      <c r="S24" s="12" t="s">
        <v>467</v>
      </c>
      <c r="T24" s="12" t="s">
        <v>468</v>
      </c>
      <c r="U24" s="12" t="s">
        <v>469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8">
        <v>20</v>
      </c>
      <c r="AQ24" s="18">
        <v>3</v>
      </c>
      <c r="AR24" s="18">
        <v>2</v>
      </c>
      <c r="AS24" s="15">
        <f t="shared" si="22"/>
        <v>200</v>
      </c>
      <c r="AT24" s="15">
        <f t="shared" si="23"/>
        <v>600</v>
      </c>
      <c r="AU24" s="15">
        <f t="shared" si="24"/>
        <v>3150</v>
      </c>
      <c r="AX24" s="18">
        <v>17</v>
      </c>
      <c r="AY24" s="18">
        <v>3</v>
      </c>
      <c r="AZ24" s="18">
        <v>2</v>
      </c>
      <c r="BA24" s="15">
        <f t="shared" si="25"/>
        <v>400</v>
      </c>
      <c r="BB24" s="15">
        <f t="shared" si="26"/>
        <v>1200</v>
      </c>
      <c r="BC24" s="15">
        <f t="shared" si="27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472</v>
      </c>
      <c r="G25" s="56">
        <f t="shared" ref="G25:G69" si="28">INDEX($E$5:$E$20,B25)*D25</f>
        <v>240</v>
      </c>
      <c r="H25" s="56" t="s">
        <v>473</v>
      </c>
      <c r="I25" s="56">
        <f>INT(INDEX(挂机升级突破!$F$8:$F$22,章节关卡!$B25)*章节关卡!E25/6)</f>
        <v>3</v>
      </c>
      <c r="J25" s="56" t="s">
        <v>478</v>
      </c>
      <c r="K25" s="56">
        <v>20</v>
      </c>
      <c r="L25" s="16"/>
      <c r="M25" s="56">
        <f t="shared" ref="M25:M66" si="29">B25+1</f>
        <v>2</v>
      </c>
      <c r="N25" s="56">
        <f t="shared" ref="N25:N66" si="30">D25*M$22</f>
        <v>90</v>
      </c>
      <c r="O25" s="56">
        <f t="shared" ref="O25:O66" si="31">E25*N$22</f>
        <v>135</v>
      </c>
      <c r="P25" s="56" t="s">
        <v>472</v>
      </c>
      <c r="Q25" s="56">
        <f t="shared" ref="Q25:Q69" si="32">INDEX($E$5:$E$20,B25)*N25</f>
        <v>360</v>
      </c>
      <c r="R25" s="56" t="s">
        <v>473</v>
      </c>
      <c r="S25" s="56">
        <f>INT(INDEX(挂机升级突破!$F$8:$F$22,章节关卡!$B25)*章节关卡!O25/6)</f>
        <v>5</v>
      </c>
      <c r="T25" s="56" t="s">
        <v>482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8">
        <v>21</v>
      </c>
      <c r="AQ25" s="18">
        <v>3</v>
      </c>
      <c r="AR25" s="18">
        <v>3</v>
      </c>
      <c r="AS25" s="15">
        <f t="shared" si="22"/>
        <v>200</v>
      </c>
      <c r="AT25" s="15">
        <f t="shared" si="23"/>
        <v>600</v>
      </c>
      <c r="AU25" s="15">
        <f t="shared" si="24"/>
        <v>3150</v>
      </c>
      <c r="AX25" s="18">
        <v>18</v>
      </c>
      <c r="AY25" s="18">
        <v>3</v>
      </c>
      <c r="AZ25" s="18">
        <v>3</v>
      </c>
      <c r="BA25" s="15">
        <f t="shared" si="25"/>
        <v>400</v>
      </c>
      <c r="BB25" s="15">
        <f t="shared" si="26"/>
        <v>1200</v>
      </c>
      <c r="BC25" s="15">
        <f t="shared" si="27"/>
        <v>6300</v>
      </c>
    </row>
    <row r="26" spans="1:55" ht="16.5" x14ac:dyDescent="0.2">
      <c r="A26" s="56">
        <v>2</v>
      </c>
      <c r="B26" s="56">
        <f t="shared" ref="B26:B69" si="33">INDEX($A$6:$A$20,INT((A26-1)/3)+1)</f>
        <v>1</v>
      </c>
      <c r="C26" s="56">
        <f t="shared" ref="C26:C69" si="34">MOD(A26-1,3)+1</f>
        <v>2</v>
      </c>
      <c r="D26" s="56">
        <v>120</v>
      </c>
      <c r="E26" s="56">
        <v>180</v>
      </c>
      <c r="F26" s="56" t="s">
        <v>472</v>
      </c>
      <c r="G26" s="56">
        <f t="shared" si="28"/>
        <v>480</v>
      </c>
      <c r="H26" s="56" t="s">
        <v>473</v>
      </c>
      <c r="I26" s="56">
        <f>INT(INDEX(挂机升级突破!$F$8:$F$22,章节关卡!$B26)*章节关卡!E26/6)</f>
        <v>7</v>
      </c>
      <c r="J26" s="56" t="s">
        <v>478</v>
      </c>
      <c r="K26" s="56">
        <v>30</v>
      </c>
      <c r="L26" s="16"/>
      <c r="M26" s="56">
        <f t="shared" si="29"/>
        <v>2</v>
      </c>
      <c r="N26" s="56">
        <f t="shared" si="30"/>
        <v>180</v>
      </c>
      <c r="O26" s="56">
        <f t="shared" si="31"/>
        <v>270</v>
      </c>
      <c r="P26" s="56" t="s">
        <v>472</v>
      </c>
      <c r="Q26" s="56">
        <f t="shared" si="32"/>
        <v>720</v>
      </c>
      <c r="R26" s="56" t="s">
        <v>473</v>
      </c>
      <c r="S26" s="56">
        <f>INT(INDEX(挂机升级突破!$F$8:$F$22,章节关卡!$B26)*章节关卡!O26/6)</f>
        <v>11</v>
      </c>
      <c r="T26" s="56" t="s">
        <v>483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8">
        <v>22</v>
      </c>
      <c r="AQ26" s="18">
        <v>3</v>
      </c>
      <c r="AR26" s="18">
        <v>4</v>
      </c>
      <c r="AS26" s="15">
        <f t="shared" si="22"/>
        <v>200</v>
      </c>
      <c r="AT26" s="15">
        <f t="shared" si="23"/>
        <v>600</v>
      </c>
      <c r="AU26" s="15">
        <f t="shared" si="24"/>
        <v>3150</v>
      </c>
      <c r="AX26" s="18">
        <v>19</v>
      </c>
      <c r="AY26" s="18">
        <v>3</v>
      </c>
      <c r="AZ26" s="18">
        <v>4</v>
      </c>
      <c r="BA26" s="15">
        <f t="shared" si="25"/>
        <v>400</v>
      </c>
      <c r="BB26" s="15">
        <f t="shared" si="26"/>
        <v>1200</v>
      </c>
      <c r="BC26" s="15">
        <f t="shared" si="27"/>
        <v>6300</v>
      </c>
    </row>
    <row r="27" spans="1:55" ht="16.5" x14ac:dyDescent="0.2">
      <c r="A27" s="56">
        <v>3</v>
      </c>
      <c r="B27" s="56">
        <f t="shared" si="33"/>
        <v>1</v>
      </c>
      <c r="C27" s="56">
        <f t="shared" si="34"/>
        <v>3</v>
      </c>
      <c r="D27" s="56">
        <v>180</v>
      </c>
      <c r="E27" s="56">
        <v>270</v>
      </c>
      <c r="F27" s="56" t="s">
        <v>472</v>
      </c>
      <c r="G27" s="56">
        <f t="shared" si="28"/>
        <v>720</v>
      </c>
      <c r="H27" s="56" t="s">
        <v>473</v>
      </c>
      <c r="I27" s="56">
        <f>INT(INDEX(挂机升级突破!$F$8:$F$22,章节关卡!$B27)*章节关卡!E27/6)</f>
        <v>11</v>
      </c>
      <c r="J27" s="56" t="s">
        <v>483</v>
      </c>
      <c r="K27" s="56">
        <v>1</v>
      </c>
      <c r="L27" s="16"/>
      <c r="M27" s="56">
        <f t="shared" si="29"/>
        <v>2</v>
      </c>
      <c r="N27" s="56">
        <f t="shared" si="30"/>
        <v>270</v>
      </c>
      <c r="O27" s="56">
        <f t="shared" si="31"/>
        <v>405</v>
      </c>
      <c r="P27" s="56" t="s">
        <v>472</v>
      </c>
      <c r="Q27" s="56">
        <f t="shared" si="32"/>
        <v>1080</v>
      </c>
      <c r="R27" s="56" t="s">
        <v>473</v>
      </c>
      <c r="S27" s="56">
        <f>INT(INDEX(挂机升级突破!$F$8:$F$22,章节关卡!$B27)*章节关卡!O27/6)</f>
        <v>16</v>
      </c>
      <c r="T27" s="56" t="s">
        <v>483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8">
        <v>23</v>
      </c>
      <c r="AQ27" s="18">
        <v>3</v>
      </c>
      <c r="AR27" s="18">
        <v>5</v>
      </c>
      <c r="AS27" s="15">
        <f t="shared" si="22"/>
        <v>200</v>
      </c>
      <c r="AT27" s="15">
        <f t="shared" si="23"/>
        <v>600</v>
      </c>
      <c r="AU27" s="15">
        <f t="shared" si="24"/>
        <v>3150</v>
      </c>
      <c r="AX27" s="18">
        <v>20</v>
      </c>
      <c r="AY27" s="18">
        <v>3</v>
      </c>
      <c r="AZ27" s="18">
        <v>5</v>
      </c>
      <c r="BA27" s="15">
        <f t="shared" si="25"/>
        <v>400</v>
      </c>
      <c r="BB27" s="15">
        <f t="shared" si="26"/>
        <v>1200</v>
      </c>
      <c r="BC27" s="15">
        <f t="shared" si="27"/>
        <v>6300</v>
      </c>
    </row>
    <row r="28" spans="1:55" ht="16.5" x14ac:dyDescent="0.2">
      <c r="A28" s="56">
        <v>4</v>
      </c>
      <c r="B28" s="56">
        <f t="shared" si="33"/>
        <v>2</v>
      </c>
      <c r="C28" s="56">
        <f t="shared" si="34"/>
        <v>1</v>
      </c>
      <c r="D28" s="56">
        <v>60</v>
      </c>
      <c r="E28" s="56">
        <v>90</v>
      </c>
      <c r="F28" s="56" t="s">
        <v>472</v>
      </c>
      <c r="G28" s="56">
        <f t="shared" si="28"/>
        <v>600</v>
      </c>
      <c r="H28" s="56" t="s">
        <v>473</v>
      </c>
      <c r="I28" s="56">
        <f>INT(INDEX(挂机升级突破!$F$8:$F$22,章节关卡!$B28)*章节关卡!E28/6)</f>
        <v>7</v>
      </c>
      <c r="J28" s="56" t="s">
        <v>478</v>
      </c>
      <c r="K28" s="56">
        <v>20</v>
      </c>
      <c r="L28" s="16"/>
      <c r="M28" s="56">
        <f t="shared" si="29"/>
        <v>3</v>
      </c>
      <c r="N28" s="56">
        <f t="shared" si="30"/>
        <v>90</v>
      </c>
      <c r="O28" s="56">
        <f t="shared" si="31"/>
        <v>135</v>
      </c>
      <c r="P28" s="56" t="s">
        <v>472</v>
      </c>
      <c r="Q28" s="56">
        <f t="shared" si="32"/>
        <v>900</v>
      </c>
      <c r="R28" s="56" t="s">
        <v>473</v>
      </c>
      <c r="S28" s="56">
        <f>INT(INDEX(挂机升级突破!$F$8:$F$22,章节关卡!$B28)*章节关卡!O28/6)</f>
        <v>11</v>
      </c>
      <c r="T28" s="56" t="s">
        <v>482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8">
        <v>24</v>
      </c>
      <c r="AQ28" s="18">
        <v>3</v>
      </c>
      <c r="AR28" s="18">
        <v>6</v>
      </c>
      <c r="AS28" s="15">
        <f t="shared" si="22"/>
        <v>200</v>
      </c>
      <c r="AT28" s="15">
        <f t="shared" si="23"/>
        <v>600</v>
      </c>
      <c r="AU28" s="15">
        <f t="shared" si="24"/>
        <v>3150</v>
      </c>
      <c r="AX28" s="18">
        <v>21</v>
      </c>
      <c r="AY28" s="18">
        <v>3</v>
      </c>
      <c r="AZ28" s="18">
        <v>6</v>
      </c>
      <c r="BA28" s="15">
        <f t="shared" si="25"/>
        <v>400</v>
      </c>
      <c r="BB28" s="15">
        <f t="shared" si="26"/>
        <v>1200</v>
      </c>
      <c r="BC28" s="15">
        <f t="shared" si="27"/>
        <v>6300</v>
      </c>
    </row>
    <row r="29" spans="1:55" ht="16.5" x14ac:dyDescent="0.2">
      <c r="A29" s="56">
        <v>5</v>
      </c>
      <c r="B29" s="56">
        <f t="shared" si="33"/>
        <v>2</v>
      </c>
      <c r="C29" s="56">
        <f t="shared" si="34"/>
        <v>2</v>
      </c>
      <c r="D29" s="56">
        <v>120</v>
      </c>
      <c r="E29" s="56">
        <v>180</v>
      </c>
      <c r="F29" s="56" t="s">
        <v>472</v>
      </c>
      <c r="G29" s="56">
        <f t="shared" si="28"/>
        <v>1200</v>
      </c>
      <c r="H29" s="56" t="s">
        <v>473</v>
      </c>
      <c r="I29" s="56">
        <f>INT(INDEX(挂机升级突破!$F$8:$F$22,章节关卡!$B29)*章节关卡!E29/6)</f>
        <v>15</v>
      </c>
      <c r="J29" s="56" t="s">
        <v>478</v>
      </c>
      <c r="K29" s="56">
        <v>30</v>
      </c>
      <c r="L29" s="16"/>
      <c r="M29" s="56">
        <f t="shared" si="29"/>
        <v>3</v>
      </c>
      <c r="N29" s="56">
        <f t="shared" si="30"/>
        <v>180</v>
      </c>
      <c r="O29" s="56">
        <f t="shared" si="31"/>
        <v>270</v>
      </c>
      <c r="P29" s="56" t="s">
        <v>472</v>
      </c>
      <c r="Q29" s="56">
        <f t="shared" si="32"/>
        <v>1800</v>
      </c>
      <c r="R29" s="56" t="s">
        <v>473</v>
      </c>
      <c r="S29" s="56">
        <f>INT(INDEX(挂机升级突破!$F$8:$F$22,章节关卡!$B29)*章节关卡!O29/6)</f>
        <v>22</v>
      </c>
      <c r="T29" s="56" t="s">
        <v>483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8">
        <v>25</v>
      </c>
      <c r="AQ29" s="18">
        <v>3</v>
      </c>
      <c r="AR29" s="18">
        <v>7</v>
      </c>
      <c r="AS29" s="15">
        <f t="shared" si="22"/>
        <v>200</v>
      </c>
      <c r="AT29" s="15">
        <f t="shared" si="23"/>
        <v>600</v>
      </c>
      <c r="AU29" s="15">
        <f t="shared" si="24"/>
        <v>3150</v>
      </c>
      <c r="AX29" s="18">
        <v>22</v>
      </c>
      <c r="AY29" s="18">
        <v>3</v>
      </c>
      <c r="AZ29" s="18">
        <v>7</v>
      </c>
      <c r="BA29" s="15">
        <f t="shared" si="25"/>
        <v>400</v>
      </c>
      <c r="BB29" s="15">
        <f t="shared" si="26"/>
        <v>1200</v>
      </c>
      <c r="BC29" s="15">
        <f t="shared" si="27"/>
        <v>6300</v>
      </c>
    </row>
    <row r="30" spans="1:55" ht="16.5" x14ac:dyDescent="0.2">
      <c r="A30" s="56">
        <v>6</v>
      </c>
      <c r="B30" s="56">
        <f t="shared" si="33"/>
        <v>2</v>
      </c>
      <c r="C30" s="56">
        <f t="shared" si="34"/>
        <v>3</v>
      </c>
      <c r="D30" s="56">
        <v>180</v>
      </c>
      <c r="E30" s="56">
        <v>270</v>
      </c>
      <c r="F30" s="56" t="s">
        <v>472</v>
      </c>
      <c r="G30" s="56">
        <f t="shared" si="28"/>
        <v>1800</v>
      </c>
      <c r="H30" s="56" t="s">
        <v>473</v>
      </c>
      <c r="I30" s="56">
        <f>INT(INDEX(挂机升级突破!$F$8:$F$22,章节关卡!$B30)*章节关卡!E30/6)</f>
        <v>22</v>
      </c>
      <c r="J30" s="56" t="s">
        <v>483</v>
      </c>
      <c r="K30" s="56">
        <v>1</v>
      </c>
      <c r="L30" s="16"/>
      <c r="M30" s="56">
        <f t="shared" si="29"/>
        <v>3</v>
      </c>
      <c r="N30" s="56">
        <f t="shared" si="30"/>
        <v>270</v>
      </c>
      <c r="O30" s="56">
        <f t="shared" si="31"/>
        <v>405</v>
      </c>
      <c r="P30" s="56" t="s">
        <v>472</v>
      </c>
      <c r="Q30" s="56">
        <f t="shared" si="32"/>
        <v>2700</v>
      </c>
      <c r="R30" s="56" t="s">
        <v>473</v>
      </c>
      <c r="S30" s="56">
        <f>INT(INDEX(挂机升级突破!$F$8:$F$22,章节关卡!$B30)*章节关卡!O30/6)</f>
        <v>33</v>
      </c>
      <c r="T30" s="56" t="s">
        <v>483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8">
        <v>26</v>
      </c>
      <c r="AQ30" s="68">
        <v>3</v>
      </c>
      <c r="AR30" s="68">
        <v>8</v>
      </c>
      <c r="AS30" s="15">
        <f t="shared" ref="AS30:AS31" si="35">INDEX($N$6:$N$20,AQ30)</f>
        <v>200</v>
      </c>
      <c r="AT30" s="15">
        <f t="shared" ref="AT30:AT31" si="36">INDEX($P$6:$P$20,AQ30)</f>
        <v>600</v>
      </c>
      <c r="AU30" s="15">
        <f t="shared" ref="AU30:AU31" si="37">INDEX($R$6:$R$20,AQ30)</f>
        <v>3150</v>
      </c>
      <c r="AX30" s="68">
        <v>23</v>
      </c>
      <c r="AY30" s="68">
        <v>3</v>
      </c>
      <c r="AZ30" s="68">
        <v>8</v>
      </c>
      <c r="BA30" s="15">
        <f t="shared" ref="BA30:BA31" si="38">INDEX($Y$6:$Y$20,AY30)</f>
        <v>400</v>
      </c>
      <c r="BB30" s="15">
        <f t="shared" ref="BB30:BB31" si="39">INDEX($AA$6:$AA$20,AY30)</f>
        <v>1200</v>
      </c>
      <c r="BC30" s="15">
        <f t="shared" ref="BC30:BC31" si="40">INDEX($AC$6:$AC$20,AY30)</f>
        <v>6300</v>
      </c>
    </row>
    <row r="31" spans="1:55" ht="16.5" x14ac:dyDescent="0.2">
      <c r="A31" s="56">
        <v>7</v>
      </c>
      <c r="B31" s="56">
        <f t="shared" si="33"/>
        <v>3</v>
      </c>
      <c r="C31" s="56">
        <f t="shared" si="34"/>
        <v>1</v>
      </c>
      <c r="D31" s="56">
        <v>90</v>
      </c>
      <c r="E31" s="56">
        <v>135</v>
      </c>
      <c r="F31" s="56" t="s">
        <v>472</v>
      </c>
      <c r="G31" s="56">
        <f t="shared" si="28"/>
        <v>1350</v>
      </c>
      <c r="H31" s="56" t="s">
        <v>473</v>
      </c>
      <c r="I31" s="56">
        <f>INT(INDEX(挂机升级突破!$F$8:$F$22,章节关卡!$B31)*章节关卡!E31/6)</f>
        <v>16</v>
      </c>
      <c r="J31" s="56" t="s">
        <v>478</v>
      </c>
      <c r="K31" s="56">
        <v>30</v>
      </c>
      <c r="L31" s="16"/>
      <c r="M31" s="56">
        <f t="shared" si="29"/>
        <v>4</v>
      </c>
      <c r="N31" s="56">
        <f t="shared" si="30"/>
        <v>135</v>
      </c>
      <c r="O31" s="56">
        <f t="shared" si="31"/>
        <v>202.5</v>
      </c>
      <c r="P31" s="56" t="s">
        <v>472</v>
      </c>
      <c r="Q31" s="56">
        <f t="shared" si="32"/>
        <v>2025</v>
      </c>
      <c r="R31" s="56" t="s">
        <v>473</v>
      </c>
      <c r="S31" s="56">
        <f>INT(INDEX(挂机升级突破!$F$8:$F$22,章节关卡!$B31)*章节关卡!O31/6)</f>
        <v>25</v>
      </c>
      <c r="T31" s="56" t="s">
        <v>482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8">
        <v>27</v>
      </c>
      <c r="AQ31" s="68">
        <v>3</v>
      </c>
      <c r="AR31" s="68">
        <v>9</v>
      </c>
      <c r="AS31" s="15">
        <f t="shared" si="35"/>
        <v>200</v>
      </c>
      <c r="AT31" s="15">
        <f t="shared" si="36"/>
        <v>600</v>
      </c>
      <c r="AU31" s="15">
        <f t="shared" si="37"/>
        <v>3150</v>
      </c>
      <c r="AX31" s="68">
        <v>24</v>
      </c>
      <c r="AY31" s="68">
        <v>3</v>
      </c>
      <c r="AZ31" s="68">
        <v>9</v>
      </c>
      <c r="BA31" s="15">
        <f t="shared" si="38"/>
        <v>400</v>
      </c>
      <c r="BB31" s="15">
        <f t="shared" si="39"/>
        <v>1200</v>
      </c>
      <c r="BC31" s="15">
        <f t="shared" si="40"/>
        <v>6300</v>
      </c>
    </row>
    <row r="32" spans="1:55" ht="16.5" x14ac:dyDescent="0.2">
      <c r="A32" s="56">
        <v>8</v>
      </c>
      <c r="B32" s="56">
        <f t="shared" si="33"/>
        <v>3</v>
      </c>
      <c r="C32" s="56">
        <f t="shared" si="34"/>
        <v>2</v>
      </c>
      <c r="D32" s="56">
        <v>150</v>
      </c>
      <c r="E32" s="56">
        <v>225</v>
      </c>
      <c r="F32" s="56" t="s">
        <v>472</v>
      </c>
      <c r="G32" s="56">
        <f t="shared" si="28"/>
        <v>2250</v>
      </c>
      <c r="H32" s="56" t="s">
        <v>473</v>
      </c>
      <c r="I32" s="56">
        <f>INT(INDEX(挂机升级突破!$F$8:$F$22,章节关卡!$B32)*章节关卡!E32/6)</f>
        <v>28</v>
      </c>
      <c r="J32" s="56" t="s">
        <v>478</v>
      </c>
      <c r="K32" s="56">
        <v>40</v>
      </c>
      <c r="L32" s="16"/>
      <c r="M32" s="56">
        <f t="shared" si="29"/>
        <v>4</v>
      </c>
      <c r="N32" s="56">
        <f t="shared" si="30"/>
        <v>225</v>
      </c>
      <c r="O32" s="56">
        <f t="shared" si="31"/>
        <v>337.5</v>
      </c>
      <c r="P32" s="56" t="s">
        <v>472</v>
      </c>
      <c r="Q32" s="56">
        <f t="shared" si="32"/>
        <v>3375</v>
      </c>
      <c r="R32" s="56" t="s">
        <v>473</v>
      </c>
      <c r="S32" s="56">
        <f>INT(INDEX(挂机升级突破!$F$8:$F$22,章节关卡!$B32)*章节关卡!O32/6)</f>
        <v>42</v>
      </c>
      <c r="T32" s="56" t="s">
        <v>483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8">
        <v>28</v>
      </c>
      <c r="AQ32" s="18">
        <v>4</v>
      </c>
      <c r="AR32" s="18">
        <v>1</v>
      </c>
      <c r="AS32" s="15">
        <f t="shared" ref="AS32:AS63" si="41">INDEX($N$6:$N$20,AQ32)</f>
        <v>260</v>
      </c>
      <c r="AT32" s="15">
        <f t="shared" ref="AT32:AT63" si="42">INDEX($P$6:$P$20,AQ32)</f>
        <v>750</v>
      </c>
      <c r="AU32" s="15">
        <f t="shared" ref="AU32:AU63" si="43">INDEX($R$6:$R$20,AQ32)</f>
        <v>4680</v>
      </c>
      <c r="AX32" s="68">
        <v>25</v>
      </c>
      <c r="AY32" s="18">
        <v>4</v>
      </c>
      <c r="AZ32" s="18">
        <v>1</v>
      </c>
      <c r="BA32" s="15">
        <f t="shared" ref="BA32:BA75" si="44">INDEX($Y$6:$Y$20,AY32)</f>
        <v>520</v>
      </c>
      <c r="BB32" s="15">
        <f t="shared" ref="BB32:BB75" si="45">INDEX($AA$6:$AA$20,AY32)</f>
        <v>1500</v>
      </c>
      <c r="BC32" s="15">
        <f t="shared" ref="BC32:BC75" si="46">INDEX($AC$6:$AC$20,AY32)</f>
        <v>9360</v>
      </c>
    </row>
    <row r="33" spans="1:55" ht="16.5" x14ac:dyDescent="0.2">
      <c r="A33" s="56">
        <v>9</v>
      </c>
      <c r="B33" s="56">
        <f t="shared" si="33"/>
        <v>3</v>
      </c>
      <c r="C33" s="56">
        <f t="shared" si="34"/>
        <v>3</v>
      </c>
      <c r="D33" s="56">
        <v>210</v>
      </c>
      <c r="E33" s="56">
        <v>315</v>
      </c>
      <c r="F33" s="56" t="s">
        <v>472</v>
      </c>
      <c r="G33" s="56">
        <f t="shared" si="28"/>
        <v>3150</v>
      </c>
      <c r="H33" s="56" t="s">
        <v>473</v>
      </c>
      <c r="I33" s="56">
        <f>INT(INDEX(挂机升级突破!$F$8:$F$22,章节关卡!$B33)*章节关卡!E33/6)</f>
        <v>39</v>
      </c>
      <c r="J33" s="56" t="s">
        <v>483</v>
      </c>
      <c r="K33" s="56">
        <v>1</v>
      </c>
      <c r="L33" s="16"/>
      <c r="M33" s="56">
        <f t="shared" si="29"/>
        <v>4</v>
      </c>
      <c r="N33" s="56">
        <f t="shared" si="30"/>
        <v>315</v>
      </c>
      <c r="O33" s="56">
        <f t="shared" si="31"/>
        <v>472.5</v>
      </c>
      <c r="P33" s="56" t="s">
        <v>472</v>
      </c>
      <c r="Q33" s="56">
        <f t="shared" si="32"/>
        <v>4725</v>
      </c>
      <c r="R33" s="56" t="s">
        <v>473</v>
      </c>
      <c r="S33" s="56">
        <f>INT(INDEX(挂机升级突破!$F$8:$F$22,章节关卡!$B33)*章节关卡!O33/6)</f>
        <v>59</v>
      </c>
      <c r="T33" s="56" t="s">
        <v>483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8">
        <v>29</v>
      </c>
      <c r="AQ33" s="26">
        <v>4</v>
      </c>
      <c r="AR33" s="18">
        <v>2</v>
      </c>
      <c r="AS33" s="15">
        <f t="shared" si="41"/>
        <v>260</v>
      </c>
      <c r="AT33" s="15">
        <f t="shared" si="42"/>
        <v>750</v>
      </c>
      <c r="AU33" s="15">
        <f t="shared" si="43"/>
        <v>4680</v>
      </c>
      <c r="AX33" s="68">
        <v>26</v>
      </c>
      <c r="AY33" s="26">
        <v>4</v>
      </c>
      <c r="AZ33" s="18">
        <v>2</v>
      </c>
      <c r="BA33" s="15">
        <f t="shared" si="44"/>
        <v>520</v>
      </c>
      <c r="BB33" s="15">
        <f t="shared" si="45"/>
        <v>1500</v>
      </c>
      <c r="BC33" s="15">
        <f t="shared" si="46"/>
        <v>9360</v>
      </c>
    </row>
    <row r="34" spans="1:55" ht="16.5" x14ac:dyDescent="0.2">
      <c r="A34" s="56">
        <v>10</v>
      </c>
      <c r="B34" s="56">
        <f t="shared" si="33"/>
        <v>4</v>
      </c>
      <c r="C34" s="56">
        <f t="shared" si="34"/>
        <v>1</v>
      </c>
      <c r="D34" s="56">
        <v>90</v>
      </c>
      <c r="E34" s="56">
        <v>135</v>
      </c>
      <c r="F34" s="56" t="s">
        <v>472</v>
      </c>
      <c r="G34" s="56">
        <f t="shared" si="28"/>
        <v>1800</v>
      </c>
      <c r="H34" s="56" t="s">
        <v>474</v>
      </c>
      <c r="I34" s="56">
        <f>INT(INDEX(挂机升级突破!$G$8:$G$22,章节关卡!$B34)*章节关卡!E34/6)</f>
        <v>5</v>
      </c>
      <c r="J34" s="56" t="s">
        <v>478</v>
      </c>
      <c r="K34" s="56">
        <v>30</v>
      </c>
      <c r="L34" s="16"/>
      <c r="M34" s="56">
        <f t="shared" si="29"/>
        <v>5</v>
      </c>
      <c r="N34" s="56">
        <f t="shared" si="30"/>
        <v>135</v>
      </c>
      <c r="O34" s="56">
        <f t="shared" si="31"/>
        <v>202.5</v>
      </c>
      <c r="P34" s="56" t="s">
        <v>472</v>
      </c>
      <c r="Q34" s="56">
        <f t="shared" si="32"/>
        <v>2700</v>
      </c>
      <c r="R34" s="56" t="s">
        <v>474</v>
      </c>
      <c r="S34" s="56">
        <f>INT(INDEX(挂机升级突破!$G$8:$G$22,章节关卡!$B34)*章节关卡!O34/6)</f>
        <v>8</v>
      </c>
      <c r="T34" s="56" t="s">
        <v>482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8">
        <v>30</v>
      </c>
      <c r="AQ34" s="26">
        <v>4</v>
      </c>
      <c r="AR34" s="26">
        <v>3</v>
      </c>
      <c r="AS34" s="15">
        <f t="shared" si="41"/>
        <v>260</v>
      </c>
      <c r="AT34" s="15">
        <f t="shared" si="42"/>
        <v>750</v>
      </c>
      <c r="AU34" s="15">
        <f t="shared" si="43"/>
        <v>4680</v>
      </c>
      <c r="AX34" s="68">
        <v>27</v>
      </c>
      <c r="AY34" s="26">
        <v>4</v>
      </c>
      <c r="AZ34" s="26">
        <v>3</v>
      </c>
      <c r="BA34" s="15">
        <f t="shared" si="44"/>
        <v>520</v>
      </c>
      <c r="BB34" s="15">
        <f t="shared" si="45"/>
        <v>1500</v>
      </c>
      <c r="BC34" s="15">
        <f t="shared" si="46"/>
        <v>9360</v>
      </c>
    </row>
    <row r="35" spans="1:55" ht="16.5" x14ac:dyDescent="0.2">
      <c r="A35" s="56">
        <v>11</v>
      </c>
      <c r="B35" s="56">
        <f t="shared" si="33"/>
        <v>4</v>
      </c>
      <c r="C35" s="56">
        <f t="shared" si="34"/>
        <v>2</v>
      </c>
      <c r="D35" s="56">
        <v>150</v>
      </c>
      <c r="E35" s="56">
        <v>225</v>
      </c>
      <c r="F35" s="56" t="s">
        <v>472</v>
      </c>
      <c r="G35" s="56">
        <f t="shared" si="28"/>
        <v>3000</v>
      </c>
      <c r="H35" s="56" t="s">
        <v>474</v>
      </c>
      <c r="I35" s="56">
        <f>INT(INDEX(挂机升级突破!$G$8:$G$22,章节关卡!$B35)*章节关卡!E35/6)</f>
        <v>9</v>
      </c>
      <c r="J35" s="56" t="s">
        <v>478</v>
      </c>
      <c r="K35" s="56">
        <v>40</v>
      </c>
      <c r="L35" s="16"/>
      <c r="M35" s="56">
        <f t="shared" si="29"/>
        <v>5</v>
      </c>
      <c r="N35" s="56">
        <f t="shared" si="30"/>
        <v>225</v>
      </c>
      <c r="O35" s="56">
        <f t="shared" si="31"/>
        <v>337.5</v>
      </c>
      <c r="P35" s="56" t="s">
        <v>472</v>
      </c>
      <c r="Q35" s="56">
        <f t="shared" si="32"/>
        <v>4500</v>
      </c>
      <c r="R35" s="56" t="s">
        <v>474</v>
      </c>
      <c r="S35" s="56">
        <f>INT(INDEX(挂机升级突破!$G$8:$G$22,章节关卡!$B35)*章节关卡!O35/6)</f>
        <v>14</v>
      </c>
      <c r="T35" s="56" t="s">
        <v>483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8">
        <v>31</v>
      </c>
      <c r="AQ35" s="26">
        <v>4</v>
      </c>
      <c r="AR35" s="26">
        <v>4</v>
      </c>
      <c r="AS35" s="15">
        <f t="shared" si="41"/>
        <v>260</v>
      </c>
      <c r="AT35" s="15">
        <f t="shared" si="42"/>
        <v>750</v>
      </c>
      <c r="AU35" s="15">
        <f t="shared" si="43"/>
        <v>4680</v>
      </c>
      <c r="AX35" s="68">
        <v>28</v>
      </c>
      <c r="AY35" s="26">
        <v>4</v>
      </c>
      <c r="AZ35" s="26">
        <v>4</v>
      </c>
      <c r="BA35" s="15">
        <f t="shared" si="44"/>
        <v>520</v>
      </c>
      <c r="BB35" s="15">
        <f t="shared" si="45"/>
        <v>1500</v>
      </c>
      <c r="BC35" s="15">
        <f t="shared" si="46"/>
        <v>9360</v>
      </c>
    </row>
    <row r="36" spans="1:55" ht="16.5" x14ac:dyDescent="0.2">
      <c r="A36" s="56">
        <v>12</v>
      </c>
      <c r="B36" s="56">
        <f t="shared" si="33"/>
        <v>4</v>
      </c>
      <c r="C36" s="56">
        <f t="shared" si="34"/>
        <v>3</v>
      </c>
      <c r="D36" s="56">
        <v>210</v>
      </c>
      <c r="E36" s="56">
        <v>315</v>
      </c>
      <c r="F36" s="56" t="s">
        <v>472</v>
      </c>
      <c r="G36" s="56">
        <f t="shared" si="28"/>
        <v>4200</v>
      </c>
      <c r="H36" s="56" t="s">
        <v>474</v>
      </c>
      <c r="I36" s="56">
        <f>INT(INDEX(挂机升级突破!$G$8:$G$22,章节关卡!$B36)*章节关卡!E36/6)</f>
        <v>13</v>
      </c>
      <c r="J36" s="56" t="s">
        <v>483</v>
      </c>
      <c r="K36" s="56">
        <v>1</v>
      </c>
      <c r="L36" s="16"/>
      <c r="M36" s="56">
        <f t="shared" si="29"/>
        <v>5</v>
      </c>
      <c r="N36" s="56">
        <f t="shared" si="30"/>
        <v>315</v>
      </c>
      <c r="O36" s="56">
        <f t="shared" si="31"/>
        <v>472.5</v>
      </c>
      <c r="P36" s="56" t="s">
        <v>472</v>
      </c>
      <c r="Q36" s="56">
        <f t="shared" si="32"/>
        <v>6300</v>
      </c>
      <c r="R36" s="56" t="s">
        <v>474</v>
      </c>
      <c r="S36" s="56">
        <f>INT(INDEX(挂机升级突破!$G$8:$G$22,章节关卡!$B36)*章节关卡!O36/6)</f>
        <v>19</v>
      </c>
      <c r="T36" s="56" t="s">
        <v>483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8">
        <v>32</v>
      </c>
      <c r="AQ36" s="26">
        <v>4</v>
      </c>
      <c r="AR36" s="26">
        <v>5</v>
      </c>
      <c r="AS36" s="15">
        <f t="shared" si="41"/>
        <v>260</v>
      </c>
      <c r="AT36" s="15">
        <f t="shared" si="42"/>
        <v>750</v>
      </c>
      <c r="AU36" s="15">
        <f t="shared" si="43"/>
        <v>4680</v>
      </c>
      <c r="AX36" s="68">
        <v>29</v>
      </c>
      <c r="AY36" s="26">
        <v>4</v>
      </c>
      <c r="AZ36" s="26">
        <v>5</v>
      </c>
      <c r="BA36" s="15">
        <f t="shared" si="44"/>
        <v>520</v>
      </c>
      <c r="BB36" s="15">
        <f t="shared" si="45"/>
        <v>1500</v>
      </c>
      <c r="BC36" s="15">
        <f t="shared" si="46"/>
        <v>9360</v>
      </c>
    </row>
    <row r="37" spans="1:55" ht="16.5" x14ac:dyDescent="0.2">
      <c r="A37" s="56">
        <v>13</v>
      </c>
      <c r="B37" s="56">
        <f t="shared" si="33"/>
        <v>5</v>
      </c>
      <c r="C37" s="56">
        <f t="shared" si="34"/>
        <v>1</v>
      </c>
      <c r="D37" s="56">
        <v>120</v>
      </c>
      <c r="E37" s="56">
        <v>180</v>
      </c>
      <c r="F37" s="56" t="s">
        <v>472</v>
      </c>
      <c r="G37" s="56">
        <f t="shared" si="28"/>
        <v>3000</v>
      </c>
      <c r="H37" s="56" t="s">
        <v>474</v>
      </c>
      <c r="I37" s="56">
        <f>INT(INDEX(挂机升级突破!$G$8:$G$22,章节关卡!$B37)*章节关卡!E37/6)</f>
        <v>15</v>
      </c>
      <c r="J37" s="56" t="s">
        <v>478</v>
      </c>
      <c r="K37" s="56">
        <v>40</v>
      </c>
      <c r="L37" s="16"/>
      <c r="M37" s="56">
        <f t="shared" si="29"/>
        <v>6</v>
      </c>
      <c r="N37" s="56">
        <f t="shared" si="30"/>
        <v>180</v>
      </c>
      <c r="O37" s="56">
        <f t="shared" si="31"/>
        <v>270</v>
      </c>
      <c r="P37" s="56" t="s">
        <v>472</v>
      </c>
      <c r="Q37" s="56">
        <f t="shared" si="32"/>
        <v>4500</v>
      </c>
      <c r="R37" s="56" t="s">
        <v>474</v>
      </c>
      <c r="S37" s="56">
        <f>INT(INDEX(挂机升级突破!$G$8:$G$22,章节关卡!$B37)*章节关卡!O37/6)</f>
        <v>22</v>
      </c>
      <c r="T37" s="56" t="s">
        <v>482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8">
        <v>33</v>
      </c>
      <c r="AQ37" s="26">
        <v>4</v>
      </c>
      <c r="AR37" s="26">
        <v>6</v>
      </c>
      <c r="AS37" s="15">
        <f t="shared" si="41"/>
        <v>260</v>
      </c>
      <c r="AT37" s="15">
        <f t="shared" si="42"/>
        <v>750</v>
      </c>
      <c r="AU37" s="15">
        <f t="shared" si="43"/>
        <v>4680</v>
      </c>
      <c r="AX37" s="68">
        <v>30</v>
      </c>
      <c r="AY37" s="26">
        <v>4</v>
      </c>
      <c r="AZ37" s="26">
        <v>6</v>
      </c>
      <c r="BA37" s="15">
        <f t="shared" si="44"/>
        <v>520</v>
      </c>
      <c r="BB37" s="15">
        <f t="shared" si="45"/>
        <v>1500</v>
      </c>
      <c r="BC37" s="15">
        <f t="shared" si="46"/>
        <v>9360</v>
      </c>
    </row>
    <row r="38" spans="1:55" ht="16.5" x14ac:dyDescent="0.2">
      <c r="A38" s="56">
        <v>14</v>
      </c>
      <c r="B38" s="56">
        <f t="shared" si="33"/>
        <v>5</v>
      </c>
      <c r="C38" s="56">
        <f t="shared" si="34"/>
        <v>2</v>
      </c>
      <c r="D38" s="56">
        <v>240</v>
      </c>
      <c r="E38" s="56">
        <v>360</v>
      </c>
      <c r="F38" s="56" t="s">
        <v>472</v>
      </c>
      <c r="G38" s="56">
        <f t="shared" si="28"/>
        <v>6000</v>
      </c>
      <c r="H38" s="56" t="s">
        <v>474</v>
      </c>
      <c r="I38" s="56">
        <f>INT(INDEX(挂机升级突破!$G$8:$G$22,章节关卡!$B38)*章节关卡!E38/6)</f>
        <v>30</v>
      </c>
      <c r="J38" s="56" t="s">
        <v>478</v>
      </c>
      <c r="K38" s="56">
        <v>60</v>
      </c>
      <c r="L38" s="16"/>
      <c r="M38" s="56">
        <f t="shared" si="29"/>
        <v>6</v>
      </c>
      <c r="N38" s="56">
        <f t="shared" si="30"/>
        <v>360</v>
      </c>
      <c r="O38" s="56">
        <f t="shared" si="31"/>
        <v>540</v>
      </c>
      <c r="P38" s="56" t="s">
        <v>472</v>
      </c>
      <c r="Q38" s="56">
        <f t="shared" si="32"/>
        <v>9000</v>
      </c>
      <c r="R38" s="56" t="s">
        <v>474</v>
      </c>
      <c r="S38" s="56">
        <f>INT(INDEX(挂机升级突破!$G$8:$G$22,章节关卡!$B38)*章节关卡!O38/6)</f>
        <v>45</v>
      </c>
      <c r="T38" s="56" t="s">
        <v>483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8">
        <v>34</v>
      </c>
      <c r="AQ38" s="26">
        <v>4</v>
      </c>
      <c r="AR38" s="26">
        <v>7</v>
      </c>
      <c r="AS38" s="15">
        <f t="shared" si="41"/>
        <v>260</v>
      </c>
      <c r="AT38" s="15">
        <f t="shared" si="42"/>
        <v>750</v>
      </c>
      <c r="AU38" s="15">
        <f t="shared" si="43"/>
        <v>4680</v>
      </c>
      <c r="AX38" s="68">
        <v>31</v>
      </c>
      <c r="AY38" s="26">
        <v>4</v>
      </c>
      <c r="AZ38" s="26">
        <v>7</v>
      </c>
      <c r="BA38" s="15">
        <f t="shared" si="44"/>
        <v>520</v>
      </c>
      <c r="BB38" s="15">
        <f t="shared" si="45"/>
        <v>1500</v>
      </c>
      <c r="BC38" s="15">
        <f t="shared" si="46"/>
        <v>9360</v>
      </c>
    </row>
    <row r="39" spans="1:55" ht="16.5" x14ac:dyDescent="0.2">
      <c r="A39" s="56">
        <v>15</v>
      </c>
      <c r="B39" s="56">
        <f t="shared" si="33"/>
        <v>5</v>
      </c>
      <c r="C39" s="56">
        <f t="shared" si="34"/>
        <v>3</v>
      </c>
      <c r="D39" s="56">
        <v>360</v>
      </c>
      <c r="E39" s="56">
        <v>540</v>
      </c>
      <c r="F39" s="56" t="s">
        <v>472</v>
      </c>
      <c r="G39" s="56">
        <f t="shared" si="28"/>
        <v>9000</v>
      </c>
      <c r="H39" s="56" t="s">
        <v>474</v>
      </c>
      <c r="I39" s="56">
        <f>INT(INDEX(挂机升级突破!$G$8:$G$22,章节关卡!$B39)*章节关卡!E39/6)</f>
        <v>45</v>
      </c>
      <c r="J39" s="56" t="s">
        <v>483</v>
      </c>
      <c r="K39" s="56">
        <v>1</v>
      </c>
      <c r="L39" s="16"/>
      <c r="M39" s="56">
        <f t="shared" si="29"/>
        <v>6</v>
      </c>
      <c r="N39" s="56">
        <f t="shared" si="30"/>
        <v>540</v>
      </c>
      <c r="O39" s="56">
        <f t="shared" si="31"/>
        <v>810</v>
      </c>
      <c r="P39" s="56" t="s">
        <v>472</v>
      </c>
      <c r="Q39" s="56">
        <f t="shared" si="32"/>
        <v>13500</v>
      </c>
      <c r="R39" s="56" t="s">
        <v>474</v>
      </c>
      <c r="S39" s="56">
        <f>INT(INDEX(挂机升级突破!$G$8:$G$22,章节关卡!$B39)*章节关卡!O39/6)</f>
        <v>67</v>
      </c>
      <c r="T39" s="56" t="s">
        <v>483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8">
        <v>35</v>
      </c>
      <c r="AQ39" s="26">
        <v>4</v>
      </c>
      <c r="AR39" s="26">
        <v>8</v>
      </c>
      <c r="AS39" s="15">
        <f t="shared" si="41"/>
        <v>260</v>
      </c>
      <c r="AT39" s="15">
        <f t="shared" si="42"/>
        <v>750</v>
      </c>
      <c r="AU39" s="15">
        <f t="shared" si="43"/>
        <v>4680</v>
      </c>
      <c r="AX39" s="68">
        <v>32</v>
      </c>
      <c r="AY39" s="26">
        <v>4</v>
      </c>
      <c r="AZ39" s="26">
        <v>8</v>
      </c>
      <c r="BA39" s="15">
        <f t="shared" si="44"/>
        <v>520</v>
      </c>
      <c r="BB39" s="15">
        <f t="shared" si="45"/>
        <v>1500</v>
      </c>
      <c r="BC39" s="15">
        <f t="shared" si="46"/>
        <v>9360</v>
      </c>
    </row>
    <row r="40" spans="1:55" ht="16.5" x14ac:dyDescent="0.2">
      <c r="A40" s="56">
        <v>16</v>
      </c>
      <c r="B40" s="56">
        <f t="shared" si="33"/>
        <v>6</v>
      </c>
      <c r="C40" s="56">
        <f t="shared" si="34"/>
        <v>1</v>
      </c>
      <c r="D40" s="56">
        <v>120</v>
      </c>
      <c r="E40" s="56">
        <v>180</v>
      </c>
      <c r="F40" s="56" t="s">
        <v>472</v>
      </c>
      <c r="G40" s="56">
        <f t="shared" si="28"/>
        <v>3840</v>
      </c>
      <c r="H40" s="56" t="s">
        <v>474</v>
      </c>
      <c r="I40" s="56">
        <f>INT(INDEX(挂机升级突破!$G$8:$G$22,章节关卡!$B40)*章节关卡!E40/6)</f>
        <v>22</v>
      </c>
      <c r="J40" s="56" t="s">
        <v>478</v>
      </c>
      <c r="K40" s="56">
        <v>40</v>
      </c>
      <c r="L40" s="16"/>
      <c r="M40" s="56">
        <f t="shared" si="29"/>
        <v>7</v>
      </c>
      <c r="N40" s="56">
        <f t="shared" si="30"/>
        <v>180</v>
      </c>
      <c r="O40" s="56">
        <f t="shared" si="31"/>
        <v>270</v>
      </c>
      <c r="P40" s="56" t="s">
        <v>472</v>
      </c>
      <c r="Q40" s="56">
        <f t="shared" si="32"/>
        <v>5760</v>
      </c>
      <c r="R40" s="56" t="s">
        <v>474</v>
      </c>
      <c r="S40" s="56">
        <f>INT(INDEX(挂机升级突破!$G$8:$G$22,章节关卡!$B40)*章节关卡!O40/6)</f>
        <v>33</v>
      </c>
      <c r="T40" s="56" t="s">
        <v>482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8">
        <v>36</v>
      </c>
      <c r="AQ40" s="68">
        <v>4</v>
      </c>
      <c r="AR40" s="68">
        <v>9</v>
      </c>
      <c r="AS40" s="15">
        <f t="shared" si="41"/>
        <v>260</v>
      </c>
      <c r="AT40" s="15">
        <f t="shared" si="42"/>
        <v>750</v>
      </c>
      <c r="AU40" s="15">
        <f t="shared" si="43"/>
        <v>4680</v>
      </c>
      <c r="AX40" s="68">
        <v>33</v>
      </c>
      <c r="AY40" s="68">
        <v>4</v>
      </c>
      <c r="AZ40" s="68">
        <v>9</v>
      </c>
      <c r="BA40" s="15">
        <f t="shared" si="44"/>
        <v>520</v>
      </c>
      <c r="BB40" s="15">
        <f t="shared" si="45"/>
        <v>1500</v>
      </c>
      <c r="BC40" s="15">
        <f t="shared" si="46"/>
        <v>9360</v>
      </c>
    </row>
    <row r="41" spans="1:55" ht="16.5" x14ac:dyDescent="0.2">
      <c r="A41" s="56">
        <v>17</v>
      </c>
      <c r="B41" s="56">
        <f t="shared" si="33"/>
        <v>6</v>
      </c>
      <c r="C41" s="56">
        <f t="shared" si="34"/>
        <v>2</v>
      </c>
      <c r="D41" s="56">
        <v>240</v>
      </c>
      <c r="E41" s="56">
        <v>360</v>
      </c>
      <c r="F41" s="56" t="s">
        <v>472</v>
      </c>
      <c r="G41" s="56">
        <f t="shared" si="28"/>
        <v>7680</v>
      </c>
      <c r="H41" s="56" t="s">
        <v>474</v>
      </c>
      <c r="I41" s="56">
        <f>INT(INDEX(挂机升级突破!$G$8:$G$22,章节关卡!$B41)*章节关卡!E41/6)</f>
        <v>45</v>
      </c>
      <c r="J41" s="56" t="s">
        <v>478</v>
      </c>
      <c r="K41" s="56">
        <v>60</v>
      </c>
      <c r="M41" s="56">
        <f t="shared" si="29"/>
        <v>7</v>
      </c>
      <c r="N41" s="56">
        <f t="shared" si="30"/>
        <v>360</v>
      </c>
      <c r="O41" s="56">
        <f t="shared" si="31"/>
        <v>540</v>
      </c>
      <c r="P41" s="56" t="s">
        <v>472</v>
      </c>
      <c r="Q41" s="56">
        <f t="shared" si="32"/>
        <v>11520</v>
      </c>
      <c r="R41" s="56" t="s">
        <v>474</v>
      </c>
      <c r="S41" s="56">
        <f>INT(INDEX(挂机升级突破!$G$8:$G$22,章节关卡!$B41)*章节关卡!O41/6)</f>
        <v>67</v>
      </c>
      <c r="T41" s="56" t="s">
        <v>483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8">
        <v>37</v>
      </c>
      <c r="AQ41" s="18">
        <v>5</v>
      </c>
      <c r="AR41" s="18">
        <v>1</v>
      </c>
      <c r="AS41" s="15">
        <f t="shared" si="41"/>
        <v>320</v>
      </c>
      <c r="AT41" s="15">
        <f t="shared" si="42"/>
        <v>960</v>
      </c>
      <c r="AU41" s="15">
        <f t="shared" si="43"/>
        <v>6480</v>
      </c>
      <c r="AX41" s="68">
        <v>34</v>
      </c>
      <c r="AY41" s="26">
        <v>5</v>
      </c>
      <c r="AZ41" s="18">
        <v>1</v>
      </c>
      <c r="BA41" s="15">
        <f t="shared" si="44"/>
        <v>640</v>
      </c>
      <c r="BB41" s="15">
        <f t="shared" si="45"/>
        <v>1920</v>
      </c>
      <c r="BC41" s="15">
        <f t="shared" si="46"/>
        <v>12960</v>
      </c>
    </row>
    <row r="42" spans="1:55" ht="16.5" x14ac:dyDescent="0.2">
      <c r="A42" s="56">
        <v>18</v>
      </c>
      <c r="B42" s="56">
        <f t="shared" si="33"/>
        <v>6</v>
      </c>
      <c r="C42" s="56">
        <f t="shared" si="34"/>
        <v>3</v>
      </c>
      <c r="D42" s="56">
        <v>360</v>
      </c>
      <c r="E42" s="56">
        <v>540</v>
      </c>
      <c r="F42" s="56" t="s">
        <v>472</v>
      </c>
      <c r="G42" s="56">
        <f t="shared" si="28"/>
        <v>11520</v>
      </c>
      <c r="H42" s="56" t="s">
        <v>474</v>
      </c>
      <c r="I42" s="56">
        <f>INT(INDEX(挂机升级突破!$G$8:$G$22,章节关卡!$B42)*章节关卡!E42/6)</f>
        <v>67</v>
      </c>
      <c r="J42" s="56" t="s">
        <v>483</v>
      </c>
      <c r="K42" s="56">
        <v>1</v>
      </c>
      <c r="M42" s="56">
        <f t="shared" si="29"/>
        <v>7</v>
      </c>
      <c r="N42" s="56">
        <f t="shared" si="30"/>
        <v>540</v>
      </c>
      <c r="O42" s="56">
        <f t="shared" si="31"/>
        <v>810</v>
      </c>
      <c r="P42" s="56" t="s">
        <v>472</v>
      </c>
      <c r="Q42" s="56">
        <f t="shared" si="32"/>
        <v>17280</v>
      </c>
      <c r="R42" s="56" t="s">
        <v>474</v>
      </c>
      <c r="S42" s="56">
        <f>INT(INDEX(挂机升级突破!$G$8:$G$22,章节关卡!$B42)*章节关卡!O42/6)</f>
        <v>101</v>
      </c>
      <c r="T42" s="56" t="s">
        <v>483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8">
        <v>38</v>
      </c>
      <c r="AQ42" s="26">
        <v>5</v>
      </c>
      <c r="AR42" s="18">
        <v>2</v>
      </c>
      <c r="AS42" s="15">
        <f t="shared" si="41"/>
        <v>320</v>
      </c>
      <c r="AT42" s="15">
        <f t="shared" si="42"/>
        <v>960</v>
      </c>
      <c r="AU42" s="15">
        <f t="shared" si="43"/>
        <v>6480</v>
      </c>
      <c r="AX42" s="68">
        <v>35</v>
      </c>
      <c r="AY42" s="26">
        <v>5</v>
      </c>
      <c r="AZ42" s="18">
        <v>2</v>
      </c>
      <c r="BA42" s="15">
        <f t="shared" si="44"/>
        <v>640</v>
      </c>
      <c r="BB42" s="15">
        <f t="shared" si="45"/>
        <v>1920</v>
      </c>
      <c r="BC42" s="15">
        <f t="shared" si="46"/>
        <v>12960</v>
      </c>
    </row>
    <row r="43" spans="1:55" ht="16.5" x14ac:dyDescent="0.2">
      <c r="A43" s="56">
        <v>19</v>
      </c>
      <c r="B43" s="56">
        <f t="shared" si="33"/>
        <v>7</v>
      </c>
      <c r="C43" s="56">
        <f t="shared" si="34"/>
        <v>1</v>
      </c>
      <c r="D43" s="56">
        <v>120</v>
      </c>
      <c r="E43" s="56">
        <v>180</v>
      </c>
      <c r="F43" s="56" t="s">
        <v>472</v>
      </c>
      <c r="G43" s="56">
        <f t="shared" si="28"/>
        <v>4800</v>
      </c>
      <c r="H43" s="56" t="s">
        <v>475</v>
      </c>
      <c r="I43" s="56">
        <f>INT(INDEX(挂机升级突破!$H$8:$H$22,章节关卡!$B43)*章节关卡!E43/6)</f>
        <v>7</v>
      </c>
      <c r="J43" s="56" t="s">
        <v>478</v>
      </c>
      <c r="K43" s="56">
        <v>40</v>
      </c>
      <c r="M43" s="56">
        <f t="shared" si="29"/>
        <v>8</v>
      </c>
      <c r="N43" s="56">
        <f t="shared" si="30"/>
        <v>180</v>
      </c>
      <c r="O43" s="56">
        <f t="shared" si="31"/>
        <v>270</v>
      </c>
      <c r="P43" s="56" t="s">
        <v>472</v>
      </c>
      <c r="Q43" s="56">
        <f t="shared" si="32"/>
        <v>7200</v>
      </c>
      <c r="R43" s="56" t="s">
        <v>475</v>
      </c>
      <c r="S43" s="56">
        <f>INT(INDEX(挂机升级突破!$H$8:$H$22,章节关卡!$B43)*章节关卡!O43/6)</f>
        <v>11</v>
      </c>
      <c r="T43" s="56" t="s">
        <v>482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8">
        <v>39</v>
      </c>
      <c r="AQ43" s="26">
        <v>5</v>
      </c>
      <c r="AR43" s="18">
        <v>3</v>
      </c>
      <c r="AS43" s="15">
        <f t="shared" si="41"/>
        <v>320</v>
      </c>
      <c r="AT43" s="15">
        <f t="shared" si="42"/>
        <v>960</v>
      </c>
      <c r="AU43" s="15">
        <f t="shared" si="43"/>
        <v>6480</v>
      </c>
      <c r="AX43" s="68">
        <v>36</v>
      </c>
      <c r="AY43" s="26">
        <v>5</v>
      </c>
      <c r="AZ43" s="18">
        <v>3</v>
      </c>
      <c r="BA43" s="15">
        <f t="shared" si="44"/>
        <v>640</v>
      </c>
      <c r="BB43" s="15">
        <f t="shared" si="45"/>
        <v>1920</v>
      </c>
      <c r="BC43" s="15">
        <f t="shared" si="46"/>
        <v>12960</v>
      </c>
    </row>
    <row r="44" spans="1:55" ht="16.5" x14ac:dyDescent="0.2">
      <c r="A44" s="56">
        <v>20</v>
      </c>
      <c r="B44" s="56">
        <f t="shared" si="33"/>
        <v>7</v>
      </c>
      <c r="C44" s="56">
        <f t="shared" si="34"/>
        <v>2</v>
      </c>
      <c r="D44" s="56">
        <v>240</v>
      </c>
      <c r="E44" s="56">
        <v>360</v>
      </c>
      <c r="F44" s="56" t="s">
        <v>472</v>
      </c>
      <c r="G44" s="56">
        <f t="shared" si="28"/>
        <v>9600</v>
      </c>
      <c r="H44" s="56" t="s">
        <v>475</v>
      </c>
      <c r="I44" s="56">
        <f>INT(INDEX(挂机升级突破!$H$8:$H$22,章节关卡!$B44)*章节关卡!E44/6)</f>
        <v>15</v>
      </c>
      <c r="J44" s="56" t="s">
        <v>478</v>
      </c>
      <c r="K44" s="56">
        <v>60</v>
      </c>
      <c r="M44" s="56">
        <f t="shared" si="29"/>
        <v>8</v>
      </c>
      <c r="N44" s="56">
        <f t="shared" si="30"/>
        <v>360</v>
      </c>
      <c r="O44" s="56">
        <f t="shared" si="31"/>
        <v>540</v>
      </c>
      <c r="P44" s="56" t="s">
        <v>472</v>
      </c>
      <c r="Q44" s="56">
        <f t="shared" si="32"/>
        <v>14400</v>
      </c>
      <c r="R44" s="56" t="s">
        <v>475</v>
      </c>
      <c r="S44" s="56">
        <f>INT(INDEX(挂机升级突破!$H$8:$H$22,章节关卡!$B44)*章节关卡!O44/6)</f>
        <v>22</v>
      </c>
      <c r="T44" s="56" t="s">
        <v>483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8">
        <v>40</v>
      </c>
      <c r="AQ44" s="26">
        <v>5</v>
      </c>
      <c r="AR44" s="18">
        <v>4</v>
      </c>
      <c r="AS44" s="15">
        <f t="shared" si="41"/>
        <v>320</v>
      </c>
      <c r="AT44" s="15">
        <f t="shared" si="42"/>
        <v>960</v>
      </c>
      <c r="AU44" s="15">
        <f t="shared" si="43"/>
        <v>6480</v>
      </c>
      <c r="AX44" s="68">
        <v>37</v>
      </c>
      <c r="AY44" s="26">
        <v>5</v>
      </c>
      <c r="AZ44" s="18">
        <v>4</v>
      </c>
      <c r="BA44" s="15">
        <f t="shared" si="44"/>
        <v>640</v>
      </c>
      <c r="BB44" s="15">
        <f t="shared" si="45"/>
        <v>1920</v>
      </c>
      <c r="BC44" s="15">
        <f t="shared" si="46"/>
        <v>12960</v>
      </c>
    </row>
    <row r="45" spans="1:55" ht="16.5" x14ac:dyDescent="0.2">
      <c r="A45" s="56">
        <v>21</v>
      </c>
      <c r="B45" s="56">
        <f t="shared" si="33"/>
        <v>7</v>
      </c>
      <c r="C45" s="56">
        <f t="shared" si="34"/>
        <v>3</v>
      </c>
      <c r="D45" s="56">
        <v>360</v>
      </c>
      <c r="E45" s="56">
        <v>540</v>
      </c>
      <c r="F45" s="56" t="s">
        <v>472</v>
      </c>
      <c r="G45" s="56">
        <f t="shared" si="28"/>
        <v>14400</v>
      </c>
      <c r="H45" s="56" t="s">
        <v>475</v>
      </c>
      <c r="I45" s="56">
        <f>INT(INDEX(挂机升级突破!$H$8:$H$22,章节关卡!$B45)*章节关卡!E45/6)</f>
        <v>22</v>
      </c>
      <c r="J45" s="56" t="s">
        <v>483</v>
      </c>
      <c r="K45" s="56">
        <v>1</v>
      </c>
      <c r="M45" s="56">
        <f t="shared" si="29"/>
        <v>8</v>
      </c>
      <c r="N45" s="56">
        <f t="shared" si="30"/>
        <v>540</v>
      </c>
      <c r="O45" s="56">
        <f t="shared" si="31"/>
        <v>810</v>
      </c>
      <c r="P45" s="56" t="s">
        <v>472</v>
      </c>
      <c r="Q45" s="56">
        <f t="shared" si="32"/>
        <v>21600</v>
      </c>
      <c r="R45" s="56" t="s">
        <v>475</v>
      </c>
      <c r="S45" s="56">
        <f>INT(INDEX(挂机升级突破!$H$8:$H$22,章节关卡!$B45)*章节关卡!O45/6)</f>
        <v>33</v>
      </c>
      <c r="T45" s="56" t="s">
        <v>483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8">
        <v>41</v>
      </c>
      <c r="AQ45" s="26">
        <v>5</v>
      </c>
      <c r="AR45" s="18">
        <v>5</v>
      </c>
      <c r="AS45" s="15">
        <f t="shared" si="41"/>
        <v>320</v>
      </c>
      <c r="AT45" s="15">
        <f t="shared" si="42"/>
        <v>960</v>
      </c>
      <c r="AU45" s="15">
        <f t="shared" si="43"/>
        <v>6480</v>
      </c>
      <c r="AX45" s="68">
        <v>38</v>
      </c>
      <c r="AY45" s="26">
        <v>5</v>
      </c>
      <c r="AZ45" s="18">
        <v>5</v>
      </c>
      <c r="BA45" s="15">
        <f t="shared" si="44"/>
        <v>640</v>
      </c>
      <c r="BB45" s="15">
        <f t="shared" si="45"/>
        <v>1920</v>
      </c>
      <c r="BC45" s="15">
        <f t="shared" si="46"/>
        <v>12960</v>
      </c>
    </row>
    <row r="46" spans="1:55" ht="16.5" x14ac:dyDescent="0.2">
      <c r="A46" s="56">
        <v>22</v>
      </c>
      <c r="B46" s="56">
        <f t="shared" si="33"/>
        <v>8</v>
      </c>
      <c r="C46" s="56">
        <f t="shared" si="34"/>
        <v>1</v>
      </c>
      <c r="D46" s="56">
        <v>120</v>
      </c>
      <c r="E46" s="56">
        <v>180</v>
      </c>
      <c r="F46" s="56" t="s">
        <v>472</v>
      </c>
      <c r="G46" s="56">
        <f t="shared" si="28"/>
        <v>6000</v>
      </c>
      <c r="H46" s="56" t="s">
        <v>475</v>
      </c>
      <c r="I46" s="56">
        <f>INT(INDEX(挂机升级突破!$H$8:$H$22,章节关卡!$B46)*章节关卡!E46/6)</f>
        <v>15</v>
      </c>
      <c r="J46" s="56" t="s">
        <v>478</v>
      </c>
      <c r="K46" s="56">
        <v>40</v>
      </c>
      <c r="M46" s="56">
        <f t="shared" si="29"/>
        <v>9</v>
      </c>
      <c r="N46" s="56">
        <f t="shared" si="30"/>
        <v>180</v>
      </c>
      <c r="O46" s="56">
        <f t="shared" si="31"/>
        <v>270</v>
      </c>
      <c r="P46" s="56" t="s">
        <v>472</v>
      </c>
      <c r="Q46" s="56">
        <f t="shared" si="32"/>
        <v>9000</v>
      </c>
      <c r="R46" s="56" t="s">
        <v>475</v>
      </c>
      <c r="S46" s="56">
        <f>INT(INDEX(挂机升级突破!$H$8:$H$22,章节关卡!$B46)*章节关卡!O46/6)</f>
        <v>22</v>
      </c>
      <c r="T46" s="56" t="s">
        <v>482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8">
        <v>42</v>
      </c>
      <c r="AQ46" s="26">
        <v>5</v>
      </c>
      <c r="AR46" s="18">
        <v>6</v>
      </c>
      <c r="AS46" s="15">
        <f t="shared" si="41"/>
        <v>320</v>
      </c>
      <c r="AT46" s="15">
        <f t="shared" si="42"/>
        <v>960</v>
      </c>
      <c r="AU46" s="15">
        <f t="shared" si="43"/>
        <v>6480</v>
      </c>
      <c r="AX46" s="68">
        <v>39</v>
      </c>
      <c r="AY46" s="26">
        <v>5</v>
      </c>
      <c r="AZ46" s="18">
        <v>6</v>
      </c>
      <c r="BA46" s="15">
        <f t="shared" si="44"/>
        <v>640</v>
      </c>
      <c r="BB46" s="15">
        <f t="shared" si="45"/>
        <v>1920</v>
      </c>
      <c r="BC46" s="15">
        <f t="shared" si="46"/>
        <v>12960</v>
      </c>
    </row>
    <row r="47" spans="1:55" ht="16.5" x14ac:dyDescent="0.2">
      <c r="A47" s="56">
        <v>23</v>
      </c>
      <c r="B47" s="56">
        <f t="shared" si="33"/>
        <v>8</v>
      </c>
      <c r="C47" s="56">
        <f t="shared" si="34"/>
        <v>2</v>
      </c>
      <c r="D47" s="56">
        <v>240</v>
      </c>
      <c r="E47" s="56">
        <v>360</v>
      </c>
      <c r="F47" s="56" t="s">
        <v>472</v>
      </c>
      <c r="G47" s="56">
        <f t="shared" si="28"/>
        <v>12000</v>
      </c>
      <c r="H47" s="56" t="s">
        <v>475</v>
      </c>
      <c r="I47" s="56">
        <f>INT(INDEX(挂机升级突破!$H$8:$H$22,章节关卡!$B47)*章节关卡!E47/6)</f>
        <v>30</v>
      </c>
      <c r="J47" s="56" t="s">
        <v>478</v>
      </c>
      <c r="K47" s="56">
        <v>60</v>
      </c>
      <c r="M47" s="56">
        <f t="shared" si="29"/>
        <v>9</v>
      </c>
      <c r="N47" s="56">
        <f t="shared" si="30"/>
        <v>360</v>
      </c>
      <c r="O47" s="56">
        <f t="shared" si="31"/>
        <v>540</v>
      </c>
      <c r="P47" s="56" t="s">
        <v>472</v>
      </c>
      <c r="Q47" s="56">
        <f t="shared" si="32"/>
        <v>18000</v>
      </c>
      <c r="R47" s="56" t="s">
        <v>475</v>
      </c>
      <c r="S47" s="56">
        <f>INT(INDEX(挂机升级突破!$H$8:$H$22,章节关卡!$B47)*章节关卡!O47/6)</f>
        <v>45</v>
      </c>
      <c r="T47" s="56" t="s">
        <v>483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8">
        <v>43</v>
      </c>
      <c r="AQ47" s="26">
        <v>5</v>
      </c>
      <c r="AR47" s="18">
        <v>7</v>
      </c>
      <c r="AS47" s="15">
        <f t="shared" si="41"/>
        <v>320</v>
      </c>
      <c r="AT47" s="15">
        <f t="shared" si="42"/>
        <v>960</v>
      </c>
      <c r="AU47" s="15">
        <f t="shared" si="43"/>
        <v>6480</v>
      </c>
      <c r="AX47" s="68">
        <v>40</v>
      </c>
      <c r="AY47" s="26">
        <v>5</v>
      </c>
      <c r="AZ47" s="18">
        <v>7</v>
      </c>
      <c r="BA47" s="15">
        <f t="shared" si="44"/>
        <v>640</v>
      </c>
      <c r="BB47" s="15">
        <f t="shared" si="45"/>
        <v>1920</v>
      </c>
      <c r="BC47" s="15">
        <f t="shared" si="46"/>
        <v>12960</v>
      </c>
    </row>
    <row r="48" spans="1:55" ht="16.5" x14ac:dyDescent="0.2">
      <c r="A48" s="56">
        <v>24</v>
      </c>
      <c r="B48" s="56">
        <f t="shared" si="33"/>
        <v>8</v>
      </c>
      <c r="C48" s="56">
        <f t="shared" si="34"/>
        <v>3</v>
      </c>
      <c r="D48" s="56">
        <v>360</v>
      </c>
      <c r="E48" s="56">
        <v>540</v>
      </c>
      <c r="F48" s="56" t="s">
        <v>472</v>
      </c>
      <c r="G48" s="56">
        <f t="shared" si="28"/>
        <v>18000</v>
      </c>
      <c r="H48" s="56" t="s">
        <v>475</v>
      </c>
      <c r="I48" s="56">
        <f>INT(INDEX(挂机升级突破!$H$8:$H$22,章节关卡!$B48)*章节关卡!E48/6)</f>
        <v>45</v>
      </c>
      <c r="J48" s="56" t="s">
        <v>483</v>
      </c>
      <c r="K48" s="56">
        <v>1</v>
      </c>
      <c r="M48" s="56">
        <f t="shared" si="29"/>
        <v>9</v>
      </c>
      <c r="N48" s="56">
        <f t="shared" si="30"/>
        <v>540</v>
      </c>
      <c r="O48" s="56">
        <f t="shared" si="31"/>
        <v>810</v>
      </c>
      <c r="P48" s="56" t="s">
        <v>472</v>
      </c>
      <c r="Q48" s="56">
        <f t="shared" si="32"/>
        <v>27000</v>
      </c>
      <c r="R48" s="56" t="s">
        <v>475</v>
      </c>
      <c r="S48" s="56">
        <f>INT(INDEX(挂机升级突破!$H$8:$H$22,章节关卡!$B48)*章节关卡!O48/6)</f>
        <v>67</v>
      </c>
      <c r="T48" s="56" t="s">
        <v>483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8">
        <v>44</v>
      </c>
      <c r="AQ48" s="26">
        <v>5</v>
      </c>
      <c r="AR48" s="18">
        <v>8</v>
      </c>
      <c r="AS48" s="15">
        <f t="shared" si="41"/>
        <v>320</v>
      </c>
      <c r="AT48" s="15">
        <f t="shared" si="42"/>
        <v>960</v>
      </c>
      <c r="AU48" s="15">
        <f t="shared" si="43"/>
        <v>6480</v>
      </c>
      <c r="AX48" s="68">
        <v>41</v>
      </c>
      <c r="AY48" s="26">
        <v>5</v>
      </c>
      <c r="AZ48" s="18">
        <v>8</v>
      </c>
      <c r="BA48" s="15">
        <f t="shared" si="44"/>
        <v>640</v>
      </c>
      <c r="BB48" s="15">
        <f t="shared" si="45"/>
        <v>1920</v>
      </c>
      <c r="BC48" s="15">
        <f t="shared" si="46"/>
        <v>12960</v>
      </c>
    </row>
    <row r="49" spans="1:55" ht="16.5" x14ac:dyDescent="0.2">
      <c r="A49" s="56">
        <v>25</v>
      </c>
      <c r="B49" s="56">
        <f t="shared" si="33"/>
        <v>9</v>
      </c>
      <c r="C49" s="56">
        <f t="shared" si="34"/>
        <v>1</v>
      </c>
      <c r="D49" s="56">
        <v>120</v>
      </c>
      <c r="E49" s="56">
        <v>180</v>
      </c>
      <c r="F49" s="56" t="s">
        <v>472</v>
      </c>
      <c r="G49" s="56">
        <f t="shared" si="28"/>
        <v>7200</v>
      </c>
      <c r="H49" s="56" t="s">
        <v>475</v>
      </c>
      <c r="I49" s="56">
        <f>INT(INDEX(挂机升级突破!$H$8:$H$22,章节关卡!$B49)*章节关卡!E49/6)</f>
        <v>22</v>
      </c>
      <c r="J49" s="56" t="s">
        <v>478</v>
      </c>
      <c r="K49" s="56">
        <v>40</v>
      </c>
      <c r="M49" s="56">
        <f t="shared" si="29"/>
        <v>10</v>
      </c>
      <c r="N49" s="56">
        <f t="shared" si="30"/>
        <v>180</v>
      </c>
      <c r="O49" s="56">
        <f t="shared" si="31"/>
        <v>270</v>
      </c>
      <c r="P49" s="56" t="s">
        <v>472</v>
      </c>
      <c r="Q49" s="56">
        <f t="shared" si="32"/>
        <v>10800</v>
      </c>
      <c r="R49" s="56" t="s">
        <v>475</v>
      </c>
      <c r="S49" s="56">
        <f>INT(INDEX(挂机升级突破!$H$8:$H$22,章节关卡!$B49)*章节关卡!O49/6)</f>
        <v>33</v>
      </c>
      <c r="T49" s="56" t="s">
        <v>482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8">
        <v>45</v>
      </c>
      <c r="AQ49" s="26">
        <v>5</v>
      </c>
      <c r="AR49" s="18">
        <v>9</v>
      </c>
      <c r="AS49" s="15">
        <f t="shared" si="41"/>
        <v>320</v>
      </c>
      <c r="AT49" s="15">
        <f t="shared" si="42"/>
        <v>960</v>
      </c>
      <c r="AU49" s="15">
        <f t="shared" si="43"/>
        <v>6480</v>
      </c>
      <c r="AX49" s="68">
        <v>42</v>
      </c>
      <c r="AY49" s="26">
        <v>5</v>
      </c>
      <c r="AZ49" s="18">
        <v>9</v>
      </c>
      <c r="BA49" s="15">
        <f t="shared" si="44"/>
        <v>640</v>
      </c>
      <c r="BB49" s="15">
        <f t="shared" si="45"/>
        <v>1920</v>
      </c>
      <c r="BC49" s="15">
        <f t="shared" si="46"/>
        <v>12960</v>
      </c>
    </row>
    <row r="50" spans="1:55" ht="16.5" x14ac:dyDescent="0.2">
      <c r="A50" s="56">
        <v>26</v>
      </c>
      <c r="B50" s="56">
        <f t="shared" si="33"/>
        <v>9</v>
      </c>
      <c r="C50" s="56">
        <f t="shared" si="34"/>
        <v>2</v>
      </c>
      <c r="D50" s="56">
        <v>240</v>
      </c>
      <c r="E50" s="56">
        <v>360</v>
      </c>
      <c r="F50" s="56" t="s">
        <v>472</v>
      </c>
      <c r="G50" s="56">
        <f t="shared" si="28"/>
        <v>14400</v>
      </c>
      <c r="H50" s="56" t="s">
        <v>475</v>
      </c>
      <c r="I50" s="56">
        <f>INT(INDEX(挂机升级突破!$H$8:$H$22,章节关卡!$B50)*章节关卡!E50/6)</f>
        <v>45</v>
      </c>
      <c r="J50" s="56" t="s">
        <v>478</v>
      </c>
      <c r="K50" s="56">
        <v>60</v>
      </c>
      <c r="M50" s="56">
        <f t="shared" si="29"/>
        <v>10</v>
      </c>
      <c r="N50" s="56">
        <f t="shared" si="30"/>
        <v>360</v>
      </c>
      <c r="O50" s="56">
        <f t="shared" si="31"/>
        <v>540</v>
      </c>
      <c r="P50" s="56" t="s">
        <v>472</v>
      </c>
      <c r="Q50" s="56">
        <f t="shared" si="32"/>
        <v>21600</v>
      </c>
      <c r="R50" s="56" t="s">
        <v>475</v>
      </c>
      <c r="S50" s="56">
        <f>INT(INDEX(挂机升级突破!$H$8:$H$22,章节关卡!$B50)*章节关卡!O50/6)</f>
        <v>67</v>
      </c>
      <c r="T50" s="56" t="s">
        <v>483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8">
        <v>46</v>
      </c>
      <c r="AQ50" s="26">
        <v>5</v>
      </c>
      <c r="AR50" s="18">
        <v>10</v>
      </c>
      <c r="AS50" s="15">
        <f t="shared" si="41"/>
        <v>320</v>
      </c>
      <c r="AT50" s="15">
        <f t="shared" si="42"/>
        <v>960</v>
      </c>
      <c r="AU50" s="15">
        <f t="shared" si="43"/>
        <v>6480</v>
      </c>
      <c r="AX50" s="68">
        <v>43</v>
      </c>
      <c r="AY50" s="26">
        <v>5</v>
      </c>
      <c r="AZ50" s="18">
        <v>10</v>
      </c>
      <c r="BA50" s="15">
        <f t="shared" si="44"/>
        <v>640</v>
      </c>
      <c r="BB50" s="15">
        <f t="shared" si="45"/>
        <v>1920</v>
      </c>
      <c r="BC50" s="15">
        <f t="shared" si="46"/>
        <v>12960</v>
      </c>
    </row>
    <row r="51" spans="1:55" ht="16.5" x14ac:dyDescent="0.2">
      <c r="A51" s="56">
        <v>27</v>
      </c>
      <c r="B51" s="56">
        <f t="shared" si="33"/>
        <v>9</v>
      </c>
      <c r="C51" s="56">
        <f t="shared" si="34"/>
        <v>3</v>
      </c>
      <c r="D51" s="56">
        <v>360</v>
      </c>
      <c r="E51" s="56">
        <v>540</v>
      </c>
      <c r="F51" s="56" t="s">
        <v>472</v>
      </c>
      <c r="G51" s="56">
        <f t="shared" si="28"/>
        <v>21600</v>
      </c>
      <c r="H51" s="56" t="s">
        <v>475</v>
      </c>
      <c r="I51" s="56">
        <f>INT(INDEX(挂机升级突破!$H$8:$H$22,章节关卡!$B51)*章节关卡!E51/6)</f>
        <v>67</v>
      </c>
      <c r="J51" s="56" t="s">
        <v>483</v>
      </c>
      <c r="K51" s="56">
        <v>1</v>
      </c>
      <c r="M51" s="56">
        <f t="shared" si="29"/>
        <v>10</v>
      </c>
      <c r="N51" s="56">
        <f t="shared" si="30"/>
        <v>540</v>
      </c>
      <c r="O51" s="56">
        <f t="shared" si="31"/>
        <v>810</v>
      </c>
      <c r="P51" s="56" t="s">
        <v>472</v>
      </c>
      <c r="Q51" s="56">
        <f t="shared" si="32"/>
        <v>32400</v>
      </c>
      <c r="R51" s="56" t="s">
        <v>475</v>
      </c>
      <c r="S51" s="56">
        <f>INT(INDEX(挂机升级突破!$H$8:$H$22,章节关卡!$B51)*章节关卡!O51/6)</f>
        <v>101</v>
      </c>
      <c r="T51" s="56" t="s">
        <v>483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8">
        <v>47</v>
      </c>
      <c r="AQ51" s="26">
        <v>5</v>
      </c>
      <c r="AR51" s="18">
        <v>11</v>
      </c>
      <c r="AS51" s="15">
        <f t="shared" si="41"/>
        <v>320</v>
      </c>
      <c r="AT51" s="15">
        <f t="shared" si="42"/>
        <v>960</v>
      </c>
      <c r="AU51" s="15">
        <f t="shared" si="43"/>
        <v>6480</v>
      </c>
      <c r="AX51" s="68">
        <v>44</v>
      </c>
      <c r="AY51" s="26">
        <v>5</v>
      </c>
      <c r="AZ51" s="18">
        <v>11</v>
      </c>
      <c r="BA51" s="15">
        <f t="shared" si="44"/>
        <v>640</v>
      </c>
      <c r="BB51" s="15">
        <f t="shared" si="45"/>
        <v>1920</v>
      </c>
      <c r="BC51" s="15">
        <f t="shared" si="46"/>
        <v>12960</v>
      </c>
    </row>
    <row r="52" spans="1:55" ht="16.5" x14ac:dyDescent="0.2">
      <c r="A52" s="56">
        <v>28</v>
      </c>
      <c r="B52" s="56">
        <f t="shared" si="33"/>
        <v>10</v>
      </c>
      <c r="C52" s="56">
        <f t="shared" si="34"/>
        <v>1</v>
      </c>
      <c r="D52" s="56">
        <v>120</v>
      </c>
      <c r="E52" s="56">
        <v>180</v>
      </c>
      <c r="F52" s="56" t="s">
        <v>472</v>
      </c>
      <c r="G52" s="56">
        <f t="shared" si="28"/>
        <v>8640</v>
      </c>
      <c r="H52" s="56" t="s">
        <v>476</v>
      </c>
      <c r="I52" s="56">
        <f>INT(INDEX(挂机升级突破!$I$8:$I$22,章节关卡!$B52)*章节关卡!E52/6)</f>
        <v>7</v>
      </c>
      <c r="J52" s="56" t="s">
        <v>478</v>
      </c>
      <c r="K52" s="56">
        <v>40</v>
      </c>
      <c r="M52" s="56">
        <f t="shared" si="29"/>
        <v>11</v>
      </c>
      <c r="N52" s="56">
        <f t="shared" si="30"/>
        <v>180</v>
      </c>
      <c r="O52" s="56">
        <f t="shared" si="31"/>
        <v>270</v>
      </c>
      <c r="P52" s="56" t="s">
        <v>472</v>
      </c>
      <c r="Q52" s="56">
        <f t="shared" si="32"/>
        <v>12960</v>
      </c>
      <c r="R52" s="56" t="s">
        <v>476</v>
      </c>
      <c r="S52" s="56">
        <f>INT(INDEX(挂机升级突破!$I$8:$I$22,章节关卡!$B52)*章节关卡!O52/6)</f>
        <v>11</v>
      </c>
      <c r="T52" s="56" t="s">
        <v>482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8">
        <v>48</v>
      </c>
      <c r="AQ52" s="26">
        <v>5</v>
      </c>
      <c r="AR52" s="18">
        <v>12</v>
      </c>
      <c r="AS52" s="15">
        <f t="shared" si="41"/>
        <v>320</v>
      </c>
      <c r="AT52" s="15">
        <f t="shared" si="42"/>
        <v>960</v>
      </c>
      <c r="AU52" s="15">
        <f t="shared" si="43"/>
        <v>6480</v>
      </c>
      <c r="AX52" s="68">
        <v>45</v>
      </c>
      <c r="AY52" s="26">
        <v>5</v>
      </c>
      <c r="AZ52" s="18">
        <v>12</v>
      </c>
      <c r="BA52" s="15">
        <f t="shared" si="44"/>
        <v>640</v>
      </c>
      <c r="BB52" s="15">
        <f t="shared" si="45"/>
        <v>1920</v>
      </c>
      <c r="BC52" s="15">
        <f t="shared" si="46"/>
        <v>12960</v>
      </c>
    </row>
    <row r="53" spans="1:55" ht="16.5" x14ac:dyDescent="0.2">
      <c r="A53" s="56">
        <v>29</v>
      </c>
      <c r="B53" s="56">
        <f t="shared" si="33"/>
        <v>10</v>
      </c>
      <c r="C53" s="56">
        <f t="shared" si="34"/>
        <v>2</v>
      </c>
      <c r="D53" s="56">
        <v>240</v>
      </c>
      <c r="E53" s="56">
        <v>360</v>
      </c>
      <c r="F53" s="56" t="s">
        <v>472</v>
      </c>
      <c r="G53" s="56">
        <f t="shared" si="28"/>
        <v>17280</v>
      </c>
      <c r="H53" s="56" t="s">
        <v>476</v>
      </c>
      <c r="I53" s="56">
        <f>INT(INDEX(挂机升级突破!$I$8:$I$22,章节关卡!$B53)*章节关卡!E53/6)</f>
        <v>15</v>
      </c>
      <c r="J53" s="56" t="s">
        <v>478</v>
      </c>
      <c r="K53" s="56">
        <v>60</v>
      </c>
      <c r="M53" s="56">
        <f t="shared" si="29"/>
        <v>11</v>
      </c>
      <c r="N53" s="56">
        <f t="shared" si="30"/>
        <v>360</v>
      </c>
      <c r="O53" s="56">
        <f t="shared" si="31"/>
        <v>540</v>
      </c>
      <c r="P53" s="56" t="s">
        <v>472</v>
      </c>
      <c r="Q53" s="56">
        <f t="shared" si="32"/>
        <v>25920</v>
      </c>
      <c r="R53" s="56" t="s">
        <v>476</v>
      </c>
      <c r="S53" s="56">
        <f>INT(INDEX(挂机升级突破!$I$8:$I$22,章节关卡!$B53)*章节关卡!O53/6)</f>
        <v>22</v>
      </c>
      <c r="T53" s="56" t="s">
        <v>483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8">
        <v>49</v>
      </c>
      <c r="AQ53" s="26">
        <v>5</v>
      </c>
      <c r="AR53" s="18">
        <v>13</v>
      </c>
      <c r="AS53" s="15">
        <f t="shared" si="41"/>
        <v>320</v>
      </c>
      <c r="AT53" s="15">
        <f t="shared" si="42"/>
        <v>960</v>
      </c>
      <c r="AU53" s="15">
        <f t="shared" si="43"/>
        <v>6480</v>
      </c>
      <c r="AX53" s="68">
        <v>46</v>
      </c>
      <c r="AY53" s="26">
        <v>5</v>
      </c>
      <c r="AZ53" s="18">
        <v>13</v>
      </c>
      <c r="BA53" s="15">
        <f t="shared" si="44"/>
        <v>640</v>
      </c>
      <c r="BB53" s="15">
        <f t="shared" si="45"/>
        <v>1920</v>
      </c>
      <c r="BC53" s="15">
        <f t="shared" si="46"/>
        <v>12960</v>
      </c>
    </row>
    <row r="54" spans="1:55" ht="16.5" x14ac:dyDescent="0.2">
      <c r="A54" s="56">
        <v>30</v>
      </c>
      <c r="B54" s="56">
        <f t="shared" si="33"/>
        <v>10</v>
      </c>
      <c r="C54" s="56">
        <f t="shared" si="34"/>
        <v>3</v>
      </c>
      <c r="D54" s="56">
        <v>360</v>
      </c>
      <c r="E54" s="56">
        <v>540</v>
      </c>
      <c r="F54" s="56" t="s">
        <v>472</v>
      </c>
      <c r="G54" s="56">
        <f t="shared" si="28"/>
        <v>25920</v>
      </c>
      <c r="H54" s="56" t="s">
        <v>476</v>
      </c>
      <c r="I54" s="56">
        <f>INT(INDEX(挂机升级突破!$I$8:$I$22,章节关卡!$B54)*章节关卡!E54/6)</f>
        <v>22</v>
      </c>
      <c r="J54" s="56" t="s">
        <v>483</v>
      </c>
      <c r="K54" s="56">
        <v>1</v>
      </c>
      <c r="M54" s="56">
        <f t="shared" si="29"/>
        <v>11</v>
      </c>
      <c r="N54" s="56">
        <f t="shared" si="30"/>
        <v>540</v>
      </c>
      <c r="O54" s="56">
        <f t="shared" si="31"/>
        <v>810</v>
      </c>
      <c r="P54" s="56" t="s">
        <v>472</v>
      </c>
      <c r="Q54" s="56">
        <f t="shared" si="32"/>
        <v>38880</v>
      </c>
      <c r="R54" s="56" t="s">
        <v>476</v>
      </c>
      <c r="S54" s="56">
        <f>INT(INDEX(挂机升级突破!$I$8:$I$22,章节关卡!$B54)*章节关卡!O54/6)</f>
        <v>33</v>
      </c>
      <c r="T54" s="56" t="s">
        <v>483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8">
        <v>50</v>
      </c>
      <c r="AQ54" s="26">
        <v>5</v>
      </c>
      <c r="AR54" s="18">
        <v>14</v>
      </c>
      <c r="AS54" s="15">
        <f t="shared" si="41"/>
        <v>320</v>
      </c>
      <c r="AT54" s="15">
        <f t="shared" si="42"/>
        <v>960</v>
      </c>
      <c r="AU54" s="15">
        <f t="shared" si="43"/>
        <v>6480</v>
      </c>
      <c r="AX54" s="68">
        <v>47</v>
      </c>
      <c r="AY54" s="26">
        <v>5</v>
      </c>
      <c r="AZ54" s="18">
        <v>14</v>
      </c>
      <c r="BA54" s="15">
        <f t="shared" si="44"/>
        <v>640</v>
      </c>
      <c r="BB54" s="15">
        <f t="shared" si="45"/>
        <v>1920</v>
      </c>
      <c r="BC54" s="15">
        <f t="shared" si="46"/>
        <v>12960</v>
      </c>
    </row>
    <row r="55" spans="1:55" ht="16.5" x14ac:dyDescent="0.2">
      <c r="A55" s="56">
        <v>31</v>
      </c>
      <c r="B55" s="56">
        <f t="shared" si="33"/>
        <v>11</v>
      </c>
      <c r="C55" s="56">
        <f t="shared" si="34"/>
        <v>1</v>
      </c>
      <c r="D55" s="56">
        <v>120</v>
      </c>
      <c r="E55" s="56">
        <v>180</v>
      </c>
      <c r="F55" s="56" t="s">
        <v>472</v>
      </c>
      <c r="G55" s="56">
        <f t="shared" si="28"/>
        <v>10800</v>
      </c>
      <c r="H55" s="56" t="s">
        <v>476</v>
      </c>
      <c r="I55" s="56">
        <f>INT(INDEX(挂机升级突破!$I$8:$I$22,章节关卡!$B55)*章节关卡!E55/6)</f>
        <v>15</v>
      </c>
      <c r="J55" s="56" t="s">
        <v>478</v>
      </c>
      <c r="K55" s="56">
        <v>40</v>
      </c>
      <c r="M55" s="56">
        <f t="shared" si="29"/>
        <v>12</v>
      </c>
      <c r="N55" s="56">
        <f t="shared" si="30"/>
        <v>180</v>
      </c>
      <c r="O55" s="56">
        <f t="shared" si="31"/>
        <v>270</v>
      </c>
      <c r="P55" s="56" t="s">
        <v>472</v>
      </c>
      <c r="Q55" s="56">
        <f t="shared" si="32"/>
        <v>16200</v>
      </c>
      <c r="R55" s="56" t="s">
        <v>476</v>
      </c>
      <c r="S55" s="56">
        <f>INT(INDEX(挂机升级突破!$I$8:$I$22,章节关卡!$B55)*章节关卡!O55/6)</f>
        <v>22</v>
      </c>
      <c r="T55" s="56" t="s">
        <v>482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8">
        <v>51</v>
      </c>
      <c r="AQ55" s="26">
        <v>5</v>
      </c>
      <c r="AR55" s="18">
        <v>15</v>
      </c>
      <c r="AS55" s="15">
        <f t="shared" si="41"/>
        <v>320</v>
      </c>
      <c r="AT55" s="15">
        <f t="shared" si="42"/>
        <v>960</v>
      </c>
      <c r="AU55" s="15">
        <f t="shared" si="43"/>
        <v>6480</v>
      </c>
      <c r="AX55" s="68">
        <v>48</v>
      </c>
      <c r="AY55" s="26">
        <v>5</v>
      </c>
      <c r="AZ55" s="18">
        <v>15</v>
      </c>
      <c r="BA55" s="15">
        <f t="shared" si="44"/>
        <v>640</v>
      </c>
      <c r="BB55" s="15">
        <f t="shared" si="45"/>
        <v>1920</v>
      </c>
      <c r="BC55" s="15">
        <f t="shared" si="46"/>
        <v>12960</v>
      </c>
    </row>
    <row r="56" spans="1:55" ht="16.5" x14ac:dyDescent="0.2">
      <c r="A56" s="56">
        <v>32</v>
      </c>
      <c r="B56" s="56">
        <f t="shared" si="33"/>
        <v>11</v>
      </c>
      <c r="C56" s="56">
        <f t="shared" si="34"/>
        <v>2</v>
      </c>
      <c r="D56" s="56">
        <v>240</v>
      </c>
      <c r="E56" s="56">
        <v>360</v>
      </c>
      <c r="F56" s="56" t="s">
        <v>472</v>
      </c>
      <c r="G56" s="56">
        <f t="shared" si="28"/>
        <v>21600</v>
      </c>
      <c r="H56" s="56" t="s">
        <v>476</v>
      </c>
      <c r="I56" s="56">
        <f>INT(INDEX(挂机升级突破!$I$8:$I$22,章节关卡!$B56)*章节关卡!E56/6)</f>
        <v>30</v>
      </c>
      <c r="J56" s="56" t="s">
        <v>478</v>
      </c>
      <c r="K56" s="56">
        <v>60</v>
      </c>
      <c r="M56" s="56">
        <f t="shared" si="29"/>
        <v>12</v>
      </c>
      <c r="N56" s="56">
        <f t="shared" si="30"/>
        <v>360</v>
      </c>
      <c r="O56" s="56">
        <f t="shared" si="31"/>
        <v>540</v>
      </c>
      <c r="P56" s="56" t="s">
        <v>472</v>
      </c>
      <c r="Q56" s="56">
        <f t="shared" si="32"/>
        <v>32400</v>
      </c>
      <c r="R56" s="56" t="s">
        <v>476</v>
      </c>
      <c r="S56" s="56">
        <f>INT(INDEX(挂机升级突破!$I$8:$I$22,章节关卡!$B56)*章节关卡!O56/6)</f>
        <v>45</v>
      </c>
      <c r="T56" s="56" t="s">
        <v>483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8">
        <v>52</v>
      </c>
      <c r="AQ56" s="26">
        <v>6</v>
      </c>
      <c r="AR56" s="18">
        <v>1</v>
      </c>
      <c r="AS56" s="15">
        <f t="shared" si="41"/>
        <v>400</v>
      </c>
      <c r="AT56" s="15">
        <f t="shared" si="42"/>
        <v>1200</v>
      </c>
      <c r="AU56" s="15">
        <f t="shared" si="43"/>
        <v>9000</v>
      </c>
      <c r="AX56" s="68">
        <v>49</v>
      </c>
      <c r="AY56" s="26">
        <v>6</v>
      </c>
      <c r="AZ56" s="18">
        <v>1</v>
      </c>
      <c r="BA56" s="15">
        <f t="shared" si="44"/>
        <v>800</v>
      </c>
      <c r="BB56" s="15">
        <f t="shared" si="45"/>
        <v>2400</v>
      </c>
      <c r="BC56" s="15">
        <f t="shared" si="46"/>
        <v>18000</v>
      </c>
    </row>
    <row r="57" spans="1:55" ht="16.5" x14ac:dyDescent="0.2">
      <c r="A57" s="56">
        <v>33</v>
      </c>
      <c r="B57" s="56">
        <f t="shared" si="33"/>
        <v>11</v>
      </c>
      <c r="C57" s="56">
        <f t="shared" si="34"/>
        <v>3</v>
      </c>
      <c r="D57" s="56">
        <v>360</v>
      </c>
      <c r="E57" s="56">
        <v>540</v>
      </c>
      <c r="F57" s="56" t="s">
        <v>472</v>
      </c>
      <c r="G57" s="56">
        <f t="shared" si="28"/>
        <v>32400</v>
      </c>
      <c r="H57" s="56" t="s">
        <v>476</v>
      </c>
      <c r="I57" s="56">
        <f>INT(INDEX(挂机升级突破!$I$8:$I$22,章节关卡!$B57)*章节关卡!E57/6)</f>
        <v>45</v>
      </c>
      <c r="J57" s="56" t="s">
        <v>483</v>
      </c>
      <c r="K57" s="56">
        <v>1</v>
      </c>
      <c r="M57" s="56">
        <f t="shared" si="29"/>
        <v>12</v>
      </c>
      <c r="N57" s="56">
        <f t="shared" si="30"/>
        <v>540</v>
      </c>
      <c r="O57" s="56">
        <f t="shared" si="31"/>
        <v>810</v>
      </c>
      <c r="P57" s="56" t="s">
        <v>472</v>
      </c>
      <c r="Q57" s="56">
        <f t="shared" si="32"/>
        <v>48600</v>
      </c>
      <c r="R57" s="56" t="s">
        <v>476</v>
      </c>
      <c r="S57" s="56">
        <f>INT(INDEX(挂机升级突破!$I$8:$I$22,章节关卡!$B57)*章节关卡!O57/6)</f>
        <v>67</v>
      </c>
      <c r="T57" s="56" t="s">
        <v>483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8">
        <v>53</v>
      </c>
      <c r="AQ57" s="26">
        <v>6</v>
      </c>
      <c r="AR57" s="18">
        <v>2</v>
      </c>
      <c r="AS57" s="15">
        <f t="shared" si="41"/>
        <v>400</v>
      </c>
      <c r="AT57" s="15">
        <f t="shared" si="42"/>
        <v>1200</v>
      </c>
      <c r="AU57" s="15">
        <f t="shared" si="43"/>
        <v>9000</v>
      </c>
      <c r="AX57" s="68">
        <v>50</v>
      </c>
      <c r="AY57" s="26">
        <v>6</v>
      </c>
      <c r="AZ57" s="18">
        <v>2</v>
      </c>
      <c r="BA57" s="15">
        <f t="shared" si="44"/>
        <v>800</v>
      </c>
      <c r="BB57" s="15">
        <f t="shared" si="45"/>
        <v>2400</v>
      </c>
      <c r="BC57" s="15">
        <f t="shared" si="46"/>
        <v>18000</v>
      </c>
    </row>
    <row r="58" spans="1:55" ht="16.5" x14ac:dyDescent="0.2">
      <c r="A58" s="56">
        <v>34</v>
      </c>
      <c r="B58" s="56">
        <f t="shared" si="33"/>
        <v>12</v>
      </c>
      <c r="C58" s="56">
        <f t="shared" si="34"/>
        <v>1</v>
      </c>
      <c r="D58" s="56">
        <v>120</v>
      </c>
      <c r="E58" s="56">
        <v>180</v>
      </c>
      <c r="F58" s="56" t="s">
        <v>472</v>
      </c>
      <c r="G58" s="56">
        <f t="shared" si="28"/>
        <v>13200</v>
      </c>
      <c r="H58" s="56" t="s">
        <v>476</v>
      </c>
      <c r="I58" s="56">
        <f>INT(INDEX(挂机升级突破!$I$8:$I$22,章节关卡!$B58)*章节关卡!E58/6)</f>
        <v>22</v>
      </c>
      <c r="J58" s="56" t="s">
        <v>478</v>
      </c>
      <c r="K58" s="56">
        <v>40</v>
      </c>
      <c r="M58" s="56">
        <f t="shared" si="29"/>
        <v>13</v>
      </c>
      <c r="N58" s="56">
        <f t="shared" si="30"/>
        <v>180</v>
      </c>
      <c r="O58" s="56">
        <f t="shared" si="31"/>
        <v>270</v>
      </c>
      <c r="P58" s="56" t="s">
        <v>472</v>
      </c>
      <c r="Q58" s="56">
        <f t="shared" si="32"/>
        <v>19800</v>
      </c>
      <c r="R58" s="56" t="s">
        <v>476</v>
      </c>
      <c r="S58" s="56">
        <f>INT(INDEX(挂机升级突破!$I$8:$I$22,章节关卡!$B58)*章节关卡!O58/6)</f>
        <v>33</v>
      </c>
      <c r="T58" s="56" t="s">
        <v>482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8">
        <v>54</v>
      </c>
      <c r="AQ58" s="26">
        <v>6</v>
      </c>
      <c r="AR58" s="18">
        <v>3</v>
      </c>
      <c r="AS58" s="15">
        <f t="shared" si="41"/>
        <v>400</v>
      </c>
      <c r="AT58" s="15">
        <f t="shared" si="42"/>
        <v>1200</v>
      </c>
      <c r="AU58" s="15">
        <f t="shared" si="43"/>
        <v>9000</v>
      </c>
      <c r="AX58" s="68">
        <v>51</v>
      </c>
      <c r="AY58" s="26">
        <v>6</v>
      </c>
      <c r="AZ58" s="18">
        <v>3</v>
      </c>
      <c r="BA58" s="15">
        <f t="shared" si="44"/>
        <v>800</v>
      </c>
      <c r="BB58" s="15">
        <f t="shared" si="45"/>
        <v>2400</v>
      </c>
      <c r="BC58" s="15">
        <f t="shared" si="46"/>
        <v>18000</v>
      </c>
    </row>
    <row r="59" spans="1:55" ht="16.5" x14ac:dyDescent="0.2">
      <c r="A59" s="56">
        <v>35</v>
      </c>
      <c r="B59" s="56">
        <f t="shared" si="33"/>
        <v>12</v>
      </c>
      <c r="C59" s="56">
        <f t="shared" si="34"/>
        <v>2</v>
      </c>
      <c r="D59" s="56">
        <v>240</v>
      </c>
      <c r="E59" s="56">
        <v>360</v>
      </c>
      <c r="F59" s="56" t="s">
        <v>472</v>
      </c>
      <c r="G59" s="56">
        <f t="shared" si="28"/>
        <v>26400</v>
      </c>
      <c r="H59" s="56" t="s">
        <v>476</v>
      </c>
      <c r="I59" s="56">
        <f>INT(INDEX(挂机升级突破!$I$8:$I$22,章节关卡!$B59)*章节关卡!E59/6)</f>
        <v>45</v>
      </c>
      <c r="J59" s="56" t="s">
        <v>478</v>
      </c>
      <c r="K59" s="56">
        <v>60</v>
      </c>
      <c r="M59" s="56">
        <f t="shared" si="29"/>
        <v>13</v>
      </c>
      <c r="N59" s="56">
        <f t="shared" si="30"/>
        <v>360</v>
      </c>
      <c r="O59" s="56">
        <f t="shared" si="31"/>
        <v>540</v>
      </c>
      <c r="P59" s="56" t="s">
        <v>472</v>
      </c>
      <c r="Q59" s="56">
        <f t="shared" si="32"/>
        <v>39600</v>
      </c>
      <c r="R59" s="56" t="s">
        <v>476</v>
      </c>
      <c r="S59" s="56">
        <f>INT(INDEX(挂机升级突破!$I$8:$I$22,章节关卡!$B59)*章节关卡!O59/6)</f>
        <v>67</v>
      </c>
      <c r="T59" s="56" t="s">
        <v>483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8">
        <v>55</v>
      </c>
      <c r="AQ59" s="26">
        <v>6</v>
      </c>
      <c r="AR59" s="18">
        <v>4</v>
      </c>
      <c r="AS59" s="15">
        <f t="shared" si="41"/>
        <v>400</v>
      </c>
      <c r="AT59" s="15">
        <f t="shared" si="42"/>
        <v>1200</v>
      </c>
      <c r="AU59" s="15">
        <f t="shared" si="43"/>
        <v>9000</v>
      </c>
      <c r="AX59" s="68">
        <v>52</v>
      </c>
      <c r="AY59" s="26">
        <v>6</v>
      </c>
      <c r="AZ59" s="18">
        <v>4</v>
      </c>
      <c r="BA59" s="15">
        <f t="shared" si="44"/>
        <v>800</v>
      </c>
      <c r="BB59" s="15">
        <f t="shared" si="45"/>
        <v>2400</v>
      </c>
      <c r="BC59" s="15">
        <f t="shared" si="46"/>
        <v>18000</v>
      </c>
    </row>
    <row r="60" spans="1:55" ht="16.5" x14ac:dyDescent="0.2">
      <c r="A60" s="56">
        <v>36</v>
      </c>
      <c r="B60" s="56">
        <f t="shared" si="33"/>
        <v>12</v>
      </c>
      <c r="C60" s="56">
        <f t="shared" si="34"/>
        <v>3</v>
      </c>
      <c r="D60" s="56">
        <v>360</v>
      </c>
      <c r="E60" s="56">
        <v>540</v>
      </c>
      <c r="F60" s="56" t="s">
        <v>472</v>
      </c>
      <c r="G60" s="56">
        <f t="shared" si="28"/>
        <v>39600</v>
      </c>
      <c r="H60" s="56" t="s">
        <v>476</v>
      </c>
      <c r="I60" s="56">
        <f>INT(INDEX(挂机升级突破!$I$8:$I$22,章节关卡!$B60)*章节关卡!E60/6)</f>
        <v>67</v>
      </c>
      <c r="J60" s="56" t="s">
        <v>483</v>
      </c>
      <c r="K60" s="56">
        <v>1</v>
      </c>
      <c r="M60" s="56">
        <f t="shared" si="29"/>
        <v>13</v>
      </c>
      <c r="N60" s="56">
        <f t="shared" si="30"/>
        <v>540</v>
      </c>
      <c r="O60" s="56">
        <f t="shared" si="31"/>
        <v>810</v>
      </c>
      <c r="P60" s="56" t="s">
        <v>472</v>
      </c>
      <c r="Q60" s="56">
        <f t="shared" si="32"/>
        <v>59400</v>
      </c>
      <c r="R60" s="56" t="s">
        <v>476</v>
      </c>
      <c r="S60" s="56">
        <f>INT(INDEX(挂机升级突破!$I$8:$I$22,章节关卡!$B60)*章节关卡!O60/6)</f>
        <v>101</v>
      </c>
      <c r="T60" s="56" t="s">
        <v>483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8">
        <v>56</v>
      </c>
      <c r="AQ60" s="26">
        <v>6</v>
      </c>
      <c r="AR60" s="18">
        <v>5</v>
      </c>
      <c r="AS60" s="15">
        <f t="shared" si="41"/>
        <v>400</v>
      </c>
      <c r="AT60" s="15">
        <f t="shared" si="42"/>
        <v>1200</v>
      </c>
      <c r="AU60" s="15">
        <f t="shared" si="43"/>
        <v>9000</v>
      </c>
      <c r="AX60" s="68">
        <v>53</v>
      </c>
      <c r="AY60" s="26">
        <v>6</v>
      </c>
      <c r="AZ60" s="18">
        <v>5</v>
      </c>
      <c r="BA60" s="15">
        <f t="shared" si="44"/>
        <v>800</v>
      </c>
      <c r="BB60" s="15">
        <f t="shared" si="45"/>
        <v>2400</v>
      </c>
      <c r="BC60" s="15">
        <f t="shared" si="46"/>
        <v>18000</v>
      </c>
    </row>
    <row r="61" spans="1:55" ht="16.5" x14ac:dyDescent="0.2">
      <c r="A61" s="56">
        <v>37</v>
      </c>
      <c r="B61" s="56">
        <f t="shared" si="33"/>
        <v>13</v>
      </c>
      <c r="C61" s="56">
        <f t="shared" si="34"/>
        <v>1</v>
      </c>
      <c r="D61" s="56">
        <v>120</v>
      </c>
      <c r="E61" s="56">
        <v>180</v>
      </c>
      <c r="F61" s="56" t="s">
        <v>472</v>
      </c>
      <c r="G61" s="56">
        <f t="shared" si="28"/>
        <v>15600</v>
      </c>
      <c r="H61" s="56" t="s">
        <v>477</v>
      </c>
      <c r="I61" s="56">
        <f>INT(INDEX(挂机升级突破!$J$8:$J$22,章节关卡!$B61)*章节关卡!E61/6)</f>
        <v>7</v>
      </c>
      <c r="J61" s="56" t="s">
        <v>478</v>
      </c>
      <c r="K61" s="56">
        <v>40</v>
      </c>
      <c r="M61" s="56">
        <f t="shared" si="29"/>
        <v>14</v>
      </c>
      <c r="N61" s="56">
        <f t="shared" si="30"/>
        <v>180</v>
      </c>
      <c r="O61" s="56">
        <f t="shared" si="31"/>
        <v>270</v>
      </c>
      <c r="P61" s="56" t="s">
        <v>472</v>
      </c>
      <c r="Q61" s="56">
        <f t="shared" si="32"/>
        <v>23400</v>
      </c>
      <c r="R61" s="56" t="s">
        <v>477</v>
      </c>
      <c r="S61" s="56">
        <f>INT(INDEX(挂机升级突破!$J$8:$J$22,章节关卡!$B61)*章节关卡!O61/6)</f>
        <v>11</v>
      </c>
      <c r="T61" s="56" t="s">
        <v>482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8">
        <v>57</v>
      </c>
      <c r="AQ61" s="26">
        <v>6</v>
      </c>
      <c r="AR61" s="18">
        <v>6</v>
      </c>
      <c r="AS61" s="15">
        <f t="shared" si="41"/>
        <v>400</v>
      </c>
      <c r="AT61" s="15">
        <f t="shared" si="42"/>
        <v>1200</v>
      </c>
      <c r="AU61" s="15">
        <f t="shared" si="43"/>
        <v>9000</v>
      </c>
      <c r="AX61" s="68">
        <v>54</v>
      </c>
      <c r="AY61" s="26">
        <v>6</v>
      </c>
      <c r="AZ61" s="18">
        <v>6</v>
      </c>
      <c r="BA61" s="15">
        <f t="shared" si="44"/>
        <v>800</v>
      </c>
      <c r="BB61" s="15">
        <f t="shared" si="45"/>
        <v>2400</v>
      </c>
      <c r="BC61" s="15">
        <f t="shared" si="46"/>
        <v>18000</v>
      </c>
    </row>
    <row r="62" spans="1:55" ht="16.5" x14ac:dyDescent="0.2">
      <c r="A62" s="56">
        <v>38</v>
      </c>
      <c r="B62" s="56">
        <f t="shared" si="33"/>
        <v>13</v>
      </c>
      <c r="C62" s="56">
        <f t="shared" si="34"/>
        <v>2</v>
      </c>
      <c r="D62" s="56">
        <v>240</v>
      </c>
      <c r="E62" s="56">
        <v>360</v>
      </c>
      <c r="F62" s="56" t="s">
        <v>472</v>
      </c>
      <c r="G62" s="56">
        <f t="shared" si="28"/>
        <v>31200</v>
      </c>
      <c r="H62" s="56" t="s">
        <v>477</v>
      </c>
      <c r="I62" s="56">
        <f>INT(INDEX(挂机升级突破!$J$8:$J$22,章节关卡!$B62)*章节关卡!E62/6)</f>
        <v>15</v>
      </c>
      <c r="J62" s="56" t="s">
        <v>478</v>
      </c>
      <c r="K62" s="56">
        <v>60</v>
      </c>
      <c r="M62" s="56">
        <f t="shared" si="29"/>
        <v>14</v>
      </c>
      <c r="N62" s="56">
        <f t="shared" si="30"/>
        <v>360</v>
      </c>
      <c r="O62" s="56">
        <f t="shared" si="31"/>
        <v>540</v>
      </c>
      <c r="P62" s="56" t="s">
        <v>472</v>
      </c>
      <c r="Q62" s="56">
        <f t="shared" si="32"/>
        <v>46800</v>
      </c>
      <c r="R62" s="56" t="s">
        <v>477</v>
      </c>
      <c r="S62" s="56">
        <f>INT(INDEX(挂机升级突破!$J$8:$J$22,章节关卡!$B62)*章节关卡!O62/6)</f>
        <v>22</v>
      </c>
      <c r="T62" s="56" t="s">
        <v>483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8">
        <v>58</v>
      </c>
      <c r="AQ62" s="26">
        <v>6</v>
      </c>
      <c r="AR62" s="18">
        <v>7</v>
      </c>
      <c r="AS62" s="15">
        <f t="shared" si="41"/>
        <v>400</v>
      </c>
      <c r="AT62" s="15">
        <f t="shared" si="42"/>
        <v>1200</v>
      </c>
      <c r="AU62" s="15">
        <f t="shared" si="43"/>
        <v>9000</v>
      </c>
      <c r="AX62" s="68">
        <v>55</v>
      </c>
      <c r="AY62" s="26">
        <v>6</v>
      </c>
      <c r="AZ62" s="18">
        <v>7</v>
      </c>
      <c r="BA62" s="15">
        <f t="shared" si="44"/>
        <v>800</v>
      </c>
      <c r="BB62" s="15">
        <f t="shared" si="45"/>
        <v>2400</v>
      </c>
      <c r="BC62" s="15">
        <f t="shared" si="46"/>
        <v>18000</v>
      </c>
    </row>
    <row r="63" spans="1:55" ht="16.5" x14ac:dyDescent="0.2">
      <c r="A63" s="56">
        <v>39</v>
      </c>
      <c r="B63" s="56">
        <f t="shared" si="33"/>
        <v>13</v>
      </c>
      <c r="C63" s="56">
        <f t="shared" si="34"/>
        <v>3</v>
      </c>
      <c r="D63" s="56">
        <v>360</v>
      </c>
      <c r="E63" s="56">
        <v>540</v>
      </c>
      <c r="F63" s="56" t="s">
        <v>472</v>
      </c>
      <c r="G63" s="56">
        <f t="shared" si="28"/>
        <v>46800</v>
      </c>
      <c r="H63" s="56" t="s">
        <v>477</v>
      </c>
      <c r="I63" s="56">
        <f>INT(INDEX(挂机升级突破!$J$8:$J$22,章节关卡!$B63)*章节关卡!E63/6)</f>
        <v>22</v>
      </c>
      <c r="J63" s="56" t="s">
        <v>483</v>
      </c>
      <c r="K63" s="56">
        <v>1</v>
      </c>
      <c r="M63" s="56">
        <f t="shared" si="29"/>
        <v>14</v>
      </c>
      <c r="N63" s="56">
        <f t="shared" si="30"/>
        <v>540</v>
      </c>
      <c r="O63" s="56">
        <f t="shared" si="31"/>
        <v>810</v>
      </c>
      <c r="P63" s="56" t="s">
        <v>472</v>
      </c>
      <c r="Q63" s="56">
        <f t="shared" si="32"/>
        <v>70200</v>
      </c>
      <c r="R63" s="56" t="s">
        <v>477</v>
      </c>
      <c r="S63" s="56">
        <f>INT(INDEX(挂机升级突破!$J$8:$J$22,章节关卡!$B63)*章节关卡!O63/6)</f>
        <v>33</v>
      </c>
      <c r="T63" s="56" t="s">
        <v>483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8">
        <v>59</v>
      </c>
      <c r="AQ63" s="26">
        <v>6</v>
      </c>
      <c r="AR63" s="18">
        <v>8</v>
      </c>
      <c r="AS63" s="15">
        <f t="shared" si="41"/>
        <v>400</v>
      </c>
      <c r="AT63" s="15">
        <f t="shared" si="42"/>
        <v>1200</v>
      </c>
      <c r="AU63" s="15">
        <f t="shared" si="43"/>
        <v>9000</v>
      </c>
      <c r="AX63" s="68">
        <v>56</v>
      </c>
      <c r="AY63" s="26">
        <v>6</v>
      </c>
      <c r="AZ63" s="18">
        <v>8</v>
      </c>
      <c r="BA63" s="15">
        <f t="shared" si="44"/>
        <v>800</v>
      </c>
      <c r="BB63" s="15">
        <f t="shared" si="45"/>
        <v>2400</v>
      </c>
      <c r="BC63" s="15">
        <f t="shared" si="46"/>
        <v>18000</v>
      </c>
    </row>
    <row r="64" spans="1:55" ht="16.5" x14ac:dyDescent="0.2">
      <c r="A64" s="56">
        <v>40</v>
      </c>
      <c r="B64" s="56">
        <f t="shared" si="33"/>
        <v>14</v>
      </c>
      <c r="C64" s="56">
        <f t="shared" si="34"/>
        <v>1</v>
      </c>
      <c r="D64" s="56">
        <v>120</v>
      </c>
      <c r="E64" s="56">
        <v>180</v>
      </c>
      <c r="F64" s="56" t="s">
        <v>472</v>
      </c>
      <c r="G64" s="56">
        <f t="shared" si="28"/>
        <v>18000</v>
      </c>
      <c r="H64" s="56" t="s">
        <v>477</v>
      </c>
      <c r="I64" s="56">
        <f>INT(INDEX(挂机升级突破!$J$8:$J$22,章节关卡!$B64)*章节关卡!E64/6)</f>
        <v>15</v>
      </c>
      <c r="J64" s="56" t="s">
        <v>478</v>
      </c>
      <c r="K64" s="56">
        <v>40</v>
      </c>
      <c r="M64" s="56">
        <f t="shared" si="29"/>
        <v>15</v>
      </c>
      <c r="N64" s="56">
        <f t="shared" si="30"/>
        <v>180</v>
      </c>
      <c r="O64" s="56">
        <f t="shared" si="31"/>
        <v>270</v>
      </c>
      <c r="P64" s="56" t="s">
        <v>472</v>
      </c>
      <c r="Q64" s="56">
        <f t="shared" si="32"/>
        <v>27000</v>
      </c>
      <c r="R64" s="56" t="s">
        <v>477</v>
      </c>
      <c r="S64" s="56">
        <f>INT(INDEX(挂机升级突破!$J$8:$J$22,章节关卡!$B64)*章节关卡!O64/6)</f>
        <v>22</v>
      </c>
      <c r="T64" s="56" t="s">
        <v>482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8">
        <v>60</v>
      </c>
      <c r="AQ64" s="26">
        <v>6</v>
      </c>
      <c r="AR64" s="18">
        <v>9</v>
      </c>
      <c r="AS64" s="15">
        <f t="shared" ref="AS64:AS95" si="47">INDEX($N$6:$N$20,AQ64)</f>
        <v>400</v>
      </c>
      <c r="AT64" s="15">
        <f t="shared" ref="AT64:AT95" si="48">INDEX($P$6:$P$20,AQ64)</f>
        <v>1200</v>
      </c>
      <c r="AU64" s="15">
        <f t="shared" ref="AU64:AU95" si="49">INDEX($R$6:$R$20,AQ64)</f>
        <v>9000</v>
      </c>
      <c r="AX64" s="68">
        <v>57</v>
      </c>
      <c r="AY64" s="26">
        <v>6</v>
      </c>
      <c r="AZ64" s="18">
        <v>9</v>
      </c>
      <c r="BA64" s="15">
        <f t="shared" si="44"/>
        <v>800</v>
      </c>
      <c r="BB64" s="15">
        <f t="shared" si="45"/>
        <v>2400</v>
      </c>
      <c r="BC64" s="15">
        <f t="shared" si="46"/>
        <v>18000</v>
      </c>
    </row>
    <row r="65" spans="1:55" ht="16.5" x14ac:dyDescent="0.2">
      <c r="A65" s="56">
        <v>41</v>
      </c>
      <c r="B65" s="56">
        <f t="shared" si="33"/>
        <v>14</v>
      </c>
      <c r="C65" s="56">
        <f t="shared" si="34"/>
        <v>2</v>
      </c>
      <c r="D65" s="56">
        <v>240</v>
      </c>
      <c r="E65" s="56">
        <v>360</v>
      </c>
      <c r="F65" s="56" t="s">
        <v>472</v>
      </c>
      <c r="G65" s="56">
        <f t="shared" si="28"/>
        <v>36000</v>
      </c>
      <c r="H65" s="56" t="s">
        <v>477</v>
      </c>
      <c r="I65" s="56">
        <f>INT(INDEX(挂机升级突破!$J$8:$J$22,章节关卡!$B65)*章节关卡!E65/6)</f>
        <v>30</v>
      </c>
      <c r="J65" s="56" t="s">
        <v>478</v>
      </c>
      <c r="K65" s="56">
        <v>60</v>
      </c>
      <c r="M65" s="56">
        <f t="shared" si="29"/>
        <v>15</v>
      </c>
      <c r="N65" s="56">
        <f t="shared" si="30"/>
        <v>360</v>
      </c>
      <c r="O65" s="56">
        <f t="shared" si="31"/>
        <v>540</v>
      </c>
      <c r="P65" s="56" t="s">
        <v>472</v>
      </c>
      <c r="Q65" s="56">
        <f t="shared" si="32"/>
        <v>54000</v>
      </c>
      <c r="R65" s="56" t="s">
        <v>477</v>
      </c>
      <c r="S65" s="56">
        <f>INT(INDEX(挂机升级突破!$J$8:$J$22,章节关卡!$B65)*章节关卡!O65/6)</f>
        <v>45</v>
      </c>
      <c r="T65" s="56" t="s">
        <v>483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8">
        <v>61</v>
      </c>
      <c r="AQ65" s="26">
        <v>6</v>
      </c>
      <c r="AR65" s="18">
        <v>10</v>
      </c>
      <c r="AS65" s="15">
        <f t="shared" si="47"/>
        <v>400</v>
      </c>
      <c r="AT65" s="15">
        <f t="shared" si="48"/>
        <v>1200</v>
      </c>
      <c r="AU65" s="15">
        <f t="shared" si="49"/>
        <v>9000</v>
      </c>
      <c r="AX65" s="68">
        <v>58</v>
      </c>
      <c r="AY65" s="26">
        <v>6</v>
      </c>
      <c r="AZ65" s="18">
        <v>10</v>
      </c>
      <c r="BA65" s="15">
        <f t="shared" si="44"/>
        <v>800</v>
      </c>
      <c r="BB65" s="15">
        <f t="shared" si="45"/>
        <v>2400</v>
      </c>
      <c r="BC65" s="15">
        <f t="shared" si="46"/>
        <v>18000</v>
      </c>
    </row>
    <row r="66" spans="1:55" ht="16.5" x14ac:dyDescent="0.2">
      <c r="A66" s="56">
        <v>42</v>
      </c>
      <c r="B66" s="56">
        <f t="shared" si="33"/>
        <v>14</v>
      </c>
      <c r="C66" s="56">
        <f t="shared" si="34"/>
        <v>3</v>
      </c>
      <c r="D66" s="56">
        <v>360</v>
      </c>
      <c r="E66" s="56">
        <v>540</v>
      </c>
      <c r="F66" s="56" t="s">
        <v>472</v>
      </c>
      <c r="G66" s="56">
        <f t="shared" si="28"/>
        <v>54000</v>
      </c>
      <c r="H66" s="56" t="s">
        <v>477</v>
      </c>
      <c r="I66" s="56">
        <f>INT(INDEX(挂机升级突破!$J$8:$J$22,章节关卡!$B66)*章节关卡!E66/6)</f>
        <v>45</v>
      </c>
      <c r="J66" s="56" t="s">
        <v>483</v>
      </c>
      <c r="K66" s="56">
        <v>1</v>
      </c>
      <c r="M66" s="56">
        <f t="shared" si="29"/>
        <v>15</v>
      </c>
      <c r="N66" s="56">
        <f t="shared" si="30"/>
        <v>540</v>
      </c>
      <c r="O66" s="56">
        <f t="shared" si="31"/>
        <v>810</v>
      </c>
      <c r="P66" s="56" t="s">
        <v>472</v>
      </c>
      <c r="Q66" s="56">
        <f t="shared" si="32"/>
        <v>81000</v>
      </c>
      <c r="R66" s="56" t="s">
        <v>477</v>
      </c>
      <c r="S66" s="56">
        <f>INT(INDEX(挂机升级突破!$J$8:$J$22,章节关卡!$B66)*章节关卡!O66/6)</f>
        <v>67</v>
      </c>
      <c r="T66" s="56" t="s">
        <v>483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8">
        <v>62</v>
      </c>
      <c r="AQ66" s="26">
        <v>6</v>
      </c>
      <c r="AR66" s="18">
        <v>11</v>
      </c>
      <c r="AS66" s="15">
        <f t="shared" si="47"/>
        <v>400</v>
      </c>
      <c r="AT66" s="15">
        <f t="shared" si="48"/>
        <v>1200</v>
      </c>
      <c r="AU66" s="15">
        <f t="shared" si="49"/>
        <v>9000</v>
      </c>
      <c r="AX66" s="68">
        <v>59</v>
      </c>
      <c r="AY66" s="26">
        <v>6</v>
      </c>
      <c r="AZ66" s="18">
        <v>11</v>
      </c>
      <c r="BA66" s="15">
        <f t="shared" si="44"/>
        <v>800</v>
      </c>
      <c r="BB66" s="15">
        <f t="shared" si="45"/>
        <v>2400</v>
      </c>
      <c r="BC66" s="15">
        <f t="shared" si="46"/>
        <v>18000</v>
      </c>
    </row>
    <row r="67" spans="1:55" ht="16.5" x14ac:dyDescent="0.2">
      <c r="A67" s="56">
        <v>43</v>
      </c>
      <c r="B67" s="56">
        <f t="shared" si="33"/>
        <v>15</v>
      </c>
      <c r="C67" s="56">
        <f t="shared" si="34"/>
        <v>1</v>
      </c>
      <c r="D67" s="56">
        <v>120</v>
      </c>
      <c r="E67" s="56">
        <v>180</v>
      </c>
      <c r="F67" s="56" t="s">
        <v>472</v>
      </c>
      <c r="G67" s="56">
        <f t="shared" si="28"/>
        <v>21000</v>
      </c>
      <c r="H67" s="56" t="s">
        <v>477</v>
      </c>
      <c r="I67" s="56">
        <f>INT(INDEX(挂机升级突破!$J$8:$J$22,章节关卡!$B67)*章节关卡!E67/6)</f>
        <v>30</v>
      </c>
      <c r="J67" s="56" t="s">
        <v>478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472</v>
      </c>
      <c r="Q67" s="56">
        <f t="shared" si="32"/>
        <v>47250</v>
      </c>
      <c r="R67" s="56" t="s">
        <v>477</v>
      </c>
      <c r="S67" s="56">
        <f>INT(INDEX(挂机升级突破!$J$8:$J$22,章节关卡!$B67)*章节关卡!O67/6)</f>
        <v>45</v>
      </c>
      <c r="T67" s="56" t="s">
        <v>482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8">
        <v>63</v>
      </c>
      <c r="AQ67" s="26">
        <v>6</v>
      </c>
      <c r="AR67" s="18">
        <v>12</v>
      </c>
      <c r="AS67" s="15">
        <f t="shared" si="47"/>
        <v>400</v>
      </c>
      <c r="AT67" s="15">
        <f t="shared" si="48"/>
        <v>1200</v>
      </c>
      <c r="AU67" s="15">
        <f t="shared" si="49"/>
        <v>9000</v>
      </c>
      <c r="AX67" s="68">
        <v>60</v>
      </c>
      <c r="AY67" s="26">
        <v>6</v>
      </c>
      <c r="AZ67" s="18">
        <v>12</v>
      </c>
      <c r="BA67" s="15">
        <f t="shared" si="44"/>
        <v>800</v>
      </c>
      <c r="BB67" s="15">
        <f t="shared" si="45"/>
        <v>2400</v>
      </c>
      <c r="BC67" s="15">
        <f t="shared" si="46"/>
        <v>18000</v>
      </c>
    </row>
    <row r="68" spans="1:55" ht="16.5" x14ac:dyDescent="0.2">
      <c r="A68" s="56">
        <v>44</v>
      </c>
      <c r="B68" s="56">
        <f t="shared" si="33"/>
        <v>15</v>
      </c>
      <c r="C68" s="56">
        <f t="shared" si="34"/>
        <v>2</v>
      </c>
      <c r="D68" s="56">
        <v>240</v>
      </c>
      <c r="E68" s="56">
        <v>360</v>
      </c>
      <c r="F68" s="56" t="s">
        <v>472</v>
      </c>
      <c r="G68" s="56">
        <f t="shared" si="28"/>
        <v>42000</v>
      </c>
      <c r="H68" s="56" t="s">
        <v>477</v>
      </c>
      <c r="I68" s="56">
        <f>INT(INDEX(挂机升级突破!$J$8:$J$22,章节关卡!$B68)*章节关卡!E68/6)</f>
        <v>60</v>
      </c>
      <c r="J68" s="56" t="s">
        <v>478</v>
      </c>
      <c r="K68" s="56">
        <v>60</v>
      </c>
      <c r="M68" s="56">
        <v>15</v>
      </c>
      <c r="N68" s="56">
        <f t="shared" ref="N68:N69" si="50">N65*1.5</f>
        <v>540</v>
      </c>
      <c r="O68" s="56">
        <f>E68*N$22</f>
        <v>540</v>
      </c>
      <c r="P68" s="56" t="s">
        <v>472</v>
      </c>
      <c r="Q68" s="56">
        <f t="shared" si="32"/>
        <v>94500</v>
      </c>
      <c r="R68" s="56" t="s">
        <v>477</v>
      </c>
      <c r="S68" s="56">
        <f>INT(INDEX(挂机升级突破!$J$8:$J$22,章节关卡!$B68)*章节关卡!O68/6)</f>
        <v>90</v>
      </c>
      <c r="T68" s="56" t="s">
        <v>483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8">
        <v>64</v>
      </c>
      <c r="AQ68" s="26">
        <v>6</v>
      </c>
      <c r="AR68" s="18">
        <v>13</v>
      </c>
      <c r="AS68" s="15">
        <f t="shared" si="47"/>
        <v>400</v>
      </c>
      <c r="AT68" s="15">
        <f t="shared" si="48"/>
        <v>1200</v>
      </c>
      <c r="AU68" s="15">
        <f t="shared" si="49"/>
        <v>9000</v>
      </c>
      <c r="AX68" s="68">
        <v>61</v>
      </c>
      <c r="AY68" s="26">
        <v>6</v>
      </c>
      <c r="AZ68" s="18">
        <v>13</v>
      </c>
      <c r="BA68" s="15">
        <f t="shared" si="44"/>
        <v>800</v>
      </c>
      <c r="BB68" s="15">
        <f t="shared" si="45"/>
        <v>2400</v>
      </c>
      <c r="BC68" s="15">
        <f t="shared" si="46"/>
        <v>18000</v>
      </c>
    </row>
    <row r="69" spans="1:55" ht="16.5" x14ac:dyDescent="0.2">
      <c r="A69" s="56">
        <v>45</v>
      </c>
      <c r="B69" s="56">
        <f t="shared" si="33"/>
        <v>15</v>
      </c>
      <c r="C69" s="56">
        <f t="shared" si="34"/>
        <v>3</v>
      </c>
      <c r="D69" s="56">
        <v>360</v>
      </c>
      <c r="E69" s="56">
        <v>540</v>
      </c>
      <c r="F69" s="56" t="s">
        <v>472</v>
      </c>
      <c r="G69" s="56">
        <f t="shared" si="28"/>
        <v>63000</v>
      </c>
      <c r="H69" s="56" t="s">
        <v>477</v>
      </c>
      <c r="I69" s="56">
        <f>INT(INDEX(挂机升级突破!$J$8:$J$22,章节关卡!$B69)*章节关卡!E69/6)</f>
        <v>90</v>
      </c>
      <c r="J69" s="56" t="s">
        <v>483</v>
      </c>
      <c r="K69" s="56">
        <v>1</v>
      </c>
      <c r="M69" s="56">
        <v>15</v>
      </c>
      <c r="N69" s="56">
        <f t="shared" si="50"/>
        <v>810</v>
      </c>
      <c r="O69" s="56">
        <f>E69*N$22</f>
        <v>810</v>
      </c>
      <c r="P69" s="56" t="s">
        <v>472</v>
      </c>
      <c r="Q69" s="56">
        <f t="shared" si="32"/>
        <v>141750</v>
      </c>
      <c r="R69" s="56" t="s">
        <v>477</v>
      </c>
      <c r="S69" s="56">
        <f>INT(INDEX(挂机升级突破!$J$8:$J$22,章节关卡!$B69)*章节关卡!O69/6)</f>
        <v>135</v>
      </c>
      <c r="T69" s="56" t="s">
        <v>483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51">INDEX($C$6:$C$20,AI69)</f>
        <v>20</v>
      </c>
      <c r="AL69" s="26">
        <f t="shared" ref="AL69:AL132" si="52">INT(INDEX($E$5:$E$20,AI69)+AJ69*INDEX($F$6:$F$20,AI69))</f>
        <v>36</v>
      </c>
      <c r="AM69" s="26">
        <f t="shared" si="4"/>
        <v>173</v>
      </c>
      <c r="AP69" s="68">
        <v>65</v>
      </c>
      <c r="AQ69" s="26">
        <v>6</v>
      </c>
      <c r="AR69" s="18">
        <v>14</v>
      </c>
      <c r="AS69" s="15">
        <f t="shared" si="47"/>
        <v>400</v>
      </c>
      <c r="AT69" s="15">
        <f t="shared" si="48"/>
        <v>1200</v>
      </c>
      <c r="AU69" s="15">
        <f t="shared" si="49"/>
        <v>9000</v>
      </c>
      <c r="AX69" s="68">
        <v>62</v>
      </c>
      <c r="AY69" s="26">
        <v>6</v>
      </c>
      <c r="AZ69" s="18">
        <v>14</v>
      </c>
      <c r="BA69" s="15">
        <f t="shared" si="44"/>
        <v>800</v>
      </c>
      <c r="BB69" s="15">
        <f t="shared" si="45"/>
        <v>2400</v>
      </c>
      <c r="BC69" s="15">
        <f t="shared" si="46"/>
        <v>18000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1"/>
        <v>20</v>
      </c>
      <c r="AL70" s="26">
        <f t="shared" si="52"/>
        <v>36</v>
      </c>
      <c r="AM70" s="26">
        <f t="shared" ref="AM70:AM133" si="53">INT(INDEX($H$5:$H$20,AI70)+AJ70*INDEX($I$6:$I$20,AI70))</f>
        <v>177</v>
      </c>
      <c r="AP70" s="68">
        <v>66</v>
      </c>
      <c r="AQ70" s="26">
        <v>6</v>
      </c>
      <c r="AR70" s="18">
        <v>15</v>
      </c>
      <c r="AS70" s="15">
        <f t="shared" si="47"/>
        <v>400</v>
      </c>
      <c r="AT70" s="15">
        <f t="shared" si="48"/>
        <v>1200</v>
      </c>
      <c r="AU70" s="15">
        <f t="shared" si="49"/>
        <v>9000</v>
      </c>
      <c r="AX70" s="68">
        <v>63</v>
      </c>
      <c r="AY70" s="26">
        <v>6</v>
      </c>
      <c r="AZ70" s="18">
        <v>15</v>
      </c>
      <c r="BA70" s="15">
        <f t="shared" si="44"/>
        <v>800</v>
      </c>
      <c r="BB70" s="15">
        <f t="shared" si="45"/>
        <v>2400</v>
      </c>
      <c r="BC70" s="15">
        <f t="shared" si="46"/>
        <v>18000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1"/>
        <v>20</v>
      </c>
      <c r="AL71" s="26">
        <f t="shared" si="52"/>
        <v>37</v>
      </c>
      <c r="AM71" s="26">
        <f t="shared" si="53"/>
        <v>181</v>
      </c>
      <c r="AP71" s="68">
        <v>67</v>
      </c>
      <c r="AQ71" s="26">
        <v>7</v>
      </c>
      <c r="AR71" s="18">
        <v>1</v>
      </c>
      <c r="AS71" s="15">
        <f t="shared" si="47"/>
        <v>500</v>
      </c>
      <c r="AT71" s="15">
        <f t="shared" si="48"/>
        <v>1500</v>
      </c>
      <c r="AU71" s="15">
        <f t="shared" si="49"/>
        <v>12375</v>
      </c>
      <c r="AX71" s="68">
        <v>64</v>
      </c>
      <c r="AY71" s="26">
        <v>7</v>
      </c>
      <c r="AZ71" s="18">
        <v>1</v>
      </c>
      <c r="BA71" s="15">
        <f t="shared" si="44"/>
        <v>1000</v>
      </c>
      <c r="BB71" s="15">
        <f t="shared" si="45"/>
        <v>3000</v>
      </c>
      <c r="BC71" s="15">
        <f t="shared" si="4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1"/>
        <v>20</v>
      </c>
      <c r="AL72" s="26">
        <f t="shared" si="52"/>
        <v>37</v>
      </c>
      <c r="AM72" s="26">
        <f t="shared" si="53"/>
        <v>185</v>
      </c>
      <c r="AP72" s="68">
        <v>68</v>
      </c>
      <c r="AQ72" s="26">
        <v>7</v>
      </c>
      <c r="AR72" s="18">
        <v>2</v>
      </c>
      <c r="AS72" s="15">
        <f t="shared" si="47"/>
        <v>500</v>
      </c>
      <c r="AT72" s="15">
        <f t="shared" si="48"/>
        <v>1500</v>
      </c>
      <c r="AU72" s="15">
        <f t="shared" si="49"/>
        <v>12375</v>
      </c>
      <c r="AX72" s="68">
        <v>65</v>
      </c>
      <c r="AY72" s="26">
        <v>7</v>
      </c>
      <c r="AZ72" s="18">
        <v>2</v>
      </c>
      <c r="BA72" s="15">
        <f t="shared" si="44"/>
        <v>1000</v>
      </c>
      <c r="BB72" s="15">
        <f t="shared" si="45"/>
        <v>3000</v>
      </c>
      <c r="BC72" s="15">
        <f t="shared" si="4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1"/>
        <v>20</v>
      </c>
      <c r="AL73" s="26">
        <f t="shared" si="52"/>
        <v>38</v>
      </c>
      <c r="AM73" s="26">
        <f t="shared" si="53"/>
        <v>188</v>
      </c>
      <c r="AP73" s="68">
        <v>69</v>
      </c>
      <c r="AQ73" s="26">
        <v>7</v>
      </c>
      <c r="AR73" s="18">
        <v>3</v>
      </c>
      <c r="AS73" s="15">
        <f t="shared" si="47"/>
        <v>500</v>
      </c>
      <c r="AT73" s="15">
        <f t="shared" si="48"/>
        <v>1500</v>
      </c>
      <c r="AU73" s="15">
        <f t="shared" si="49"/>
        <v>12375</v>
      </c>
      <c r="AX73" s="68">
        <v>66</v>
      </c>
      <c r="AY73" s="26">
        <v>7</v>
      </c>
      <c r="AZ73" s="18">
        <v>3</v>
      </c>
      <c r="BA73" s="15">
        <f t="shared" si="44"/>
        <v>1000</v>
      </c>
      <c r="BB73" s="15">
        <f t="shared" si="45"/>
        <v>3000</v>
      </c>
      <c r="BC73" s="15">
        <f t="shared" si="4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1"/>
        <v>20</v>
      </c>
      <c r="AL74" s="26">
        <f t="shared" si="52"/>
        <v>38</v>
      </c>
      <c r="AM74" s="26">
        <f t="shared" si="53"/>
        <v>192</v>
      </c>
      <c r="AP74" s="68">
        <v>70</v>
      </c>
      <c r="AQ74" s="26">
        <v>7</v>
      </c>
      <c r="AR74" s="18">
        <v>4</v>
      </c>
      <c r="AS74" s="15">
        <f t="shared" si="47"/>
        <v>500</v>
      </c>
      <c r="AT74" s="15">
        <f t="shared" si="48"/>
        <v>1500</v>
      </c>
      <c r="AU74" s="15">
        <f t="shared" si="49"/>
        <v>12375</v>
      </c>
      <c r="AX74" s="68">
        <v>67</v>
      </c>
      <c r="AY74" s="26">
        <v>7</v>
      </c>
      <c r="AZ74" s="18">
        <v>4</v>
      </c>
      <c r="BA74" s="15">
        <f t="shared" si="44"/>
        <v>1000</v>
      </c>
      <c r="BB74" s="15">
        <f t="shared" si="45"/>
        <v>3000</v>
      </c>
      <c r="BC74" s="15">
        <f t="shared" si="4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1"/>
        <v>20</v>
      </c>
      <c r="AL75" s="26">
        <f t="shared" si="52"/>
        <v>39</v>
      </c>
      <c r="AM75" s="26">
        <f t="shared" si="53"/>
        <v>196</v>
      </c>
      <c r="AP75" s="68">
        <v>71</v>
      </c>
      <c r="AQ75" s="26">
        <v>7</v>
      </c>
      <c r="AR75" s="18">
        <v>5</v>
      </c>
      <c r="AS75" s="15">
        <f t="shared" si="47"/>
        <v>500</v>
      </c>
      <c r="AT75" s="15">
        <f t="shared" si="48"/>
        <v>1500</v>
      </c>
      <c r="AU75" s="15">
        <f t="shared" si="49"/>
        <v>12375</v>
      </c>
      <c r="AX75" s="68">
        <v>68</v>
      </c>
      <c r="AY75" s="26">
        <v>7</v>
      </c>
      <c r="AZ75" s="18">
        <v>5</v>
      </c>
      <c r="BA75" s="15">
        <f t="shared" si="44"/>
        <v>1000</v>
      </c>
      <c r="BB75" s="15">
        <f t="shared" si="45"/>
        <v>3000</v>
      </c>
      <c r="BC75" s="15">
        <f t="shared" si="4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1"/>
        <v>20</v>
      </c>
      <c r="AL76" s="26">
        <f t="shared" si="52"/>
        <v>40</v>
      </c>
      <c r="AM76" s="26">
        <f t="shared" si="53"/>
        <v>200</v>
      </c>
      <c r="AP76" s="68">
        <v>72</v>
      </c>
      <c r="AQ76" s="26">
        <v>7</v>
      </c>
      <c r="AR76" s="18">
        <v>6</v>
      </c>
      <c r="AS76" s="15">
        <f t="shared" si="47"/>
        <v>500</v>
      </c>
      <c r="AT76" s="15">
        <f t="shared" si="48"/>
        <v>1500</v>
      </c>
      <c r="AU76" s="15">
        <f t="shared" si="49"/>
        <v>12375</v>
      </c>
      <c r="AX76" s="68">
        <v>69</v>
      </c>
      <c r="AY76" s="26">
        <v>7</v>
      </c>
      <c r="AZ76" s="18">
        <v>6</v>
      </c>
      <c r="BA76" s="15">
        <f t="shared" ref="BA76:BA139" si="54">INDEX($Y$6:$Y$20,AY76)</f>
        <v>1000</v>
      </c>
      <c r="BB76" s="15">
        <f t="shared" ref="BB76:BB139" si="55">INDEX($AA$6:$AA$20,AY76)</f>
        <v>3000</v>
      </c>
      <c r="BC76" s="15">
        <f t="shared" ref="BC76:BC139" si="56">INDEX($AC$6:$AC$20,AY76)</f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1"/>
        <v>25</v>
      </c>
      <c r="AL77" s="26">
        <f t="shared" si="52"/>
        <v>40</v>
      </c>
      <c r="AM77" s="26">
        <f t="shared" si="53"/>
        <v>205</v>
      </c>
      <c r="AP77" s="68">
        <v>73</v>
      </c>
      <c r="AQ77" s="26">
        <v>7</v>
      </c>
      <c r="AR77" s="18">
        <v>7</v>
      </c>
      <c r="AS77" s="15">
        <f t="shared" si="47"/>
        <v>500</v>
      </c>
      <c r="AT77" s="15">
        <f t="shared" si="48"/>
        <v>1500</v>
      </c>
      <c r="AU77" s="15">
        <f t="shared" si="49"/>
        <v>12375</v>
      </c>
      <c r="AX77" s="68">
        <v>70</v>
      </c>
      <c r="AY77" s="26">
        <v>7</v>
      </c>
      <c r="AZ77" s="18">
        <v>7</v>
      </c>
      <c r="BA77" s="15">
        <f t="shared" si="54"/>
        <v>1000</v>
      </c>
      <c r="BB77" s="15">
        <f t="shared" si="55"/>
        <v>3000</v>
      </c>
      <c r="BC77" s="15">
        <f t="shared" si="5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1"/>
        <v>25</v>
      </c>
      <c r="AL78" s="26">
        <f t="shared" si="52"/>
        <v>41</v>
      </c>
      <c r="AM78" s="26">
        <f t="shared" si="53"/>
        <v>210</v>
      </c>
      <c r="AP78" s="68">
        <v>74</v>
      </c>
      <c r="AQ78" s="26">
        <v>7</v>
      </c>
      <c r="AR78" s="18">
        <v>8</v>
      </c>
      <c r="AS78" s="15">
        <f t="shared" si="47"/>
        <v>500</v>
      </c>
      <c r="AT78" s="15">
        <f t="shared" si="48"/>
        <v>1500</v>
      </c>
      <c r="AU78" s="15">
        <f t="shared" si="49"/>
        <v>12375</v>
      </c>
      <c r="AX78" s="68">
        <v>71</v>
      </c>
      <c r="AY78" s="26">
        <v>7</v>
      </c>
      <c r="AZ78" s="18">
        <v>8</v>
      </c>
      <c r="BA78" s="15">
        <f t="shared" si="54"/>
        <v>1000</v>
      </c>
      <c r="BB78" s="15">
        <f t="shared" si="55"/>
        <v>3000</v>
      </c>
      <c r="BC78" s="15">
        <f t="shared" si="5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1"/>
        <v>25</v>
      </c>
      <c r="AL79" s="26">
        <f t="shared" si="52"/>
        <v>42</v>
      </c>
      <c r="AM79" s="26">
        <f t="shared" si="53"/>
        <v>215</v>
      </c>
      <c r="AP79" s="68">
        <v>75</v>
      </c>
      <c r="AQ79" s="26">
        <v>7</v>
      </c>
      <c r="AR79" s="18">
        <v>9</v>
      </c>
      <c r="AS79" s="15">
        <f t="shared" si="47"/>
        <v>500</v>
      </c>
      <c r="AT79" s="15">
        <f t="shared" si="48"/>
        <v>1500</v>
      </c>
      <c r="AU79" s="15">
        <f t="shared" si="49"/>
        <v>12375</v>
      </c>
      <c r="AX79" s="68">
        <v>72</v>
      </c>
      <c r="AY79" s="26">
        <v>7</v>
      </c>
      <c r="AZ79" s="18">
        <v>9</v>
      </c>
      <c r="BA79" s="15">
        <f t="shared" si="54"/>
        <v>1000</v>
      </c>
      <c r="BB79" s="15">
        <f t="shared" si="55"/>
        <v>3000</v>
      </c>
      <c r="BC79" s="15">
        <f t="shared" si="5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1"/>
        <v>25</v>
      </c>
      <c r="AL80" s="26">
        <f t="shared" si="52"/>
        <v>42</v>
      </c>
      <c r="AM80" s="26">
        <f t="shared" si="53"/>
        <v>220</v>
      </c>
      <c r="AP80" s="68">
        <v>76</v>
      </c>
      <c r="AQ80" s="26">
        <v>7</v>
      </c>
      <c r="AR80" s="18">
        <v>10</v>
      </c>
      <c r="AS80" s="15">
        <f t="shared" si="47"/>
        <v>500</v>
      </c>
      <c r="AT80" s="15">
        <f t="shared" si="48"/>
        <v>1500</v>
      </c>
      <c r="AU80" s="15">
        <f t="shared" si="49"/>
        <v>12375</v>
      </c>
      <c r="AX80" s="68">
        <v>73</v>
      </c>
      <c r="AY80" s="26">
        <v>7</v>
      </c>
      <c r="AZ80" s="18">
        <v>10</v>
      </c>
      <c r="BA80" s="15">
        <f t="shared" si="54"/>
        <v>1000</v>
      </c>
      <c r="BB80" s="15">
        <f t="shared" si="55"/>
        <v>3000</v>
      </c>
      <c r="BC80" s="15">
        <f t="shared" si="56"/>
        <v>24750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1"/>
        <v>25</v>
      </c>
      <c r="AL81" s="26">
        <f t="shared" si="52"/>
        <v>43</v>
      </c>
      <c r="AM81" s="26">
        <f t="shared" si="53"/>
        <v>225</v>
      </c>
      <c r="AP81" s="68">
        <v>77</v>
      </c>
      <c r="AQ81" s="26">
        <v>7</v>
      </c>
      <c r="AR81" s="18">
        <v>11</v>
      </c>
      <c r="AS81" s="15">
        <f t="shared" si="47"/>
        <v>500</v>
      </c>
      <c r="AT81" s="15">
        <f t="shared" si="48"/>
        <v>1500</v>
      </c>
      <c r="AU81" s="15">
        <f t="shared" si="49"/>
        <v>12375</v>
      </c>
      <c r="AX81" s="68">
        <v>74</v>
      </c>
      <c r="AY81" s="26">
        <v>7</v>
      </c>
      <c r="AZ81" s="18">
        <v>11</v>
      </c>
      <c r="BA81" s="15">
        <f t="shared" si="54"/>
        <v>1000</v>
      </c>
      <c r="BB81" s="15">
        <f t="shared" si="55"/>
        <v>3000</v>
      </c>
      <c r="BC81" s="15">
        <f t="shared" si="56"/>
        <v>24750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1"/>
        <v>25</v>
      </c>
      <c r="AL82" s="26">
        <f t="shared" si="52"/>
        <v>44</v>
      </c>
      <c r="AM82" s="26">
        <f t="shared" si="53"/>
        <v>230</v>
      </c>
      <c r="AP82" s="68">
        <v>78</v>
      </c>
      <c r="AQ82" s="26">
        <v>7</v>
      </c>
      <c r="AR82" s="18">
        <v>12</v>
      </c>
      <c r="AS82" s="15">
        <f t="shared" si="47"/>
        <v>500</v>
      </c>
      <c r="AT82" s="15">
        <f t="shared" si="48"/>
        <v>1500</v>
      </c>
      <c r="AU82" s="15">
        <f t="shared" si="49"/>
        <v>12375</v>
      </c>
      <c r="AX82" s="68">
        <v>75</v>
      </c>
      <c r="AY82" s="26">
        <v>7</v>
      </c>
      <c r="AZ82" s="18">
        <v>12</v>
      </c>
      <c r="BA82" s="15">
        <f t="shared" si="54"/>
        <v>1000</v>
      </c>
      <c r="BB82" s="15">
        <f t="shared" si="55"/>
        <v>3000</v>
      </c>
      <c r="BC82" s="15">
        <f t="shared" si="56"/>
        <v>24750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1"/>
        <v>25</v>
      </c>
      <c r="AL83" s="26">
        <f t="shared" si="52"/>
        <v>44</v>
      </c>
      <c r="AM83" s="26">
        <f t="shared" si="53"/>
        <v>235</v>
      </c>
      <c r="AP83" s="68">
        <v>79</v>
      </c>
      <c r="AQ83" s="26">
        <v>7</v>
      </c>
      <c r="AR83" s="18">
        <v>13</v>
      </c>
      <c r="AS83" s="15">
        <f t="shared" si="47"/>
        <v>500</v>
      </c>
      <c r="AT83" s="15">
        <f t="shared" si="48"/>
        <v>1500</v>
      </c>
      <c r="AU83" s="15">
        <f t="shared" si="49"/>
        <v>12375</v>
      </c>
      <c r="AX83" s="68">
        <v>76</v>
      </c>
      <c r="AY83" s="26">
        <v>7</v>
      </c>
      <c r="AZ83" s="18">
        <v>13</v>
      </c>
      <c r="BA83" s="15">
        <f t="shared" si="54"/>
        <v>1000</v>
      </c>
      <c r="BB83" s="15">
        <f t="shared" si="55"/>
        <v>3000</v>
      </c>
      <c r="BC83" s="15">
        <f t="shared" si="56"/>
        <v>24750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1"/>
        <v>25</v>
      </c>
      <c r="AL84" s="26">
        <f t="shared" si="52"/>
        <v>45</v>
      </c>
      <c r="AM84" s="26">
        <f t="shared" si="53"/>
        <v>240</v>
      </c>
      <c r="AP84" s="68">
        <v>80</v>
      </c>
      <c r="AQ84" s="26">
        <v>7</v>
      </c>
      <c r="AR84" s="18">
        <v>14</v>
      </c>
      <c r="AS84" s="15">
        <f t="shared" si="47"/>
        <v>500</v>
      </c>
      <c r="AT84" s="15">
        <f t="shared" si="48"/>
        <v>1500</v>
      </c>
      <c r="AU84" s="15">
        <f t="shared" si="49"/>
        <v>12375</v>
      </c>
      <c r="AX84" s="68">
        <v>77</v>
      </c>
      <c r="AY84" s="26">
        <v>7</v>
      </c>
      <c r="AZ84" s="18">
        <v>14</v>
      </c>
      <c r="BA84" s="15">
        <f t="shared" si="54"/>
        <v>1000</v>
      </c>
      <c r="BB84" s="15">
        <f t="shared" si="55"/>
        <v>3000</v>
      </c>
      <c r="BC84" s="15">
        <f t="shared" si="56"/>
        <v>24750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1"/>
        <v>25</v>
      </c>
      <c r="AL85" s="26">
        <f t="shared" si="52"/>
        <v>46</v>
      </c>
      <c r="AM85" s="26">
        <f t="shared" si="53"/>
        <v>245</v>
      </c>
      <c r="AP85" s="68">
        <v>81</v>
      </c>
      <c r="AQ85" s="26">
        <v>7</v>
      </c>
      <c r="AR85" s="18">
        <v>15</v>
      </c>
      <c r="AS85" s="15">
        <f t="shared" si="47"/>
        <v>500</v>
      </c>
      <c r="AT85" s="15">
        <f t="shared" si="48"/>
        <v>1500</v>
      </c>
      <c r="AU85" s="15">
        <f t="shared" si="49"/>
        <v>12375</v>
      </c>
      <c r="AX85" s="68">
        <v>78</v>
      </c>
      <c r="AY85" s="26">
        <v>7</v>
      </c>
      <c r="AZ85" s="18">
        <v>15</v>
      </c>
      <c r="BA85" s="15">
        <f t="shared" si="54"/>
        <v>1000</v>
      </c>
      <c r="BB85" s="15">
        <f t="shared" si="55"/>
        <v>3000</v>
      </c>
      <c r="BC85" s="15">
        <f t="shared" si="56"/>
        <v>24750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1"/>
        <v>25</v>
      </c>
      <c r="AL86" s="26">
        <f t="shared" si="52"/>
        <v>46</v>
      </c>
      <c r="AM86" s="26">
        <f t="shared" si="53"/>
        <v>250</v>
      </c>
      <c r="AP86" s="68">
        <v>82</v>
      </c>
      <c r="AQ86" s="26">
        <v>8</v>
      </c>
      <c r="AR86" s="18">
        <v>1</v>
      </c>
      <c r="AS86" s="15">
        <f t="shared" si="47"/>
        <v>600</v>
      </c>
      <c r="AT86" s="15">
        <f t="shared" si="48"/>
        <v>1800</v>
      </c>
      <c r="AU86" s="15">
        <f t="shared" si="49"/>
        <v>16200</v>
      </c>
      <c r="AX86" s="68">
        <v>79</v>
      </c>
      <c r="AY86" s="26">
        <v>8</v>
      </c>
      <c r="AZ86" s="18">
        <v>1</v>
      </c>
      <c r="BA86" s="15">
        <f t="shared" si="54"/>
        <v>1200</v>
      </c>
      <c r="BB86" s="15">
        <f t="shared" si="55"/>
        <v>3600</v>
      </c>
      <c r="BC86" s="15">
        <f t="shared" si="5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1"/>
        <v>25</v>
      </c>
      <c r="AL87" s="26">
        <f t="shared" si="52"/>
        <v>47</v>
      </c>
      <c r="AM87" s="26">
        <f t="shared" si="53"/>
        <v>255</v>
      </c>
      <c r="AP87" s="68">
        <v>83</v>
      </c>
      <c r="AQ87" s="26">
        <v>8</v>
      </c>
      <c r="AR87" s="18">
        <v>2</v>
      </c>
      <c r="AS87" s="15">
        <f t="shared" si="47"/>
        <v>600</v>
      </c>
      <c r="AT87" s="15">
        <f t="shared" si="48"/>
        <v>1800</v>
      </c>
      <c r="AU87" s="15">
        <f t="shared" si="49"/>
        <v>16200</v>
      </c>
      <c r="AX87" s="68">
        <v>80</v>
      </c>
      <c r="AY87" s="26">
        <v>8</v>
      </c>
      <c r="AZ87" s="18">
        <v>2</v>
      </c>
      <c r="BA87" s="15">
        <f t="shared" si="54"/>
        <v>1200</v>
      </c>
      <c r="BB87" s="15">
        <f t="shared" si="55"/>
        <v>3600</v>
      </c>
      <c r="BC87" s="15">
        <f t="shared" si="5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1"/>
        <v>25</v>
      </c>
      <c r="AL88" s="26">
        <f t="shared" si="52"/>
        <v>48</v>
      </c>
      <c r="AM88" s="26">
        <f t="shared" si="53"/>
        <v>260</v>
      </c>
      <c r="AP88" s="68">
        <v>84</v>
      </c>
      <c r="AQ88" s="26">
        <v>8</v>
      </c>
      <c r="AR88" s="18">
        <v>3</v>
      </c>
      <c r="AS88" s="15">
        <f t="shared" si="47"/>
        <v>600</v>
      </c>
      <c r="AT88" s="15">
        <f t="shared" si="48"/>
        <v>1800</v>
      </c>
      <c r="AU88" s="15">
        <f t="shared" si="49"/>
        <v>16200</v>
      </c>
      <c r="AX88" s="68">
        <v>81</v>
      </c>
      <c r="AY88" s="26">
        <v>8</v>
      </c>
      <c r="AZ88" s="18">
        <v>3</v>
      </c>
      <c r="BA88" s="15">
        <f t="shared" si="54"/>
        <v>1200</v>
      </c>
      <c r="BB88" s="15">
        <f t="shared" si="55"/>
        <v>3600</v>
      </c>
      <c r="BC88" s="15">
        <f t="shared" si="5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1"/>
        <v>25</v>
      </c>
      <c r="AL89" s="26">
        <f t="shared" si="52"/>
        <v>48</v>
      </c>
      <c r="AM89" s="26">
        <f t="shared" si="53"/>
        <v>265</v>
      </c>
      <c r="AP89" s="68">
        <v>85</v>
      </c>
      <c r="AQ89" s="26">
        <v>8</v>
      </c>
      <c r="AR89" s="18">
        <v>4</v>
      </c>
      <c r="AS89" s="15">
        <f t="shared" si="47"/>
        <v>600</v>
      </c>
      <c r="AT89" s="15">
        <f t="shared" si="48"/>
        <v>1800</v>
      </c>
      <c r="AU89" s="15">
        <f t="shared" si="49"/>
        <v>16200</v>
      </c>
      <c r="AX89" s="68">
        <v>82</v>
      </c>
      <c r="AY89" s="26">
        <v>8</v>
      </c>
      <c r="AZ89" s="18">
        <v>4</v>
      </c>
      <c r="BA89" s="15">
        <f t="shared" si="54"/>
        <v>1200</v>
      </c>
      <c r="BB89" s="15">
        <f t="shared" si="55"/>
        <v>3600</v>
      </c>
      <c r="BC89" s="15">
        <f t="shared" si="5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1"/>
        <v>25</v>
      </c>
      <c r="AL90" s="26">
        <f t="shared" si="52"/>
        <v>49</v>
      </c>
      <c r="AM90" s="26">
        <f t="shared" si="53"/>
        <v>270</v>
      </c>
      <c r="AP90" s="68">
        <v>86</v>
      </c>
      <c r="AQ90" s="26">
        <v>8</v>
      </c>
      <c r="AR90" s="18">
        <v>5</v>
      </c>
      <c r="AS90" s="15">
        <f t="shared" si="47"/>
        <v>600</v>
      </c>
      <c r="AT90" s="15">
        <f t="shared" si="48"/>
        <v>1800</v>
      </c>
      <c r="AU90" s="15">
        <f t="shared" si="49"/>
        <v>16200</v>
      </c>
      <c r="AX90" s="68">
        <v>83</v>
      </c>
      <c r="AY90" s="26">
        <v>8</v>
      </c>
      <c r="AZ90" s="18">
        <v>5</v>
      </c>
      <c r="BA90" s="15">
        <f t="shared" si="54"/>
        <v>1200</v>
      </c>
      <c r="BB90" s="15">
        <f t="shared" si="55"/>
        <v>3600</v>
      </c>
      <c r="BC90" s="15">
        <f t="shared" si="5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1"/>
        <v>25</v>
      </c>
      <c r="AL91" s="26">
        <f t="shared" si="52"/>
        <v>50</v>
      </c>
      <c r="AM91" s="26">
        <f t="shared" si="53"/>
        <v>275</v>
      </c>
      <c r="AP91" s="68">
        <v>87</v>
      </c>
      <c r="AQ91" s="26">
        <v>8</v>
      </c>
      <c r="AR91" s="18">
        <v>6</v>
      </c>
      <c r="AS91" s="15">
        <f t="shared" si="47"/>
        <v>600</v>
      </c>
      <c r="AT91" s="15">
        <f t="shared" si="48"/>
        <v>1800</v>
      </c>
      <c r="AU91" s="15">
        <f t="shared" si="49"/>
        <v>16200</v>
      </c>
      <c r="AX91" s="68">
        <v>84</v>
      </c>
      <c r="AY91" s="26">
        <v>8</v>
      </c>
      <c r="AZ91" s="18">
        <v>6</v>
      </c>
      <c r="BA91" s="15">
        <f t="shared" si="54"/>
        <v>1200</v>
      </c>
      <c r="BB91" s="15">
        <f t="shared" si="55"/>
        <v>3600</v>
      </c>
      <c r="BC91" s="15">
        <f t="shared" si="5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1"/>
        <v>30</v>
      </c>
      <c r="AL92" s="26">
        <f t="shared" si="52"/>
        <v>50</v>
      </c>
      <c r="AM92" s="26">
        <f t="shared" si="53"/>
        <v>280</v>
      </c>
      <c r="AP92" s="68">
        <v>88</v>
      </c>
      <c r="AQ92" s="26">
        <v>8</v>
      </c>
      <c r="AR92" s="18">
        <v>7</v>
      </c>
      <c r="AS92" s="15">
        <f t="shared" si="47"/>
        <v>600</v>
      </c>
      <c r="AT92" s="15">
        <f t="shared" si="48"/>
        <v>1800</v>
      </c>
      <c r="AU92" s="15">
        <f t="shared" si="49"/>
        <v>16200</v>
      </c>
      <c r="AX92" s="68">
        <v>85</v>
      </c>
      <c r="AY92" s="26">
        <v>8</v>
      </c>
      <c r="AZ92" s="18">
        <v>7</v>
      </c>
      <c r="BA92" s="15">
        <f t="shared" si="54"/>
        <v>1200</v>
      </c>
      <c r="BB92" s="15">
        <f t="shared" si="55"/>
        <v>3600</v>
      </c>
      <c r="BC92" s="15">
        <f t="shared" si="5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1"/>
        <v>30</v>
      </c>
      <c r="AL93" s="26">
        <f t="shared" si="52"/>
        <v>51</v>
      </c>
      <c r="AM93" s="26">
        <f t="shared" si="53"/>
        <v>286</v>
      </c>
      <c r="AP93" s="68">
        <v>89</v>
      </c>
      <c r="AQ93" s="26">
        <v>8</v>
      </c>
      <c r="AR93" s="18">
        <v>8</v>
      </c>
      <c r="AS93" s="15">
        <f t="shared" si="47"/>
        <v>600</v>
      </c>
      <c r="AT93" s="15">
        <f t="shared" si="48"/>
        <v>1800</v>
      </c>
      <c r="AU93" s="15">
        <f t="shared" si="49"/>
        <v>16200</v>
      </c>
      <c r="AX93" s="68">
        <v>86</v>
      </c>
      <c r="AY93" s="26">
        <v>8</v>
      </c>
      <c r="AZ93" s="18">
        <v>8</v>
      </c>
      <c r="BA93" s="15">
        <f t="shared" si="54"/>
        <v>1200</v>
      </c>
      <c r="BB93" s="15">
        <f t="shared" si="55"/>
        <v>3600</v>
      </c>
      <c r="BC93" s="15">
        <f t="shared" si="5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1"/>
        <v>30</v>
      </c>
      <c r="AL94" s="26">
        <f t="shared" si="52"/>
        <v>52</v>
      </c>
      <c r="AM94" s="26">
        <f t="shared" si="53"/>
        <v>292</v>
      </c>
      <c r="AP94" s="68">
        <v>90</v>
      </c>
      <c r="AQ94" s="26">
        <v>8</v>
      </c>
      <c r="AR94" s="18">
        <v>9</v>
      </c>
      <c r="AS94" s="15">
        <f t="shared" si="47"/>
        <v>600</v>
      </c>
      <c r="AT94" s="15">
        <f t="shared" si="48"/>
        <v>1800</v>
      </c>
      <c r="AU94" s="15">
        <f t="shared" si="49"/>
        <v>16200</v>
      </c>
      <c r="AX94" s="68">
        <v>87</v>
      </c>
      <c r="AY94" s="26">
        <v>8</v>
      </c>
      <c r="AZ94" s="18">
        <v>9</v>
      </c>
      <c r="BA94" s="15">
        <f t="shared" si="54"/>
        <v>1200</v>
      </c>
      <c r="BB94" s="15">
        <f t="shared" si="55"/>
        <v>3600</v>
      </c>
      <c r="BC94" s="15">
        <f t="shared" si="5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1"/>
        <v>30</v>
      </c>
      <c r="AL95" s="26">
        <f t="shared" si="52"/>
        <v>52</v>
      </c>
      <c r="AM95" s="26">
        <f t="shared" si="53"/>
        <v>297</v>
      </c>
      <c r="AP95" s="68">
        <v>91</v>
      </c>
      <c r="AQ95" s="26">
        <v>8</v>
      </c>
      <c r="AR95" s="18">
        <v>10</v>
      </c>
      <c r="AS95" s="15">
        <f t="shared" si="47"/>
        <v>600</v>
      </c>
      <c r="AT95" s="15">
        <f t="shared" si="48"/>
        <v>1800</v>
      </c>
      <c r="AU95" s="15">
        <f t="shared" si="49"/>
        <v>16200</v>
      </c>
      <c r="AX95" s="68">
        <v>88</v>
      </c>
      <c r="AY95" s="26">
        <v>8</v>
      </c>
      <c r="AZ95" s="18">
        <v>10</v>
      </c>
      <c r="BA95" s="15">
        <f t="shared" si="54"/>
        <v>1200</v>
      </c>
      <c r="BB95" s="15">
        <f t="shared" si="55"/>
        <v>3600</v>
      </c>
      <c r="BC95" s="15">
        <f t="shared" si="56"/>
        <v>32400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1"/>
        <v>30</v>
      </c>
      <c r="AL96" s="26">
        <f t="shared" si="52"/>
        <v>53</v>
      </c>
      <c r="AM96" s="26">
        <f t="shared" si="53"/>
        <v>303</v>
      </c>
      <c r="AP96" s="68">
        <v>92</v>
      </c>
      <c r="AQ96" s="26">
        <v>8</v>
      </c>
      <c r="AR96" s="18">
        <v>11</v>
      </c>
      <c r="AS96" s="15">
        <f t="shared" ref="AS96:AS127" si="57">INDEX($N$6:$N$20,AQ96)</f>
        <v>600</v>
      </c>
      <c r="AT96" s="15">
        <f t="shared" ref="AT96:AT127" si="58">INDEX($P$6:$P$20,AQ96)</f>
        <v>1800</v>
      </c>
      <c r="AU96" s="15">
        <f t="shared" ref="AU96:AU127" si="59">INDEX($R$6:$R$20,AQ96)</f>
        <v>16200</v>
      </c>
      <c r="AX96" s="68">
        <v>89</v>
      </c>
      <c r="AY96" s="26">
        <v>8</v>
      </c>
      <c r="AZ96" s="18">
        <v>11</v>
      </c>
      <c r="BA96" s="15">
        <f t="shared" si="54"/>
        <v>1200</v>
      </c>
      <c r="BB96" s="15">
        <f t="shared" si="55"/>
        <v>3600</v>
      </c>
      <c r="BC96" s="15">
        <f t="shared" si="56"/>
        <v>32400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1"/>
        <v>30</v>
      </c>
      <c r="AL97" s="26">
        <f t="shared" si="52"/>
        <v>54</v>
      </c>
      <c r="AM97" s="26">
        <f t="shared" si="53"/>
        <v>309</v>
      </c>
      <c r="AP97" s="68">
        <v>93</v>
      </c>
      <c r="AQ97" s="26">
        <v>8</v>
      </c>
      <c r="AR97" s="18">
        <v>12</v>
      </c>
      <c r="AS97" s="15">
        <f t="shared" si="57"/>
        <v>600</v>
      </c>
      <c r="AT97" s="15">
        <f t="shared" si="58"/>
        <v>1800</v>
      </c>
      <c r="AU97" s="15">
        <f t="shared" si="59"/>
        <v>16200</v>
      </c>
      <c r="AX97" s="68">
        <v>90</v>
      </c>
      <c r="AY97" s="26">
        <v>8</v>
      </c>
      <c r="AZ97" s="18">
        <v>12</v>
      </c>
      <c r="BA97" s="15">
        <f t="shared" si="54"/>
        <v>1200</v>
      </c>
      <c r="BB97" s="15">
        <f t="shared" si="55"/>
        <v>3600</v>
      </c>
      <c r="BC97" s="15">
        <f t="shared" si="56"/>
        <v>32400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1"/>
        <v>30</v>
      </c>
      <c r="AL98" s="26">
        <f t="shared" si="52"/>
        <v>54</v>
      </c>
      <c r="AM98" s="26">
        <f t="shared" si="53"/>
        <v>314</v>
      </c>
      <c r="AP98" s="68">
        <v>94</v>
      </c>
      <c r="AQ98" s="26">
        <v>8</v>
      </c>
      <c r="AR98" s="18">
        <v>13</v>
      </c>
      <c r="AS98" s="15">
        <f t="shared" si="57"/>
        <v>600</v>
      </c>
      <c r="AT98" s="15">
        <f t="shared" si="58"/>
        <v>1800</v>
      </c>
      <c r="AU98" s="15">
        <f t="shared" si="59"/>
        <v>16200</v>
      </c>
      <c r="AX98" s="68">
        <v>91</v>
      </c>
      <c r="AY98" s="26">
        <v>8</v>
      </c>
      <c r="AZ98" s="18">
        <v>13</v>
      </c>
      <c r="BA98" s="15">
        <f t="shared" si="54"/>
        <v>1200</v>
      </c>
      <c r="BB98" s="15">
        <f t="shared" si="55"/>
        <v>3600</v>
      </c>
      <c r="BC98" s="15">
        <f t="shared" si="56"/>
        <v>32400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1"/>
        <v>30</v>
      </c>
      <c r="AL99" s="26">
        <f t="shared" si="52"/>
        <v>55</v>
      </c>
      <c r="AM99" s="26">
        <f t="shared" si="53"/>
        <v>320</v>
      </c>
      <c r="AP99" s="68">
        <v>95</v>
      </c>
      <c r="AQ99" s="26">
        <v>8</v>
      </c>
      <c r="AR99" s="18">
        <v>14</v>
      </c>
      <c r="AS99" s="15">
        <f t="shared" si="57"/>
        <v>600</v>
      </c>
      <c r="AT99" s="15">
        <f t="shared" si="58"/>
        <v>1800</v>
      </c>
      <c r="AU99" s="15">
        <f t="shared" si="59"/>
        <v>16200</v>
      </c>
      <c r="AX99" s="68">
        <v>92</v>
      </c>
      <c r="AY99" s="26">
        <v>8</v>
      </c>
      <c r="AZ99" s="18">
        <v>14</v>
      </c>
      <c r="BA99" s="15">
        <f t="shared" si="54"/>
        <v>1200</v>
      </c>
      <c r="BB99" s="15">
        <f t="shared" si="55"/>
        <v>3600</v>
      </c>
      <c r="BC99" s="15">
        <f t="shared" si="56"/>
        <v>32400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1"/>
        <v>30</v>
      </c>
      <c r="AL100" s="26">
        <f t="shared" si="52"/>
        <v>56</v>
      </c>
      <c r="AM100" s="26">
        <f t="shared" si="53"/>
        <v>326</v>
      </c>
      <c r="AP100" s="68">
        <v>96</v>
      </c>
      <c r="AQ100" s="26">
        <v>8</v>
      </c>
      <c r="AR100" s="18">
        <v>15</v>
      </c>
      <c r="AS100" s="15">
        <f t="shared" si="57"/>
        <v>600</v>
      </c>
      <c r="AT100" s="15">
        <f t="shared" si="58"/>
        <v>1800</v>
      </c>
      <c r="AU100" s="15">
        <f t="shared" si="59"/>
        <v>16200</v>
      </c>
      <c r="AX100" s="68">
        <v>93</v>
      </c>
      <c r="AY100" s="26">
        <v>8</v>
      </c>
      <c r="AZ100" s="18">
        <v>15</v>
      </c>
      <c r="BA100" s="15">
        <f t="shared" si="54"/>
        <v>1200</v>
      </c>
      <c r="BB100" s="15">
        <f t="shared" si="55"/>
        <v>3600</v>
      </c>
      <c r="BC100" s="15">
        <f t="shared" si="56"/>
        <v>32400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1"/>
        <v>30</v>
      </c>
      <c r="AL101" s="26">
        <f t="shared" si="52"/>
        <v>56</v>
      </c>
      <c r="AM101" s="26">
        <f t="shared" si="53"/>
        <v>331</v>
      </c>
      <c r="AP101" s="68">
        <v>97</v>
      </c>
      <c r="AQ101" s="26">
        <v>9</v>
      </c>
      <c r="AR101" s="18">
        <v>1</v>
      </c>
      <c r="AS101" s="15">
        <f t="shared" si="57"/>
        <v>720</v>
      </c>
      <c r="AT101" s="15">
        <f t="shared" si="58"/>
        <v>2160</v>
      </c>
      <c r="AU101" s="15">
        <f t="shared" si="59"/>
        <v>21060</v>
      </c>
      <c r="AX101" s="68">
        <v>94</v>
      </c>
      <c r="AY101" s="26">
        <v>9</v>
      </c>
      <c r="AZ101" s="18">
        <v>1</v>
      </c>
      <c r="BA101" s="15">
        <f t="shared" si="54"/>
        <v>1440</v>
      </c>
      <c r="BB101" s="15">
        <f t="shared" si="55"/>
        <v>4320</v>
      </c>
      <c r="BC101" s="15">
        <f t="shared" si="5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1"/>
        <v>30</v>
      </c>
      <c r="AL102" s="26">
        <f t="shared" si="52"/>
        <v>57</v>
      </c>
      <c r="AM102" s="26">
        <f t="shared" si="53"/>
        <v>337</v>
      </c>
      <c r="AP102" s="68">
        <v>98</v>
      </c>
      <c r="AQ102" s="26">
        <v>9</v>
      </c>
      <c r="AR102" s="18">
        <v>2</v>
      </c>
      <c r="AS102" s="15">
        <f t="shared" si="57"/>
        <v>720</v>
      </c>
      <c r="AT102" s="15">
        <f t="shared" si="58"/>
        <v>2160</v>
      </c>
      <c r="AU102" s="15">
        <f t="shared" si="59"/>
        <v>21060</v>
      </c>
      <c r="AX102" s="68">
        <v>95</v>
      </c>
      <c r="AY102" s="26">
        <v>9</v>
      </c>
      <c r="AZ102" s="18">
        <v>2</v>
      </c>
      <c r="BA102" s="15">
        <f t="shared" si="54"/>
        <v>1440</v>
      </c>
      <c r="BB102" s="15">
        <f t="shared" si="55"/>
        <v>4320</v>
      </c>
      <c r="BC102" s="15">
        <f t="shared" si="5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1"/>
        <v>30</v>
      </c>
      <c r="AL103" s="26">
        <f t="shared" si="52"/>
        <v>58</v>
      </c>
      <c r="AM103" s="26">
        <f t="shared" si="53"/>
        <v>343</v>
      </c>
      <c r="AP103" s="68">
        <v>99</v>
      </c>
      <c r="AQ103" s="26">
        <v>9</v>
      </c>
      <c r="AR103" s="18">
        <v>3</v>
      </c>
      <c r="AS103" s="15">
        <f t="shared" si="57"/>
        <v>720</v>
      </c>
      <c r="AT103" s="15">
        <f t="shared" si="58"/>
        <v>2160</v>
      </c>
      <c r="AU103" s="15">
        <f t="shared" si="59"/>
        <v>21060</v>
      </c>
      <c r="AX103" s="68">
        <v>96</v>
      </c>
      <c r="AY103" s="26">
        <v>9</v>
      </c>
      <c r="AZ103" s="18">
        <v>3</v>
      </c>
      <c r="BA103" s="15">
        <f t="shared" si="54"/>
        <v>1440</v>
      </c>
      <c r="BB103" s="15">
        <f t="shared" si="55"/>
        <v>4320</v>
      </c>
      <c r="BC103" s="15">
        <f t="shared" si="5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1"/>
        <v>30</v>
      </c>
      <c r="AL104" s="26">
        <f t="shared" si="52"/>
        <v>58</v>
      </c>
      <c r="AM104" s="26">
        <f t="shared" si="53"/>
        <v>348</v>
      </c>
      <c r="AP104" s="68">
        <v>100</v>
      </c>
      <c r="AQ104" s="26">
        <v>9</v>
      </c>
      <c r="AR104" s="18">
        <v>4</v>
      </c>
      <c r="AS104" s="15">
        <f t="shared" si="57"/>
        <v>720</v>
      </c>
      <c r="AT104" s="15">
        <f t="shared" si="58"/>
        <v>2160</v>
      </c>
      <c r="AU104" s="15">
        <f t="shared" si="59"/>
        <v>21060</v>
      </c>
      <c r="AX104" s="68">
        <v>97</v>
      </c>
      <c r="AY104" s="26">
        <v>9</v>
      </c>
      <c r="AZ104" s="18">
        <v>4</v>
      </c>
      <c r="BA104" s="15">
        <f t="shared" si="54"/>
        <v>1440</v>
      </c>
      <c r="BB104" s="15">
        <f t="shared" si="55"/>
        <v>4320</v>
      </c>
      <c r="BC104" s="15">
        <f t="shared" si="5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1"/>
        <v>30</v>
      </c>
      <c r="AL105" s="26">
        <f t="shared" si="52"/>
        <v>59</v>
      </c>
      <c r="AM105" s="26">
        <f t="shared" si="53"/>
        <v>354</v>
      </c>
      <c r="AP105" s="68">
        <v>101</v>
      </c>
      <c r="AQ105" s="26">
        <v>9</v>
      </c>
      <c r="AR105" s="18">
        <v>5</v>
      </c>
      <c r="AS105" s="15">
        <f t="shared" si="57"/>
        <v>720</v>
      </c>
      <c r="AT105" s="15">
        <f t="shared" si="58"/>
        <v>2160</v>
      </c>
      <c r="AU105" s="15">
        <f t="shared" si="59"/>
        <v>21060</v>
      </c>
      <c r="AX105" s="68">
        <v>98</v>
      </c>
      <c r="AY105" s="26">
        <v>9</v>
      </c>
      <c r="AZ105" s="18">
        <v>5</v>
      </c>
      <c r="BA105" s="15">
        <f t="shared" si="54"/>
        <v>1440</v>
      </c>
      <c r="BB105" s="15">
        <f t="shared" si="55"/>
        <v>4320</v>
      </c>
      <c r="BC105" s="15">
        <f t="shared" si="5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1"/>
        <v>30</v>
      </c>
      <c r="AL106" s="26">
        <f t="shared" si="52"/>
        <v>60</v>
      </c>
      <c r="AM106" s="26">
        <f t="shared" si="53"/>
        <v>360</v>
      </c>
      <c r="AP106" s="68">
        <v>102</v>
      </c>
      <c r="AQ106" s="26">
        <v>9</v>
      </c>
      <c r="AR106" s="18">
        <v>6</v>
      </c>
      <c r="AS106" s="15">
        <f t="shared" si="57"/>
        <v>720</v>
      </c>
      <c r="AT106" s="15">
        <f t="shared" si="58"/>
        <v>2160</v>
      </c>
      <c r="AU106" s="15">
        <f t="shared" si="59"/>
        <v>21060</v>
      </c>
      <c r="AX106" s="68">
        <v>99</v>
      </c>
      <c r="AY106" s="26">
        <v>9</v>
      </c>
      <c r="AZ106" s="18">
        <v>6</v>
      </c>
      <c r="BA106" s="15">
        <f t="shared" si="54"/>
        <v>1440</v>
      </c>
      <c r="BB106" s="15">
        <f t="shared" si="55"/>
        <v>4320</v>
      </c>
      <c r="BC106" s="15">
        <f t="shared" si="5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1"/>
        <v>36</v>
      </c>
      <c r="AL107" s="26">
        <f t="shared" si="52"/>
        <v>60</v>
      </c>
      <c r="AM107" s="26">
        <f t="shared" si="53"/>
        <v>367</v>
      </c>
      <c r="AP107" s="68">
        <v>103</v>
      </c>
      <c r="AQ107" s="26">
        <v>9</v>
      </c>
      <c r="AR107" s="18">
        <v>7</v>
      </c>
      <c r="AS107" s="15">
        <f t="shared" si="57"/>
        <v>720</v>
      </c>
      <c r="AT107" s="15">
        <f t="shared" si="58"/>
        <v>2160</v>
      </c>
      <c r="AU107" s="15">
        <f t="shared" si="59"/>
        <v>21060</v>
      </c>
      <c r="AX107" s="68">
        <v>100</v>
      </c>
      <c r="AY107" s="26">
        <v>9</v>
      </c>
      <c r="AZ107" s="18">
        <v>7</v>
      </c>
      <c r="BA107" s="15">
        <f t="shared" si="54"/>
        <v>1440</v>
      </c>
      <c r="BB107" s="15">
        <f t="shared" si="55"/>
        <v>4320</v>
      </c>
      <c r="BC107" s="15">
        <f t="shared" si="5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1"/>
        <v>36</v>
      </c>
      <c r="AL108" s="26">
        <f t="shared" si="52"/>
        <v>61</v>
      </c>
      <c r="AM108" s="26">
        <f t="shared" si="53"/>
        <v>374</v>
      </c>
      <c r="AP108" s="68">
        <v>104</v>
      </c>
      <c r="AQ108" s="26">
        <v>9</v>
      </c>
      <c r="AR108" s="18">
        <v>8</v>
      </c>
      <c r="AS108" s="15">
        <f t="shared" si="57"/>
        <v>720</v>
      </c>
      <c r="AT108" s="15">
        <f t="shared" si="58"/>
        <v>2160</v>
      </c>
      <c r="AU108" s="15">
        <f t="shared" si="59"/>
        <v>21060</v>
      </c>
      <c r="AX108" s="68">
        <v>101</v>
      </c>
      <c r="AY108" s="26">
        <v>9</v>
      </c>
      <c r="AZ108" s="18">
        <v>8</v>
      </c>
      <c r="BA108" s="15">
        <f t="shared" si="54"/>
        <v>1440</v>
      </c>
      <c r="BB108" s="15">
        <f t="shared" si="55"/>
        <v>4320</v>
      </c>
      <c r="BC108" s="15">
        <f t="shared" si="5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1"/>
        <v>36</v>
      </c>
      <c r="AL109" s="26">
        <f t="shared" si="52"/>
        <v>62</v>
      </c>
      <c r="AM109" s="26">
        <f t="shared" si="53"/>
        <v>381</v>
      </c>
      <c r="AP109" s="68">
        <v>105</v>
      </c>
      <c r="AQ109" s="26">
        <v>9</v>
      </c>
      <c r="AR109" s="18">
        <v>9</v>
      </c>
      <c r="AS109" s="15">
        <f t="shared" si="57"/>
        <v>720</v>
      </c>
      <c r="AT109" s="15">
        <f t="shared" si="58"/>
        <v>2160</v>
      </c>
      <c r="AU109" s="15">
        <f t="shared" si="59"/>
        <v>21060</v>
      </c>
      <c r="AX109" s="68">
        <v>102</v>
      </c>
      <c r="AY109" s="26">
        <v>9</v>
      </c>
      <c r="AZ109" s="18">
        <v>9</v>
      </c>
      <c r="BA109" s="15">
        <f t="shared" si="54"/>
        <v>1440</v>
      </c>
      <c r="BB109" s="15">
        <f t="shared" si="55"/>
        <v>4320</v>
      </c>
      <c r="BC109" s="15">
        <f t="shared" si="5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1"/>
        <v>36</v>
      </c>
      <c r="AL110" s="26">
        <f t="shared" si="52"/>
        <v>63</v>
      </c>
      <c r="AM110" s="26">
        <f t="shared" si="53"/>
        <v>388</v>
      </c>
      <c r="AP110" s="68">
        <v>106</v>
      </c>
      <c r="AQ110" s="26">
        <v>9</v>
      </c>
      <c r="AR110" s="18">
        <v>10</v>
      </c>
      <c r="AS110" s="15">
        <f t="shared" si="57"/>
        <v>720</v>
      </c>
      <c r="AT110" s="15">
        <f t="shared" si="58"/>
        <v>2160</v>
      </c>
      <c r="AU110" s="15">
        <f t="shared" si="59"/>
        <v>21060</v>
      </c>
      <c r="AX110" s="68">
        <v>103</v>
      </c>
      <c r="AY110" s="26">
        <v>9</v>
      </c>
      <c r="AZ110" s="18">
        <v>10</v>
      </c>
      <c r="BA110" s="15">
        <f t="shared" si="54"/>
        <v>1440</v>
      </c>
      <c r="BB110" s="15">
        <f t="shared" si="55"/>
        <v>4320</v>
      </c>
      <c r="BC110" s="15">
        <f t="shared" si="56"/>
        <v>42120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1"/>
        <v>36</v>
      </c>
      <c r="AL111" s="26">
        <f t="shared" si="52"/>
        <v>64</v>
      </c>
      <c r="AM111" s="26">
        <f t="shared" si="53"/>
        <v>396</v>
      </c>
      <c r="AP111" s="68">
        <v>107</v>
      </c>
      <c r="AQ111" s="26">
        <v>9</v>
      </c>
      <c r="AR111" s="18">
        <v>11</v>
      </c>
      <c r="AS111" s="15">
        <f t="shared" si="57"/>
        <v>720</v>
      </c>
      <c r="AT111" s="15">
        <f t="shared" si="58"/>
        <v>2160</v>
      </c>
      <c r="AU111" s="15">
        <f t="shared" si="59"/>
        <v>21060</v>
      </c>
      <c r="AX111" s="68">
        <v>104</v>
      </c>
      <c r="AY111" s="26">
        <v>9</v>
      </c>
      <c r="AZ111" s="18">
        <v>11</v>
      </c>
      <c r="BA111" s="15">
        <f t="shared" si="54"/>
        <v>1440</v>
      </c>
      <c r="BB111" s="15">
        <f t="shared" si="55"/>
        <v>4320</v>
      </c>
      <c r="BC111" s="15">
        <f t="shared" si="56"/>
        <v>42120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1"/>
        <v>36</v>
      </c>
      <c r="AL112" s="26">
        <f t="shared" si="52"/>
        <v>64</v>
      </c>
      <c r="AM112" s="26">
        <f t="shared" si="53"/>
        <v>403</v>
      </c>
      <c r="AP112" s="68">
        <v>108</v>
      </c>
      <c r="AQ112" s="26">
        <v>9</v>
      </c>
      <c r="AR112" s="18">
        <v>12</v>
      </c>
      <c r="AS112" s="15">
        <f t="shared" si="57"/>
        <v>720</v>
      </c>
      <c r="AT112" s="15">
        <f t="shared" si="58"/>
        <v>2160</v>
      </c>
      <c r="AU112" s="15">
        <f t="shared" si="59"/>
        <v>21060</v>
      </c>
      <c r="AX112" s="68">
        <v>105</v>
      </c>
      <c r="AY112" s="26">
        <v>9</v>
      </c>
      <c r="AZ112" s="18">
        <v>12</v>
      </c>
      <c r="BA112" s="15">
        <f t="shared" si="54"/>
        <v>1440</v>
      </c>
      <c r="BB112" s="15">
        <f t="shared" si="55"/>
        <v>4320</v>
      </c>
      <c r="BC112" s="15">
        <f t="shared" si="56"/>
        <v>42120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1"/>
        <v>36</v>
      </c>
      <c r="AL113" s="26">
        <f t="shared" si="52"/>
        <v>65</v>
      </c>
      <c r="AM113" s="26">
        <f t="shared" si="53"/>
        <v>410</v>
      </c>
      <c r="AP113" s="68">
        <v>109</v>
      </c>
      <c r="AQ113" s="26">
        <v>9</v>
      </c>
      <c r="AR113" s="18">
        <v>13</v>
      </c>
      <c r="AS113" s="15">
        <f t="shared" si="57"/>
        <v>720</v>
      </c>
      <c r="AT113" s="15">
        <f t="shared" si="58"/>
        <v>2160</v>
      </c>
      <c r="AU113" s="15">
        <f t="shared" si="59"/>
        <v>21060</v>
      </c>
      <c r="AX113" s="68">
        <v>106</v>
      </c>
      <c r="AY113" s="26">
        <v>9</v>
      </c>
      <c r="AZ113" s="18">
        <v>13</v>
      </c>
      <c r="BA113" s="15">
        <f t="shared" si="54"/>
        <v>1440</v>
      </c>
      <c r="BB113" s="15">
        <f t="shared" si="55"/>
        <v>4320</v>
      </c>
      <c r="BC113" s="15">
        <f t="shared" si="56"/>
        <v>42120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1"/>
        <v>36</v>
      </c>
      <c r="AL114" s="26">
        <f t="shared" si="52"/>
        <v>66</v>
      </c>
      <c r="AM114" s="26">
        <f t="shared" si="53"/>
        <v>417</v>
      </c>
      <c r="AP114" s="68">
        <v>110</v>
      </c>
      <c r="AQ114" s="26">
        <v>9</v>
      </c>
      <c r="AR114" s="18">
        <v>14</v>
      </c>
      <c r="AS114" s="15">
        <f t="shared" si="57"/>
        <v>720</v>
      </c>
      <c r="AT114" s="15">
        <f t="shared" si="58"/>
        <v>2160</v>
      </c>
      <c r="AU114" s="15">
        <f t="shared" si="59"/>
        <v>21060</v>
      </c>
      <c r="AX114" s="68">
        <v>107</v>
      </c>
      <c r="AY114" s="26">
        <v>9</v>
      </c>
      <c r="AZ114" s="18">
        <v>14</v>
      </c>
      <c r="BA114" s="15">
        <f t="shared" si="54"/>
        <v>1440</v>
      </c>
      <c r="BB114" s="15">
        <f t="shared" si="55"/>
        <v>4320</v>
      </c>
      <c r="BC114" s="15">
        <f t="shared" si="56"/>
        <v>42120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1"/>
        <v>36</v>
      </c>
      <c r="AL115" s="26">
        <f t="shared" si="52"/>
        <v>67</v>
      </c>
      <c r="AM115" s="26">
        <f t="shared" si="53"/>
        <v>424</v>
      </c>
      <c r="AP115" s="68">
        <v>111</v>
      </c>
      <c r="AQ115" s="26">
        <v>9</v>
      </c>
      <c r="AR115" s="18">
        <v>15</v>
      </c>
      <c r="AS115" s="15">
        <f t="shared" si="57"/>
        <v>720</v>
      </c>
      <c r="AT115" s="15">
        <f t="shared" si="58"/>
        <v>2160</v>
      </c>
      <c r="AU115" s="15">
        <f t="shared" si="59"/>
        <v>21060</v>
      </c>
      <c r="AX115" s="68">
        <v>108</v>
      </c>
      <c r="AY115" s="26">
        <v>9</v>
      </c>
      <c r="AZ115" s="18">
        <v>15</v>
      </c>
      <c r="BA115" s="15">
        <f t="shared" si="54"/>
        <v>1440</v>
      </c>
      <c r="BB115" s="15">
        <f t="shared" si="55"/>
        <v>4320</v>
      </c>
      <c r="BC115" s="15">
        <f t="shared" si="56"/>
        <v>42120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1"/>
        <v>36</v>
      </c>
      <c r="AL116" s="26">
        <f t="shared" si="52"/>
        <v>68</v>
      </c>
      <c r="AM116" s="26">
        <f t="shared" si="53"/>
        <v>432</v>
      </c>
      <c r="AP116" s="68">
        <v>112</v>
      </c>
      <c r="AQ116" s="26">
        <v>10</v>
      </c>
      <c r="AR116" s="18">
        <v>1</v>
      </c>
      <c r="AS116" s="15">
        <f t="shared" si="57"/>
        <v>880</v>
      </c>
      <c r="AT116" s="15">
        <f t="shared" si="58"/>
        <v>2700</v>
      </c>
      <c r="AU116" s="15">
        <f t="shared" si="59"/>
        <v>27720</v>
      </c>
      <c r="AX116" s="68">
        <v>109</v>
      </c>
      <c r="AY116" s="26">
        <v>10</v>
      </c>
      <c r="AZ116" s="18">
        <v>1</v>
      </c>
      <c r="BA116" s="15">
        <f t="shared" si="54"/>
        <v>1760</v>
      </c>
      <c r="BB116" s="15">
        <f t="shared" si="55"/>
        <v>5400</v>
      </c>
      <c r="BC116" s="15">
        <f t="shared" si="5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1"/>
        <v>36</v>
      </c>
      <c r="AL117" s="26">
        <f t="shared" si="52"/>
        <v>68</v>
      </c>
      <c r="AM117" s="26">
        <f t="shared" si="53"/>
        <v>439</v>
      </c>
      <c r="AP117" s="68">
        <v>113</v>
      </c>
      <c r="AQ117" s="26">
        <v>10</v>
      </c>
      <c r="AR117" s="18">
        <v>2</v>
      </c>
      <c r="AS117" s="15">
        <f t="shared" si="57"/>
        <v>880</v>
      </c>
      <c r="AT117" s="15">
        <f t="shared" si="58"/>
        <v>2700</v>
      </c>
      <c r="AU117" s="15">
        <f t="shared" si="59"/>
        <v>27720</v>
      </c>
      <c r="AX117" s="68">
        <v>110</v>
      </c>
      <c r="AY117" s="26">
        <v>10</v>
      </c>
      <c r="AZ117" s="18">
        <v>2</v>
      </c>
      <c r="BA117" s="15">
        <f t="shared" si="54"/>
        <v>1760</v>
      </c>
      <c r="BB117" s="15">
        <f t="shared" si="55"/>
        <v>5400</v>
      </c>
      <c r="BC117" s="15">
        <f t="shared" si="5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1"/>
        <v>36</v>
      </c>
      <c r="AL118" s="26">
        <f t="shared" si="52"/>
        <v>69</v>
      </c>
      <c r="AM118" s="26">
        <f t="shared" si="53"/>
        <v>446</v>
      </c>
      <c r="AP118" s="68">
        <v>114</v>
      </c>
      <c r="AQ118" s="26">
        <v>10</v>
      </c>
      <c r="AR118" s="18">
        <v>3</v>
      </c>
      <c r="AS118" s="15">
        <f t="shared" si="57"/>
        <v>880</v>
      </c>
      <c r="AT118" s="15">
        <f t="shared" si="58"/>
        <v>2700</v>
      </c>
      <c r="AU118" s="15">
        <f t="shared" si="59"/>
        <v>27720</v>
      </c>
      <c r="AX118" s="68">
        <v>111</v>
      </c>
      <c r="AY118" s="26">
        <v>10</v>
      </c>
      <c r="AZ118" s="18">
        <v>3</v>
      </c>
      <c r="BA118" s="15">
        <f t="shared" si="54"/>
        <v>1760</v>
      </c>
      <c r="BB118" s="15">
        <f t="shared" si="55"/>
        <v>5400</v>
      </c>
      <c r="BC118" s="15">
        <f t="shared" si="5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1"/>
        <v>36</v>
      </c>
      <c r="AL119" s="26">
        <f t="shared" si="52"/>
        <v>70</v>
      </c>
      <c r="AM119" s="26">
        <f t="shared" si="53"/>
        <v>453</v>
      </c>
      <c r="AP119" s="68">
        <v>115</v>
      </c>
      <c r="AQ119" s="26">
        <v>10</v>
      </c>
      <c r="AR119" s="18">
        <v>4</v>
      </c>
      <c r="AS119" s="15">
        <f t="shared" si="57"/>
        <v>880</v>
      </c>
      <c r="AT119" s="15">
        <f t="shared" si="58"/>
        <v>2700</v>
      </c>
      <c r="AU119" s="15">
        <f t="shared" si="59"/>
        <v>27720</v>
      </c>
      <c r="AX119" s="68">
        <v>112</v>
      </c>
      <c r="AY119" s="26">
        <v>10</v>
      </c>
      <c r="AZ119" s="18">
        <v>4</v>
      </c>
      <c r="BA119" s="15">
        <f t="shared" si="54"/>
        <v>1760</v>
      </c>
      <c r="BB119" s="15">
        <f t="shared" si="55"/>
        <v>5400</v>
      </c>
      <c r="BC119" s="15">
        <f t="shared" si="5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1"/>
        <v>36</v>
      </c>
      <c r="AL120" s="26">
        <f t="shared" si="52"/>
        <v>71</v>
      </c>
      <c r="AM120" s="26">
        <f t="shared" si="53"/>
        <v>460</v>
      </c>
      <c r="AP120" s="68">
        <v>116</v>
      </c>
      <c r="AQ120" s="26">
        <v>10</v>
      </c>
      <c r="AR120" s="18">
        <v>5</v>
      </c>
      <c r="AS120" s="15">
        <f t="shared" si="57"/>
        <v>880</v>
      </c>
      <c r="AT120" s="15">
        <f t="shared" si="58"/>
        <v>2700</v>
      </c>
      <c r="AU120" s="15">
        <f t="shared" si="59"/>
        <v>27720</v>
      </c>
      <c r="AX120" s="68">
        <v>113</v>
      </c>
      <c r="AY120" s="26">
        <v>10</v>
      </c>
      <c r="AZ120" s="18">
        <v>5</v>
      </c>
      <c r="BA120" s="15">
        <f t="shared" si="54"/>
        <v>1760</v>
      </c>
      <c r="BB120" s="15">
        <f t="shared" si="55"/>
        <v>5400</v>
      </c>
      <c r="BC120" s="15">
        <f t="shared" si="5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1"/>
        <v>36</v>
      </c>
      <c r="AL121" s="26">
        <f t="shared" si="52"/>
        <v>72</v>
      </c>
      <c r="AM121" s="26">
        <f t="shared" si="53"/>
        <v>468</v>
      </c>
      <c r="AP121" s="68">
        <v>117</v>
      </c>
      <c r="AQ121" s="26">
        <v>10</v>
      </c>
      <c r="AR121" s="18">
        <v>6</v>
      </c>
      <c r="AS121" s="15">
        <f t="shared" si="57"/>
        <v>880</v>
      </c>
      <c r="AT121" s="15">
        <f t="shared" si="58"/>
        <v>2700</v>
      </c>
      <c r="AU121" s="15">
        <f t="shared" si="59"/>
        <v>27720</v>
      </c>
      <c r="AX121" s="68">
        <v>114</v>
      </c>
      <c r="AY121" s="26">
        <v>10</v>
      </c>
      <c r="AZ121" s="18">
        <v>6</v>
      </c>
      <c r="BA121" s="15">
        <f t="shared" si="54"/>
        <v>1760</v>
      </c>
      <c r="BB121" s="15">
        <f t="shared" si="55"/>
        <v>5400</v>
      </c>
      <c r="BC121" s="15">
        <f t="shared" si="5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1"/>
        <v>44</v>
      </c>
      <c r="AL122" s="26">
        <f t="shared" si="52"/>
        <v>73</v>
      </c>
      <c r="AM122" s="26">
        <f t="shared" si="53"/>
        <v>477</v>
      </c>
      <c r="AP122" s="68">
        <v>118</v>
      </c>
      <c r="AQ122" s="26">
        <v>10</v>
      </c>
      <c r="AR122" s="18">
        <v>7</v>
      </c>
      <c r="AS122" s="15">
        <f t="shared" si="57"/>
        <v>880</v>
      </c>
      <c r="AT122" s="15">
        <f t="shared" si="58"/>
        <v>2700</v>
      </c>
      <c r="AU122" s="15">
        <f t="shared" si="59"/>
        <v>27720</v>
      </c>
      <c r="AX122" s="68">
        <v>115</v>
      </c>
      <c r="AY122" s="26">
        <v>10</v>
      </c>
      <c r="AZ122" s="18">
        <v>7</v>
      </c>
      <c r="BA122" s="15">
        <f t="shared" si="54"/>
        <v>1760</v>
      </c>
      <c r="BB122" s="15">
        <f t="shared" si="55"/>
        <v>5400</v>
      </c>
      <c r="BC122" s="15">
        <f t="shared" si="5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1"/>
        <v>44</v>
      </c>
      <c r="AL123" s="26">
        <f t="shared" si="52"/>
        <v>74</v>
      </c>
      <c r="AM123" s="26">
        <f t="shared" si="53"/>
        <v>487</v>
      </c>
      <c r="AP123" s="68">
        <v>119</v>
      </c>
      <c r="AQ123" s="26">
        <v>10</v>
      </c>
      <c r="AR123" s="18">
        <v>8</v>
      </c>
      <c r="AS123" s="15">
        <f t="shared" si="57"/>
        <v>880</v>
      </c>
      <c r="AT123" s="15">
        <f t="shared" si="58"/>
        <v>2700</v>
      </c>
      <c r="AU123" s="15">
        <f t="shared" si="59"/>
        <v>27720</v>
      </c>
      <c r="AX123" s="68">
        <v>116</v>
      </c>
      <c r="AY123" s="26">
        <v>10</v>
      </c>
      <c r="AZ123" s="18">
        <v>8</v>
      </c>
      <c r="BA123" s="15">
        <f t="shared" si="54"/>
        <v>1760</v>
      </c>
      <c r="BB123" s="15">
        <f t="shared" si="55"/>
        <v>5400</v>
      </c>
      <c r="BC123" s="15">
        <f t="shared" si="5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1"/>
        <v>44</v>
      </c>
      <c r="AL124" s="26">
        <f t="shared" si="52"/>
        <v>75</v>
      </c>
      <c r="AM124" s="26">
        <f t="shared" si="53"/>
        <v>497</v>
      </c>
      <c r="AP124" s="68">
        <v>120</v>
      </c>
      <c r="AQ124" s="26">
        <v>10</v>
      </c>
      <c r="AR124" s="18">
        <v>9</v>
      </c>
      <c r="AS124" s="15">
        <f t="shared" si="57"/>
        <v>880</v>
      </c>
      <c r="AT124" s="15">
        <f t="shared" si="58"/>
        <v>2700</v>
      </c>
      <c r="AU124" s="15">
        <f t="shared" si="59"/>
        <v>27720</v>
      </c>
      <c r="AX124" s="68">
        <v>117</v>
      </c>
      <c r="AY124" s="26">
        <v>10</v>
      </c>
      <c r="AZ124" s="18">
        <v>9</v>
      </c>
      <c r="BA124" s="15">
        <f t="shared" si="54"/>
        <v>1760</v>
      </c>
      <c r="BB124" s="15">
        <f t="shared" si="55"/>
        <v>5400</v>
      </c>
      <c r="BC124" s="15">
        <f t="shared" si="5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1"/>
        <v>44</v>
      </c>
      <c r="AL125" s="26">
        <f t="shared" si="52"/>
        <v>76</v>
      </c>
      <c r="AM125" s="26">
        <f t="shared" si="53"/>
        <v>507</v>
      </c>
      <c r="AP125" s="68">
        <v>121</v>
      </c>
      <c r="AQ125" s="26">
        <v>10</v>
      </c>
      <c r="AR125" s="18">
        <v>10</v>
      </c>
      <c r="AS125" s="15">
        <f t="shared" si="57"/>
        <v>880</v>
      </c>
      <c r="AT125" s="15">
        <f t="shared" si="58"/>
        <v>2700</v>
      </c>
      <c r="AU125" s="15">
        <f t="shared" si="59"/>
        <v>27720</v>
      </c>
      <c r="AX125" s="68">
        <v>118</v>
      </c>
      <c r="AY125" s="26">
        <v>10</v>
      </c>
      <c r="AZ125" s="18">
        <v>10</v>
      </c>
      <c r="BA125" s="15">
        <f t="shared" si="54"/>
        <v>1760</v>
      </c>
      <c r="BB125" s="15">
        <f t="shared" si="55"/>
        <v>5400</v>
      </c>
      <c r="BC125" s="15">
        <f t="shared" si="56"/>
        <v>55440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1"/>
        <v>44</v>
      </c>
      <c r="AL126" s="26">
        <f t="shared" si="52"/>
        <v>78</v>
      </c>
      <c r="AM126" s="26">
        <f t="shared" si="53"/>
        <v>517</v>
      </c>
      <c r="AP126" s="68">
        <v>122</v>
      </c>
      <c r="AQ126" s="26">
        <v>10</v>
      </c>
      <c r="AR126" s="18">
        <v>11</v>
      </c>
      <c r="AS126" s="15">
        <f t="shared" si="57"/>
        <v>880</v>
      </c>
      <c r="AT126" s="15">
        <f t="shared" si="58"/>
        <v>2700</v>
      </c>
      <c r="AU126" s="15">
        <f t="shared" si="59"/>
        <v>27720</v>
      </c>
      <c r="AX126" s="68">
        <v>119</v>
      </c>
      <c r="AY126" s="26">
        <v>10</v>
      </c>
      <c r="AZ126" s="18">
        <v>11</v>
      </c>
      <c r="BA126" s="15">
        <f t="shared" si="54"/>
        <v>1760</v>
      </c>
      <c r="BB126" s="15">
        <f t="shared" si="55"/>
        <v>5400</v>
      </c>
      <c r="BC126" s="15">
        <f t="shared" si="56"/>
        <v>55440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1"/>
        <v>44</v>
      </c>
      <c r="AL127" s="26">
        <f t="shared" si="52"/>
        <v>79</v>
      </c>
      <c r="AM127" s="26">
        <f t="shared" si="53"/>
        <v>527</v>
      </c>
      <c r="AP127" s="68">
        <v>123</v>
      </c>
      <c r="AQ127" s="26">
        <v>10</v>
      </c>
      <c r="AR127" s="18">
        <v>12</v>
      </c>
      <c r="AS127" s="15">
        <f t="shared" si="57"/>
        <v>880</v>
      </c>
      <c r="AT127" s="15">
        <f t="shared" si="58"/>
        <v>2700</v>
      </c>
      <c r="AU127" s="15">
        <f t="shared" si="59"/>
        <v>27720</v>
      </c>
      <c r="AX127" s="68">
        <v>120</v>
      </c>
      <c r="AY127" s="26">
        <v>10</v>
      </c>
      <c r="AZ127" s="18">
        <v>12</v>
      </c>
      <c r="BA127" s="15">
        <f t="shared" si="54"/>
        <v>1760</v>
      </c>
      <c r="BB127" s="15">
        <f t="shared" si="55"/>
        <v>5400</v>
      </c>
      <c r="BC127" s="15">
        <f t="shared" si="56"/>
        <v>55440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1"/>
        <v>44</v>
      </c>
      <c r="AL128" s="26">
        <f t="shared" si="52"/>
        <v>80</v>
      </c>
      <c r="AM128" s="26">
        <f t="shared" si="53"/>
        <v>537</v>
      </c>
      <c r="AP128" s="68">
        <v>124</v>
      </c>
      <c r="AQ128" s="26">
        <v>10</v>
      </c>
      <c r="AR128" s="18">
        <v>13</v>
      </c>
      <c r="AS128" s="15">
        <f t="shared" ref="AS128:AS159" si="60">INDEX($N$6:$N$20,AQ128)</f>
        <v>880</v>
      </c>
      <c r="AT128" s="15">
        <f t="shared" ref="AT128:AT159" si="61">INDEX($P$6:$P$20,AQ128)</f>
        <v>2700</v>
      </c>
      <c r="AU128" s="15">
        <f t="shared" ref="AU128:AU159" si="62">INDEX($R$6:$R$20,AQ128)</f>
        <v>27720</v>
      </c>
      <c r="AX128" s="68">
        <v>121</v>
      </c>
      <c r="AY128" s="26">
        <v>10</v>
      </c>
      <c r="AZ128" s="18">
        <v>13</v>
      </c>
      <c r="BA128" s="15">
        <f t="shared" si="54"/>
        <v>1760</v>
      </c>
      <c r="BB128" s="15">
        <f t="shared" si="55"/>
        <v>5400</v>
      </c>
      <c r="BC128" s="15">
        <f t="shared" si="56"/>
        <v>55440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1"/>
        <v>44</v>
      </c>
      <c r="AL129" s="26">
        <f t="shared" si="52"/>
        <v>81</v>
      </c>
      <c r="AM129" s="26">
        <f t="shared" si="53"/>
        <v>546</v>
      </c>
      <c r="AP129" s="68">
        <v>125</v>
      </c>
      <c r="AQ129" s="26">
        <v>10</v>
      </c>
      <c r="AR129" s="18">
        <v>14</v>
      </c>
      <c r="AS129" s="15">
        <f t="shared" si="60"/>
        <v>880</v>
      </c>
      <c r="AT129" s="15">
        <f t="shared" si="61"/>
        <v>2700</v>
      </c>
      <c r="AU129" s="15">
        <f t="shared" si="62"/>
        <v>27720</v>
      </c>
      <c r="AX129" s="68">
        <v>122</v>
      </c>
      <c r="AY129" s="26">
        <v>10</v>
      </c>
      <c r="AZ129" s="18">
        <v>14</v>
      </c>
      <c r="BA129" s="15">
        <f t="shared" si="54"/>
        <v>1760</v>
      </c>
      <c r="BB129" s="15">
        <f t="shared" si="55"/>
        <v>5400</v>
      </c>
      <c r="BC129" s="15">
        <f t="shared" si="56"/>
        <v>55440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1"/>
        <v>44</v>
      </c>
      <c r="AL130" s="26">
        <f t="shared" si="52"/>
        <v>82</v>
      </c>
      <c r="AM130" s="26">
        <f t="shared" si="53"/>
        <v>556</v>
      </c>
      <c r="AP130" s="68">
        <v>126</v>
      </c>
      <c r="AQ130" s="26">
        <v>10</v>
      </c>
      <c r="AR130" s="18">
        <v>15</v>
      </c>
      <c r="AS130" s="15">
        <f t="shared" si="60"/>
        <v>880</v>
      </c>
      <c r="AT130" s="15">
        <f t="shared" si="61"/>
        <v>2700</v>
      </c>
      <c r="AU130" s="15">
        <f t="shared" si="62"/>
        <v>27720</v>
      </c>
      <c r="AX130" s="68">
        <v>123</v>
      </c>
      <c r="AY130" s="26">
        <v>10</v>
      </c>
      <c r="AZ130" s="18">
        <v>15</v>
      </c>
      <c r="BA130" s="15">
        <f t="shared" si="54"/>
        <v>1760</v>
      </c>
      <c r="BB130" s="15">
        <f t="shared" si="55"/>
        <v>5400</v>
      </c>
      <c r="BC130" s="15">
        <f t="shared" si="56"/>
        <v>55440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1"/>
        <v>44</v>
      </c>
      <c r="AL131" s="26">
        <f t="shared" si="52"/>
        <v>84</v>
      </c>
      <c r="AM131" s="26">
        <f t="shared" si="53"/>
        <v>566</v>
      </c>
      <c r="AP131" s="68">
        <v>127</v>
      </c>
      <c r="AQ131" s="26">
        <v>11</v>
      </c>
      <c r="AR131" s="18">
        <v>1</v>
      </c>
      <c r="AS131" s="15">
        <f t="shared" si="60"/>
        <v>1060</v>
      </c>
      <c r="AT131" s="15">
        <f t="shared" si="61"/>
        <v>3300</v>
      </c>
      <c r="AU131" s="15">
        <f t="shared" si="62"/>
        <v>35775</v>
      </c>
      <c r="AX131" s="68">
        <v>124</v>
      </c>
      <c r="AY131" s="26">
        <v>11</v>
      </c>
      <c r="AZ131" s="18">
        <v>1</v>
      </c>
      <c r="BA131" s="15">
        <f t="shared" si="54"/>
        <v>2120</v>
      </c>
      <c r="BB131" s="15">
        <f t="shared" si="55"/>
        <v>6600</v>
      </c>
      <c r="BC131" s="15">
        <f t="shared" si="5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1"/>
        <v>44</v>
      </c>
      <c r="AL132" s="26">
        <f t="shared" si="52"/>
        <v>85</v>
      </c>
      <c r="AM132" s="26">
        <f t="shared" si="53"/>
        <v>576</v>
      </c>
      <c r="AP132" s="68">
        <v>128</v>
      </c>
      <c r="AQ132" s="26">
        <v>11</v>
      </c>
      <c r="AR132" s="18">
        <v>2</v>
      </c>
      <c r="AS132" s="15">
        <f t="shared" si="60"/>
        <v>1060</v>
      </c>
      <c r="AT132" s="15">
        <f t="shared" si="61"/>
        <v>3300</v>
      </c>
      <c r="AU132" s="15">
        <f t="shared" si="62"/>
        <v>35775</v>
      </c>
      <c r="AX132" s="68">
        <v>125</v>
      </c>
      <c r="AY132" s="26">
        <v>11</v>
      </c>
      <c r="AZ132" s="18">
        <v>2</v>
      </c>
      <c r="BA132" s="15">
        <f t="shared" si="54"/>
        <v>2120</v>
      </c>
      <c r="BB132" s="15">
        <f t="shared" si="55"/>
        <v>6600</v>
      </c>
      <c r="BC132" s="15">
        <f t="shared" si="5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3">INDEX($C$6:$C$20,AI133)</f>
        <v>44</v>
      </c>
      <c r="AL133" s="26">
        <f t="shared" ref="AL133:AL196" si="64">INT(INDEX($E$5:$E$20,AI133)+AJ133*INDEX($F$6:$F$20,AI133))</f>
        <v>86</v>
      </c>
      <c r="AM133" s="26">
        <f t="shared" si="53"/>
        <v>586</v>
      </c>
      <c r="AP133" s="68">
        <v>129</v>
      </c>
      <c r="AQ133" s="26">
        <v>11</v>
      </c>
      <c r="AR133" s="18">
        <v>3</v>
      </c>
      <c r="AS133" s="15">
        <f t="shared" si="60"/>
        <v>1060</v>
      </c>
      <c r="AT133" s="15">
        <f t="shared" si="61"/>
        <v>3300</v>
      </c>
      <c r="AU133" s="15">
        <f t="shared" si="62"/>
        <v>35775</v>
      </c>
      <c r="AX133" s="68">
        <v>126</v>
      </c>
      <c r="AY133" s="26">
        <v>11</v>
      </c>
      <c r="AZ133" s="18">
        <v>3</v>
      </c>
      <c r="BA133" s="15">
        <f t="shared" si="54"/>
        <v>2120</v>
      </c>
      <c r="BB133" s="15">
        <f t="shared" si="55"/>
        <v>6600</v>
      </c>
      <c r="BC133" s="15">
        <f t="shared" si="5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3"/>
        <v>44</v>
      </c>
      <c r="AL134" s="26">
        <f t="shared" si="64"/>
        <v>87</v>
      </c>
      <c r="AM134" s="26">
        <f t="shared" ref="AM134:AM197" si="65">INT(INDEX($H$5:$H$20,AI134)+AJ134*INDEX($I$6:$I$20,AI134))</f>
        <v>596</v>
      </c>
      <c r="AP134" s="68">
        <v>130</v>
      </c>
      <c r="AQ134" s="26">
        <v>11</v>
      </c>
      <c r="AR134" s="18">
        <v>4</v>
      </c>
      <c r="AS134" s="15">
        <f t="shared" si="60"/>
        <v>1060</v>
      </c>
      <c r="AT134" s="15">
        <f t="shared" si="61"/>
        <v>3300</v>
      </c>
      <c r="AU134" s="15">
        <f t="shared" si="62"/>
        <v>35775</v>
      </c>
      <c r="AX134" s="68">
        <v>127</v>
      </c>
      <c r="AY134" s="26">
        <v>11</v>
      </c>
      <c r="AZ134" s="18">
        <v>4</v>
      </c>
      <c r="BA134" s="15">
        <f t="shared" si="54"/>
        <v>2120</v>
      </c>
      <c r="BB134" s="15">
        <f t="shared" si="55"/>
        <v>6600</v>
      </c>
      <c r="BC134" s="15">
        <f t="shared" si="56"/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3"/>
        <v>44</v>
      </c>
      <c r="AL135" s="26">
        <f t="shared" si="64"/>
        <v>88</v>
      </c>
      <c r="AM135" s="26">
        <f t="shared" si="65"/>
        <v>606</v>
      </c>
      <c r="AP135" s="68">
        <v>131</v>
      </c>
      <c r="AQ135" s="26">
        <v>11</v>
      </c>
      <c r="AR135" s="18">
        <v>5</v>
      </c>
      <c r="AS135" s="15">
        <f t="shared" si="60"/>
        <v>1060</v>
      </c>
      <c r="AT135" s="15">
        <f t="shared" si="61"/>
        <v>3300</v>
      </c>
      <c r="AU135" s="15">
        <f t="shared" si="62"/>
        <v>35775</v>
      </c>
      <c r="AX135" s="68">
        <v>128</v>
      </c>
      <c r="AY135" s="26">
        <v>11</v>
      </c>
      <c r="AZ135" s="18">
        <v>5</v>
      </c>
      <c r="BA135" s="15">
        <f t="shared" si="54"/>
        <v>2120</v>
      </c>
      <c r="BB135" s="15">
        <f t="shared" si="55"/>
        <v>6600</v>
      </c>
      <c r="BC135" s="15">
        <f t="shared" si="56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3"/>
        <v>44</v>
      </c>
      <c r="AL136" s="26">
        <f t="shared" si="64"/>
        <v>90</v>
      </c>
      <c r="AM136" s="26">
        <f t="shared" si="65"/>
        <v>616</v>
      </c>
      <c r="AP136" s="68">
        <v>132</v>
      </c>
      <c r="AQ136" s="26">
        <v>11</v>
      </c>
      <c r="AR136" s="18">
        <v>6</v>
      </c>
      <c r="AS136" s="15">
        <f t="shared" si="60"/>
        <v>1060</v>
      </c>
      <c r="AT136" s="15">
        <f t="shared" si="61"/>
        <v>3300</v>
      </c>
      <c r="AU136" s="15">
        <f t="shared" si="62"/>
        <v>35775</v>
      </c>
      <c r="AX136" s="68">
        <v>129</v>
      </c>
      <c r="AY136" s="26">
        <v>11</v>
      </c>
      <c r="AZ136" s="18">
        <v>6</v>
      </c>
      <c r="BA136" s="15">
        <f t="shared" si="54"/>
        <v>2120</v>
      </c>
      <c r="BB136" s="15">
        <f t="shared" si="55"/>
        <v>6600</v>
      </c>
      <c r="BC136" s="15">
        <f t="shared" si="56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3"/>
        <v>53</v>
      </c>
      <c r="AL137" s="26">
        <f t="shared" si="64"/>
        <v>91</v>
      </c>
      <c r="AM137" s="26">
        <f t="shared" si="65"/>
        <v>627</v>
      </c>
      <c r="AP137" s="68">
        <v>133</v>
      </c>
      <c r="AQ137" s="26">
        <v>11</v>
      </c>
      <c r="AR137" s="18">
        <v>7</v>
      </c>
      <c r="AS137" s="15">
        <f t="shared" si="60"/>
        <v>1060</v>
      </c>
      <c r="AT137" s="15">
        <f t="shared" si="61"/>
        <v>3300</v>
      </c>
      <c r="AU137" s="15">
        <f t="shared" si="62"/>
        <v>35775</v>
      </c>
      <c r="AX137" s="68">
        <v>130</v>
      </c>
      <c r="AY137" s="26">
        <v>11</v>
      </c>
      <c r="AZ137" s="18">
        <v>7</v>
      </c>
      <c r="BA137" s="15">
        <f t="shared" si="54"/>
        <v>2120</v>
      </c>
      <c r="BB137" s="15">
        <f t="shared" si="55"/>
        <v>6600</v>
      </c>
      <c r="BC137" s="15">
        <f t="shared" si="56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3"/>
        <v>53</v>
      </c>
      <c r="AL138" s="26">
        <f t="shared" si="64"/>
        <v>92</v>
      </c>
      <c r="AM138" s="26">
        <f t="shared" si="65"/>
        <v>639</v>
      </c>
      <c r="AP138" s="68">
        <v>134</v>
      </c>
      <c r="AQ138" s="26">
        <v>11</v>
      </c>
      <c r="AR138" s="18">
        <v>8</v>
      </c>
      <c r="AS138" s="15">
        <f t="shared" si="60"/>
        <v>1060</v>
      </c>
      <c r="AT138" s="15">
        <f t="shared" si="61"/>
        <v>3300</v>
      </c>
      <c r="AU138" s="15">
        <f t="shared" si="62"/>
        <v>35775</v>
      </c>
      <c r="AX138" s="68">
        <v>131</v>
      </c>
      <c r="AY138" s="26">
        <v>11</v>
      </c>
      <c r="AZ138" s="18">
        <v>8</v>
      </c>
      <c r="BA138" s="15">
        <f t="shared" si="54"/>
        <v>2120</v>
      </c>
      <c r="BB138" s="15">
        <f t="shared" si="55"/>
        <v>6600</v>
      </c>
      <c r="BC138" s="15">
        <f t="shared" si="56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3"/>
        <v>53</v>
      </c>
      <c r="AL139" s="26">
        <f t="shared" si="64"/>
        <v>94</v>
      </c>
      <c r="AM139" s="26">
        <f t="shared" si="65"/>
        <v>651</v>
      </c>
      <c r="AP139" s="68">
        <v>135</v>
      </c>
      <c r="AQ139" s="26">
        <v>11</v>
      </c>
      <c r="AR139" s="18">
        <v>9</v>
      </c>
      <c r="AS139" s="15">
        <f t="shared" si="60"/>
        <v>1060</v>
      </c>
      <c r="AT139" s="15">
        <f t="shared" si="61"/>
        <v>3300</v>
      </c>
      <c r="AU139" s="15">
        <f t="shared" si="62"/>
        <v>35775</v>
      </c>
      <c r="AX139" s="68">
        <v>132</v>
      </c>
      <c r="AY139" s="26">
        <v>11</v>
      </c>
      <c r="AZ139" s="18">
        <v>9</v>
      </c>
      <c r="BA139" s="15">
        <f t="shared" si="54"/>
        <v>2120</v>
      </c>
      <c r="BB139" s="15">
        <f t="shared" si="55"/>
        <v>6600</v>
      </c>
      <c r="BC139" s="15">
        <f t="shared" si="56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3"/>
        <v>53</v>
      </c>
      <c r="AL140" s="26">
        <f t="shared" si="64"/>
        <v>95</v>
      </c>
      <c r="AM140" s="26">
        <f t="shared" si="65"/>
        <v>663</v>
      </c>
      <c r="AP140" s="68">
        <v>136</v>
      </c>
      <c r="AQ140" s="26">
        <v>11</v>
      </c>
      <c r="AR140" s="18">
        <v>10</v>
      </c>
      <c r="AS140" s="15">
        <f t="shared" si="60"/>
        <v>1060</v>
      </c>
      <c r="AT140" s="15">
        <f t="shared" si="61"/>
        <v>3300</v>
      </c>
      <c r="AU140" s="15">
        <f t="shared" si="62"/>
        <v>35775</v>
      </c>
      <c r="AX140" s="68">
        <v>133</v>
      </c>
      <c r="AY140" s="26">
        <v>11</v>
      </c>
      <c r="AZ140" s="18">
        <v>10</v>
      </c>
      <c r="BA140" s="15">
        <f t="shared" ref="BA140:BA203" si="66">INDEX($Y$6:$Y$20,AY140)</f>
        <v>2120</v>
      </c>
      <c r="BB140" s="15">
        <f t="shared" ref="BB140:BB203" si="67">INDEX($AA$6:$AA$20,AY140)</f>
        <v>6600</v>
      </c>
      <c r="BC140" s="15">
        <f t="shared" ref="BC140:BC203" si="68">INDEX($AC$6:$AC$20,AY140)</f>
        <v>71550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3"/>
        <v>53</v>
      </c>
      <c r="AL141" s="26">
        <f t="shared" si="64"/>
        <v>96</v>
      </c>
      <c r="AM141" s="26">
        <f t="shared" si="65"/>
        <v>675</v>
      </c>
      <c r="AP141" s="68">
        <v>137</v>
      </c>
      <c r="AQ141" s="26">
        <v>11</v>
      </c>
      <c r="AR141" s="18">
        <v>11</v>
      </c>
      <c r="AS141" s="15">
        <f t="shared" si="60"/>
        <v>1060</v>
      </c>
      <c r="AT141" s="15">
        <f t="shared" si="61"/>
        <v>3300</v>
      </c>
      <c r="AU141" s="15">
        <f t="shared" si="62"/>
        <v>35775</v>
      </c>
      <c r="AX141" s="68">
        <v>134</v>
      </c>
      <c r="AY141" s="26">
        <v>11</v>
      </c>
      <c r="AZ141" s="18">
        <v>11</v>
      </c>
      <c r="BA141" s="15">
        <f t="shared" si="66"/>
        <v>2120</v>
      </c>
      <c r="BB141" s="15">
        <f t="shared" si="67"/>
        <v>6600</v>
      </c>
      <c r="BC141" s="15">
        <f t="shared" si="68"/>
        <v>71550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3"/>
        <v>53</v>
      </c>
      <c r="AL142" s="26">
        <f t="shared" si="64"/>
        <v>98</v>
      </c>
      <c r="AM142" s="26">
        <f t="shared" si="65"/>
        <v>687</v>
      </c>
      <c r="AP142" s="68">
        <v>138</v>
      </c>
      <c r="AQ142" s="26">
        <v>11</v>
      </c>
      <c r="AR142" s="18">
        <v>12</v>
      </c>
      <c r="AS142" s="15">
        <f t="shared" si="60"/>
        <v>1060</v>
      </c>
      <c r="AT142" s="15">
        <f t="shared" si="61"/>
        <v>3300</v>
      </c>
      <c r="AU142" s="15">
        <f t="shared" si="62"/>
        <v>35775</v>
      </c>
      <c r="AX142" s="68">
        <v>135</v>
      </c>
      <c r="AY142" s="26">
        <v>11</v>
      </c>
      <c r="AZ142" s="18">
        <v>12</v>
      </c>
      <c r="BA142" s="15">
        <f t="shared" si="66"/>
        <v>2120</v>
      </c>
      <c r="BB142" s="15">
        <f t="shared" si="67"/>
        <v>6600</v>
      </c>
      <c r="BC142" s="15">
        <f t="shared" si="68"/>
        <v>71550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3"/>
        <v>53</v>
      </c>
      <c r="AL143" s="26">
        <f t="shared" si="64"/>
        <v>99</v>
      </c>
      <c r="AM143" s="26">
        <f t="shared" si="65"/>
        <v>699</v>
      </c>
      <c r="AP143" s="68">
        <v>139</v>
      </c>
      <c r="AQ143" s="26">
        <v>11</v>
      </c>
      <c r="AR143" s="18">
        <v>13</v>
      </c>
      <c r="AS143" s="15">
        <f t="shared" si="60"/>
        <v>1060</v>
      </c>
      <c r="AT143" s="15">
        <f t="shared" si="61"/>
        <v>3300</v>
      </c>
      <c r="AU143" s="15">
        <f t="shared" si="62"/>
        <v>35775</v>
      </c>
      <c r="AX143" s="68">
        <v>136</v>
      </c>
      <c r="AY143" s="26">
        <v>11</v>
      </c>
      <c r="AZ143" s="18">
        <v>13</v>
      </c>
      <c r="BA143" s="15">
        <f t="shared" si="66"/>
        <v>2120</v>
      </c>
      <c r="BB143" s="15">
        <f t="shared" si="67"/>
        <v>6600</v>
      </c>
      <c r="BC143" s="15">
        <f t="shared" si="68"/>
        <v>71550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3"/>
        <v>53</v>
      </c>
      <c r="AL144" s="26">
        <f t="shared" si="64"/>
        <v>100</v>
      </c>
      <c r="AM144" s="26">
        <f t="shared" si="65"/>
        <v>711</v>
      </c>
      <c r="AP144" s="68">
        <v>140</v>
      </c>
      <c r="AQ144" s="26">
        <v>11</v>
      </c>
      <c r="AR144" s="18">
        <v>14</v>
      </c>
      <c r="AS144" s="15">
        <f t="shared" si="60"/>
        <v>1060</v>
      </c>
      <c r="AT144" s="15">
        <f t="shared" si="61"/>
        <v>3300</v>
      </c>
      <c r="AU144" s="15">
        <f t="shared" si="62"/>
        <v>35775</v>
      </c>
      <c r="AX144" s="68">
        <v>137</v>
      </c>
      <c r="AY144" s="26">
        <v>11</v>
      </c>
      <c r="AZ144" s="18">
        <v>14</v>
      </c>
      <c r="BA144" s="15">
        <f t="shared" si="66"/>
        <v>2120</v>
      </c>
      <c r="BB144" s="15">
        <f t="shared" si="67"/>
        <v>6600</v>
      </c>
      <c r="BC144" s="15">
        <f t="shared" si="68"/>
        <v>71550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3"/>
        <v>53</v>
      </c>
      <c r="AL145" s="26">
        <f t="shared" si="64"/>
        <v>102</v>
      </c>
      <c r="AM145" s="26">
        <f t="shared" si="65"/>
        <v>723</v>
      </c>
      <c r="AP145" s="68">
        <v>141</v>
      </c>
      <c r="AQ145" s="26">
        <v>11</v>
      </c>
      <c r="AR145" s="18">
        <v>15</v>
      </c>
      <c r="AS145" s="15">
        <f t="shared" si="60"/>
        <v>1060</v>
      </c>
      <c r="AT145" s="15">
        <f t="shared" si="61"/>
        <v>3300</v>
      </c>
      <c r="AU145" s="15">
        <f t="shared" si="62"/>
        <v>35775</v>
      </c>
      <c r="AX145" s="68">
        <v>138</v>
      </c>
      <c r="AY145" s="26">
        <v>11</v>
      </c>
      <c r="AZ145" s="18">
        <v>15</v>
      </c>
      <c r="BA145" s="15">
        <f t="shared" si="66"/>
        <v>2120</v>
      </c>
      <c r="BB145" s="15">
        <f t="shared" si="67"/>
        <v>6600</v>
      </c>
      <c r="BC145" s="15">
        <f t="shared" si="68"/>
        <v>71550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3"/>
        <v>53</v>
      </c>
      <c r="AL146" s="26">
        <f t="shared" si="64"/>
        <v>103</v>
      </c>
      <c r="AM146" s="26">
        <f t="shared" si="65"/>
        <v>735</v>
      </c>
      <c r="AP146" s="68">
        <v>142</v>
      </c>
      <c r="AQ146" s="26">
        <v>12</v>
      </c>
      <c r="AR146" s="18">
        <v>1</v>
      </c>
      <c r="AS146" s="15">
        <f t="shared" si="60"/>
        <v>1300</v>
      </c>
      <c r="AT146" s="15">
        <f t="shared" si="61"/>
        <v>3900</v>
      </c>
      <c r="AU146" s="15">
        <f t="shared" si="62"/>
        <v>46800</v>
      </c>
      <c r="AX146" s="68">
        <v>139</v>
      </c>
      <c r="AY146" s="26">
        <v>12</v>
      </c>
      <c r="AZ146" s="18">
        <v>1</v>
      </c>
      <c r="BA146" s="15">
        <f t="shared" si="66"/>
        <v>2600</v>
      </c>
      <c r="BB146" s="15">
        <f t="shared" si="67"/>
        <v>7800</v>
      </c>
      <c r="BC146" s="15">
        <f t="shared" si="68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3"/>
        <v>53</v>
      </c>
      <c r="AL147" s="26">
        <f t="shared" si="64"/>
        <v>104</v>
      </c>
      <c r="AM147" s="26">
        <f t="shared" si="65"/>
        <v>747</v>
      </c>
      <c r="AP147" s="68">
        <v>143</v>
      </c>
      <c r="AQ147" s="26">
        <v>12</v>
      </c>
      <c r="AR147" s="18">
        <v>2</v>
      </c>
      <c r="AS147" s="15">
        <f t="shared" si="60"/>
        <v>1300</v>
      </c>
      <c r="AT147" s="15">
        <f t="shared" si="61"/>
        <v>3900</v>
      </c>
      <c r="AU147" s="15">
        <f t="shared" si="62"/>
        <v>46800</v>
      </c>
      <c r="AX147" s="68">
        <v>140</v>
      </c>
      <c r="AY147" s="26">
        <v>12</v>
      </c>
      <c r="AZ147" s="18">
        <v>2</v>
      </c>
      <c r="BA147" s="15">
        <f t="shared" si="66"/>
        <v>2600</v>
      </c>
      <c r="BB147" s="15">
        <f t="shared" si="67"/>
        <v>7800</v>
      </c>
      <c r="BC147" s="15">
        <f t="shared" si="68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3"/>
        <v>53</v>
      </c>
      <c r="AL148" s="26">
        <f t="shared" si="64"/>
        <v>106</v>
      </c>
      <c r="AM148" s="26">
        <f t="shared" si="65"/>
        <v>759</v>
      </c>
      <c r="AP148" s="68">
        <v>144</v>
      </c>
      <c r="AQ148" s="26">
        <v>12</v>
      </c>
      <c r="AR148" s="18">
        <v>3</v>
      </c>
      <c r="AS148" s="15">
        <f t="shared" si="60"/>
        <v>1300</v>
      </c>
      <c r="AT148" s="15">
        <f t="shared" si="61"/>
        <v>3900</v>
      </c>
      <c r="AU148" s="15">
        <f t="shared" si="62"/>
        <v>46800</v>
      </c>
      <c r="AX148" s="68">
        <v>141</v>
      </c>
      <c r="AY148" s="26">
        <v>12</v>
      </c>
      <c r="AZ148" s="18">
        <v>3</v>
      </c>
      <c r="BA148" s="15">
        <f t="shared" si="66"/>
        <v>2600</v>
      </c>
      <c r="BB148" s="15">
        <f t="shared" si="67"/>
        <v>7800</v>
      </c>
      <c r="BC148" s="15">
        <f t="shared" si="68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3"/>
        <v>53</v>
      </c>
      <c r="AL149" s="26">
        <f t="shared" si="64"/>
        <v>107</v>
      </c>
      <c r="AM149" s="26">
        <f t="shared" si="65"/>
        <v>771</v>
      </c>
      <c r="AP149" s="68">
        <v>145</v>
      </c>
      <c r="AQ149" s="26">
        <v>12</v>
      </c>
      <c r="AR149" s="18">
        <v>4</v>
      </c>
      <c r="AS149" s="15">
        <f t="shared" si="60"/>
        <v>1300</v>
      </c>
      <c r="AT149" s="15">
        <f t="shared" si="61"/>
        <v>3900</v>
      </c>
      <c r="AU149" s="15">
        <f t="shared" si="62"/>
        <v>46800</v>
      </c>
      <c r="AX149" s="68">
        <v>142</v>
      </c>
      <c r="AY149" s="26">
        <v>12</v>
      </c>
      <c r="AZ149" s="18">
        <v>4</v>
      </c>
      <c r="BA149" s="15">
        <f t="shared" si="66"/>
        <v>2600</v>
      </c>
      <c r="BB149" s="15">
        <f t="shared" si="67"/>
        <v>7800</v>
      </c>
      <c r="BC149" s="15">
        <f t="shared" si="68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3"/>
        <v>53</v>
      </c>
      <c r="AL150" s="26">
        <f t="shared" si="64"/>
        <v>108</v>
      </c>
      <c r="AM150" s="26">
        <f t="shared" si="65"/>
        <v>783</v>
      </c>
      <c r="AP150" s="68">
        <v>146</v>
      </c>
      <c r="AQ150" s="26">
        <v>12</v>
      </c>
      <c r="AR150" s="18">
        <v>5</v>
      </c>
      <c r="AS150" s="15">
        <f t="shared" si="60"/>
        <v>1300</v>
      </c>
      <c r="AT150" s="15">
        <f t="shared" si="61"/>
        <v>3900</v>
      </c>
      <c r="AU150" s="15">
        <f t="shared" si="62"/>
        <v>46800</v>
      </c>
      <c r="AX150" s="68">
        <v>143</v>
      </c>
      <c r="AY150" s="26">
        <v>12</v>
      </c>
      <c r="AZ150" s="18">
        <v>5</v>
      </c>
      <c r="BA150" s="15">
        <f t="shared" si="66"/>
        <v>2600</v>
      </c>
      <c r="BB150" s="15">
        <f t="shared" si="67"/>
        <v>7800</v>
      </c>
      <c r="BC150" s="15">
        <f t="shared" si="68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3"/>
        <v>53</v>
      </c>
      <c r="AL151" s="26">
        <f t="shared" si="64"/>
        <v>110</v>
      </c>
      <c r="AM151" s="26">
        <f t="shared" si="65"/>
        <v>795</v>
      </c>
      <c r="AP151" s="68">
        <v>147</v>
      </c>
      <c r="AQ151" s="26">
        <v>12</v>
      </c>
      <c r="AR151" s="18">
        <v>6</v>
      </c>
      <c r="AS151" s="15">
        <f t="shared" si="60"/>
        <v>1300</v>
      </c>
      <c r="AT151" s="15">
        <f t="shared" si="61"/>
        <v>3900</v>
      </c>
      <c r="AU151" s="15">
        <f t="shared" si="62"/>
        <v>46800</v>
      </c>
      <c r="AX151" s="68">
        <v>144</v>
      </c>
      <c r="AY151" s="26">
        <v>12</v>
      </c>
      <c r="AZ151" s="18">
        <v>6</v>
      </c>
      <c r="BA151" s="15">
        <f t="shared" si="66"/>
        <v>2600</v>
      </c>
      <c r="BB151" s="15">
        <f t="shared" si="67"/>
        <v>7800</v>
      </c>
      <c r="BC151" s="15">
        <f t="shared" si="68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3"/>
        <v>65</v>
      </c>
      <c r="AL152" s="26">
        <f t="shared" si="64"/>
        <v>111</v>
      </c>
      <c r="AM152" s="26">
        <f t="shared" si="65"/>
        <v>811</v>
      </c>
      <c r="AP152" s="68">
        <v>148</v>
      </c>
      <c r="AQ152" s="26">
        <v>12</v>
      </c>
      <c r="AR152" s="18">
        <v>7</v>
      </c>
      <c r="AS152" s="15">
        <f t="shared" si="60"/>
        <v>1300</v>
      </c>
      <c r="AT152" s="15">
        <f t="shared" si="61"/>
        <v>3900</v>
      </c>
      <c r="AU152" s="15">
        <f t="shared" si="62"/>
        <v>46800</v>
      </c>
      <c r="AX152" s="68">
        <v>145</v>
      </c>
      <c r="AY152" s="26">
        <v>12</v>
      </c>
      <c r="AZ152" s="18">
        <v>7</v>
      </c>
      <c r="BA152" s="15">
        <f t="shared" si="66"/>
        <v>2600</v>
      </c>
      <c r="BB152" s="15">
        <f t="shared" si="67"/>
        <v>7800</v>
      </c>
      <c r="BC152" s="15">
        <f t="shared" si="68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3"/>
        <v>65</v>
      </c>
      <c r="AL153" s="26">
        <f t="shared" si="64"/>
        <v>112</v>
      </c>
      <c r="AM153" s="26">
        <f t="shared" si="65"/>
        <v>827</v>
      </c>
      <c r="AP153" s="68">
        <v>149</v>
      </c>
      <c r="AQ153" s="26">
        <v>12</v>
      </c>
      <c r="AR153" s="18">
        <v>8</v>
      </c>
      <c r="AS153" s="15">
        <f t="shared" si="60"/>
        <v>1300</v>
      </c>
      <c r="AT153" s="15">
        <f t="shared" si="61"/>
        <v>3900</v>
      </c>
      <c r="AU153" s="15">
        <f t="shared" si="62"/>
        <v>46800</v>
      </c>
      <c r="AX153" s="68">
        <v>146</v>
      </c>
      <c r="AY153" s="26">
        <v>12</v>
      </c>
      <c r="AZ153" s="18">
        <v>8</v>
      </c>
      <c r="BA153" s="15">
        <f t="shared" si="66"/>
        <v>2600</v>
      </c>
      <c r="BB153" s="15">
        <f t="shared" si="67"/>
        <v>7800</v>
      </c>
      <c r="BC153" s="15">
        <f t="shared" si="68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3"/>
        <v>65</v>
      </c>
      <c r="AL154" s="26">
        <f t="shared" si="64"/>
        <v>114</v>
      </c>
      <c r="AM154" s="26">
        <f t="shared" si="65"/>
        <v>844</v>
      </c>
      <c r="AP154" s="68">
        <v>150</v>
      </c>
      <c r="AQ154" s="26">
        <v>12</v>
      </c>
      <c r="AR154" s="18">
        <v>9</v>
      </c>
      <c r="AS154" s="15">
        <f t="shared" si="60"/>
        <v>1300</v>
      </c>
      <c r="AT154" s="15">
        <f t="shared" si="61"/>
        <v>3900</v>
      </c>
      <c r="AU154" s="15">
        <f t="shared" si="62"/>
        <v>46800</v>
      </c>
      <c r="AX154" s="68">
        <v>147</v>
      </c>
      <c r="AY154" s="26">
        <v>12</v>
      </c>
      <c r="AZ154" s="18">
        <v>9</v>
      </c>
      <c r="BA154" s="15">
        <f t="shared" si="66"/>
        <v>2600</v>
      </c>
      <c r="BB154" s="15">
        <f t="shared" si="67"/>
        <v>7800</v>
      </c>
      <c r="BC154" s="15">
        <f t="shared" si="68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3"/>
        <v>65</v>
      </c>
      <c r="AL155" s="26">
        <f t="shared" si="64"/>
        <v>115</v>
      </c>
      <c r="AM155" s="26">
        <f t="shared" si="65"/>
        <v>860</v>
      </c>
      <c r="AP155" s="68">
        <v>151</v>
      </c>
      <c r="AQ155" s="26">
        <v>12</v>
      </c>
      <c r="AR155" s="18">
        <v>10</v>
      </c>
      <c r="AS155" s="15">
        <f t="shared" si="60"/>
        <v>1300</v>
      </c>
      <c r="AT155" s="15">
        <f t="shared" si="61"/>
        <v>3900</v>
      </c>
      <c r="AU155" s="15">
        <f t="shared" si="62"/>
        <v>46800</v>
      </c>
      <c r="AX155" s="68">
        <v>148</v>
      </c>
      <c r="AY155" s="26">
        <v>12</v>
      </c>
      <c r="AZ155" s="18">
        <v>10</v>
      </c>
      <c r="BA155" s="15">
        <f t="shared" si="66"/>
        <v>2600</v>
      </c>
      <c r="BB155" s="15">
        <f t="shared" si="67"/>
        <v>7800</v>
      </c>
      <c r="BC155" s="15">
        <f t="shared" si="68"/>
        <v>93600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3"/>
        <v>65</v>
      </c>
      <c r="AL156" s="26">
        <f t="shared" si="64"/>
        <v>116</v>
      </c>
      <c r="AM156" s="26">
        <f t="shared" si="65"/>
        <v>876</v>
      </c>
      <c r="AP156" s="68">
        <v>152</v>
      </c>
      <c r="AQ156" s="26">
        <v>12</v>
      </c>
      <c r="AR156" s="18">
        <v>11</v>
      </c>
      <c r="AS156" s="15">
        <f t="shared" si="60"/>
        <v>1300</v>
      </c>
      <c r="AT156" s="15">
        <f t="shared" si="61"/>
        <v>3900</v>
      </c>
      <c r="AU156" s="15">
        <f t="shared" si="62"/>
        <v>46800</v>
      </c>
      <c r="AX156" s="68">
        <v>149</v>
      </c>
      <c r="AY156" s="26">
        <v>12</v>
      </c>
      <c r="AZ156" s="18">
        <v>11</v>
      </c>
      <c r="BA156" s="15">
        <f t="shared" si="66"/>
        <v>2600</v>
      </c>
      <c r="BB156" s="15">
        <f t="shared" si="67"/>
        <v>7800</v>
      </c>
      <c r="BC156" s="15">
        <f t="shared" si="68"/>
        <v>93600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3"/>
        <v>65</v>
      </c>
      <c r="AL157" s="26">
        <f t="shared" si="64"/>
        <v>118</v>
      </c>
      <c r="AM157" s="26">
        <f t="shared" si="65"/>
        <v>893</v>
      </c>
      <c r="AP157" s="68">
        <v>153</v>
      </c>
      <c r="AQ157" s="26">
        <v>12</v>
      </c>
      <c r="AR157" s="18">
        <v>12</v>
      </c>
      <c r="AS157" s="15">
        <f t="shared" si="60"/>
        <v>1300</v>
      </c>
      <c r="AT157" s="15">
        <f t="shared" si="61"/>
        <v>3900</v>
      </c>
      <c r="AU157" s="15">
        <f t="shared" si="62"/>
        <v>46800</v>
      </c>
      <c r="AX157" s="68">
        <v>150</v>
      </c>
      <c r="AY157" s="26">
        <v>12</v>
      </c>
      <c r="AZ157" s="18">
        <v>12</v>
      </c>
      <c r="BA157" s="15">
        <f t="shared" si="66"/>
        <v>2600</v>
      </c>
      <c r="BB157" s="15">
        <f t="shared" si="67"/>
        <v>7800</v>
      </c>
      <c r="BC157" s="15">
        <f t="shared" si="68"/>
        <v>93600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3"/>
        <v>65</v>
      </c>
      <c r="AL158" s="26">
        <f t="shared" si="64"/>
        <v>119</v>
      </c>
      <c r="AM158" s="26">
        <f t="shared" si="65"/>
        <v>909</v>
      </c>
      <c r="AP158" s="68">
        <v>154</v>
      </c>
      <c r="AQ158" s="26">
        <v>12</v>
      </c>
      <c r="AR158" s="18">
        <v>13</v>
      </c>
      <c r="AS158" s="15">
        <f t="shared" si="60"/>
        <v>1300</v>
      </c>
      <c r="AT158" s="15">
        <f t="shared" si="61"/>
        <v>3900</v>
      </c>
      <c r="AU158" s="15">
        <f t="shared" si="62"/>
        <v>46800</v>
      </c>
      <c r="AX158" s="68">
        <v>151</v>
      </c>
      <c r="AY158" s="26">
        <v>12</v>
      </c>
      <c r="AZ158" s="18">
        <v>13</v>
      </c>
      <c r="BA158" s="15">
        <f t="shared" si="66"/>
        <v>2600</v>
      </c>
      <c r="BB158" s="15">
        <f t="shared" si="67"/>
        <v>7800</v>
      </c>
      <c r="BC158" s="15">
        <f t="shared" si="68"/>
        <v>93600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3"/>
        <v>65</v>
      </c>
      <c r="AL159" s="26">
        <f t="shared" si="64"/>
        <v>120</v>
      </c>
      <c r="AM159" s="26">
        <f t="shared" si="65"/>
        <v>925</v>
      </c>
      <c r="AP159" s="68">
        <v>155</v>
      </c>
      <c r="AQ159" s="26">
        <v>12</v>
      </c>
      <c r="AR159" s="18">
        <v>14</v>
      </c>
      <c r="AS159" s="15">
        <f t="shared" si="60"/>
        <v>1300</v>
      </c>
      <c r="AT159" s="15">
        <f t="shared" si="61"/>
        <v>3900</v>
      </c>
      <c r="AU159" s="15">
        <f t="shared" si="62"/>
        <v>46800</v>
      </c>
      <c r="AX159" s="68">
        <v>152</v>
      </c>
      <c r="AY159" s="26">
        <v>12</v>
      </c>
      <c r="AZ159" s="18">
        <v>14</v>
      </c>
      <c r="BA159" s="15">
        <f t="shared" si="66"/>
        <v>2600</v>
      </c>
      <c r="BB159" s="15">
        <f t="shared" si="67"/>
        <v>7800</v>
      </c>
      <c r="BC159" s="15">
        <f t="shared" si="68"/>
        <v>93600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3"/>
        <v>65</v>
      </c>
      <c r="AL160" s="26">
        <f t="shared" si="64"/>
        <v>122</v>
      </c>
      <c r="AM160" s="26">
        <f t="shared" si="65"/>
        <v>942</v>
      </c>
      <c r="AP160" s="68">
        <v>156</v>
      </c>
      <c r="AQ160" s="26">
        <v>12</v>
      </c>
      <c r="AR160" s="18">
        <v>15</v>
      </c>
      <c r="AS160" s="15">
        <f t="shared" ref="AS160:AS191" si="69">INDEX($N$6:$N$20,AQ160)</f>
        <v>1300</v>
      </c>
      <c r="AT160" s="15">
        <f t="shared" ref="AT160:AT191" si="70">INDEX($P$6:$P$20,AQ160)</f>
        <v>3900</v>
      </c>
      <c r="AU160" s="15">
        <f t="shared" ref="AU160:AU191" si="71">INDEX($R$6:$R$20,AQ160)</f>
        <v>46800</v>
      </c>
      <c r="AX160" s="68">
        <v>153</v>
      </c>
      <c r="AY160" s="26">
        <v>12</v>
      </c>
      <c r="AZ160" s="18">
        <v>15</v>
      </c>
      <c r="BA160" s="15">
        <f t="shared" si="66"/>
        <v>2600</v>
      </c>
      <c r="BB160" s="15">
        <f t="shared" si="67"/>
        <v>7800</v>
      </c>
      <c r="BC160" s="15">
        <f t="shared" si="68"/>
        <v>93600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3"/>
        <v>65</v>
      </c>
      <c r="AL161" s="26">
        <f t="shared" si="64"/>
        <v>123</v>
      </c>
      <c r="AM161" s="26">
        <f t="shared" si="65"/>
        <v>958</v>
      </c>
      <c r="AP161" s="68">
        <v>157</v>
      </c>
      <c r="AQ161" s="26">
        <v>13</v>
      </c>
      <c r="AR161" s="18">
        <v>1</v>
      </c>
      <c r="AS161" s="15">
        <f t="shared" si="69"/>
        <v>1600</v>
      </c>
      <c r="AT161" s="15">
        <f t="shared" si="70"/>
        <v>4500</v>
      </c>
      <c r="AU161" s="15">
        <f t="shared" si="71"/>
        <v>61200</v>
      </c>
      <c r="AX161" s="68">
        <v>154</v>
      </c>
      <c r="AY161" s="26">
        <v>13</v>
      </c>
      <c r="AZ161" s="18">
        <v>1</v>
      </c>
      <c r="BA161" s="15">
        <f t="shared" si="66"/>
        <v>3200</v>
      </c>
      <c r="BB161" s="15">
        <f t="shared" si="67"/>
        <v>9000</v>
      </c>
      <c r="BC161" s="15">
        <f t="shared" si="68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3"/>
        <v>65</v>
      </c>
      <c r="AL162" s="26">
        <f t="shared" si="64"/>
        <v>124</v>
      </c>
      <c r="AM162" s="26">
        <f t="shared" si="65"/>
        <v>974</v>
      </c>
      <c r="AP162" s="68">
        <v>158</v>
      </c>
      <c r="AQ162" s="26">
        <v>13</v>
      </c>
      <c r="AR162" s="18">
        <v>2</v>
      </c>
      <c r="AS162" s="15">
        <f t="shared" si="69"/>
        <v>1600</v>
      </c>
      <c r="AT162" s="15">
        <f t="shared" si="70"/>
        <v>4500</v>
      </c>
      <c r="AU162" s="15">
        <f t="shared" si="71"/>
        <v>61200</v>
      </c>
      <c r="AX162" s="68">
        <v>155</v>
      </c>
      <c r="AY162" s="26">
        <v>13</v>
      </c>
      <c r="AZ162" s="18">
        <v>2</v>
      </c>
      <c r="BA162" s="15">
        <f t="shared" si="66"/>
        <v>3200</v>
      </c>
      <c r="BB162" s="15">
        <f t="shared" si="67"/>
        <v>9000</v>
      </c>
      <c r="BC162" s="15">
        <f t="shared" si="68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3"/>
        <v>65</v>
      </c>
      <c r="AL163" s="26">
        <f t="shared" si="64"/>
        <v>126</v>
      </c>
      <c r="AM163" s="26">
        <f t="shared" si="65"/>
        <v>991</v>
      </c>
      <c r="AP163" s="68">
        <v>159</v>
      </c>
      <c r="AQ163" s="26">
        <v>13</v>
      </c>
      <c r="AR163" s="18">
        <v>3</v>
      </c>
      <c r="AS163" s="15">
        <f t="shared" si="69"/>
        <v>1600</v>
      </c>
      <c r="AT163" s="15">
        <f t="shared" si="70"/>
        <v>4500</v>
      </c>
      <c r="AU163" s="15">
        <f t="shared" si="71"/>
        <v>61200</v>
      </c>
      <c r="AX163" s="68">
        <v>156</v>
      </c>
      <c r="AY163" s="26">
        <v>13</v>
      </c>
      <c r="AZ163" s="18">
        <v>3</v>
      </c>
      <c r="BA163" s="15">
        <f t="shared" si="66"/>
        <v>3200</v>
      </c>
      <c r="BB163" s="15">
        <f t="shared" si="67"/>
        <v>9000</v>
      </c>
      <c r="BC163" s="15">
        <f t="shared" si="68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3"/>
        <v>65</v>
      </c>
      <c r="AL164" s="26">
        <f t="shared" si="64"/>
        <v>127</v>
      </c>
      <c r="AM164" s="26">
        <f t="shared" si="65"/>
        <v>1007</v>
      </c>
      <c r="AP164" s="68">
        <v>160</v>
      </c>
      <c r="AQ164" s="26">
        <v>13</v>
      </c>
      <c r="AR164" s="18">
        <v>4</v>
      </c>
      <c r="AS164" s="15">
        <f t="shared" si="69"/>
        <v>1600</v>
      </c>
      <c r="AT164" s="15">
        <f t="shared" si="70"/>
        <v>4500</v>
      </c>
      <c r="AU164" s="15">
        <f t="shared" si="71"/>
        <v>61200</v>
      </c>
      <c r="AX164" s="68">
        <v>157</v>
      </c>
      <c r="AY164" s="26">
        <v>13</v>
      </c>
      <c r="AZ164" s="18">
        <v>4</v>
      </c>
      <c r="BA164" s="15">
        <f t="shared" si="66"/>
        <v>3200</v>
      </c>
      <c r="BB164" s="15">
        <f t="shared" si="67"/>
        <v>9000</v>
      </c>
      <c r="BC164" s="15">
        <f t="shared" si="68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3"/>
        <v>65</v>
      </c>
      <c r="AL165" s="26">
        <f t="shared" si="64"/>
        <v>128</v>
      </c>
      <c r="AM165" s="26">
        <f t="shared" si="65"/>
        <v>1023</v>
      </c>
      <c r="AP165" s="68">
        <v>161</v>
      </c>
      <c r="AQ165" s="26">
        <v>13</v>
      </c>
      <c r="AR165" s="18">
        <v>5</v>
      </c>
      <c r="AS165" s="15">
        <f t="shared" si="69"/>
        <v>1600</v>
      </c>
      <c r="AT165" s="15">
        <f t="shared" si="70"/>
        <v>4500</v>
      </c>
      <c r="AU165" s="15">
        <f t="shared" si="71"/>
        <v>61200</v>
      </c>
      <c r="AX165" s="68">
        <v>158</v>
      </c>
      <c r="AY165" s="26">
        <v>13</v>
      </c>
      <c r="AZ165" s="18">
        <v>5</v>
      </c>
      <c r="BA165" s="15">
        <f t="shared" si="66"/>
        <v>3200</v>
      </c>
      <c r="BB165" s="15">
        <f t="shared" si="67"/>
        <v>9000</v>
      </c>
      <c r="BC165" s="15">
        <f t="shared" si="68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3"/>
        <v>65</v>
      </c>
      <c r="AL166" s="26">
        <f t="shared" si="64"/>
        <v>130</v>
      </c>
      <c r="AM166" s="26">
        <f t="shared" si="65"/>
        <v>1040</v>
      </c>
      <c r="AP166" s="68">
        <v>162</v>
      </c>
      <c r="AQ166" s="26">
        <v>13</v>
      </c>
      <c r="AR166" s="18">
        <v>6</v>
      </c>
      <c r="AS166" s="15">
        <f t="shared" si="69"/>
        <v>1600</v>
      </c>
      <c r="AT166" s="15">
        <f t="shared" si="70"/>
        <v>4500</v>
      </c>
      <c r="AU166" s="15">
        <f t="shared" si="71"/>
        <v>61200</v>
      </c>
      <c r="AX166" s="68">
        <v>159</v>
      </c>
      <c r="AY166" s="26">
        <v>13</v>
      </c>
      <c r="AZ166" s="18">
        <v>6</v>
      </c>
      <c r="BA166" s="15">
        <f t="shared" si="66"/>
        <v>3200</v>
      </c>
      <c r="BB166" s="15">
        <f t="shared" si="67"/>
        <v>9000</v>
      </c>
      <c r="BC166" s="15">
        <f t="shared" si="68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3"/>
        <v>80</v>
      </c>
      <c r="AL167" s="26">
        <f t="shared" si="64"/>
        <v>131</v>
      </c>
      <c r="AM167" s="26">
        <f t="shared" si="65"/>
        <v>1061</v>
      </c>
      <c r="AP167" s="68">
        <v>163</v>
      </c>
      <c r="AQ167" s="26">
        <v>13</v>
      </c>
      <c r="AR167" s="18">
        <v>7</v>
      </c>
      <c r="AS167" s="15">
        <f t="shared" si="69"/>
        <v>1600</v>
      </c>
      <c r="AT167" s="15">
        <f t="shared" si="70"/>
        <v>4500</v>
      </c>
      <c r="AU167" s="15">
        <f t="shared" si="71"/>
        <v>61200</v>
      </c>
      <c r="AX167" s="68">
        <v>160</v>
      </c>
      <c r="AY167" s="26">
        <v>13</v>
      </c>
      <c r="AZ167" s="18">
        <v>7</v>
      </c>
      <c r="BA167" s="15">
        <f t="shared" si="66"/>
        <v>3200</v>
      </c>
      <c r="BB167" s="15">
        <f t="shared" si="67"/>
        <v>9000</v>
      </c>
      <c r="BC167" s="15">
        <f t="shared" si="68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3"/>
        <v>80</v>
      </c>
      <c r="AL168" s="26">
        <f t="shared" si="64"/>
        <v>132</v>
      </c>
      <c r="AM168" s="26">
        <f t="shared" si="65"/>
        <v>1082</v>
      </c>
      <c r="AP168" s="68">
        <v>164</v>
      </c>
      <c r="AQ168" s="26">
        <v>13</v>
      </c>
      <c r="AR168" s="18">
        <v>8</v>
      </c>
      <c r="AS168" s="15">
        <f t="shared" si="69"/>
        <v>1600</v>
      </c>
      <c r="AT168" s="15">
        <f t="shared" si="70"/>
        <v>4500</v>
      </c>
      <c r="AU168" s="15">
        <f t="shared" si="71"/>
        <v>61200</v>
      </c>
      <c r="AX168" s="68">
        <v>161</v>
      </c>
      <c r="AY168" s="26">
        <v>13</v>
      </c>
      <c r="AZ168" s="18">
        <v>8</v>
      </c>
      <c r="BA168" s="15">
        <f t="shared" si="66"/>
        <v>3200</v>
      </c>
      <c r="BB168" s="15">
        <f t="shared" si="67"/>
        <v>9000</v>
      </c>
      <c r="BC168" s="15">
        <f t="shared" si="68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3"/>
        <v>80</v>
      </c>
      <c r="AL169" s="26">
        <f t="shared" si="64"/>
        <v>134</v>
      </c>
      <c r="AM169" s="26">
        <f t="shared" si="65"/>
        <v>1104</v>
      </c>
      <c r="AP169" s="68">
        <v>165</v>
      </c>
      <c r="AQ169" s="26">
        <v>13</v>
      </c>
      <c r="AR169" s="18">
        <v>9</v>
      </c>
      <c r="AS169" s="15">
        <f t="shared" si="69"/>
        <v>1600</v>
      </c>
      <c r="AT169" s="15">
        <f t="shared" si="70"/>
        <v>4500</v>
      </c>
      <c r="AU169" s="15">
        <f t="shared" si="71"/>
        <v>61200</v>
      </c>
      <c r="AX169" s="68">
        <v>162</v>
      </c>
      <c r="AY169" s="26">
        <v>13</v>
      </c>
      <c r="AZ169" s="18">
        <v>9</v>
      </c>
      <c r="BA169" s="15">
        <f t="shared" si="66"/>
        <v>3200</v>
      </c>
      <c r="BB169" s="15">
        <f t="shared" si="67"/>
        <v>9000</v>
      </c>
      <c r="BC169" s="15">
        <f t="shared" si="68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3"/>
        <v>80</v>
      </c>
      <c r="AL170" s="26">
        <f t="shared" si="64"/>
        <v>135</v>
      </c>
      <c r="AM170" s="26">
        <f t="shared" si="65"/>
        <v>1125</v>
      </c>
      <c r="AP170" s="68">
        <v>166</v>
      </c>
      <c r="AQ170" s="26">
        <v>13</v>
      </c>
      <c r="AR170" s="18">
        <v>10</v>
      </c>
      <c r="AS170" s="15">
        <f t="shared" si="69"/>
        <v>1600</v>
      </c>
      <c r="AT170" s="15">
        <f t="shared" si="70"/>
        <v>4500</v>
      </c>
      <c r="AU170" s="15">
        <f t="shared" si="71"/>
        <v>61200</v>
      </c>
      <c r="AX170" s="68">
        <v>163</v>
      </c>
      <c r="AY170" s="26">
        <v>13</v>
      </c>
      <c r="AZ170" s="18">
        <v>10</v>
      </c>
      <c r="BA170" s="15">
        <f t="shared" si="66"/>
        <v>3200</v>
      </c>
      <c r="BB170" s="15">
        <f t="shared" si="67"/>
        <v>9000</v>
      </c>
      <c r="BC170" s="15">
        <f t="shared" si="68"/>
        <v>122400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3"/>
        <v>80</v>
      </c>
      <c r="AL171" s="26">
        <f t="shared" si="64"/>
        <v>136</v>
      </c>
      <c r="AM171" s="26">
        <f t="shared" si="65"/>
        <v>1146</v>
      </c>
      <c r="AP171" s="68">
        <v>167</v>
      </c>
      <c r="AQ171" s="26">
        <v>13</v>
      </c>
      <c r="AR171" s="18">
        <v>11</v>
      </c>
      <c r="AS171" s="15">
        <f t="shared" si="69"/>
        <v>1600</v>
      </c>
      <c r="AT171" s="15">
        <f t="shared" si="70"/>
        <v>4500</v>
      </c>
      <c r="AU171" s="15">
        <f t="shared" si="71"/>
        <v>61200</v>
      </c>
      <c r="AX171" s="68">
        <v>164</v>
      </c>
      <c r="AY171" s="26">
        <v>13</v>
      </c>
      <c r="AZ171" s="18">
        <v>11</v>
      </c>
      <c r="BA171" s="15">
        <f t="shared" si="66"/>
        <v>3200</v>
      </c>
      <c r="BB171" s="15">
        <f t="shared" si="67"/>
        <v>9000</v>
      </c>
      <c r="BC171" s="15">
        <f t="shared" si="68"/>
        <v>122400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3"/>
        <v>80</v>
      </c>
      <c r="AL172" s="26">
        <f t="shared" si="64"/>
        <v>138</v>
      </c>
      <c r="AM172" s="26">
        <f t="shared" si="65"/>
        <v>1168</v>
      </c>
      <c r="AP172" s="68">
        <v>168</v>
      </c>
      <c r="AQ172" s="26">
        <v>13</v>
      </c>
      <c r="AR172" s="18">
        <v>12</v>
      </c>
      <c r="AS172" s="15">
        <f t="shared" si="69"/>
        <v>1600</v>
      </c>
      <c r="AT172" s="15">
        <f t="shared" si="70"/>
        <v>4500</v>
      </c>
      <c r="AU172" s="15">
        <f t="shared" si="71"/>
        <v>61200</v>
      </c>
      <c r="AX172" s="68">
        <v>165</v>
      </c>
      <c r="AY172" s="26">
        <v>13</v>
      </c>
      <c r="AZ172" s="18">
        <v>12</v>
      </c>
      <c r="BA172" s="15">
        <f t="shared" si="66"/>
        <v>3200</v>
      </c>
      <c r="BB172" s="15">
        <f t="shared" si="67"/>
        <v>9000</v>
      </c>
      <c r="BC172" s="15">
        <f t="shared" si="68"/>
        <v>122400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3"/>
        <v>80</v>
      </c>
      <c r="AL173" s="26">
        <f t="shared" si="64"/>
        <v>139</v>
      </c>
      <c r="AM173" s="26">
        <f t="shared" si="65"/>
        <v>1189</v>
      </c>
      <c r="AP173" s="68">
        <v>169</v>
      </c>
      <c r="AQ173" s="26">
        <v>13</v>
      </c>
      <c r="AR173" s="18">
        <v>13</v>
      </c>
      <c r="AS173" s="15">
        <f t="shared" si="69"/>
        <v>1600</v>
      </c>
      <c r="AT173" s="15">
        <f t="shared" si="70"/>
        <v>4500</v>
      </c>
      <c r="AU173" s="15">
        <f t="shared" si="71"/>
        <v>61200</v>
      </c>
      <c r="AX173" s="68">
        <v>166</v>
      </c>
      <c r="AY173" s="26">
        <v>13</v>
      </c>
      <c r="AZ173" s="18">
        <v>13</v>
      </c>
      <c r="BA173" s="15">
        <f t="shared" si="66"/>
        <v>3200</v>
      </c>
      <c r="BB173" s="15">
        <f t="shared" si="67"/>
        <v>9000</v>
      </c>
      <c r="BC173" s="15">
        <f t="shared" si="68"/>
        <v>122400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3"/>
        <v>80</v>
      </c>
      <c r="AL174" s="26">
        <f t="shared" si="64"/>
        <v>140</v>
      </c>
      <c r="AM174" s="26">
        <f t="shared" si="65"/>
        <v>1210</v>
      </c>
      <c r="AP174" s="68">
        <v>170</v>
      </c>
      <c r="AQ174" s="26">
        <v>13</v>
      </c>
      <c r="AR174" s="18">
        <v>14</v>
      </c>
      <c r="AS174" s="15">
        <f t="shared" si="69"/>
        <v>1600</v>
      </c>
      <c r="AT174" s="15">
        <f t="shared" si="70"/>
        <v>4500</v>
      </c>
      <c r="AU174" s="15">
        <f t="shared" si="71"/>
        <v>61200</v>
      </c>
      <c r="AX174" s="68">
        <v>167</v>
      </c>
      <c r="AY174" s="26">
        <v>13</v>
      </c>
      <c r="AZ174" s="18">
        <v>14</v>
      </c>
      <c r="BA174" s="15">
        <f t="shared" si="66"/>
        <v>3200</v>
      </c>
      <c r="BB174" s="15">
        <f t="shared" si="67"/>
        <v>9000</v>
      </c>
      <c r="BC174" s="15">
        <f t="shared" si="68"/>
        <v>122400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3"/>
        <v>80</v>
      </c>
      <c r="AL175" s="26">
        <f t="shared" si="64"/>
        <v>142</v>
      </c>
      <c r="AM175" s="26">
        <f t="shared" si="65"/>
        <v>1232</v>
      </c>
      <c r="AP175" s="68">
        <v>171</v>
      </c>
      <c r="AQ175" s="26">
        <v>13</v>
      </c>
      <c r="AR175" s="18">
        <v>15</v>
      </c>
      <c r="AS175" s="15">
        <f t="shared" si="69"/>
        <v>1600</v>
      </c>
      <c r="AT175" s="15">
        <f t="shared" si="70"/>
        <v>4500</v>
      </c>
      <c r="AU175" s="15">
        <f t="shared" si="71"/>
        <v>61200</v>
      </c>
      <c r="AX175" s="68">
        <v>168</v>
      </c>
      <c r="AY175" s="26">
        <v>13</v>
      </c>
      <c r="AZ175" s="18">
        <v>15</v>
      </c>
      <c r="BA175" s="15">
        <f t="shared" si="66"/>
        <v>3200</v>
      </c>
      <c r="BB175" s="15">
        <f t="shared" si="67"/>
        <v>9000</v>
      </c>
      <c r="BC175" s="15">
        <f t="shared" si="68"/>
        <v>122400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3"/>
        <v>80</v>
      </c>
      <c r="AL176" s="26">
        <f t="shared" si="64"/>
        <v>143</v>
      </c>
      <c r="AM176" s="26">
        <f t="shared" si="65"/>
        <v>1253</v>
      </c>
      <c r="AP176" s="68">
        <v>172</v>
      </c>
      <c r="AQ176" s="26">
        <v>14</v>
      </c>
      <c r="AR176" s="18">
        <v>1</v>
      </c>
      <c r="AS176" s="15">
        <f t="shared" si="69"/>
        <v>2000</v>
      </c>
      <c r="AT176" s="15">
        <f t="shared" si="70"/>
        <v>5250</v>
      </c>
      <c r="AU176" s="15">
        <f t="shared" si="71"/>
        <v>81000</v>
      </c>
      <c r="AX176" s="68">
        <v>169</v>
      </c>
      <c r="AY176" s="26">
        <v>14</v>
      </c>
      <c r="AZ176" s="18">
        <v>1</v>
      </c>
      <c r="BA176" s="15">
        <f t="shared" si="66"/>
        <v>4000</v>
      </c>
      <c r="BB176" s="15">
        <f t="shared" si="67"/>
        <v>10500</v>
      </c>
      <c r="BC176" s="15">
        <f t="shared" si="68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3"/>
        <v>80</v>
      </c>
      <c r="AL177" s="26">
        <f t="shared" si="64"/>
        <v>144</v>
      </c>
      <c r="AM177" s="26">
        <f t="shared" si="65"/>
        <v>1274</v>
      </c>
      <c r="AP177" s="68">
        <v>173</v>
      </c>
      <c r="AQ177" s="26">
        <v>14</v>
      </c>
      <c r="AR177" s="18">
        <v>2</v>
      </c>
      <c r="AS177" s="15">
        <f t="shared" si="69"/>
        <v>2000</v>
      </c>
      <c r="AT177" s="15">
        <f t="shared" si="70"/>
        <v>5250</v>
      </c>
      <c r="AU177" s="15">
        <f t="shared" si="71"/>
        <v>81000</v>
      </c>
      <c r="AX177" s="68">
        <v>170</v>
      </c>
      <c r="AY177" s="26">
        <v>14</v>
      </c>
      <c r="AZ177" s="18">
        <v>2</v>
      </c>
      <c r="BA177" s="15">
        <f t="shared" si="66"/>
        <v>4000</v>
      </c>
      <c r="BB177" s="15">
        <f t="shared" si="67"/>
        <v>10500</v>
      </c>
      <c r="BC177" s="15">
        <f t="shared" si="68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3"/>
        <v>80</v>
      </c>
      <c r="AL178" s="26">
        <f t="shared" si="64"/>
        <v>146</v>
      </c>
      <c r="AM178" s="26">
        <f t="shared" si="65"/>
        <v>1296</v>
      </c>
      <c r="AP178" s="68">
        <v>174</v>
      </c>
      <c r="AQ178" s="26">
        <v>14</v>
      </c>
      <c r="AR178" s="18">
        <v>3</v>
      </c>
      <c r="AS178" s="15">
        <f t="shared" si="69"/>
        <v>2000</v>
      </c>
      <c r="AT178" s="15">
        <f t="shared" si="70"/>
        <v>5250</v>
      </c>
      <c r="AU178" s="15">
        <f t="shared" si="71"/>
        <v>81000</v>
      </c>
      <c r="AX178" s="68">
        <v>171</v>
      </c>
      <c r="AY178" s="26">
        <v>14</v>
      </c>
      <c r="AZ178" s="18">
        <v>3</v>
      </c>
      <c r="BA178" s="15">
        <f t="shared" si="66"/>
        <v>4000</v>
      </c>
      <c r="BB178" s="15">
        <f t="shared" si="67"/>
        <v>10500</v>
      </c>
      <c r="BC178" s="15">
        <f t="shared" si="68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3"/>
        <v>80</v>
      </c>
      <c r="AL179" s="26">
        <f t="shared" si="64"/>
        <v>147</v>
      </c>
      <c r="AM179" s="26">
        <f t="shared" si="65"/>
        <v>1317</v>
      </c>
      <c r="AP179" s="68">
        <v>175</v>
      </c>
      <c r="AQ179" s="26">
        <v>14</v>
      </c>
      <c r="AR179" s="18">
        <v>4</v>
      </c>
      <c r="AS179" s="15">
        <f t="shared" si="69"/>
        <v>2000</v>
      </c>
      <c r="AT179" s="15">
        <f t="shared" si="70"/>
        <v>5250</v>
      </c>
      <c r="AU179" s="15">
        <f t="shared" si="71"/>
        <v>81000</v>
      </c>
      <c r="AX179" s="68">
        <v>172</v>
      </c>
      <c r="AY179" s="26">
        <v>14</v>
      </c>
      <c r="AZ179" s="18">
        <v>4</v>
      </c>
      <c r="BA179" s="15">
        <f t="shared" si="66"/>
        <v>4000</v>
      </c>
      <c r="BB179" s="15">
        <f t="shared" si="67"/>
        <v>10500</v>
      </c>
      <c r="BC179" s="15">
        <f t="shared" si="68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3"/>
        <v>80</v>
      </c>
      <c r="AL180" s="26">
        <f t="shared" si="64"/>
        <v>148</v>
      </c>
      <c r="AM180" s="26">
        <f t="shared" si="65"/>
        <v>1338</v>
      </c>
      <c r="AP180" s="68">
        <v>176</v>
      </c>
      <c r="AQ180" s="26">
        <v>14</v>
      </c>
      <c r="AR180" s="18">
        <v>5</v>
      </c>
      <c r="AS180" s="15">
        <f t="shared" si="69"/>
        <v>2000</v>
      </c>
      <c r="AT180" s="15">
        <f t="shared" si="70"/>
        <v>5250</v>
      </c>
      <c r="AU180" s="15">
        <f t="shared" si="71"/>
        <v>81000</v>
      </c>
      <c r="AX180" s="68">
        <v>173</v>
      </c>
      <c r="AY180" s="26">
        <v>14</v>
      </c>
      <c r="AZ180" s="18">
        <v>5</v>
      </c>
      <c r="BA180" s="15">
        <f t="shared" si="66"/>
        <v>4000</v>
      </c>
      <c r="BB180" s="15">
        <f t="shared" si="67"/>
        <v>10500</v>
      </c>
      <c r="BC180" s="15">
        <f t="shared" si="68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3"/>
        <v>80</v>
      </c>
      <c r="AL181" s="26">
        <f t="shared" si="64"/>
        <v>150</v>
      </c>
      <c r="AM181" s="26">
        <f t="shared" si="65"/>
        <v>1360</v>
      </c>
      <c r="AP181" s="68">
        <v>177</v>
      </c>
      <c r="AQ181" s="26">
        <v>14</v>
      </c>
      <c r="AR181" s="18">
        <v>6</v>
      </c>
      <c r="AS181" s="15">
        <f t="shared" si="69"/>
        <v>2000</v>
      </c>
      <c r="AT181" s="15">
        <f t="shared" si="70"/>
        <v>5250</v>
      </c>
      <c r="AU181" s="15">
        <f t="shared" si="71"/>
        <v>81000</v>
      </c>
      <c r="AX181" s="68">
        <v>174</v>
      </c>
      <c r="AY181" s="26">
        <v>14</v>
      </c>
      <c r="AZ181" s="18">
        <v>6</v>
      </c>
      <c r="BA181" s="15">
        <f t="shared" si="66"/>
        <v>4000</v>
      </c>
      <c r="BB181" s="15">
        <f t="shared" si="67"/>
        <v>10500</v>
      </c>
      <c r="BC181" s="15">
        <f t="shared" si="68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3"/>
        <v>100</v>
      </c>
      <c r="AL182" s="26">
        <f t="shared" si="64"/>
        <v>151</v>
      </c>
      <c r="AM182" s="26">
        <f t="shared" si="65"/>
        <v>1389</v>
      </c>
      <c r="AP182" s="68">
        <v>178</v>
      </c>
      <c r="AQ182" s="26">
        <v>14</v>
      </c>
      <c r="AR182" s="18">
        <v>7</v>
      </c>
      <c r="AS182" s="15">
        <f t="shared" si="69"/>
        <v>2000</v>
      </c>
      <c r="AT182" s="15">
        <f t="shared" si="70"/>
        <v>5250</v>
      </c>
      <c r="AU182" s="15">
        <f t="shared" si="71"/>
        <v>81000</v>
      </c>
      <c r="AX182" s="68">
        <v>175</v>
      </c>
      <c r="AY182" s="26">
        <v>14</v>
      </c>
      <c r="AZ182" s="18">
        <v>7</v>
      </c>
      <c r="BA182" s="15">
        <f t="shared" si="66"/>
        <v>4000</v>
      </c>
      <c r="BB182" s="15">
        <f t="shared" si="67"/>
        <v>10500</v>
      </c>
      <c r="BC182" s="15">
        <f t="shared" si="68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3"/>
        <v>100</v>
      </c>
      <c r="AL183" s="26">
        <f t="shared" si="64"/>
        <v>153</v>
      </c>
      <c r="AM183" s="26">
        <f t="shared" si="65"/>
        <v>1418</v>
      </c>
      <c r="AP183" s="68">
        <v>179</v>
      </c>
      <c r="AQ183" s="26">
        <v>14</v>
      </c>
      <c r="AR183" s="18">
        <v>8</v>
      </c>
      <c r="AS183" s="15">
        <f t="shared" si="69"/>
        <v>2000</v>
      </c>
      <c r="AT183" s="15">
        <f t="shared" si="70"/>
        <v>5250</v>
      </c>
      <c r="AU183" s="15">
        <f t="shared" si="71"/>
        <v>81000</v>
      </c>
      <c r="AX183" s="68">
        <v>176</v>
      </c>
      <c r="AY183" s="26">
        <v>14</v>
      </c>
      <c r="AZ183" s="18">
        <v>8</v>
      </c>
      <c r="BA183" s="15">
        <f t="shared" si="66"/>
        <v>4000</v>
      </c>
      <c r="BB183" s="15">
        <f t="shared" si="67"/>
        <v>10500</v>
      </c>
      <c r="BC183" s="15">
        <f t="shared" si="68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3"/>
        <v>100</v>
      </c>
      <c r="AL184" s="26">
        <f t="shared" si="64"/>
        <v>155</v>
      </c>
      <c r="AM184" s="26">
        <f t="shared" si="65"/>
        <v>1448</v>
      </c>
      <c r="AP184" s="68">
        <v>180</v>
      </c>
      <c r="AQ184" s="26">
        <v>14</v>
      </c>
      <c r="AR184" s="18">
        <v>9</v>
      </c>
      <c r="AS184" s="15">
        <f t="shared" si="69"/>
        <v>2000</v>
      </c>
      <c r="AT184" s="15">
        <f t="shared" si="70"/>
        <v>5250</v>
      </c>
      <c r="AU184" s="15">
        <f t="shared" si="71"/>
        <v>81000</v>
      </c>
      <c r="AX184" s="68">
        <v>177</v>
      </c>
      <c r="AY184" s="26">
        <v>14</v>
      </c>
      <c r="AZ184" s="18">
        <v>9</v>
      </c>
      <c r="BA184" s="15">
        <f t="shared" si="66"/>
        <v>4000</v>
      </c>
      <c r="BB184" s="15">
        <f t="shared" si="67"/>
        <v>10500</v>
      </c>
      <c r="BC184" s="15">
        <f t="shared" si="68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3"/>
        <v>100</v>
      </c>
      <c r="AL185" s="26">
        <f t="shared" si="64"/>
        <v>156</v>
      </c>
      <c r="AM185" s="26">
        <f t="shared" si="65"/>
        <v>1477</v>
      </c>
      <c r="AP185" s="68">
        <v>181</v>
      </c>
      <c r="AQ185" s="26">
        <v>14</v>
      </c>
      <c r="AR185" s="18">
        <v>10</v>
      </c>
      <c r="AS185" s="15">
        <f t="shared" si="69"/>
        <v>2000</v>
      </c>
      <c r="AT185" s="15">
        <f t="shared" si="70"/>
        <v>5250</v>
      </c>
      <c r="AU185" s="15">
        <f t="shared" si="71"/>
        <v>81000</v>
      </c>
      <c r="AX185" s="68">
        <v>178</v>
      </c>
      <c r="AY185" s="26">
        <v>14</v>
      </c>
      <c r="AZ185" s="18">
        <v>10</v>
      </c>
      <c r="BA185" s="15">
        <f t="shared" si="66"/>
        <v>4000</v>
      </c>
      <c r="BB185" s="15">
        <f t="shared" si="67"/>
        <v>10500</v>
      </c>
      <c r="BC185" s="15">
        <f t="shared" si="68"/>
        <v>162000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3"/>
        <v>100</v>
      </c>
      <c r="AL186" s="26">
        <f t="shared" si="64"/>
        <v>158</v>
      </c>
      <c r="AM186" s="26">
        <f t="shared" si="65"/>
        <v>1506</v>
      </c>
      <c r="AP186" s="68">
        <v>182</v>
      </c>
      <c r="AQ186" s="26">
        <v>14</v>
      </c>
      <c r="AR186" s="18">
        <v>11</v>
      </c>
      <c r="AS186" s="15">
        <f t="shared" si="69"/>
        <v>2000</v>
      </c>
      <c r="AT186" s="15">
        <f t="shared" si="70"/>
        <v>5250</v>
      </c>
      <c r="AU186" s="15">
        <f t="shared" si="71"/>
        <v>81000</v>
      </c>
      <c r="AX186" s="68">
        <v>179</v>
      </c>
      <c r="AY186" s="26">
        <v>14</v>
      </c>
      <c r="AZ186" s="18">
        <v>11</v>
      </c>
      <c r="BA186" s="15">
        <f t="shared" si="66"/>
        <v>4000</v>
      </c>
      <c r="BB186" s="15">
        <f t="shared" si="67"/>
        <v>10500</v>
      </c>
      <c r="BC186" s="15">
        <f t="shared" si="68"/>
        <v>162000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3"/>
        <v>100</v>
      </c>
      <c r="AL187" s="26">
        <f t="shared" si="64"/>
        <v>160</v>
      </c>
      <c r="AM187" s="26">
        <f t="shared" si="65"/>
        <v>1536</v>
      </c>
      <c r="AP187" s="68">
        <v>183</v>
      </c>
      <c r="AQ187" s="26">
        <v>14</v>
      </c>
      <c r="AR187" s="18">
        <v>12</v>
      </c>
      <c r="AS187" s="15">
        <f t="shared" si="69"/>
        <v>2000</v>
      </c>
      <c r="AT187" s="15">
        <f t="shared" si="70"/>
        <v>5250</v>
      </c>
      <c r="AU187" s="15">
        <f t="shared" si="71"/>
        <v>81000</v>
      </c>
      <c r="AX187" s="68">
        <v>180</v>
      </c>
      <c r="AY187" s="26">
        <v>14</v>
      </c>
      <c r="AZ187" s="18">
        <v>12</v>
      </c>
      <c r="BA187" s="15">
        <f t="shared" si="66"/>
        <v>4000</v>
      </c>
      <c r="BB187" s="15">
        <f t="shared" si="67"/>
        <v>10500</v>
      </c>
      <c r="BC187" s="15">
        <f t="shared" si="68"/>
        <v>162000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3"/>
        <v>100</v>
      </c>
      <c r="AL188" s="26">
        <f t="shared" si="64"/>
        <v>161</v>
      </c>
      <c r="AM188" s="26">
        <f t="shared" si="65"/>
        <v>1565</v>
      </c>
      <c r="AP188" s="68">
        <v>184</v>
      </c>
      <c r="AQ188" s="26">
        <v>14</v>
      </c>
      <c r="AR188" s="18">
        <v>13</v>
      </c>
      <c r="AS188" s="15">
        <f t="shared" si="69"/>
        <v>2000</v>
      </c>
      <c r="AT188" s="15">
        <f t="shared" si="70"/>
        <v>5250</v>
      </c>
      <c r="AU188" s="15">
        <f t="shared" si="71"/>
        <v>81000</v>
      </c>
      <c r="AX188" s="68">
        <v>181</v>
      </c>
      <c r="AY188" s="26">
        <v>14</v>
      </c>
      <c r="AZ188" s="18">
        <v>13</v>
      </c>
      <c r="BA188" s="15">
        <f t="shared" si="66"/>
        <v>4000</v>
      </c>
      <c r="BB188" s="15">
        <f t="shared" si="67"/>
        <v>10500</v>
      </c>
      <c r="BC188" s="15">
        <f t="shared" si="68"/>
        <v>162000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3"/>
        <v>100</v>
      </c>
      <c r="AL189" s="26">
        <f t="shared" si="64"/>
        <v>163</v>
      </c>
      <c r="AM189" s="26">
        <f t="shared" si="65"/>
        <v>1594</v>
      </c>
      <c r="AP189" s="68">
        <v>185</v>
      </c>
      <c r="AQ189" s="26">
        <v>14</v>
      </c>
      <c r="AR189" s="18">
        <v>14</v>
      </c>
      <c r="AS189" s="15">
        <f t="shared" si="69"/>
        <v>2000</v>
      </c>
      <c r="AT189" s="15">
        <f t="shared" si="70"/>
        <v>5250</v>
      </c>
      <c r="AU189" s="15">
        <f t="shared" si="71"/>
        <v>81000</v>
      </c>
      <c r="AX189" s="68">
        <v>182</v>
      </c>
      <c r="AY189" s="26">
        <v>14</v>
      </c>
      <c r="AZ189" s="18">
        <v>14</v>
      </c>
      <c r="BA189" s="15">
        <f t="shared" si="66"/>
        <v>4000</v>
      </c>
      <c r="BB189" s="15">
        <f t="shared" si="67"/>
        <v>10500</v>
      </c>
      <c r="BC189" s="15">
        <f t="shared" si="68"/>
        <v>162000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3"/>
        <v>100</v>
      </c>
      <c r="AL190" s="26">
        <f t="shared" si="64"/>
        <v>165</v>
      </c>
      <c r="AM190" s="26">
        <f t="shared" si="65"/>
        <v>1624</v>
      </c>
      <c r="AP190" s="68">
        <v>186</v>
      </c>
      <c r="AQ190" s="26">
        <v>14</v>
      </c>
      <c r="AR190" s="18">
        <v>15</v>
      </c>
      <c r="AS190" s="15">
        <f t="shared" si="69"/>
        <v>2000</v>
      </c>
      <c r="AT190" s="15">
        <f t="shared" si="70"/>
        <v>5250</v>
      </c>
      <c r="AU190" s="15">
        <f t="shared" si="71"/>
        <v>81000</v>
      </c>
      <c r="AX190" s="68">
        <v>183</v>
      </c>
      <c r="AY190" s="26">
        <v>14</v>
      </c>
      <c r="AZ190" s="18">
        <v>15</v>
      </c>
      <c r="BA190" s="15">
        <f t="shared" si="66"/>
        <v>4000</v>
      </c>
      <c r="BB190" s="15">
        <f t="shared" si="67"/>
        <v>10500</v>
      </c>
      <c r="BC190" s="15">
        <f t="shared" si="68"/>
        <v>162000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3"/>
        <v>100</v>
      </c>
      <c r="AL191" s="26">
        <f t="shared" si="64"/>
        <v>166</v>
      </c>
      <c r="AM191" s="26">
        <f t="shared" si="65"/>
        <v>1653</v>
      </c>
      <c r="AP191" s="68">
        <v>187</v>
      </c>
      <c r="AQ191" s="26">
        <v>15</v>
      </c>
      <c r="AR191" s="18">
        <v>1</v>
      </c>
      <c r="AS191" s="15">
        <f t="shared" si="69"/>
        <v>2500</v>
      </c>
      <c r="AT191" s="15">
        <f t="shared" si="70"/>
        <v>6000</v>
      </c>
      <c r="AU191" s="15">
        <f t="shared" si="71"/>
        <v>112500</v>
      </c>
      <c r="AX191" s="68">
        <v>184</v>
      </c>
      <c r="AY191" s="26">
        <v>15</v>
      </c>
      <c r="AZ191" s="18">
        <v>1</v>
      </c>
      <c r="BA191" s="15">
        <f t="shared" si="66"/>
        <v>5000</v>
      </c>
      <c r="BB191" s="15">
        <f t="shared" si="67"/>
        <v>12000</v>
      </c>
      <c r="BC191" s="15">
        <f t="shared" si="68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3"/>
        <v>100</v>
      </c>
      <c r="AL192" s="26">
        <f t="shared" si="64"/>
        <v>168</v>
      </c>
      <c r="AM192" s="26">
        <f t="shared" si="65"/>
        <v>1682</v>
      </c>
      <c r="AP192" s="68">
        <v>188</v>
      </c>
      <c r="AQ192" s="26">
        <v>15</v>
      </c>
      <c r="AR192" s="18">
        <v>2</v>
      </c>
      <c r="AS192" s="15">
        <f t="shared" ref="AS192:AS205" si="72">INDEX($N$6:$N$20,AQ192)</f>
        <v>2500</v>
      </c>
      <c r="AT192" s="15">
        <f t="shared" ref="AT192:AT205" si="73">INDEX($P$6:$P$20,AQ192)</f>
        <v>6000</v>
      </c>
      <c r="AU192" s="15">
        <f t="shared" ref="AU192:AU205" si="74">INDEX($R$6:$R$20,AQ192)</f>
        <v>112500</v>
      </c>
      <c r="AX192" s="68">
        <v>185</v>
      </c>
      <c r="AY192" s="26">
        <v>15</v>
      </c>
      <c r="AZ192" s="18">
        <v>2</v>
      </c>
      <c r="BA192" s="15">
        <f t="shared" si="66"/>
        <v>5000</v>
      </c>
      <c r="BB192" s="15">
        <f t="shared" si="67"/>
        <v>12000</v>
      </c>
      <c r="BC192" s="15">
        <f t="shared" si="68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3"/>
        <v>100</v>
      </c>
      <c r="AL193" s="26">
        <f t="shared" si="64"/>
        <v>170</v>
      </c>
      <c r="AM193" s="26">
        <f t="shared" si="65"/>
        <v>1712</v>
      </c>
      <c r="AP193" s="68">
        <v>189</v>
      </c>
      <c r="AQ193" s="26">
        <v>15</v>
      </c>
      <c r="AR193" s="18">
        <v>3</v>
      </c>
      <c r="AS193" s="15">
        <f t="shared" si="72"/>
        <v>2500</v>
      </c>
      <c r="AT193" s="15">
        <f t="shared" si="73"/>
        <v>6000</v>
      </c>
      <c r="AU193" s="15">
        <f t="shared" si="74"/>
        <v>112500</v>
      </c>
      <c r="AX193" s="68">
        <v>186</v>
      </c>
      <c r="AY193" s="26">
        <v>15</v>
      </c>
      <c r="AZ193" s="18">
        <v>3</v>
      </c>
      <c r="BA193" s="15">
        <f t="shared" si="66"/>
        <v>5000</v>
      </c>
      <c r="BB193" s="15">
        <f t="shared" si="67"/>
        <v>12000</v>
      </c>
      <c r="BC193" s="15">
        <f t="shared" si="68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3"/>
        <v>100</v>
      </c>
      <c r="AL194" s="26">
        <f t="shared" si="64"/>
        <v>171</v>
      </c>
      <c r="AM194" s="26">
        <f t="shared" si="65"/>
        <v>1741</v>
      </c>
      <c r="AP194" s="68">
        <v>190</v>
      </c>
      <c r="AQ194" s="26">
        <v>15</v>
      </c>
      <c r="AR194" s="18">
        <v>4</v>
      </c>
      <c r="AS194" s="15">
        <f t="shared" si="72"/>
        <v>2500</v>
      </c>
      <c r="AT194" s="15">
        <f t="shared" si="73"/>
        <v>6000</v>
      </c>
      <c r="AU194" s="15">
        <f t="shared" si="74"/>
        <v>112500</v>
      </c>
      <c r="AX194" s="68">
        <v>187</v>
      </c>
      <c r="AY194" s="26">
        <v>15</v>
      </c>
      <c r="AZ194" s="18">
        <v>4</v>
      </c>
      <c r="BA194" s="15">
        <f t="shared" si="66"/>
        <v>5000</v>
      </c>
      <c r="BB194" s="15">
        <f t="shared" si="67"/>
        <v>12000</v>
      </c>
      <c r="BC194" s="15">
        <f t="shared" si="68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3"/>
        <v>100</v>
      </c>
      <c r="AL195" s="26">
        <f t="shared" si="64"/>
        <v>173</v>
      </c>
      <c r="AM195" s="26">
        <f t="shared" si="65"/>
        <v>1770</v>
      </c>
      <c r="AP195" s="68">
        <v>191</v>
      </c>
      <c r="AQ195" s="26">
        <v>15</v>
      </c>
      <c r="AR195" s="18">
        <v>5</v>
      </c>
      <c r="AS195" s="15">
        <f t="shared" si="72"/>
        <v>2500</v>
      </c>
      <c r="AT195" s="15">
        <f t="shared" si="73"/>
        <v>6000</v>
      </c>
      <c r="AU195" s="15">
        <f t="shared" si="74"/>
        <v>112500</v>
      </c>
      <c r="AX195" s="68">
        <v>188</v>
      </c>
      <c r="AY195" s="26">
        <v>15</v>
      </c>
      <c r="AZ195" s="18">
        <v>5</v>
      </c>
      <c r="BA195" s="15">
        <f t="shared" si="66"/>
        <v>5000</v>
      </c>
      <c r="BB195" s="15">
        <f t="shared" si="67"/>
        <v>12000</v>
      </c>
      <c r="BC195" s="15">
        <f t="shared" si="68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3"/>
        <v>100</v>
      </c>
      <c r="AL196" s="26">
        <f t="shared" si="64"/>
        <v>175</v>
      </c>
      <c r="AM196" s="26">
        <f t="shared" si="65"/>
        <v>1800</v>
      </c>
      <c r="AP196" s="68">
        <v>192</v>
      </c>
      <c r="AQ196" s="26">
        <v>15</v>
      </c>
      <c r="AR196" s="18">
        <v>6</v>
      </c>
      <c r="AS196" s="15">
        <f t="shared" si="72"/>
        <v>2500</v>
      </c>
      <c r="AT196" s="15">
        <f t="shared" si="73"/>
        <v>6000</v>
      </c>
      <c r="AU196" s="15">
        <f t="shared" si="74"/>
        <v>112500</v>
      </c>
      <c r="AX196" s="68">
        <v>189</v>
      </c>
      <c r="AY196" s="26">
        <v>15</v>
      </c>
      <c r="AZ196" s="18">
        <v>6</v>
      </c>
      <c r="BA196" s="15">
        <f t="shared" si="66"/>
        <v>5000</v>
      </c>
      <c r="BB196" s="15">
        <f t="shared" si="67"/>
        <v>12000</v>
      </c>
      <c r="BC196" s="15">
        <f t="shared" si="68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5">INDEX($C$6:$C$20,AI197)</f>
        <v>125</v>
      </c>
      <c r="AL197" s="26">
        <f t="shared" ref="AL197:AL211" si="76">INT(INDEX($E$5:$E$20,AI197)+AJ197*INDEX($F$6:$F$20,AI197))</f>
        <v>176</v>
      </c>
      <c r="AM197" s="26">
        <f t="shared" si="65"/>
        <v>1846</v>
      </c>
      <c r="AP197" s="68">
        <v>193</v>
      </c>
      <c r="AQ197" s="26">
        <v>15</v>
      </c>
      <c r="AR197" s="18">
        <v>7</v>
      </c>
      <c r="AS197" s="15">
        <f t="shared" si="72"/>
        <v>2500</v>
      </c>
      <c r="AT197" s="15">
        <f t="shared" si="73"/>
        <v>6000</v>
      </c>
      <c r="AU197" s="15">
        <f t="shared" si="74"/>
        <v>112500</v>
      </c>
      <c r="AX197" s="68">
        <v>190</v>
      </c>
      <c r="AY197" s="26">
        <v>15</v>
      </c>
      <c r="AZ197" s="18">
        <v>7</v>
      </c>
      <c r="BA197" s="15">
        <f t="shared" si="66"/>
        <v>5000</v>
      </c>
      <c r="BB197" s="15">
        <f t="shared" si="67"/>
        <v>12000</v>
      </c>
      <c r="BC197" s="15">
        <f t="shared" si="68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5"/>
        <v>125</v>
      </c>
      <c r="AL198" s="26">
        <f t="shared" si="76"/>
        <v>178</v>
      </c>
      <c r="AM198" s="26">
        <f t="shared" ref="AM198:AM211" si="77">INT(INDEX($H$5:$H$20,AI198)+AJ198*INDEX($I$6:$I$20,AI198))</f>
        <v>1893</v>
      </c>
      <c r="AP198" s="68">
        <v>194</v>
      </c>
      <c r="AQ198" s="26">
        <v>15</v>
      </c>
      <c r="AR198" s="18">
        <v>8</v>
      </c>
      <c r="AS198" s="15">
        <f t="shared" si="72"/>
        <v>2500</v>
      </c>
      <c r="AT198" s="15">
        <f t="shared" si="73"/>
        <v>6000</v>
      </c>
      <c r="AU198" s="15">
        <f t="shared" si="74"/>
        <v>112500</v>
      </c>
      <c r="AX198" s="68">
        <v>191</v>
      </c>
      <c r="AY198" s="26">
        <v>15</v>
      </c>
      <c r="AZ198" s="18">
        <v>8</v>
      </c>
      <c r="BA198" s="15">
        <f t="shared" si="66"/>
        <v>5000</v>
      </c>
      <c r="BB198" s="15">
        <f t="shared" si="67"/>
        <v>12000</v>
      </c>
      <c r="BC198" s="15">
        <f t="shared" si="68"/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5"/>
        <v>125</v>
      </c>
      <c r="AL199" s="26">
        <f t="shared" si="76"/>
        <v>180</v>
      </c>
      <c r="AM199" s="26">
        <f t="shared" si="77"/>
        <v>1940</v>
      </c>
      <c r="AP199" s="68">
        <v>195</v>
      </c>
      <c r="AQ199" s="26">
        <v>15</v>
      </c>
      <c r="AR199" s="18">
        <v>9</v>
      </c>
      <c r="AS199" s="15">
        <f t="shared" si="72"/>
        <v>2500</v>
      </c>
      <c r="AT199" s="15">
        <f t="shared" si="73"/>
        <v>6000</v>
      </c>
      <c r="AU199" s="15">
        <f t="shared" si="74"/>
        <v>112500</v>
      </c>
      <c r="AX199" s="68">
        <v>192</v>
      </c>
      <c r="AY199" s="26">
        <v>15</v>
      </c>
      <c r="AZ199" s="18">
        <v>9</v>
      </c>
      <c r="BA199" s="15">
        <f t="shared" si="66"/>
        <v>5000</v>
      </c>
      <c r="BB199" s="15">
        <f t="shared" si="67"/>
        <v>12000</v>
      </c>
      <c r="BC199" s="15">
        <f t="shared" si="68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5"/>
        <v>125</v>
      </c>
      <c r="AL200" s="26">
        <f t="shared" si="76"/>
        <v>181</v>
      </c>
      <c r="AM200" s="26">
        <f t="shared" si="77"/>
        <v>1986</v>
      </c>
      <c r="AP200" s="68">
        <v>196</v>
      </c>
      <c r="AQ200" s="26">
        <v>15</v>
      </c>
      <c r="AR200" s="18">
        <v>10</v>
      </c>
      <c r="AS200" s="15">
        <f t="shared" si="72"/>
        <v>2500</v>
      </c>
      <c r="AT200" s="15">
        <f t="shared" si="73"/>
        <v>6000</v>
      </c>
      <c r="AU200" s="15">
        <f t="shared" si="74"/>
        <v>112500</v>
      </c>
      <c r="AX200" s="68">
        <v>193</v>
      </c>
      <c r="AY200" s="26">
        <v>15</v>
      </c>
      <c r="AZ200" s="18">
        <v>10</v>
      </c>
      <c r="BA200" s="15">
        <f t="shared" si="66"/>
        <v>5000</v>
      </c>
      <c r="BB200" s="15">
        <f t="shared" si="67"/>
        <v>12000</v>
      </c>
      <c r="BC200" s="15">
        <f t="shared" si="68"/>
        <v>225000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5"/>
        <v>125</v>
      </c>
      <c r="AL201" s="26">
        <f t="shared" si="76"/>
        <v>183</v>
      </c>
      <c r="AM201" s="26">
        <f t="shared" si="77"/>
        <v>2033</v>
      </c>
      <c r="AP201" s="68">
        <v>197</v>
      </c>
      <c r="AQ201" s="26">
        <v>15</v>
      </c>
      <c r="AR201" s="18">
        <v>11</v>
      </c>
      <c r="AS201" s="15">
        <f t="shared" si="72"/>
        <v>2500</v>
      </c>
      <c r="AT201" s="15">
        <f t="shared" si="73"/>
        <v>6000</v>
      </c>
      <c r="AU201" s="15">
        <f t="shared" si="74"/>
        <v>112500</v>
      </c>
      <c r="AX201" s="68">
        <v>194</v>
      </c>
      <c r="AY201" s="26">
        <v>15</v>
      </c>
      <c r="AZ201" s="18">
        <v>11</v>
      </c>
      <c r="BA201" s="15">
        <f t="shared" si="66"/>
        <v>5000</v>
      </c>
      <c r="BB201" s="15">
        <f t="shared" si="67"/>
        <v>12000</v>
      </c>
      <c r="BC201" s="15">
        <f t="shared" si="68"/>
        <v>225000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5"/>
        <v>125</v>
      </c>
      <c r="AL202" s="26">
        <f t="shared" si="76"/>
        <v>185</v>
      </c>
      <c r="AM202" s="26">
        <f t="shared" si="77"/>
        <v>2080</v>
      </c>
      <c r="AP202" s="68">
        <v>198</v>
      </c>
      <c r="AQ202" s="26">
        <v>15</v>
      </c>
      <c r="AR202" s="18">
        <v>12</v>
      </c>
      <c r="AS202" s="15">
        <f t="shared" si="72"/>
        <v>2500</v>
      </c>
      <c r="AT202" s="15">
        <f t="shared" si="73"/>
        <v>6000</v>
      </c>
      <c r="AU202" s="15">
        <f t="shared" si="74"/>
        <v>112500</v>
      </c>
      <c r="AX202" s="68">
        <v>195</v>
      </c>
      <c r="AY202" s="26">
        <v>15</v>
      </c>
      <c r="AZ202" s="18">
        <v>12</v>
      </c>
      <c r="BA202" s="15">
        <f t="shared" si="66"/>
        <v>5000</v>
      </c>
      <c r="BB202" s="15">
        <f t="shared" si="67"/>
        <v>12000</v>
      </c>
      <c r="BC202" s="15">
        <f t="shared" si="68"/>
        <v>225000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5"/>
        <v>125</v>
      </c>
      <c r="AL203" s="26">
        <f t="shared" si="76"/>
        <v>186</v>
      </c>
      <c r="AM203" s="26">
        <f t="shared" si="77"/>
        <v>2126</v>
      </c>
      <c r="AP203" s="68">
        <v>199</v>
      </c>
      <c r="AQ203" s="26">
        <v>15</v>
      </c>
      <c r="AR203" s="18">
        <v>13</v>
      </c>
      <c r="AS203" s="15">
        <f t="shared" si="72"/>
        <v>2500</v>
      </c>
      <c r="AT203" s="15">
        <f t="shared" si="73"/>
        <v>6000</v>
      </c>
      <c r="AU203" s="15">
        <f t="shared" si="74"/>
        <v>112500</v>
      </c>
      <c r="AX203" s="68">
        <v>196</v>
      </c>
      <c r="AY203" s="26">
        <v>15</v>
      </c>
      <c r="AZ203" s="18">
        <v>13</v>
      </c>
      <c r="BA203" s="15">
        <f t="shared" si="66"/>
        <v>5000</v>
      </c>
      <c r="BB203" s="15">
        <f t="shared" si="67"/>
        <v>12000</v>
      </c>
      <c r="BC203" s="15">
        <f t="shared" si="68"/>
        <v>225000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5"/>
        <v>125</v>
      </c>
      <c r="AL204" s="26">
        <f t="shared" si="76"/>
        <v>188</v>
      </c>
      <c r="AM204" s="26">
        <f t="shared" si="77"/>
        <v>2173</v>
      </c>
      <c r="AP204" s="68">
        <v>200</v>
      </c>
      <c r="AQ204" s="26">
        <v>15</v>
      </c>
      <c r="AR204" s="18">
        <v>14</v>
      </c>
      <c r="AS204" s="15">
        <f t="shared" si="72"/>
        <v>2500</v>
      </c>
      <c r="AT204" s="15">
        <f t="shared" si="73"/>
        <v>6000</v>
      </c>
      <c r="AU204" s="15">
        <f t="shared" si="74"/>
        <v>112500</v>
      </c>
      <c r="AX204" s="68">
        <v>197</v>
      </c>
      <c r="AY204" s="26">
        <v>15</v>
      </c>
      <c r="AZ204" s="18">
        <v>14</v>
      </c>
      <c r="BA204" s="15">
        <f t="shared" ref="BA204:BA205" si="78">INDEX($Y$6:$Y$20,AY204)</f>
        <v>5000</v>
      </c>
      <c r="BB204" s="15">
        <f t="shared" ref="BB204:BB205" si="79">INDEX($AA$6:$AA$20,AY204)</f>
        <v>12000</v>
      </c>
      <c r="BC204" s="15">
        <f t="shared" ref="BC204:BC205" si="80">INDEX($AC$6:$AC$20,AY204)</f>
        <v>225000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5"/>
        <v>125</v>
      </c>
      <c r="AL205" s="26">
        <f t="shared" si="76"/>
        <v>190</v>
      </c>
      <c r="AM205" s="26">
        <f t="shared" si="77"/>
        <v>2220</v>
      </c>
      <c r="AP205" s="68">
        <v>201</v>
      </c>
      <c r="AQ205" s="26">
        <v>15</v>
      </c>
      <c r="AR205" s="18">
        <v>15</v>
      </c>
      <c r="AS205" s="15">
        <f t="shared" si="72"/>
        <v>2500</v>
      </c>
      <c r="AT205" s="15">
        <f t="shared" si="73"/>
        <v>6000</v>
      </c>
      <c r="AU205" s="15">
        <f t="shared" si="74"/>
        <v>112500</v>
      </c>
      <c r="AX205" s="68">
        <v>198</v>
      </c>
      <c r="AY205" s="26">
        <v>15</v>
      </c>
      <c r="AZ205" s="18">
        <v>15</v>
      </c>
      <c r="BA205" s="15">
        <f t="shared" si="78"/>
        <v>5000</v>
      </c>
      <c r="BB205" s="15">
        <f t="shared" si="79"/>
        <v>12000</v>
      </c>
      <c r="BC205" s="15">
        <f t="shared" si="80"/>
        <v>225000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5"/>
        <v>125</v>
      </c>
      <c r="AL206" s="26">
        <f t="shared" si="76"/>
        <v>191</v>
      </c>
      <c r="AM206" s="26">
        <f t="shared" si="77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5"/>
        <v>125</v>
      </c>
      <c r="AL207" s="26">
        <f t="shared" si="76"/>
        <v>193</v>
      </c>
      <c r="AM207" s="26">
        <f t="shared" si="77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5"/>
        <v>125</v>
      </c>
      <c r="AL208" s="26">
        <f t="shared" si="76"/>
        <v>195</v>
      </c>
      <c r="AM208" s="26">
        <f t="shared" si="77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5"/>
        <v>125</v>
      </c>
      <c r="AL209" s="26">
        <f t="shared" si="76"/>
        <v>196</v>
      </c>
      <c r="AM209" s="26">
        <f t="shared" si="77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5"/>
        <v>125</v>
      </c>
      <c r="AL210" s="26">
        <f t="shared" si="76"/>
        <v>198</v>
      </c>
      <c r="AM210" s="26">
        <f t="shared" si="77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5"/>
        <v>125</v>
      </c>
      <c r="AL211" s="26">
        <f t="shared" si="76"/>
        <v>200</v>
      </c>
      <c r="AM211" s="26">
        <f t="shared" si="77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tabSelected="1" topLeftCell="A4" workbookViewId="0">
      <selection activeCell="U21" sqref="U21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97" t="s">
        <v>77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157</v>
      </c>
      <c r="J4" s="26">
        <v>1</v>
      </c>
      <c r="N4" s="12" t="s">
        <v>49</v>
      </c>
      <c r="O4" s="12" t="s">
        <v>47</v>
      </c>
      <c r="P4" s="12" t="s">
        <v>48</v>
      </c>
    </row>
    <row r="5" spans="1:16" ht="16.5" customHeight="1" x14ac:dyDescent="0.2">
      <c r="A5" s="18">
        <v>1</v>
      </c>
      <c r="B5" s="18">
        <v>65</v>
      </c>
      <c r="D5" s="99" t="s">
        <v>740</v>
      </c>
      <c r="E5" s="99"/>
      <c r="F5" s="99"/>
      <c r="G5" s="99"/>
      <c r="I5" s="14" t="s">
        <v>42</v>
      </c>
      <c r="J5" s="15">
        <f>SUMIFS(章节关卡!$AS$5:$AS$205,章节关卡!$AQ$5:$AQ$205,"="&amp;经验计算!J4)</f>
        <v>475</v>
      </c>
      <c r="N5" s="18">
        <v>1</v>
      </c>
      <c r="O5" s="21">
        <f>N5/N$3</f>
        <v>4.5454545454545456E-2</v>
      </c>
      <c r="P5" s="15">
        <f>INT($J$8*O5/5)*5</f>
        <v>65</v>
      </c>
    </row>
    <row r="6" spans="1:16" ht="16.5" x14ac:dyDescent="0.2">
      <c r="A6" s="18">
        <v>2</v>
      </c>
      <c r="B6" s="18">
        <v>75</v>
      </c>
      <c r="D6" s="99"/>
      <c r="E6" s="99"/>
      <c r="F6" s="99"/>
      <c r="G6" s="99"/>
      <c r="I6" s="14" t="s">
        <v>43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85</v>
      </c>
    </row>
    <row r="7" spans="1:16" ht="16.5" x14ac:dyDescent="0.2">
      <c r="A7" s="18">
        <v>3</v>
      </c>
      <c r="B7" s="18">
        <v>90</v>
      </c>
      <c r="D7" s="99"/>
      <c r="E7" s="99"/>
      <c r="F7" s="99"/>
      <c r="G7" s="99"/>
      <c r="I7" s="14" t="s">
        <v>46</v>
      </c>
      <c r="J7" s="20">
        <v>0.3</v>
      </c>
      <c r="K7" s="15">
        <f>J8*J7</f>
        <v>460.71428571428572</v>
      </c>
      <c r="N7" s="18">
        <v>1.5</v>
      </c>
      <c r="O7" s="21">
        <f t="shared" si="0"/>
        <v>6.8181818181818177E-2</v>
      </c>
      <c r="P7" s="15">
        <f t="shared" si="1"/>
        <v>100</v>
      </c>
    </row>
    <row r="8" spans="1:16" ht="16.5" x14ac:dyDescent="0.2">
      <c r="A8" s="18">
        <v>4</v>
      </c>
      <c r="B8" s="18">
        <v>120</v>
      </c>
      <c r="D8" s="99"/>
      <c r="E8" s="99"/>
      <c r="F8" s="99"/>
      <c r="G8" s="99"/>
      <c r="I8" s="14" t="s">
        <v>44</v>
      </c>
      <c r="J8" s="15">
        <f>(J5+K6)/(1-J7)</f>
        <v>1535.7142857142858</v>
      </c>
      <c r="N8" s="18">
        <v>1.75</v>
      </c>
      <c r="O8" s="21">
        <f t="shared" si="0"/>
        <v>7.9545454545454544E-2</v>
      </c>
      <c r="P8" s="15">
        <f t="shared" si="1"/>
        <v>120</v>
      </c>
    </row>
    <row r="9" spans="1:16" ht="16.5" x14ac:dyDescent="0.2">
      <c r="A9" s="18">
        <v>5</v>
      </c>
      <c r="B9" s="18">
        <v>150</v>
      </c>
      <c r="D9" s="99"/>
      <c r="E9" s="99"/>
      <c r="F9" s="99"/>
      <c r="G9" s="99"/>
      <c r="N9" s="18">
        <v>2</v>
      </c>
      <c r="O9" s="21">
        <f t="shared" si="0"/>
        <v>9.0909090909090912E-2</v>
      </c>
      <c r="P9" s="15">
        <f t="shared" si="1"/>
        <v>135</v>
      </c>
    </row>
    <row r="10" spans="1:16" ht="16.5" x14ac:dyDescent="0.2">
      <c r="A10" s="18">
        <v>6</v>
      </c>
      <c r="B10" s="18">
        <v>175</v>
      </c>
      <c r="D10" s="99"/>
      <c r="E10" s="99"/>
      <c r="F10" s="99"/>
      <c r="G10" s="99"/>
      <c r="N10" s="18">
        <v>2.5</v>
      </c>
      <c r="O10" s="21">
        <f t="shared" si="0"/>
        <v>0.11363636363636363</v>
      </c>
      <c r="P10" s="15">
        <f t="shared" si="1"/>
        <v>170</v>
      </c>
    </row>
    <row r="11" spans="1:16" ht="16.5" x14ac:dyDescent="0.2">
      <c r="A11" s="18">
        <v>7</v>
      </c>
      <c r="B11" s="18">
        <v>260</v>
      </c>
      <c r="D11" s="99"/>
      <c r="E11" s="99"/>
      <c r="F11" s="99"/>
      <c r="G11" s="99"/>
      <c r="N11" s="18">
        <v>3</v>
      </c>
      <c r="O11" s="21">
        <f t="shared" si="0"/>
        <v>0.13636363636363635</v>
      </c>
      <c r="P11" s="15">
        <f t="shared" si="1"/>
        <v>205</v>
      </c>
    </row>
    <row r="12" spans="1:16" ht="16.5" x14ac:dyDescent="0.2">
      <c r="A12" s="18">
        <v>8</v>
      </c>
      <c r="B12" s="18">
        <v>310</v>
      </c>
      <c r="D12" s="99"/>
      <c r="E12" s="99"/>
      <c r="F12" s="99"/>
      <c r="G12" s="99"/>
      <c r="N12" s="18">
        <v>4</v>
      </c>
      <c r="O12" s="21">
        <f t="shared" si="0"/>
        <v>0.18181818181818182</v>
      </c>
      <c r="P12" s="15">
        <f t="shared" si="1"/>
        <v>275</v>
      </c>
    </row>
    <row r="13" spans="1:16" ht="16.5" x14ac:dyDescent="0.2">
      <c r="A13" s="18">
        <v>9</v>
      </c>
      <c r="B13" s="18">
        <v>400</v>
      </c>
      <c r="D13" s="99"/>
      <c r="E13" s="99"/>
      <c r="F13" s="99"/>
      <c r="G13" s="99"/>
      <c r="N13" s="18">
        <v>5</v>
      </c>
      <c r="O13" s="21">
        <f t="shared" si="0"/>
        <v>0.22727272727272727</v>
      </c>
      <c r="P13" s="15">
        <f t="shared" si="1"/>
        <v>345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19.5</v>
      </c>
      <c r="O16" s="16"/>
      <c r="P16" s="16"/>
    </row>
    <row r="17" spans="1:19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157</v>
      </c>
      <c r="J17" s="26">
        <v>2</v>
      </c>
      <c r="K17" s="27" t="s">
        <v>158</v>
      </c>
      <c r="L17" s="26">
        <v>1</v>
      </c>
      <c r="M17" s="16"/>
      <c r="N17" s="12" t="s">
        <v>49</v>
      </c>
      <c r="O17" s="12" t="s">
        <v>47</v>
      </c>
      <c r="P17" s="12" t="s">
        <v>48</v>
      </c>
    </row>
    <row r="18" spans="1:19" ht="16.5" x14ac:dyDescent="0.2">
      <c r="A18" s="18">
        <v>10</v>
      </c>
      <c r="B18" s="18">
        <v>365</v>
      </c>
      <c r="D18" s="100" t="s">
        <v>741</v>
      </c>
      <c r="E18" s="101"/>
      <c r="F18" s="101"/>
      <c r="G18" s="102"/>
      <c r="I18" s="14" t="s">
        <v>51</v>
      </c>
      <c r="J18" s="15">
        <f>SUMIFS(章节关卡!$AS$5:$AS$205,章节关卡!$AQ$5:$AQ$205,"="&amp;经验计算!J17)</f>
        <v>1260</v>
      </c>
      <c r="K18" s="14" t="s">
        <v>50</v>
      </c>
      <c r="L18" s="15">
        <f>SUMIFS(章节关卡!$BA$5:$BA$214,章节关卡!$AY$5:$AY$214,"="&amp;经验计算!L17)</f>
        <v>1350</v>
      </c>
      <c r="N18" s="18">
        <v>1</v>
      </c>
      <c r="O18" s="22">
        <f t="shared" ref="O18:O27" si="2">N18/$N$16</f>
        <v>5.128205128205128E-2</v>
      </c>
      <c r="P18" s="18">
        <f t="shared" ref="P18:P27" si="3">INT($J$22*O18/5)*5</f>
        <v>365</v>
      </c>
      <c r="R18">
        <v>980</v>
      </c>
      <c r="S18">
        <v>1350</v>
      </c>
    </row>
    <row r="19" spans="1:19" ht="16.5" x14ac:dyDescent="0.2">
      <c r="A19" s="18">
        <v>11</v>
      </c>
      <c r="B19" s="18">
        <v>440</v>
      </c>
      <c r="D19" s="103"/>
      <c r="E19" s="104"/>
      <c r="F19" s="104"/>
      <c r="G19" s="105"/>
      <c r="I19" s="14" t="s">
        <v>52</v>
      </c>
      <c r="J19" s="15">
        <f>SUM(芦花古楼!D5:D8)</f>
        <v>1440</v>
      </c>
      <c r="N19" s="18">
        <v>1.2</v>
      </c>
      <c r="O19" s="22">
        <f t="shared" si="2"/>
        <v>6.1538461538461535E-2</v>
      </c>
      <c r="P19" s="18">
        <f t="shared" si="3"/>
        <v>440</v>
      </c>
      <c r="R19">
        <v>340</v>
      </c>
    </row>
    <row r="20" spans="1:19" ht="16.5" x14ac:dyDescent="0.2">
      <c r="A20" s="18">
        <v>12</v>
      </c>
      <c r="B20" s="18">
        <v>510</v>
      </c>
      <c r="D20" s="103"/>
      <c r="E20" s="104"/>
      <c r="F20" s="104"/>
      <c r="G20" s="105"/>
      <c r="I20" s="14" t="s">
        <v>53</v>
      </c>
      <c r="J20" s="18">
        <v>240</v>
      </c>
      <c r="K20" s="15">
        <f>INDEX(章节关卡!$C$6:$C$20,经验计算!J17)*J20</f>
        <v>1680</v>
      </c>
      <c r="N20" s="76">
        <v>1.4</v>
      </c>
      <c r="O20" s="22">
        <f t="shared" si="2"/>
        <v>7.179487179487179E-2</v>
      </c>
      <c r="P20" s="18">
        <f t="shared" si="3"/>
        <v>510</v>
      </c>
    </row>
    <row r="21" spans="1:19" ht="16.5" x14ac:dyDescent="0.2">
      <c r="A21" s="18">
        <v>13</v>
      </c>
      <c r="B21" s="18">
        <v>585</v>
      </c>
      <c r="D21" s="103"/>
      <c r="E21" s="104"/>
      <c r="F21" s="104"/>
      <c r="G21" s="105"/>
      <c r="I21" s="14" t="s">
        <v>46</v>
      </c>
      <c r="J21" s="20">
        <v>0.2</v>
      </c>
      <c r="K21" s="15">
        <f>J22*J21</f>
        <v>1432.5</v>
      </c>
      <c r="N21" s="76">
        <v>1.6</v>
      </c>
      <c r="O21" s="22">
        <f t="shared" si="2"/>
        <v>8.2051282051282051E-2</v>
      </c>
      <c r="P21" s="18">
        <f t="shared" si="3"/>
        <v>585</v>
      </c>
    </row>
    <row r="22" spans="1:19" ht="16.5" x14ac:dyDescent="0.2">
      <c r="A22" s="18">
        <v>14</v>
      </c>
      <c r="B22" s="18">
        <v>660</v>
      </c>
      <c r="D22" s="103"/>
      <c r="E22" s="104"/>
      <c r="F22" s="104"/>
      <c r="G22" s="105"/>
      <c r="I22" s="14" t="s">
        <v>44</v>
      </c>
      <c r="J22" s="15">
        <f>(J18+L18+J19+K20)/(1-J21)</f>
        <v>7162.5</v>
      </c>
      <c r="N22" s="76">
        <v>1.8</v>
      </c>
      <c r="O22" s="22">
        <f t="shared" si="2"/>
        <v>9.2307692307692313E-2</v>
      </c>
      <c r="P22" s="18">
        <f t="shared" si="3"/>
        <v>660</v>
      </c>
    </row>
    <row r="23" spans="1:19" ht="16.5" x14ac:dyDescent="0.2">
      <c r="A23" s="18">
        <v>15</v>
      </c>
      <c r="B23" s="18">
        <v>730</v>
      </c>
      <c r="D23" s="103"/>
      <c r="E23" s="104"/>
      <c r="F23" s="104"/>
      <c r="G23" s="105"/>
      <c r="N23" s="76">
        <v>2</v>
      </c>
      <c r="O23" s="22">
        <f t="shared" si="2"/>
        <v>0.10256410256410256</v>
      </c>
      <c r="P23" s="18">
        <f t="shared" si="3"/>
        <v>730</v>
      </c>
    </row>
    <row r="24" spans="1:19" ht="16.5" x14ac:dyDescent="0.2">
      <c r="A24" s="18">
        <v>16</v>
      </c>
      <c r="B24" s="18">
        <v>825</v>
      </c>
      <c r="D24" s="103"/>
      <c r="E24" s="104"/>
      <c r="F24" s="104"/>
      <c r="G24" s="105"/>
      <c r="N24" s="76">
        <v>2.25</v>
      </c>
      <c r="O24" s="22">
        <f t="shared" si="2"/>
        <v>0.11538461538461539</v>
      </c>
      <c r="P24" s="18">
        <f t="shared" si="3"/>
        <v>825</v>
      </c>
    </row>
    <row r="25" spans="1:19" ht="16.5" x14ac:dyDescent="0.2">
      <c r="A25" s="18">
        <v>17</v>
      </c>
      <c r="B25" s="18">
        <v>915</v>
      </c>
      <c r="D25" s="103"/>
      <c r="E25" s="104"/>
      <c r="F25" s="104"/>
      <c r="G25" s="105"/>
      <c r="N25" s="76">
        <v>2.5</v>
      </c>
      <c r="O25" s="22">
        <f t="shared" si="2"/>
        <v>0.12820512820512819</v>
      </c>
      <c r="P25" s="18">
        <f t="shared" si="3"/>
        <v>915</v>
      </c>
    </row>
    <row r="26" spans="1:19" ht="16.5" x14ac:dyDescent="0.2">
      <c r="A26" s="18">
        <v>18</v>
      </c>
      <c r="B26" s="18">
        <v>1010</v>
      </c>
      <c r="D26" s="103"/>
      <c r="E26" s="104"/>
      <c r="F26" s="104"/>
      <c r="G26" s="105"/>
      <c r="N26" s="76">
        <v>2.75</v>
      </c>
      <c r="O26" s="22">
        <f t="shared" si="2"/>
        <v>0.14102564102564102</v>
      </c>
      <c r="P26" s="18">
        <f t="shared" si="3"/>
        <v>1010</v>
      </c>
    </row>
    <row r="27" spans="1:19" ht="16.5" x14ac:dyDescent="0.2">
      <c r="A27" s="18">
        <v>19</v>
      </c>
      <c r="B27" s="18">
        <v>1100</v>
      </c>
      <c r="D27" s="106"/>
      <c r="E27" s="107"/>
      <c r="F27" s="107"/>
      <c r="G27" s="108"/>
      <c r="N27" s="76">
        <v>3</v>
      </c>
      <c r="O27" s="22">
        <f t="shared" si="2"/>
        <v>0.15384615384615385</v>
      </c>
      <c r="P27" s="18">
        <f t="shared" si="3"/>
        <v>1100</v>
      </c>
    </row>
    <row r="28" spans="1:19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9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9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157</v>
      </c>
      <c r="J30" s="26">
        <v>3</v>
      </c>
      <c r="K30" s="27" t="s">
        <v>158</v>
      </c>
      <c r="L30" s="26">
        <v>2</v>
      </c>
      <c r="M30" s="16"/>
      <c r="N30" s="12" t="s">
        <v>49</v>
      </c>
      <c r="O30" s="12" t="s">
        <v>47</v>
      </c>
      <c r="P30" s="12" t="s">
        <v>48</v>
      </c>
    </row>
    <row r="31" spans="1:19" ht="17.25" customHeight="1" x14ac:dyDescent="0.2">
      <c r="A31" s="18">
        <v>20</v>
      </c>
      <c r="B31" s="18">
        <v>920</v>
      </c>
      <c r="D31" s="100" t="s">
        <v>606</v>
      </c>
      <c r="E31" s="101"/>
      <c r="F31" s="101"/>
      <c r="G31" s="102"/>
      <c r="I31" s="14" t="s">
        <v>56</v>
      </c>
      <c r="J31" s="15">
        <f>SUMIFS(章节关卡!$AS$5:$AS$205,章节关卡!$AQ$5:$AQ$205,"="&amp;经验计算!J30)</f>
        <v>1800</v>
      </c>
      <c r="K31" s="14" t="s">
        <v>57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9" ht="16.5" x14ac:dyDescent="0.2">
      <c r="A32" s="18">
        <v>21</v>
      </c>
      <c r="B32" s="18">
        <v>1010</v>
      </c>
      <c r="D32" s="103"/>
      <c r="E32" s="104"/>
      <c r="F32" s="104"/>
      <c r="G32" s="105"/>
      <c r="I32" s="14" t="s">
        <v>58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1105</v>
      </c>
      <c r="D33" s="103"/>
      <c r="E33" s="104"/>
      <c r="F33" s="104"/>
      <c r="G33" s="105"/>
      <c r="I33" s="14" t="s">
        <v>59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1195</v>
      </c>
      <c r="D34" s="103"/>
      <c r="E34" s="104"/>
      <c r="F34" s="104"/>
      <c r="G34" s="105"/>
      <c r="I34" s="14" t="s">
        <v>46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1290</v>
      </c>
      <c r="D35" s="103"/>
      <c r="E35" s="104"/>
      <c r="F35" s="104"/>
      <c r="G35" s="105"/>
      <c r="I35" s="14" t="s">
        <v>45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1380</v>
      </c>
      <c r="D36" s="103"/>
      <c r="E36" s="104"/>
      <c r="F36" s="104"/>
      <c r="G36" s="105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1475</v>
      </c>
      <c r="D37" s="103"/>
      <c r="E37" s="104"/>
      <c r="F37" s="104"/>
      <c r="G37" s="105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1565</v>
      </c>
      <c r="D38" s="103"/>
      <c r="E38" s="104"/>
      <c r="F38" s="104"/>
      <c r="G38" s="105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1660</v>
      </c>
      <c r="D39" s="103"/>
      <c r="E39" s="104"/>
      <c r="F39" s="104"/>
      <c r="G39" s="105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1840</v>
      </c>
      <c r="D40" s="106"/>
      <c r="E40" s="107"/>
      <c r="F40" s="107"/>
      <c r="G40" s="108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157</v>
      </c>
      <c r="J43" s="26">
        <v>4</v>
      </c>
      <c r="M43" s="16"/>
      <c r="N43" s="12" t="s">
        <v>49</v>
      </c>
      <c r="O43" s="12" t="s">
        <v>47</v>
      </c>
      <c r="P43" s="12" t="s">
        <v>48</v>
      </c>
    </row>
    <row r="44" spans="1:16" ht="16.5" x14ac:dyDescent="0.2">
      <c r="A44" s="18">
        <v>30</v>
      </c>
      <c r="B44" s="18">
        <v>2155</v>
      </c>
      <c r="D44" s="100" t="s">
        <v>607</v>
      </c>
      <c r="E44" s="101"/>
      <c r="F44" s="101"/>
      <c r="G44" s="102"/>
      <c r="I44" s="14" t="s">
        <v>56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103"/>
      <c r="E45" s="104"/>
      <c r="F45" s="104"/>
      <c r="G45" s="105"/>
      <c r="I45" s="14" t="s">
        <v>60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103"/>
      <c r="E46" s="104"/>
      <c r="F46" s="104"/>
      <c r="G46" s="105"/>
      <c r="I46" s="14" t="s">
        <v>61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103"/>
      <c r="E47" s="104"/>
      <c r="F47" s="104"/>
      <c r="G47" s="105"/>
      <c r="I47" s="14" t="s">
        <v>62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103"/>
      <c r="E48" s="104"/>
      <c r="F48" s="104"/>
      <c r="G48" s="105"/>
      <c r="I48" s="14" t="s">
        <v>59</v>
      </c>
      <c r="J48" s="39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103"/>
      <c r="E49" s="104"/>
      <c r="F49" s="104"/>
      <c r="G49" s="105"/>
      <c r="I49" s="14" t="s">
        <v>46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103"/>
      <c r="E50" s="104"/>
      <c r="F50" s="104"/>
      <c r="G50" s="105"/>
      <c r="I50" s="14" t="s">
        <v>45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103"/>
      <c r="E51" s="104"/>
      <c r="F51" s="104"/>
      <c r="G51" s="105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103"/>
      <c r="E52" s="104"/>
      <c r="F52" s="104"/>
      <c r="G52" s="105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06"/>
      <c r="E53" s="107"/>
      <c r="F53" s="107"/>
      <c r="G53" s="108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157</v>
      </c>
      <c r="J56" s="26">
        <v>5</v>
      </c>
      <c r="K56" s="16"/>
      <c r="M56" s="16"/>
      <c r="N56" s="12" t="s">
        <v>49</v>
      </c>
      <c r="O56" s="12" t="s">
        <v>47</v>
      </c>
      <c r="P56" s="12" t="s">
        <v>48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99" t="s">
        <v>167</v>
      </c>
      <c r="E57" s="99"/>
      <c r="F57" s="99"/>
      <c r="G57" s="99"/>
      <c r="I57" s="25" t="s">
        <v>100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99"/>
      <c r="E58" s="99"/>
      <c r="F58" s="99"/>
      <c r="G58" s="99"/>
      <c r="I58" s="27" t="s">
        <v>159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99"/>
      <c r="E59" s="99"/>
      <c r="F59" s="99"/>
      <c r="G59" s="99"/>
      <c r="I59" s="27" t="s">
        <v>160</v>
      </c>
      <c r="J59" s="15">
        <f>SUMIFS(芦花古楼!$D$5:$D$104,芦花古楼!$B$5:$B$104,"="&amp;经验计算!J56)</f>
        <v>9600</v>
      </c>
      <c r="K59" s="27" t="s">
        <v>161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99"/>
      <c r="E60" s="99"/>
      <c r="F60" s="99"/>
      <c r="G60" s="99"/>
      <c r="I60" s="27" t="s">
        <v>162</v>
      </c>
      <c r="J60" s="15">
        <f>SUMIFS(芦花古楼!$X$5:$X$104,芦花古楼!$V$5:$V$104,"="&amp;经验计算!J56)</f>
        <v>14400</v>
      </c>
      <c r="K60" s="27" t="s">
        <v>163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99"/>
      <c r="E61" s="99"/>
      <c r="F61" s="99"/>
      <c r="G61" s="99"/>
      <c r="I61" s="27" t="s">
        <v>62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99"/>
      <c r="E62" s="99"/>
      <c r="F62" s="99"/>
      <c r="G62" s="99"/>
      <c r="I62" s="27" t="s">
        <v>53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99"/>
      <c r="E63" s="99"/>
      <c r="F63" s="99"/>
      <c r="G63" s="99"/>
      <c r="H63" s="16"/>
      <c r="I63" s="27" t="s">
        <v>46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99"/>
      <c r="E64" s="99"/>
      <c r="F64" s="99"/>
      <c r="G64" s="99"/>
      <c r="H64" s="16"/>
      <c r="I64" s="27" t="s">
        <v>44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99"/>
      <c r="E65" s="99"/>
      <c r="F65" s="99"/>
      <c r="G65" s="99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99"/>
      <c r="E66" s="99"/>
      <c r="F66" s="99"/>
      <c r="G66" s="99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157</v>
      </c>
      <c r="J70" s="26">
        <v>6</v>
      </c>
      <c r="K70" s="27" t="s">
        <v>157</v>
      </c>
      <c r="L70" s="26">
        <v>5</v>
      </c>
      <c r="N70" s="12" t="s">
        <v>49</v>
      </c>
      <c r="O70" s="12" t="s">
        <v>47</v>
      </c>
      <c r="P70" s="12" t="s">
        <v>48</v>
      </c>
    </row>
    <row r="71" spans="1:19" ht="16.5" x14ac:dyDescent="0.2">
      <c r="A71" s="18">
        <v>50</v>
      </c>
      <c r="B71" s="18">
        <v>8945</v>
      </c>
      <c r="D71" s="99"/>
      <c r="E71" s="99"/>
      <c r="F71" s="99"/>
      <c r="G71" s="99"/>
      <c r="I71" s="27" t="s">
        <v>166</v>
      </c>
      <c r="J71" s="15">
        <f>SUMIFS(章节关卡!$AS$5:$AS$205,章节关卡!$AQ$5:$AQ$205,"="&amp;经验计算!J70)</f>
        <v>6000</v>
      </c>
      <c r="K71" s="27" t="s">
        <v>165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99"/>
      <c r="E72" s="99"/>
      <c r="F72" s="99"/>
      <c r="G72" s="99"/>
      <c r="I72" s="27" t="s">
        <v>160</v>
      </c>
      <c r="J72" s="15">
        <f>SUMIFS(芦花古楼!$D$5:$D$104,芦花古楼!$B$5:$B$104,"="&amp;经验计算!J70)</f>
        <v>16800</v>
      </c>
      <c r="K72" s="27" t="s">
        <v>161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99"/>
      <c r="E73" s="99"/>
      <c r="F73" s="99"/>
      <c r="G73" s="99"/>
      <c r="I73" s="27" t="s">
        <v>162</v>
      </c>
      <c r="J73" s="15">
        <f>SUMIFS(芦花古楼!$X$5:$X$104,芦花古楼!$V$5:$V$104,"="&amp;经验计算!J70)</f>
        <v>18000</v>
      </c>
      <c r="K73" s="27" t="s">
        <v>163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99"/>
      <c r="E74" s="99"/>
      <c r="F74" s="99"/>
      <c r="G74" s="99"/>
      <c r="I74" s="27" t="s">
        <v>62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99"/>
      <c r="E75" s="99"/>
      <c r="F75" s="99"/>
      <c r="G75" s="99"/>
      <c r="I75" s="27" t="s">
        <v>53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99"/>
      <c r="E76" s="99"/>
      <c r="F76" s="99"/>
      <c r="G76" s="99"/>
      <c r="I76" s="27" t="s">
        <v>46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99"/>
      <c r="E77" s="99"/>
      <c r="F77" s="99"/>
      <c r="G77" s="99"/>
      <c r="I77" s="27" t="s">
        <v>44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99"/>
      <c r="E78" s="99"/>
      <c r="F78" s="99"/>
      <c r="G78" s="99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99"/>
      <c r="E79" s="99"/>
      <c r="F79" s="99"/>
      <c r="G79" s="99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99"/>
      <c r="E80" s="99"/>
      <c r="F80" s="99"/>
      <c r="G80" s="99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157</v>
      </c>
      <c r="J84" s="26">
        <v>7</v>
      </c>
      <c r="K84" s="27" t="s">
        <v>157</v>
      </c>
      <c r="L84" s="26">
        <v>6</v>
      </c>
      <c r="M84" s="16"/>
      <c r="N84" s="12" t="s">
        <v>49</v>
      </c>
      <c r="O84" s="12" t="s">
        <v>47</v>
      </c>
      <c r="P84" s="12" t="s">
        <v>48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99"/>
      <c r="E85" s="99"/>
      <c r="F85" s="99"/>
      <c r="G85" s="99"/>
      <c r="I85" s="27" t="s">
        <v>166</v>
      </c>
      <c r="J85" s="15">
        <f>SUMIFS(章节关卡!$AS$5:$AS$205,章节关卡!$AQ$5:$AQ$205,"="&amp;经验计算!J84)</f>
        <v>7500</v>
      </c>
      <c r="K85" s="27" t="s">
        <v>165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99"/>
      <c r="E86" s="99"/>
      <c r="F86" s="99"/>
      <c r="G86" s="99"/>
      <c r="I86" s="27" t="s">
        <v>160</v>
      </c>
      <c r="J86" s="15">
        <f>SUMIFS(芦花古楼!$D$5:$D$104,芦花古楼!$B$5:$B$104,"="&amp;经验计算!J84)</f>
        <v>22500</v>
      </c>
      <c r="K86" s="27" t="s">
        <v>161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99"/>
      <c r="E87" s="99"/>
      <c r="F87" s="99"/>
      <c r="G87" s="99"/>
      <c r="I87" s="27" t="s">
        <v>162</v>
      </c>
      <c r="J87" s="15">
        <f>SUMIFS(芦花古楼!$X$5:$X$104,芦花古楼!$V$5:$V$104,"="&amp;经验计算!J84)</f>
        <v>22500</v>
      </c>
      <c r="K87" s="27" t="s">
        <v>163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99"/>
      <c r="E88" s="99"/>
      <c r="F88" s="99"/>
      <c r="G88" s="99"/>
      <c r="I88" s="27" t="s">
        <v>62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99"/>
      <c r="E89" s="99"/>
      <c r="F89" s="99"/>
      <c r="G89" s="99"/>
      <c r="I89" s="27" t="s">
        <v>53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99"/>
      <c r="E90" s="99"/>
      <c r="F90" s="99"/>
      <c r="G90" s="99"/>
      <c r="I90" s="27" t="s">
        <v>46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99"/>
      <c r="E91" s="99"/>
      <c r="F91" s="99"/>
      <c r="G91" s="99"/>
      <c r="I91" s="27" t="s">
        <v>44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99"/>
      <c r="E92" s="99"/>
      <c r="F92" s="99"/>
      <c r="G92" s="99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99"/>
      <c r="E93" s="99"/>
      <c r="F93" s="99"/>
      <c r="G93" s="99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99"/>
      <c r="E94" s="99"/>
      <c r="F94" s="99"/>
      <c r="G94" s="99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157</v>
      </c>
      <c r="J97" s="26">
        <v>8</v>
      </c>
      <c r="K97" s="27" t="s">
        <v>157</v>
      </c>
      <c r="L97" s="26">
        <v>7</v>
      </c>
      <c r="M97" s="16"/>
      <c r="N97" s="12" t="s">
        <v>49</v>
      </c>
      <c r="O97" s="12" t="s">
        <v>47</v>
      </c>
      <c r="P97" s="12" t="s">
        <v>48</v>
      </c>
    </row>
    <row r="98" spans="1:16" ht="16.5" x14ac:dyDescent="0.2">
      <c r="A98" s="18">
        <v>70</v>
      </c>
      <c r="B98" s="18">
        <v>15800</v>
      </c>
      <c r="D98" s="99"/>
      <c r="E98" s="99"/>
      <c r="F98" s="99"/>
      <c r="G98" s="99"/>
      <c r="I98" s="27" t="s">
        <v>166</v>
      </c>
      <c r="J98" s="15">
        <f>SUMIFS(章节关卡!$AS$5:$AS$205,章节关卡!$AQ$5:$AQ$205,"="&amp;经验计算!J97)</f>
        <v>9000</v>
      </c>
      <c r="K98" s="27" t="s">
        <v>165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99"/>
      <c r="E99" s="99"/>
      <c r="F99" s="99"/>
      <c r="G99" s="99"/>
      <c r="I99" s="27" t="s">
        <v>160</v>
      </c>
      <c r="J99" s="15">
        <f>SUMIFS(芦花古楼!$D$5:$D$104,芦花古楼!$B$5:$B$104,"="&amp;经验计算!J97)</f>
        <v>27000</v>
      </c>
      <c r="K99" s="27" t="s">
        <v>161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99"/>
      <c r="E100" s="99"/>
      <c r="F100" s="99"/>
      <c r="G100" s="99"/>
      <c r="I100" s="27" t="s">
        <v>162</v>
      </c>
      <c r="J100" s="15">
        <f>SUMIFS(芦花古楼!$X$5:$X$104,芦花古楼!$V$5:$V$104,"="&amp;经验计算!J97)</f>
        <v>21600</v>
      </c>
      <c r="K100" s="27" t="s">
        <v>163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99"/>
      <c r="E101" s="99"/>
      <c r="F101" s="99"/>
      <c r="G101" s="99"/>
      <c r="I101" s="27" t="s">
        <v>62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99"/>
      <c r="E102" s="99"/>
      <c r="F102" s="99"/>
      <c r="G102" s="99"/>
      <c r="I102" s="27" t="s">
        <v>53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99"/>
      <c r="E103" s="99"/>
      <c r="F103" s="99"/>
      <c r="G103" s="99"/>
      <c r="I103" s="27" t="s">
        <v>46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99"/>
      <c r="E104" s="99"/>
      <c r="F104" s="99"/>
      <c r="G104" s="99"/>
      <c r="I104" s="27" t="s">
        <v>44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99"/>
      <c r="E105" s="99"/>
      <c r="F105" s="99"/>
      <c r="G105" s="99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99"/>
      <c r="E106" s="99"/>
      <c r="F106" s="99"/>
      <c r="G106" s="99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99"/>
      <c r="E107" s="99"/>
      <c r="F107" s="99"/>
      <c r="G107" s="99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157</v>
      </c>
      <c r="J110" s="26">
        <v>9</v>
      </c>
      <c r="K110" s="27" t="s">
        <v>157</v>
      </c>
      <c r="L110" s="26">
        <v>8</v>
      </c>
      <c r="N110" s="12" t="s">
        <v>49</v>
      </c>
      <c r="O110" s="12" t="s">
        <v>47</v>
      </c>
      <c r="P110" s="12" t="s">
        <v>48</v>
      </c>
    </row>
    <row r="111" spans="1:16" ht="15.75" customHeight="1" x14ac:dyDescent="0.2">
      <c r="A111" s="18">
        <v>80</v>
      </c>
      <c r="B111" s="18">
        <v>30205</v>
      </c>
      <c r="D111" s="99"/>
      <c r="E111" s="99"/>
      <c r="F111" s="99"/>
      <c r="G111" s="99"/>
      <c r="I111" s="27" t="s">
        <v>166</v>
      </c>
      <c r="J111" s="15">
        <f>SUMIFS(章节关卡!$AS$5:$AS$205,章节关卡!$AQ$5:$AQ$205,"="&amp;经验计算!J110)</f>
        <v>10800</v>
      </c>
      <c r="K111" s="27" t="s">
        <v>165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99"/>
      <c r="E112" s="99"/>
      <c r="F112" s="99"/>
      <c r="G112" s="99"/>
      <c r="I112" s="27" t="s">
        <v>160</v>
      </c>
      <c r="J112" s="15">
        <f>SUMIFS(芦花古楼!$D$5:$D$104,芦花古楼!$B$5:$B$104,"="&amp;经验计算!J110)</f>
        <v>32400</v>
      </c>
      <c r="K112" s="27" t="s">
        <v>161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99"/>
      <c r="E113" s="99"/>
      <c r="F113" s="99"/>
      <c r="G113" s="99"/>
      <c r="I113" s="27" t="s">
        <v>162</v>
      </c>
      <c r="J113" s="15">
        <f>SUMIFS(芦花古楼!$X$5:$X$104,芦花古楼!$V$5:$V$104,"="&amp;经验计算!J110)</f>
        <v>64800</v>
      </c>
      <c r="K113" s="27" t="s">
        <v>163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99"/>
      <c r="E114" s="99"/>
      <c r="F114" s="99"/>
      <c r="G114" s="99"/>
      <c r="I114" s="27" t="s">
        <v>62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99"/>
      <c r="E115" s="99"/>
      <c r="F115" s="99"/>
      <c r="G115" s="99"/>
      <c r="I115" s="27" t="s">
        <v>53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99"/>
      <c r="E116" s="99"/>
      <c r="F116" s="99"/>
      <c r="G116" s="99"/>
      <c r="I116" s="27" t="s">
        <v>46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99"/>
      <c r="E117" s="99"/>
      <c r="F117" s="99"/>
      <c r="G117" s="99"/>
      <c r="I117" s="27" t="s">
        <v>44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99"/>
      <c r="E118" s="99"/>
      <c r="F118" s="99"/>
      <c r="G118" s="99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99"/>
      <c r="E119" s="99"/>
      <c r="F119" s="99"/>
      <c r="G119" s="99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99"/>
      <c r="E120" s="99"/>
      <c r="F120" s="99"/>
      <c r="G120" s="99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157</v>
      </c>
      <c r="J123" s="26">
        <v>10</v>
      </c>
      <c r="K123" s="27" t="s">
        <v>157</v>
      </c>
      <c r="L123" s="26">
        <v>9</v>
      </c>
      <c r="M123" s="16"/>
      <c r="N123" s="12" t="s">
        <v>49</v>
      </c>
      <c r="O123" s="12" t="s">
        <v>47</v>
      </c>
      <c r="P123" s="12" t="s">
        <v>48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99"/>
      <c r="E124" s="99"/>
      <c r="F124" s="99"/>
      <c r="G124" s="99"/>
      <c r="I124" s="27" t="s">
        <v>166</v>
      </c>
      <c r="J124" s="15">
        <f>SUMIFS(章节关卡!$AS$5:$AS$205,章节关卡!$AQ$5:$AQ$205,"="&amp;经验计算!J123)</f>
        <v>13200</v>
      </c>
      <c r="K124" s="27" t="s">
        <v>165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99"/>
      <c r="E125" s="99"/>
      <c r="F125" s="99"/>
      <c r="G125" s="99"/>
      <c r="I125" s="27" t="s">
        <v>160</v>
      </c>
      <c r="J125" s="15">
        <f>SUMIFS(芦花古楼!$D$5:$D$104,芦花古楼!$B$5:$B$104,"="&amp;经验计算!J123)</f>
        <v>42240</v>
      </c>
      <c r="K125" s="27" t="s">
        <v>161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99"/>
      <c r="E126" s="99"/>
      <c r="F126" s="99"/>
      <c r="G126" s="99"/>
      <c r="I126" s="27" t="s">
        <v>162</v>
      </c>
      <c r="J126" s="15">
        <f>SUMIFS(芦花古楼!$X$5:$X$104,芦花古楼!$V$5:$V$104,"="&amp;经验计算!J123)</f>
        <v>118800</v>
      </c>
      <c r="K126" s="27" t="s">
        <v>163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99"/>
      <c r="E127" s="99"/>
      <c r="F127" s="99"/>
      <c r="G127" s="99"/>
      <c r="I127" s="27" t="s">
        <v>62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99"/>
      <c r="E128" s="99"/>
      <c r="F128" s="99"/>
      <c r="G128" s="99"/>
      <c r="I128" s="27" t="s">
        <v>53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99"/>
      <c r="E129" s="99"/>
      <c r="F129" s="99"/>
      <c r="G129" s="99"/>
      <c r="I129" s="27" t="s">
        <v>46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99"/>
      <c r="E130" s="99"/>
      <c r="F130" s="99"/>
      <c r="G130" s="99"/>
      <c r="I130" s="27" t="s">
        <v>44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99"/>
      <c r="E131" s="99"/>
      <c r="F131" s="99"/>
      <c r="G131" s="99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99"/>
      <c r="E132" s="99"/>
      <c r="F132" s="99"/>
      <c r="G132" s="99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99"/>
      <c r="E133" s="99"/>
      <c r="F133" s="99"/>
      <c r="G133" s="99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99"/>
      <c r="E137" s="99"/>
      <c r="F137" s="99"/>
      <c r="G137" s="99"/>
      <c r="I137" s="55" t="s">
        <v>154</v>
      </c>
      <c r="J137" s="56">
        <v>11</v>
      </c>
      <c r="K137" s="55" t="s">
        <v>154</v>
      </c>
      <c r="L137" s="56">
        <v>10</v>
      </c>
      <c r="M137" s="16"/>
      <c r="N137" s="12" t="s">
        <v>49</v>
      </c>
      <c r="O137" s="12" t="s">
        <v>47</v>
      </c>
      <c r="P137" s="12" t="s">
        <v>48</v>
      </c>
    </row>
    <row r="138" spans="1:19" ht="16.5" x14ac:dyDescent="0.2">
      <c r="A138" s="18">
        <v>101</v>
      </c>
      <c r="B138" s="18">
        <v>89640</v>
      </c>
      <c r="D138" s="99"/>
      <c r="E138" s="99"/>
      <c r="F138" s="99"/>
      <c r="G138" s="99"/>
      <c r="I138" s="55" t="s">
        <v>166</v>
      </c>
      <c r="J138" s="15">
        <f>SUMIFS(章节关卡!$AS$5:$AS$205,章节关卡!$AQ$5:$AQ$205,"="&amp;经验计算!J137)</f>
        <v>15900</v>
      </c>
      <c r="K138" s="55" t="s">
        <v>165</v>
      </c>
      <c r="L138" s="15">
        <f>SUMIFS(章节关卡!$AS$5:$AS$205,章节关卡!$AQ$5:$AQ$205,"="&amp;经验计算!L137)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99"/>
      <c r="E139" s="99"/>
      <c r="F139" s="99"/>
      <c r="G139" s="99"/>
      <c r="I139" s="55" t="s">
        <v>160</v>
      </c>
      <c r="J139" s="15">
        <f>SUMIFS(芦花古楼!$D$5:$D$104,芦花古楼!$B$5:$B$104,"="&amp;经验计算!J137)</f>
        <v>15900</v>
      </c>
      <c r="K139" s="55" t="s">
        <v>161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99"/>
      <c r="E140" s="99"/>
      <c r="F140" s="99"/>
      <c r="G140" s="99"/>
      <c r="I140" s="55" t="s">
        <v>162</v>
      </c>
      <c r="J140" s="15">
        <f>SUMIFS(芦花古楼!$X$5:$X$104,芦花古楼!$V$5:$V$104,"="&amp;经验计算!J137)</f>
        <v>143100</v>
      </c>
      <c r="K140" s="55" t="s">
        <v>163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114090</v>
      </c>
      <c r="D141" s="99"/>
      <c r="E141" s="99"/>
      <c r="F141" s="99"/>
      <c r="G141" s="99"/>
      <c r="I141" s="55" t="s">
        <v>62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122235</v>
      </c>
      <c r="D142" s="99"/>
      <c r="E142" s="99"/>
      <c r="F142" s="99"/>
      <c r="G142" s="99"/>
      <c r="I142" s="55" t="s">
        <v>53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130385</v>
      </c>
      <c r="D143" s="99"/>
      <c r="E143" s="99"/>
      <c r="F143" s="99"/>
      <c r="G143" s="99"/>
      <c r="I143" s="55" t="s">
        <v>46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138535</v>
      </c>
      <c r="D144" s="99"/>
      <c r="E144" s="99"/>
      <c r="F144" s="99"/>
      <c r="G144" s="99"/>
      <c r="I144" s="55" t="s">
        <v>44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146685</v>
      </c>
      <c r="D145" s="99"/>
      <c r="E145" s="99"/>
      <c r="F145" s="99"/>
      <c r="G145" s="99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162985</v>
      </c>
      <c r="D146" s="99"/>
      <c r="E146" s="99"/>
      <c r="F146" s="99"/>
      <c r="G146" s="99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99"/>
      <c r="E151" s="99"/>
      <c r="F151" s="99"/>
      <c r="G151" s="99"/>
      <c r="I151" s="55" t="s">
        <v>154</v>
      </c>
      <c r="J151" s="56">
        <v>12</v>
      </c>
      <c r="K151" s="55" t="s">
        <v>154</v>
      </c>
      <c r="L151" s="56">
        <v>11</v>
      </c>
      <c r="M151" s="16"/>
      <c r="N151" s="12" t="s">
        <v>49</v>
      </c>
      <c r="O151" s="12" t="s">
        <v>47</v>
      </c>
      <c r="P151" s="12" t="s">
        <v>48</v>
      </c>
    </row>
    <row r="152" spans="1:16" ht="16.5" x14ac:dyDescent="0.2">
      <c r="A152" s="18">
        <v>111</v>
      </c>
      <c r="B152" s="18">
        <v>126075</v>
      </c>
      <c r="D152" s="99"/>
      <c r="E152" s="99"/>
      <c r="F152" s="99"/>
      <c r="G152" s="99"/>
      <c r="I152" s="55" t="s">
        <v>166</v>
      </c>
      <c r="J152" s="15">
        <f>SUMIFS(章节关卡!$AS$5:$AS$205,章节关卡!$AQ$5:$AQ$205,"="&amp;经验计算!J151)</f>
        <v>19500</v>
      </c>
      <c r="K152" s="55" t="s">
        <v>165</v>
      </c>
      <c r="L152" s="15">
        <f>SUMIFS(章节关卡!$AS$5:$AS$205,章节关卡!$AQ$5:$AQ$205,"="&amp;经验计算!L151)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99"/>
      <c r="E153" s="99"/>
      <c r="F153" s="99"/>
      <c r="G153" s="99"/>
      <c r="I153" s="55" t="s">
        <v>160</v>
      </c>
      <c r="J153" s="15">
        <f>SUMIFS(芦花古楼!$D$5:$D$104,芦花古楼!$B$5:$B$104,"="&amp;经验计算!J151)</f>
        <v>0</v>
      </c>
      <c r="K153" s="55" t="s">
        <v>161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99"/>
      <c r="E154" s="99"/>
      <c r="F154" s="99"/>
      <c r="G154" s="99"/>
      <c r="I154" s="55" t="s">
        <v>162</v>
      </c>
      <c r="J154" s="15">
        <f>SUMIFS(芦花古楼!$X$5:$X$104,芦花古楼!$V$5:$V$104,"="&amp;经验计算!J151)</f>
        <v>234000</v>
      </c>
      <c r="K154" s="55" t="s">
        <v>163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99"/>
      <c r="E155" s="99"/>
      <c r="F155" s="99"/>
      <c r="G155" s="99"/>
      <c r="I155" s="55" t="s">
        <v>62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99"/>
      <c r="E156" s="99"/>
      <c r="F156" s="99"/>
      <c r="G156" s="99"/>
      <c r="I156" s="55" t="s">
        <v>53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99"/>
      <c r="E157" s="99"/>
      <c r="F157" s="99"/>
      <c r="G157" s="99"/>
      <c r="I157" s="55" t="s">
        <v>46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99"/>
      <c r="E158" s="99"/>
      <c r="F158" s="99"/>
      <c r="G158" s="99"/>
      <c r="I158" s="55" t="s">
        <v>44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99"/>
      <c r="E159" s="99"/>
      <c r="F159" s="99"/>
      <c r="G159" s="99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99"/>
      <c r="E160" s="99"/>
      <c r="F160" s="99"/>
      <c r="G160" s="99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99"/>
      <c r="E165" s="99"/>
      <c r="F165" s="99"/>
      <c r="G165" s="99"/>
      <c r="I165" s="55" t="s">
        <v>154</v>
      </c>
      <c r="J165" s="56">
        <v>13</v>
      </c>
      <c r="K165" s="55" t="s">
        <v>154</v>
      </c>
      <c r="L165" s="56">
        <v>12</v>
      </c>
      <c r="M165" s="16"/>
      <c r="N165" s="12" t="s">
        <v>49</v>
      </c>
      <c r="O165" s="12" t="s">
        <v>47</v>
      </c>
      <c r="P165" s="12" t="s">
        <v>48</v>
      </c>
    </row>
    <row r="166" spans="1:16" ht="16.5" x14ac:dyDescent="0.2">
      <c r="A166" s="18">
        <v>121</v>
      </c>
      <c r="B166" s="18">
        <v>177950</v>
      </c>
      <c r="D166" s="99"/>
      <c r="E166" s="99"/>
      <c r="F166" s="99"/>
      <c r="G166" s="99"/>
      <c r="I166" s="55" t="s">
        <v>166</v>
      </c>
      <c r="J166" s="15">
        <f>SUMIFS(章节关卡!$AS$5:$AS$205,章节关卡!$AQ$5:$AQ$205,"="&amp;经验计算!J165)</f>
        <v>24000</v>
      </c>
      <c r="K166" s="55" t="s">
        <v>165</v>
      </c>
      <c r="L166" s="15">
        <f>SUMIFS(章节关卡!$AS$5:$AS$205,章节关卡!$AQ$5:$AQ$205,"="&amp;经验计算!L165)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99"/>
      <c r="E167" s="99"/>
      <c r="F167" s="99"/>
      <c r="G167" s="99"/>
      <c r="I167" s="55" t="s">
        <v>160</v>
      </c>
      <c r="J167" s="15">
        <f>SUMIFS(芦花古楼!$D$5:$D$104,芦花古楼!$B$5:$B$104,"="&amp;经验计算!J165)</f>
        <v>0</v>
      </c>
      <c r="K167" s="55" t="s">
        <v>161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99"/>
      <c r="E168" s="99"/>
      <c r="F168" s="99"/>
      <c r="G168" s="99"/>
      <c r="I168" s="55" t="s">
        <v>162</v>
      </c>
      <c r="J168" s="15">
        <f>SUMIFS(芦花古楼!$X$5:$X$104,芦花古楼!$V$5:$V$104,"="&amp;经验计算!J165)</f>
        <v>144000</v>
      </c>
      <c r="K168" s="55" t="s">
        <v>163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99"/>
      <c r="E169" s="99"/>
      <c r="F169" s="99"/>
      <c r="G169" s="99"/>
      <c r="I169" s="55" t="s">
        <v>62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99"/>
      <c r="E170" s="99"/>
      <c r="F170" s="99"/>
      <c r="G170" s="99"/>
      <c r="I170" s="55" t="s">
        <v>53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99"/>
      <c r="E171" s="99"/>
      <c r="F171" s="99"/>
      <c r="G171" s="99"/>
      <c r="I171" s="55" t="s">
        <v>46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99"/>
      <c r="E172" s="99"/>
      <c r="F172" s="99"/>
      <c r="G172" s="99"/>
      <c r="I172" s="55" t="s">
        <v>44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99"/>
      <c r="E173" s="99"/>
      <c r="F173" s="99"/>
      <c r="G173" s="99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99"/>
      <c r="E174" s="99"/>
      <c r="F174" s="99"/>
      <c r="G174" s="99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99"/>
      <c r="E179" s="99"/>
      <c r="F179" s="99"/>
      <c r="G179" s="99"/>
      <c r="I179" s="55" t="s">
        <v>154</v>
      </c>
      <c r="J179" s="56">
        <v>14</v>
      </c>
      <c r="K179" s="55" t="s">
        <v>154</v>
      </c>
      <c r="L179" s="56">
        <v>13</v>
      </c>
      <c r="M179" s="16"/>
      <c r="N179" s="12" t="s">
        <v>49</v>
      </c>
      <c r="O179" s="12" t="s">
        <v>47</v>
      </c>
      <c r="P179" s="12" t="s">
        <v>48</v>
      </c>
    </row>
    <row r="180" spans="1:16" ht="16.5" x14ac:dyDescent="0.2">
      <c r="A180" s="18">
        <v>131</v>
      </c>
      <c r="B180" s="18">
        <v>302420</v>
      </c>
      <c r="D180" s="99"/>
      <c r="E180" s="99"/>
      <c r="F180" s="99"/>
      <c r="G180" s="99"/>
      <c r="I180" s="55" t="s">
        <v>166</v>
      </c>
      <c r="J180" s="15">
        <f>SUMIFS(章节关卡!$AS$5:$AS$205,章节关卡!$AQ$5:$AQ$205,"="&amp;经验计算!J179)</f>
        <v>30000</v>
      </c>
      <c r="K180" s="55" t="s">
        <v>165</v>
      </c>
      <c r="L180" s="15">
        <f>SUMIFS(章节关卡!$AS$5:$AS$205,章节关卡!$AQ$5:$AQ$205,"="&amp;经验计算!L179)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99"/>
      <c r="E181" s="99"/>
      <c r="F181" s="99"/>
      <c r="G181" s="99"/>
      <c r="I181" s="55" t="s">
        <v>160</v>
      </c>
      <c r="J181" s="15">
        <f>SUMIFS(芦花古楼!$D$5:$D$104,芦花古楼!$B$5:$B$104,"="&amp;经验计算!J179)</f>
        <v>0</v>
      </c>
      <c r="K181" s="55" t="s">
        <v>161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99"/>
      <c r="E182" s="99"/>
      <c r="F182" s="99"/>
      <c r="G182" s="99"/>
      <c r="I182" s="55" t="s">
        <v>162</v>
      </c>
      <c r="J182" s="15">
        <f>SUMIFS(芦花古楼!$X$5:$X$104,芦花古楼!$V$5:$V$104,"="&amp;经验计算!J179)</f>
        <v>108000</v>
      </c>
      <c r="K182" s="55" t="s">
        <v>163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99"/>
      <c r="E183" s="99"/>
      <c r="F183" s="99"/>
      <c r="G183" s="99"/>
      <c r="I183" s="55" t="s">
        <v>62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99"/>
      <c r="E184" s="99"/>
      <c r="F184" s="99"/>
      <c r="G184" s="99"/>
      <c r="I184" s="55" t="s">
        <v>53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99"/>
      <c r="E185" s="99"/>
      <c r="F185" s="99"/>
      <c r="G185" s="99"/>
      <c r="I185" s="55" t="s">
        <v>46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99"/>
      <c r="E186" s="99"/>
      <c r="F186" s="99"/>
      <c r="G186" s="99"/>
      <c r="I186" s="55" t="s">
        <v>44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99"/>
      <c r="E187" s="99"/>
      <c r="F187" s="99"/>
      <c r="G187" s="99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99"/>
      <c r="E188" s="99"/>
      <c r="F188" s="99"/>
      <c r="G188" s="99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99"/>
      <c r="E193" s="99"/>
      <c r="F193" s="99"/>
      <c r="G193" s="99"/>
      <c r="I193" s="55" t="s">
        <v>154</v>
      </c>
      <c r="J193" s="56">
        <v>15</v>
      </c>
      <c r="K193" s="55" t="s">
        <v>154</v>
      </c>
      <c r="L193" s="56">
        <v>14</v>
      </c>
      <c r="M193" s="16"/>
      <c r="N193" s="12" t="s">
        <v>49</v>
      </c>
      <c r="O193" s="12" t="s">
        <v>47</v>
      </c>
      <c r="P193" s="12" t="s">
        <v>48</v>
      </c>
    </row>
    <row r="194" spans="1:16" ht="16.5" x14ac:dyDescent="0.2">
      <c r="A194" s="18">
        <v>141</v>
      </c>
      <c r="B194" s="18">
        <v>550940</v>
      </c>
      <c r="D194" s="99"/>
      <c r="E194" s="99"/>
      <c r="F194" s="99"/>
      <c r="G194" s="99"/>
      <c r="I194" s="55" t="s">
        <v>166</v>
      </c>
      <c r="J194" s="15">
        <f>SUMIFS(章节关卡!$AS$5:$AS$205,章节关卡!$AQ$5:$AQ$205,"="&amp;经验计算!J193)</f>
        <v>37500</v>
      </c>
      <c r="K194" s="55" t="s">
        <v>165</v>
      </c>
      <c r="L194" s="15">
        <f>SUMIFS(章节关卡!$AS$5:$AS$205,章节关卡!$AQ$5:$AQ$205,"="&amp;经验计算!L193)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99"/>
      <c r="E195" s="99"/>
      <c r="F195" s="99"/>
      <c r="G195" s="99"/>
      <c r="I195" s="55" t="s">
        <v>160</v>
      </c>
      <c r="J195" s="15">
        <f>SUMIFS(芦花古楼!$D$5:$D$104,芦花古楼!$B$5:$B$104,"="&amp;经验计算!J193)</f>
        <v>0</v>
      </c>
      <c r="K195" s="55" t="s">
        <v>161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99"/>
      <c r="E196" s="99"/>
      <c r="F196" s="99"/>
      <c r="G196" s="99"/>
      <c r="I196" s="55" t="s">
        <v>162</v>
      </c>
      <c r="J196" s="15">
        <f>SUMIFS(芦花古楼!$X$5:$X$104,芦花古楼!$V$5:$V$104,"="&amp;经验计算!J193)</f>
        <v>112500</v>
      </c>
      <c r="K196" s="55" t="s">
        <v>163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99"/>
      <c r="E197" s="99"/>
      <c r="F197" s="99"/>
      <c r="G197" s="99"/>
      <c r="I197" s="55" t="s">
        <v>62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99"/>
      <c r="E198" s="99"/>
      <c r="F198" s="99"/>
      <c r="G198" s="99"/>
      <c r="I198" s="55" t="s">
        <v>53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99"/>
      <c r="E199" s="99"/>
      <c r="F199" s="99"/>
      <c r="G199" s="99"/>
      <c r="I199" s="55" t="s">
        <v>46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99"/>
      <c r="E200" s="99"/>
      <c r="F200" s="99"/>
      <c r="G200" s="99"/>
      <c r="I200" s="55" t="s">
        <v>44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99"/>
      <c r="E201" s="99"/>
      <c r="F201" s="99"/>
      <c r="G201" s="99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99"/>
      <c r="E202" s="99"/>
      <c r="F202" s="99"/>
      <c r="G202" s="99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BM296" sqref="BM296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98" t="s">
        <v>78</v>
      </c>
      <c r="B3" s="98"/>
      <c r="C3" s="98"/>
      <c r="D3" s="98"/>
      <c r="E3" s="98"/>
      <c r="F3" s="98"/>
      <c r="G3" s="98"/>
      <c r="H3" s="98"/>
      <c r="K3" s="98" t="s">
        <v>79</v>
      </c>
      <c r="L3" s="98"/>
      <c r="M3" s="98"/>
      <c r="N3" s="98"/>
      <c r="O3" s="98"/>
      <c r="P3" s="98"/>
      <c r="Q3" s="98"/>
      <c r="R3" s="98"/>
      <c r="U3" s="98" t="s">
        <v>80</v>
      </c>
      <c r="V3" s="98"/>
      <c r="W3" s="98"/>
      <c r="X3" s="98"/>
      <c r="Y3" s="98"/>
      <c r="Z3" s="98"/>
      <c r="AA3" s="98"/>
      <c r="AB3" s="98"/>
      <c r="AE3" s="98" t="s">
        <v>81</v>
      </c>
      <c r="AF3" s="98"/>
      <c r="AG3" s="98"/>
      <c r="AH3" s="98"/>
      <c r="AI3" s="98"/>
      <c r="AJ3" s="98"/>
      <c r="AK3" s="98"/>
      <c r="AL3" s="98"/>
      <c r="AO3" s="110" t="s">
        <v>78</v>
      </c>
      <c r="AP3" s="111"/>
      <c r="AR3" s="110" t="s">
        <v>79</v>
      </c>
      <c r="AS3" s="111"/>
      <c r="AU3" s="110" t="s">
        <v>84</v>
      </c>
      <c r="AV3" s="111"/>
      <c r="AX3" s="110" t="s">
        <v>85</v>
      </c>
      <c r="AY3" s="111"/>
      <c r="BH3">
        <v>2</v>
      </c>
      <c r="BM3" s="109" t="s">
        <v>99</v>
      </c>
      <c r="BN3" s="109"/>
      <c r="BO3" s="15">
        <f>SUM(BC6:BD105)</f>
        <v>61000</v>
      </c>
    </row>
    <row r="4" spans="1:108" ht="30" x14ac:dyDescent="0.2">
      <c r="A4" s="12" t="s">
        <v>54</v>
      </c>
      <c r="B4" s="12" t="s">
        <v>154</v>
      </c>
      <c r="C4" s="12" t="s">
        <v>155</v>
      </c>
      <c r="D4" s="12" t="s">
        <v>55</v>
      </c>
      <c r="E4" s="12" t="s">
        <v>82</v>
      </c>
      <c r="F4" s="12" t="s">
        <v>82</v>
      </c>
      <c r="G4" s="12" t="s">
        <v>83</v>
      </c>
      <c r="H4" s="12" t="s">
        <v>507</v>
      </c>
      <c r="K4" s="12" t="s">
        <v>54</v>
      </c>
      <c r="L4" s="12" t="s">
        <v>156</v>
      </c>
      <c r="M4" s="12" t="s">
        <v>140</v>
      </c>
      <c r="N4" s="12" t="s">
        <v>55</v>
      </c>
      <c r="O4" s="12" t="s">
        <v>82</v>
      </c>
      <c r="P4" s="12" t="s">
        <v>82</v>
      </c>
      <c r="Q4" s="12" t="s">
        <v>83</v>
      </c>
      <c r="R4" s="12" t="s">
        <v>507</v>
      </c>
      <c r="U4" s="12" t="s">
        <v>54</v>
      </c>
      <c r="V4" s="12" t="s">
        <v>156</v>
      </c>
      <c r="W4" s="12" t="s">
        <v>140</v>
      </c>
      <c r="X4" s="12" t="s">
        <v>55</v>
      </c>
      <c r="Y4" s="12" t="s">
        <v>82</v>
      </c>
      <c r="Z4" s="12" t="s">
        <v>82</v>
      </c>
      <c r="AA4" s="12" t="s">
        <v>83</v>
      </c>
      <c r="AB4" s="12" t="s">
        <v>507</v>
      </c>
      <c r="AE4" s="12" t="s">
        <v>54</v>
      </c>
      <c r="AF4" s="12" t="s">
        <v>156</v>
      </c>
      <c r="AG4" s="12" t="s">
        <v>140</v>
      </c>
      <c r="AH4" s="12" t="s">
        <v>55</v>
      </c>
      <c r="AI4" s="12" t="s">
        <v>82</v>
      </c>
      <c r="AJ4" s="12" t="s">
        <v>82</v>
      </c>
      <c r="AK4" s="12" t="s">
        <v>83</v>
      </c>
      <c r="AL4" s="12" t="s">
        <v>507</v>
      </c>
      <c r="AO4" s="12" t="s">
        <v>86</v>
      </c>
      <c r="AP4" s="12" t="s">
        <v>87</v>
      </c>
      <c r="AR4" s="12" t="s">
        <v>86</v>
      </c>
      <c r="AS4" s="12" t="s">
        <v>87</v>
      </c>
      <c r="AU4" s="12" t="s">
        <v>86</v>
      </c>
      <c r="AV4" s="12" t="s">
        <v>87</v>
      </c>
      <c r="AX4" s="12" t="s">
        <v>86</v>
      </c>
      <c r="AY4" s="12" t="s">
        <v>87</v>
      </c>
      <c r="BB4" s="12" t="s">
        <v>88</v>
      </c>
      <c r="BC4" s="12" t="s">
        <v>701</v>
      </c>
      <c r="BD4" s="12" t="s">
        <v>91</v>
      </c>
      <c r="BE4" s="12" t="s">
        <v>92</v>
      </c>
      <c r="BF4" s="12" t="s">
        <v>703</v>
      </c>
      <c r="BG4" s="12" t="s">
        <v>702</v>
      </c>
      <c r="BH4" s="12" t="s">
        <v>704</v>
      </c>
      <c r="BJ4" s="24" t="s">
        <v>89</v>
      </c>
      <c r="BK4" s="24" t="s">
        <v>90</v>
      </c>
      <c r="BQ4" s="24" t="s">
        <v>610</v>
      </c>
      <c r="BR4" s="24" t="s">
        <v>612</v>
      </c>
      <c r="BS4" s="24" t="s">
        <v>613</v>
      </c>
      <c r="BT4" s="24" t="s">
        <v>614</v>
      </c>
      <c r="BU4" s="24" t="s">
        <v>615</v>
      </c>
      <c r="BV4" s="24" t="s">
        <v>616</v>
      </c>
      <c r="BW4" s="24" t="s">
        <v>617</v>
      </c>
      <c r="BY4" s="24" t="s">
        <v>609</v>
      </c>
      <c r="BZ4" s="24" t="s">
        <v>611</v>
      </c>
      <c r="CA4" s="24" t="s">
        <v>667</v>
      </c>
      <c r="CB4" s="24" t="s">
        <v>668</v>
      </c>
      <c r="CF4" s="53" t="s">
        <v>435</v>
      </c>
      <c r="CG4" s="53" t="s">
        <v>436</v>
      </c>
      <c r="CH4" s="53" t="s">
        <v>437</v>
      </c>
      <c r="CI4" s="53" t="s">
        <v>438</v>
      </c>
      <c r="CJ4" s="53" t="s">
        <v>457</v>
      </c>
      <c r="CK4" s="53" t="s">
        <v>458</v>
      </c>
      <c r="CL4" s="53" t="s">
        <v>459</v>
      </c>
      <c r="CM4" s="53" t="s">
        <v>439</v>
      </c>
      <c r="CN4" s="53" t="s">
        <v>440</v>
      </c>
      <c r="CO4" s="53" t="s">
        <v>441</v>
      </c>
      <c r="CP4" s="53" t="s">
        <v>442</v>
      </c>
      <c r="CQ4" s="53" t="s">
        <v>443</v>
      </c>
      <c r="CR4" s="53" t="s">
        <v>444</v>
      </c>
      <c r="CS4" s="53" t="s">
        <v>445</v>
      </c>
      <c r="CT4" s="53" t="s">
        <v>446</v>
      </c>
      <c r="CU4" s="53" t="s">
        <v>447</v>
      </c>
      <c r="CV4" s="53" t="s">
        <v>448</v>
      </c>
      <c r="CW4" s="53" t="s">
        <v>449</v>
      </c>
      <c r="CX4" s="53" t="s">
        <v>450</v>
      </c>
      <c r="CY4" s="53" t="s">
        <v>451</v>
      </c>
      <c r="CZ4" s="53" t="s">
        <v>452</v>
      </c>
      <c r="DA4" s="53" t="s">
        <v>453</v>
      </c>
      <c r="DB4" s="53" t="s">
        <v>454</v>
      </c>
      <c r="DC4" s="53" t="s">
        <v>455</v>
      </c>
      <c r="DD4" s="53" t="s">
        <v>456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1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Y5" s="70">
        <v>1</v>
      </c>
      <c r="BZ5" s="70">
        <v>101</v>
      </c>
      <c r="CA5" s="70" t="s">
        <v>660</v>
      </c>
      <c r="CB5" s="70">
        <v>1</v>
      </c>
      <c r="CF5" s="52">
        <v>1</v>
      </c>
      <c r="CG5" s="52">
        <v>1</v>
      </c>
      <c r="CH5" s="54" t="s">
        <v>460</v>
      </c>
      <c r="CI5" s="52">
        <v>1</v>
      </c>
      <c r="CJ5" s="52"/>
      <c r="CK5" s="52"/>
      <c r="CL5" s="52"/>
      <c r="CM5" s="52" t="s">
        <v>669</v>
      </c>
      <c r="CN5" s="52">
        <v>600</v>
      </c>
      <c r="CO5" s="52" t="s">
        <v>670</v>
      </c>
      <c r="CP5" s="52">
        <v>5</v>
      </c>
      <c r="CQ5" s="52"/>
      <c r="CR5" s="52"/>
      <c r="CS5" s="52" t="s">
        <v>670</v>
      </c>
      <c r="CT5" s="52">
        <v>20</v>
      </c>
      <c r="CU5" s="52"/>
      <c r="CV5" s="52"/>
      <c r="CW5" s="52"/>
      <c r="CX5" s="52"/>
      <c r="CY5" s="52"/>
      <c r="CZ5" s="52"/>
      <c r="DA5" s="52"/>
      <c r="DB5" s="52"/>
      <c r="DC5" s="52"/>
      <c r="DD5" s="52"/>
    </row>
    <row r="6" spans="1:108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1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70">
        <v>1</v>
      </c>
      <c r="BR6" s="70">
        <v>101</v>
      </c>
      <c r="BS6" s="70">
        <v>1606003</v>
      </c>
      <c r="BT6" s="70" t="s">
        <v>618</v>
      </c>
      <c r="BU6" s="70">
        <v>1</v>
      </c>
      <c r="BV6" s="70">
        <v>15</v>
      </c>
      <c r="BW6" s="70">
        <f>SUM(BV$5:BV6)</f>
        <v>15</v>
      </c>
      <c r="BY6" s="70">
        <v>2</v>
      </c>
      <c r="BZ6" s="70">
        <v>102</v>
      </c>
      <c r="CA6" s="70" t="s">
        <v>661</v>
      </c>
      <c r="CB6" s="70">
        <v>1</v>
      </c>
      <c r="CF6" s="70">
        <v>2</v>
      </c>
      <c r="CG6" s="70">
        <v>1</v>
      </c>
      <c r="CH6" s="70" t="s">
        <v>460</v>
      </c>
      <c r="CI6" s="70">
        <v>2</v>
      </c>
      <c r="CJ6" s="70"/>
      <c r="CK6" s="70"/>
      <c r="CL6" s="70"/>
      <c r="CM6" s="70" t="s">
        <v>669</v>
      </c>
      <c r="CN6" s="70">
        <v>600</v>
      </c>
      <c r="CO6" s="70" t="s">
        <v>670</v>
      </c>
      <c r="CP6" s="70">
        <v>5</v>
      </c>
      <c r="CQ6" s="70" t="s">
        <v>671</v>
      </c>
      <c r="CR6" s="70">
        <v>1</v>
      </c>
      <c r="CS6" s="70" t="s">
        <v>670</v>
      </c>
      <c r="CT6" s="70">
        <v>20</v>
      </c>
      <c r="CU6" s="70"/>
      <c r="CV6" s="70"/>
      <c r="CW6" s="70"/>
      <c r="CX6" s="70"/>
      <c r="CY6" s="70"/>
      <c r="CZ6" s="70"/>
      <c r="DA6" s="70"/>
      <c r="DB6" s="70"/>
      <c r="DC6" s="70"/>
      <c r="DD6" s="70"/>
    </row>
    <row r="7" spans="1:108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1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70">
        <v>2</v>
      </c>
      <c r="BR7" s="70">
        <v>101</v>
      </c>
      <c r="BS7" s="70">
        <v>1606004</v>
      </c>
      <c r="BT7" s="70" t="s">
        <v>619</v>
      </c>
      <c r="BU7" s="70">
        <v>1</v>
      </c>
      <c r="BV7" s="70">
        <v>15</v>
      </c>
      <c r="BW7" s="70">
        <f>SUM(BV$5:BV7)</f>
        <v>30</v>
      </c>
      <c r="BY7" s="70">
        <v>3</v>
      </c>
      <c r="BZ7" s="70">
        <v>201</v>
      </c>
      <c r="CA7" s="70" t="s">
        <v>662</v>
      </c>
      <c r="CB7" s="70">
        <v>2</v>
      </c>
      <c r="CF7" s="70">
        <v>3</v>
      </c>
      <c r="CG7" s="70">
        <v>1</v>
      </c>
      <c r="CH7" s="70" t="s">
        <v>460</v>
      </c>
      <c r="CI7" s="70">
        <v>3</v>
      </c>
      <c r="CJ7" s="70"/>
      <c r="CK7" s="70"/>
      <c r="CL7" s="70"/>
      <c r="CM7" s="70" t="s">
        <v>669</v>
      </c>
      <c r="CN7" s="70">
        <v>900</v>
      </c>
      <c r="CO7" s="70" t="s">
        <v>670</v>
      </c>
      <c r="CP7" s="70">
        <v>5</v>
      </c>
      <c r="CQ7" s="70"/>
      <c r="CR7" s="70"/>
      <c r="CS7" s="70" t="s">
        <v>670</v>
      </c>
      <c r="CT7" s="70">
        <v>20</v>
      </c>
      <c r="CU7" s="70"/>
      <c r="CV7" s="70"/>
      <c r="CW7" s="70"/>
      <c r="CX7" s="70"/>
      <c r="CY7" s="70"/>
      <c r="CZ7" s="70"/>
      <c r="DA7" s="70"/>
      <c r="DB7" s="70"/>
      <c r="DC7" s="70"/>
      <c r="DD7" s="70"/>
    </row>
    <row r="8" spans="1:108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1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70">
        <v>3</v>
      </c>
      <c r="BR8" s="70">
        <v>101</v>
      </c>
      <c r="BS8" s="70">
        <v>1606005</v>
      </c>
      <c r="BT8" s="70" t="s">
        <v>620</v>
      </c>
      <c r="BU8" s="70">
        <v>2</v>
      </c>
      <c r="BV8" s="70">
        <v>15</v>
      </c>
      <c r="BW8" s="70">
        <f>SUM(BV$5:BV8)</f>
        <v>45</v>
      </c>
      <c r="BY8" s="70">
        <v>4</v>
      </c>
      <c r="BZ8" s="70">
        <v>202</v>
      </c>
      <c r="CA8" s="70" t="s">
        <v>663</v>
      </c>
      <c r="CB8" s="70">
        <v>2</v>
      </c>
      <c r="CF8" s="70">
        <v>4</v>
      </c>
      <c r="CG8" s="70">
        <v>1</v>
      </c>
      <c r="CH8" s="70" t="s">
        <v>460</v>
      </c>
      <c r="CI8" s="70">
        <v>4</v>
      </c>
      <c r="CJ8" s="70"/>
      <c r="CK8" s="70"/>
      <c r="CL8" s="70"/>
      <c r="CM8" s="70" t="s">
        <v>669</v>
      </c>
      <c r="CN8" s="70">
        <v>900</v>
      </c>
      <c r="CO8" s="70" t="s">
        <v>670</v>
      </c>
      <c r="CP8" s="70">
        <v>5</v>
      </c>
      <c r="CQ8" s="70" t="s">
        <v>496</v>
      </c>
      <c r="CR8" s="70">
        <v>1</v>
      </c>
      <c r="CS8" s="70" t="s">
        <v>670</v>
      </c>
      <c r="CT8" s="70">
        <v>20</v>
      </c>
      <c r="CU8" s="70"/>
      <c r="CV8" s="70"/>
      <c r="CW8" s="70"/>
      <c r="CX8" s="70"/>
      <c r="CY8" s="70"/>
      <c r="CZ8" s="70"/>
      <c r="DA8" s="70"/>
      <c r="DB8" s="70"/>
      <c r="DC8" s="70"/>
      <c r="DD8" s="70"/>
    </row>
    <row r="9" spans="1:108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1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1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70">
        <v>4</v>
      </c>
      <c r="BR9" s="70">
        <v>102</v>
      </c>
      <c r="BS9" s="70">
        <v>1606006</v>
      </c>
      <c r="BT9" s="70" t="s">
        <v>621</v>
      </c>
      <c r="BU9" s="70">
        <v>1</v>
      </c>
      <c r="BV9" s="70">
        <v>15</v>
      </c>
      <c r="BW9" s="70">
        <f>SUM(BV$5:BV9)</f>
        <v>60</v>
      </c>
      <c r="BY9" s="70">
        <v>5</v>
      </c>
      <c r="BZ9" s="70">
        <v>301</v>
      </c>
      <c r="CA9" s="70" t="s">
        <v>664</v>
      </c>
      <c r="CB9" s="70">
        <v>3</v>
      </c>
      <c r="CF9" s="70">
        <v>5</v>
      </c>
      <c r="CG9" s="70">
        <v>1</v>
      </c>
      <c r="CH9" s="70" t="s">
        <v>460</v>
      </c>
      <c r="CI9" s="70">
        <v>5</v>
      </c>
      <c r="CJ9" s="70"/>
      <c r="CK9" s="70"/>
      <c r="CL9" s="70"/>
      <c r="CM9" s="70" t="s">
        <v>669</v>
      </c>
      <c r="CN9" s="70">
        <v>1200</v>
      </c>
      <c r="CO9" s="70" t="s">
        <v>670</v>
      </c>
      <c r="CP9" s="70">
        <v>5</v>
      </c>
      <c r="CQ9" s="70"/>
      <c r="CR9" s="70"/>
      <c r="CS9" s="70" t="s">
        <v>670</v>
      </c>
      <c r="CT9" s="70">
        <v>25</v>
      </c>
      <c r="CU9" s="70"/>
      <c r="CV9" s="70"/>
      <c r="CW9" s="70"/>
      <c r="CX9" s="70"/>
      <c r="CY9" s="70"/>
      <c r="CZ9" s="70"/>
      <c r="DA9" s="70"/>
      <c r="DB9" s="70"/>
      <c r="DC9" s="70"/>
      <c r="DD9" s="70"/>
    </row>
    <row r="10" spans="1:108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1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1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70">
        <v>5</v>
      </c>
      <c r="BR10" s="70">
        <v>102</v>
      </c>
      <c r="BS10" s="70">
        <v>1606007</v>
      </c>
      <c r="BT10" s="70" t="s">
        <v>622</v>
      </c>
      <c r="BU10" s="70">
        <v>1</v>
      </c>
      <c r="BV10" s="70">
        <v>15</v>
      </c>
      <c r="BW10" s="70">
        <f>SUM(BV$5:BV10)</f>
        <v>75</v>
      </c>
      <c r="BY10" s="70">
        <v>6</v>
      </c>
      <c r="BZ10" s="70">
        <v>302</v>
      </c>
      <c r="CA10" s="70" t="s">
        <v>665</v>
      </c>
      <c r="CB10" s="70">
        <v>3</v>
      </c>
      <c r="CF10" s="70">
        <v>6</v>
      </c>
      <c r="CG10" s="70">
        <v>1</v>
      </c>
      <c r="CH10" s="70" t="s">
        <v>460</v>
      </c>
      <c r="CI10" s="70">
        <v>6</v>
      </c>
      <c r="CJ10" s="70"/>
      <c r="CK10" s="70"/>
      <c r="CL10" s="70"/>
      <c r="CM10" s="70" t="s">
        <v>669</v>
      </c>
      <c r="CN10" s="70">
        <v>1200</v>
      </c>
      <c r="CO10" s="70" t="s">
        <v>670</v>
      </c>
      <c r="CP10" s="70">
        <v>10</v>
      </c>
      <c r="CQ10" s="70"/>
      <c r="CR10" s="70"/>
      <c r="CS10" s="70" t="s">
        <v>670</v>
      </c>
      <c r="CT10" s="70">
        <v>25</v>
      </c>
      <c r="CU10" s="70"/>
      <c r="CV10" s="70"/>
      <c r="CW10" s="70"/>
      <c r="CX10" s="70"/>
      <c r="CY10" s="70"/>
      <c r="CZ10" s="70"/>
      <c r="DA10" s="70"/>
      <c r="DB10" s="70"/>
      <c r="DC10" s="70"/>
      <c r="DD10" s="70"/>
    </row>
    <row r="11" spans="1:108" ht="16.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1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1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1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70">
        <v>6</v>
      </c>
      <c r="BR11" s="70">
        <v>102</v>
      </c>
      <c r="BS11" s="70">
        <v>1606008</v>
      </c>
      <c r="BT11" s="70" t="s">
        <v>623</v>
      </c>
      <c r="BU11" s="70">
        <v>1</v>
      </c>
      <c r="BV11" s="70">
        <v>15</v>
      </c>
      <c r="BW11" s="70">
        <f>SUM(BV$5:BV11)</f>
        <v>90</v>
      </c>
      <c r="BY11" s="70">
        <v>7</v>
      </c>
      <c r="BZ11" s="70">
        <v>303</v>
      </c>
      <c r="CA11" s="70" t="s">
        <v>666</v>
      </c>
      <c r="CB11" s="70">
        <v>3</v>
      </c>
      <c r="CF11" s="70">
        <v>7</v>
      </c>
      <c r="CG11" s="70">
        <v>1</v>
      </c>
      <c r="CH11" s="70" t="s">
        <v>460</v>
      </c>
      <c r="CI11" s="70">
        <v>7</v>
      </c>
      <c r="CJ11" s="70"/>
      <c r="CK11" s="70"/>
      <c r="CL11" s="70"/>
      <c r="CM11" s="70" t="s">
        <v>669</v>
      </c>
      <c r="CN11" s="70">
        <v>1200</v>
      </c>
      <c r="CO11" s="70" t="s">
        <v>670</v>
      </c>
      <c r="CP11" s="70">
        <v>10</v>
      </c>
      <c r="CQ11" s="70" t="s">
        <v>671</v>
      </c>
      <c r="CR11" s="70">
        <v>1</v>
      </c>
      <c r="CS11" s="70" t="s">
        <v>670</v>
      </c>
      <c r="CT11" s="70">
        <v>25</v>
      </c>
      <c r="CU11" s="70"/>
      <c r="CV11" s="70"/>
      <c r="CW11" s="70"/>
      <c r="CX11" s="70"/>
      <c r="CY11" s="70"/>
      <c r="CZ11" s="70"/>
      <c r="DA11" s="70"/>
      <c r="DB11" s="70"/>
      <c r="DC11" s="70"/>
      <c r="DD11" s="70"/>
    </row>
    <row r="12" spans="1:108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1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1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1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70">
        <v>7</v>
      </c>
      <c r="BR12" s="70">
        <v>102</v>
      </c>
      <c r="BS12" s="70">
        <v>1606009</v>
      </c>
      <c r="BT12" s="70" t="s">
        <v>624</v>
      </c>
      <c r="BU12" s="70">
        <v>2</v>
      </c>
      <c r="BV12" s="70">
        <v>15</v>
      </c>
      <c r="BW12" s="70">
        <f>SUM(BV$5:BV12)</f>
        <v>105</v>
      </c>
      <c r="CF12" s="70">
        <v>8</v>
      </c>
      <c r="CG12" s="70">
        <v>1</v>
      </c>
      <c r="CH12" s="70" t="s">
        <v>460</v>
      </c>
      <c r="CI12" s="70">
        <v>8</v>
      </c>
      <c r="CJ12" s="70"/>
      <c r="CK12" s="70"/>
      <c r="CL12" s="70"/>
      <c r="CM12" s="70" t="s">
        <v>669</v>
      </c>
      <c r="CN12" s="70">
        <v>1500</v>
      </c>
      <c r="CO12" s="70" t="s">
        <v>670</v>
      </c>
      <c r="CP12" s="70">
        <v>10</v>
      </c>
      <c r="CQ12" s="70"/>
      <c r="CR12" s="70"/>
      <c r="CS12" s="70" t="s">
        <v>670</v>
      </c>
      <c r="CT12" s="70">
        <v>25</v>
      </c>
      <c r="CU12" s="70"/>
      <c r="CV12" s="70"/>
      <c r="CW12" s="70"/>
      <c r="CX12" s="70"/>
      <c r="CY12" s="70"/>
      <c r="CZ12" s="70"/>
      <c r="DA12" s="70"/>
      <c r="DB12" s="70"/>
      <c r="DC12" s="70"/>
      <c r="DD12" s="70"/>
    </row>
    <row r="13" spans="1:108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1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1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70">
        <v>8</v>
      </c>
      <c r="BR13" s="70">
        <v>102</v>
      </c>
      <c r="BS13" s="70">
        <v>1606010</v>
      </c>
      <c r="BT13" s="70" t="s">
        <v>625</v>
      </c>
      <c r="BU13" s="70">
        <v>3</v>
      </c>
      <c r="BV13" s="70">
        <v>15</v>
      </c>
      <c r="BW13" s="70">
        <f>SUM(BV$5:BV13)</f>
        <v>120</v>
      </c>
      <c r="CF13" s="70">
        <v>9</v>
      </c>
      <c r="CG13" s="70">
        <v>1</v>
      </c>
      <c r="CH13" s="70" t="s">
        <v>460</v>
      </c>
      <c r="CI13" s="70">
        <v>9</v>
      </c>
      <c r="CJ13" s="70"/>
      <c r="CK13" s="70"/>
      <c r="CL13" s="70"/>
      <c r="CM13" s="70" t="s">
        <v>669</v>
      </c>
      <c r="CN13" s="70">
        <v>1500</v>
      </c>
      <c r="CO13" s="70" t="s">
        <v>670</v>
      </c>
      <c r="CP13" s="70">
        <v>10</v>
      </c>
      <c r="CQ13" s="70"/>
      <c r="CR13" s="70"/>
      <c r="CS13" s="70" t="s">
        <v>670</v>
      </c>
      <c r="CT13" s="70">
        <v>25</v>
      </c>
      <c r="CU13" s="70"/>
      <c r="CV13" s="70"/>
      <c r="CW13" s="70"/>
      <c r="CX13" s="70"/>
      <c r="CY13" s="70"/>
      <c r="CZ13" s="70"/>
      <c r="DA13" s="70"/>
      <c r="DB13" s="70"/>
      <c r="DC13" s="70"/>
      <c r="DD13" s="70"/>
    </row>
    <row r="14" spans="1:108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1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1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70">
        <v>9</v>
      </c>
      <c r="BR14" s="70">
        <v>103</v>
      </c>
      <c r="BS14" s="70">
        <v>1606011</v>
      </c>
      <c r="BT14" s="70" t="s">
        <v>626</v>
      </c>
      <c r="BU14" s="70">
        <v>1</v>
      </c>
      <c r="BV14" s="70">
        <v>21</v>
      </c>
      <c r="BW14" s="70">
        <f>SUM(BV$5:BV14)</f>
        <v>141</v>
      </c>
      <c r="CF14" s="70">
        <v>10</v>
      </c>
      <c r="CG14" s="70">
        <v>1</v>
      </c>
      <c r="CH14" s="70" t="s">
        <v>460</v>
      </c>
      <c r="CI14" s="70">
        <v>10</v>
      </c>
      <c r="CJ14" s="70"/>
      <c r="CK14" s="70"/>
      <c r="CL14" s="70"/>
      <c r="CM14" s="70" t="s">
        <v>669</v>
      </c>
      <c r="CN14" s="70">
        <v>1500</v>
      </c>
      <c r="CO14" s="70" t="s">
        <v>670</v>
      </c>
      <c r="CP14" s="70">
        <v>10</v>
      </c>
      <c r="CQ14" s="70" t="s">
        <v>496</v>
      </c>
      <c r="CR14" s="70">
        <v>1</v>
      </c>
      <c r="CS14" s="70" t="s">
        <v>670</v>
      </c>
      <c r="CT14" s="70">
        <v>30</v>
      </c>
      <c r="CU14" s="70"/>
      <c r="CV14" s="70"/>
      <c r="CW14" s="70"/>
      <c r="CX14" s="70"/>
      <c r="CY14" s="70"/>
      <c r="CZ14" s="70"/>
      <c r="DA14" s="70"/>
      <c r="DB14" s="70"/>
      <c r="DC14" s="70"/>
      <c r="DD14" s="70"/>
    </row>
    <row r="15" spans="1:108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1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70">
        <v>10</v>
      </c>
      <c r="BR15" s="70">
        <v>103</v>
      </c>
      <c r="BS15" s="70">
        <v>1606012</v>
      </c>
      <c r="BT15" s="70" t="s">
        <v>627</v>
      </c>
      <c r="BU15" s="70">
        <v>2</v>
      </c>
      <c r="BV15" s="70">
        <v>21</v>
      </c>
      <c r="BW15" s="70">
        <f>SUM(BV$5:BV15)</f>
        <v>162</v>
      </c>
      <c r="CF15" s="70">
        <v>11</v>
      </c>
      <c r="CG15" s="70">
        <v>1</v>
      </c>
      <c r="CH15" s="70" t="s">
        <v>460</v>
      </c>
      <c r="CI15" s="70">
        <v>11</v>
      </c>
      <c r="CJ15" s="70"/>
      <c r="CK15" s="70"/>
      <c r="CL15" s="70"/>
      <c r="CM15" s="70" t="s">
        <v>669</v>
      </c>
      <c r="CN15" s="70">
        <v>1920</v>
      </c>
      <c r="CO15" s="70" t="s">
        <v>670</v>
      </c>
      <c r="CP15" s="70">
        <v>15</v>
      </c>
      <c r="CQ15" s="70"/>
      <c r="CR15" s="70"/>
      <c r="CS15" s="70" t="s">
        <v>670</v>
      </c>
      <c r="CT15" s="70">
        <v>30</v>
      </c>
      <c r="CU15" s="70"/>
      <c r="CV15" s="70"/>
      <c r="CW15" s="70"/>
      <c r="CX15" s="70"/>
      <c r="CY15" s="70"/>
      <c r="CZ15" s="70"/>
      <c r="DA15" s="70"/>
      <c r="DB15" s="70"/>
      <c r="DC15" s="70"/>
      <c r="DD15" s="70"/>
    </row>
    <row r="16" spans="1:108" ht="16.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1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1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70">
        <v>11</v>
      </c>
      <c r="BR16" s="70">
        <v>103</v>
      </c>
      <c r="BS16" s="70">
        <v>1606013</v>
      </c>
      <c r="BT16" s="70" t="s">
        <v>628</v>
      </c>
      <c r="BU16" s="70">
        <v>2</v>
      </c>
      <c r="BV16" s="70">
        <v>21</v>
      </c>
      <c r="BW16" s="70">
        <f>SUM(BV$5:BV16)</f>
        <v>183</v>
      </c>
      <c r="CF16" s="70">
        <v>12</v>
      </c>
      <c r="CG16" s="70">
        <v>1</v>
      </c>
      <c r="CH16" s="70" t="s">
        <v>460</v>
      </c>
      <c r="CI16" s="70">
        <v>12</v>
      </c>
      <c r="CJ16" s="70"/>
      <c r="CK16" s="70"/>
      <c r="CL16" s="70"/>
      <c r="CM16" s="70" t="s">
        <v>669</v>
      </c>
      <c r="CN16" s="70">
        <v>1920</v>
      </c>
      <c r="CO16" s="70" t="s">
        <v>670</v>
      </c>
      <c r="CP16" s="70">
        <v>15</v>
      </c>
      <c r="CQ16" s="70"/>
      <c r="CR16" s="70"/>
      <c r="CS16" s="70" t="s">
        <v>670</v>
      </c>
      <c r="CT16" s="70">
        <v>30</v>
      </c>
      <c r="CU16" s="70"/>
      <c r="CV16" s="70"/>
      <c r="CW16" s="70"/>
      <c r="CX16" s="70"/>
      <c r="CY16" s="70"/>
      <c r="CZ16" s="70"/>
      <c r="DA16" s="70"/>
      <c r="DB16" s="70"/>
      <c r="DC16" s="70"/>
      <c r="DD16" s="70"/>
    </row>
    <row r="17" spans="1:108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1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1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70">
        <v>12</v>
      </c>
      <c r="BR17" s="70">
        <v>103</v>
      </c>
      <c r="BS17" s="70">
        <v>1606014</v>
      </c>
      <c r="BT17" s="70" t="s">
        <v>629</v>
      </c>
      <c r="BU17" s="70">
        <v>3</v>
      </c>
      <c r="BV17" s="70">
        <v>21</v>
      </c>
      <c r="BW17" s="70">
        <f>SUM(BV$5:BV17)</f>
        <v>204</v>
      </c>
      <c r="CF17" s="70">
        <v>13</v>
      </c>
      <c r="CG17" s="70">
        <v>1</v>
      </c>
      <c r="CH17" s="70" t="s">
        <v>460</v>
      </c>
      <c r="CI17" s="70">
        <v>13</v>
      </c>
      <c r="CJ17" s="70"/>
      <c r="CK17" s="70"/>
      <c r="CL17" s="70"/>
      <c r="CM17" s="70" t="s">
        <v>669</v>
      </c>
      <c r="CN17" s="70">
        <v>1920</v>
      </c>
      <c r="CO17" s="70" t="s">
        <v>670</v>
      </c>
      <c r="CP17" s="70">
        <v>15</v>
      </c>
      <c r="CQ17" s="70"/>
      <c r="CR17" s="70"/>
      <c r="CS17" s="70" t="s">
        <v>670</v>
      </c>
      <c r="CT17" s="70">
        <v>30</v>
      </c>
      <c r="CU17" s="70"/>
      <c r="CV17" s="70"/>
      <c r="CW17" s="70"/>
      <c r="CX17" s="70"/>
      <c r="CY17" s="70"/>
      <c r="CZ17" s="70"/>
      <c r="DA17" s="70"/>
      <c r="DB17" s="70"/>
      <c r="DC17" s="70"/>
      <c r="DD17" s="70"/>
    </row>
    <row r="18" spans="1:108" ht="16.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1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1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70">
        <v>13</v>
      </c>
      <c r="BR18" s="70">
        <v>103</v>
      </c>
      <c r="BS18" s="70">
        <v>1606015</v>
      </c>
      <c r="BT18" s="70" t="s">
        <v>630</v>
      </c>
      <c r="BU18" s="70">
        <v>3</v>
      </c>
      <c r="BV18" s="70">
        <v>21</v>
      </c>
      <c r="BW18" s="70">
        <f>SUM(BV$5:BV18)</f>
        <v>225</v>
      </c>
      <c r="CF18" s="70">
        <v>14</v>
      </c>
      <c r="CG18" s="70">
        <v>1</v>
      </c>
      <c r="CH18" s="70" t="s">
        <v>460</v>
      </c>
      <c r="CI18" s="70">
        <v>14</v>
      </c>
      <c r="CJ18" s="70"/>
      <c r="CK18" s="70"/>
      <c r="CL18" s="70"/>
      <c r="CM18" s="70" t="s">
        <v>669</v>
      </c>
      <c r="CN18" s="70">
        <v>1920</v>
      </c>
      <c r="CO18" s="70" t="s">
        <v>670</v>
      </c>
      <c r="CP18" s="70">
        <v>15</v>
      </c>
      <c r="CQ18" s="70"/>
      <c r="CR18" s="70"/>
      <c r="CS18" s="70" t="s">
        <v>670</v>
      </c>
      <c r="CT18" s="70">
        <v>30</v>
      </c>
      <c r="CU18" s="70"/>
      <c r="CV18" s="70"/>
      <c r="CW18" s="70"/>
      <c r="CX18" s="70"/>
      <c r="CY18" s="70"/>
      <c r="CZ18" s="70"/>
      <c r="DA18" s="70"/>
      <c r="DB18" s="70"/>
      <c r="DC18" s="70"/>
      <c r="DD18" s="70"/>
    </row>
    <row r="19" spans="1:108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1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1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70">
        <v>14</v>
      </c>
      <c r="BR19" s="70">
        <v>103</v>
      </c>
      <c r="BS19" s="70">
        <v>1606016</v>
      </c>
      <c r="BT19" s="70" t="s">
        <v>631</v>
      </c>
      <c r="BU19" s="70">
        <v>4</v>
      </c>
      <c r="BV19" s="70">
        <v>21</v>
      </c>
      <c r="BW19" s="70">
        <f>SUM(BV$5:BV19)</f>
        <v>246</v>
      </c>
      <c r="CF19" s="70">
        <v>15</v>
      </c>
      <c r="CG19" s="70">
        <v>1</v>
      </c>
      <c r="CH19" s="70" t="s">
        <v>460</v>
      </c>
      <c r="CI19" s="70">
        <v>15</v>
      </c>
      <c r="CJ19" s="70"/>
      <c r="CK19" s="70"/>
      <c r="CL19" s="70"/>
      <c r="CM19" s="70" t="s">
        <v>669</v>
      </c>
      <c r="CN19" s="70">
        <v>1920</v>
      </c>
      <c r="CO19" s="70" t="s">
        <v>670</v>
      </c>
      <c r="CP19" s="70">
        <v>15</v>
      </c>
      <c r="CQ19" s="70" t="s">
        <v>671</v>
      </c>
      <c r="CR19" s="70">
        <v>2</v>
      </c>
      <c r="CS19" s="70" t="s">
        <v>670</v>
      </c>
      <c r="CT19" s="70">
        <v>35</v>
      </c>
      <c r="CU19" s="70"/>
      <c r="CV19" s="70"/>
      <c r="CW19" s="70"/>
      <c r="CX19" s="70"/>
      <c r="CY19" s="70"/>
      <c r="CZ19" s="70"/>
      <c r="DA19" s="70"/>
      <c r="DB19" s="70"/>
      <c r="DC19" s="70"/>
      <c r="DD19" s="70"/>
    </row>
    <row r="20" spans="1:108" ht="16.5" x14ac:dyDescent="0.2">
      <c r="A20" s="18">
        <v>16</v>
      </c>
      <c r="B20" s="61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1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1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70">
        <v>15</v>
      </c>
      <c r="BR20" s="70">
        <v>104</v>
      </c>
      <c r="BS20" s="70">
        <v>1606017</v>
      </c>
      <c r="BT20" s="70" t="s">
        <v>632</v>
      </c>
      <c r="BU20" s="70">
        <v>1</v>
      </c>
      <c r="BV20" s="70">
        <v>21</v>
      </c>
      <c r="BW20" s="70">
        <f>SUM(BV$5:BV20)</f>
        <v>267</v>
      </c>
      <c r="CF20" s="70">
        <v>16</v>
      </c>
      <c r="CG20" s="70">
        <v>1</v>
      </c>
      <c r="CH20" s="70" t="s">
        <v>460</v>
      </c>
      <c r="CI20" s="70">
        <v>16</v>
      </c>
      <c r="CJ20" s="70"/>
      <c r="CK20" s="70"/>
      <c r="CL20" s="70"/>
      <c r="CM20" s="70" t="s">
        <v>669</v>
      </c>
      <c r="CN20" s="70">
        <v>1920</v>
      </c>
      <c r="CO20" s="70" t="s">
        <v>670</v>
      </c>
      <c r="CP20" s="70">
        <v>20</v>
      </c>
      <c r="CQ20" s="70"/>
      <c r="CR20" s="70"/>
      <c r="CS20" s="70" t="s">
        <v>670</v>
      </c>
      <c r="CT20" s="70">
        <v>35</v>
      </c>
      <c r="CU20" s="70"/>
      <c r="CV20" s="70"/>
      <c r="CW20" s="70"/>
      <c r="CX20" s="70"/>
      <c r="CY20" s="70"/>
      <c r="CZ20" s="70"/>
      <c r="DA20" s="70"/>
      <c r="DB20" s="70"/>
      <c r="DC20" s="70"/>
      <c r="DD20" s="70"/>
    </row>
    <row r="21" spans="1:108" ht="16.5" x14ac:dyDescent="0.2">
      <c r="A21" s="18">
        <v>17</v>
      </c>
      <c r="B21" s="61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1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1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1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70">
        <v>16</v>
      </c>
      <c r="BR21" s="70">
        <v>104</v>
      </c>
      <c r="BS21" s="70">
        <v>1606018</v>
      </c>
      <c r="BT21" s="70" t="s">
        <v>633</v>
      </c>
      <c r="BU21" s="70">
        <v>1</v>
      </c>
      <c r="BV21" s="70">
        <v>21</v>
      </c>
      <c r="BW21" s="70">
        <f>SUM(BV$5:BV21)</f>
        <v>288</v>
      </c>
      <c r="CF21" s="70">
        <v>17</v>
      </c>
      <c r="CG21" s="70">
        <v>1</v>
      </c>
      <c r="CH21" s="70" t="s">
        <v>460</v>
      </c>
      <c r="CI21" s="70">
        <v>17</v>
      </c>
      <c r="CJ21" s="70"/>
      <c r="CK21" s="70"/>
      <c r="CL21" s="70"/>
      <c r="CM21" s="70" t="s">
        <v>669</v>
      </c>
      <c r="CN21" s="70">
        <v>1920</v>
      </c>
      <c r="CO21" s="70" t="s">
        <v>670</v>
      </c>
      <c r="CP21" s="70">
        <v>20</v>
      </c>
      <c r="CQ21" s="70"/>
      <c r="CR21" s="70"/>
      <c r="CS21" s="70" t="s">
        <v>670</v>
      </c>
      <c r="CT21" s="70">
        <v>35</v>
      </c>
      <c r="CU21" s="70"/>
      <c r="CV21" s="70"/>
      <c r="CW21" s="70"/>
      <c r="CX21" s="70"/>
      <c r="CY21" s="70"/>
      <c r="CZ21" s="70"/>
      <c r="DA21" s="70"/>
      <c r="DB21" s="70"/>
      <c r="DC21" s="70"/>
      <c r="DD21" s="70"/>
    </row>
    <row r="22" spans="1:108" ht="16.5" x14ac:dyDescent="0.2">
      <c r="A22" s="18">
        <v>18</v>
      </c>
      <c r="B22" s="61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1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1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1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70">
        <v>17</v>
      </c>
      <c r="BR22" s="70">
        <v>104</v>
      </c>
      <c r="BS22" s="70">
        <v>1606019</v>
      </c>
      <c r="BT22" s="70" t="s">
        <v>634</v>
      </c>
      <c r="BU22" s="70">
        <v>2</v>
      </c>
      <c r="BV22" s="70">
        <v>21</v>
      </c>
      <c r="BW22" s="70">
        <f>SUM(BV$5:BV22)</f>
        <v>309</v>
      </c>
      <c r="CF22" s="70">
        <v>18</v>
      </c>
      <c r="CG22" s="70">
        <v>1</v>
      </c>
      <c r="CH22" s="70" t="s">
        <v>460</v>
      </c>
      <c r="CI22" s="70">
        <v>18</v>
      </c>
      <c r="CJ22" s="70"/>
      <c r="CK22" s="70"/>
      <c r="CL22" s="70"/>
      <c r="CM22" s="70" t="s">
        <v>669</v>
      </c>
      <c r="CN22" s="70">
        <v>1920</v>
      </c>
      <c r="CO22" s="70" t="s">
        <v>670</v>
      </c>
      <c r="CP22" s="70">
        <v>20</v>
      </c>
      <c r="CQ22" s="70"/>
      <c r="CR22" s="70"/>
      <c r="CS22" s="70" t="s">
        <v>670</v>
      </c>
      <c r="CT22" s="70">
        <v>35</v>
      </c>
      <c r="CU22" s="70"/>
      <c r="CV22" s="70"/>
      <c r="CW22" s="70"/>
      <c r="CX22" s="70"/>
      <c r="CY22" s="70"/>
      <c r="CZ22" s="70"/>
      <c r="DA22" s="70"/>
      <c r="DB22" s="70"/>
      <c r="DC22" s="70"/>
      <c r="DD22" s="70"/>
    </row>
    <row r="23" spans="1:108" ht="16.5" x14ac:dyDescent="0.2">
      <c r="A23" s="18">
        <v>19</v>
      </c>
      <c r="B23" s="61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1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1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1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70">
        <v>18</v>
      </c>
      <c r="BR23" s="70">
        <v>104</v>
      </c>
      <c r="BS23" s="70">
        <v>1606020</v>
      </c>
      <c r="BT23" s="70" t="s">
        <v>635</v>
      </c>
      <c r="BU23" s="70">
        <v>2</v>
      </c>
      <c r="BV23" s="70">
        <v>21</v>
      </c>
      <c r="BW23" s="70">
        <f>SUM(BV$5:BV23)</f>
        <v>330</v>
      </c>
      <c r="CF23" s="70">
        <v>19</v>
      </c>
      <c r="CG23" s="70">
        <v>1</v>
      </c>
      <c r="CH23" s="70" t="s">
        <v>460</v>
      </c>
      <c r="CI23" s="70">
        <v>19</v>
      </c>
      <c r="CJ23" s="70"/>
      <c r="CK23" s="70"/>
      <c r="CL23" s="70"/>
      <c r="CM23" s="70" t="s">
        <v>669</v>
      </c>
      <c r="CN23" s="70">
        <v>1920</v>
      </c>
      <c r="CO23" s="70" t="s">
        <v>670</v>
      </c>
      <c r="CP23" s="70">
        <v>20</v>
      </c>
      <c r="CQ23" s="70"/>
      <c r="CR23" s="70"/>
      <c r="CS23" s="70" t="s">
        <v>670</v>
      </c>
      <c r="CT23" s="70">
        <v>35</v>
      </c>
      <c r="CU23" s="70"/>
      <c r="CV23" s="70"/>
      <c r="CW23" s="70"/>
      <c r="CX23" s="70"/>
      <c r="CY23" s="70"/>
      <c r="CZ23" s="70"/>
      <c r="DA23" s="70"/>
      <c r="DB23" s="70"/>
      <c r="DC23" s="70"/>
      <c r="DD23" s="70"/>
    </row>
    <row r="24" spans="1:108" ht="16.5" x14ac:dyDescent="0.2">
      <c r="A24" s="18">
        <v>20</v>
      </c>
      <c r="B24" s="61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1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1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70">
        <v>19</v>
      </c>
      <c r="BR24" s="70">
        <v>104</v>
      </c>
      <c r="BS24" s="70">
        <v>1606021</v>
      </c>
      <c r="BT24" s="70" t="s">
        <v>636</v>
      </c>
      <c r="BU24" s="70">
        <v>2</v>
      </c>
      <c r="BV24" s="70">
        <v>21</v>
      </c>
      <c r="BW24" s="70">
        <f>SUM(BV$5:BV24)</f>
        <v>351</v>
      </c>
      <c r="CF24" s="70">
        <v>20</v>
      </c>
      <c r="CG24" s="70">
        <v>1</v>
      </c>
      <c r="CH24" s="70" t="s">
        <v>460</v>
      </c>
      <c r="CI24" s="70">
        <v>20</v>
      </c>
      <c r="CJ24" s="70"/>
      <c r="CK24" s="70"/>
      <c r="CL24" s="70"/>
      <c r="CM24" s="70" t="s">
        <v>669</v>
      </c>
      <c r="CN24" s="70">
        <v>1920</v>
      </c>
      <c r="CO24" s="70" t="s">
        <v>670</v>
      </c>
      <c r="CP24" s="70">
        <v>20</v>
      </c>
      <c r="CQ24" s="70" t="s">
        <v>496</v>
      </c>
      <c r="CR24" s="70">
        <v>2</v>
      </c>
      <c r="CS24" s="70" t="s">
        <v>670</v>
      </c>
      <c r="CT24" s="70">
        <v>40</v>
      </c>
      <c r="CU24" s="70"/>
      <c r="CV24" s="70"/>
      <c r="CW24" s="70"/>
      <c r="CX24" s="70"/>
      <c r="CY24" s="70"/>
      <c r="CZ24" s="70"/>
      <c r="DA24" s="70"/>
      <c r="DB24" s="70"/>
      <c r="DC24" s="70"/>
      <c r="DD24" s="70"/>
    </row>
    <row r="25" spans="1:108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1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1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70">
        <v>20</v>
      </c>
      <c r="BR25" s="70">
        <v>104</v>
      </c>
      <c r="BS25" s="70">
        <v>1606022</v>
      </c>
      <c r="BT25" s="70" t="s">
        <v>637</v>
      </c>
      <c r="BU25" s="70">
        <v>3</v>
      </c>
      <c r="BV25" s="70">
        <v>21</v>
      </c>
      <c r="BW25" s="70">
        <f>SUM(BV$5:BV25)</f>
        <v>372</v>
      </c>
      <c r="CF25" s="70">
        <v>21</v>
      </c>
      <c r="CG25" s="70">
        <v>1</v>
      </c>
      <c r="CH25" s="70" t="s">
        <v>460</v>
      </c>
      <c r="CI25" s="70">
        <v>21</v>
      </c>
      <c r="CJ25" s="70"/>
      <c r="CK25" s="70"/>
      <c r="CL25" s="70"/>
      <c r="CM25" s="70" t="s">
        <v>669</v>
      </c>
      <c r="CN25" s="70">
        <v>2400</v>
      </c>
      <c r="CO25" s="70" t="s">
        <v>670</v>
      </c>
      <c r="CP25" s="70">
        <v>25</v>
      </c>
      <c r="CQ25" s="70"/>
      <c r="CR25" s="70"/>
      <c r="CS25" s="70" t="s">
        <v>670</v>
      </c>
      <c r="CT25" s="70">
        <v>40</v>
      </c>
      <c r="CU25" s="70"/>
      <c r="CV25" s="70"/>
      <c r="CW25" s="70"/>
      <c r="CX25" s="70"/>
      <c r="CY25" s="70"/>
      <c r="CZ25" s="70"/>
      <c r="DA25" s="70"/>
      <c r="DB25" s="70"/>
      <c r="DC25" s="70"/>
      <c r="DD25" s="70"/>
    </row>
    <row r="26" spans="1:108" ht="16.5" x14ac:dyDescent="0.2">
      <c r="A26" s="18">
        <v>22</v>
      </c>
      <c r="B26" s="61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1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1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1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70">
        <v>21</v>
      </c>
      <c r="BR26" s="70">
        <v>105</v>
      </c>
      <c r="BS26" s="70">
        <v>1606023</v>
      </c>
      <c r="BT26" s="70" t="s">
        <v>638</v>
      </c>
      <c r="BU26" s="70">
        <v>1</v>
      </c>
      <c r="BV26" s="70">
        <v>21</v>
      </c>
      <c r="BW26" s="70">
        <f>SUM(BV$5:BV26)</f>
        <v>393</v>
      </c>
      <c r="CF26" s="70">
        <v>22</v>
      </c>
      <c r="CG26" s="70">
        <v>1</v>
      </c>
      <c r="CH26" s="70" t="s">
        <v>460</v>
      </c>
      <c r="CI26" s="70">
        <v>22</v>
      </c>
      <c r="CJ26" s="70"/>
      <c r="CK26" s="70"/>
      <c r="CL26" s="70"/>
      <c r="CM26" s="70" t="s">
        <v>669</v>
      </c>
      <c r="CN26" s="70">
        <v>2400</v>
      </c>
      <c r="CO26" s="70" t="s">
        <v>670</v>
      </c>
      <c r="CP26" s="70">
        <v>25</v>
      </c>
      <c r="CQ26" s="70"/>
      <c r="CR26" s="70"/>
      <c r="CS26" s="70" t="s">
        <v>670</v>
      </c>
      <c r="CT26" s="70">
        <v>40</v>
      </c>
      <c r="CU26" s="70"/>
      <c r="CV26" s="70"/>
      <c r="CW26" s="70"/>
      <c r="CX26" s="70"/>
      <c r="CY26" s="70"/>
      <c r="CZ26" s="70"/>
      <c r="DA26" s="70"/>
      <c r="DB26" s="70"/>
      <c r="DC26" s="70"/>
      <c r="DD26" s="70"/>
    </row>
    <row r="27" spans="1:108" ht="16.5" x14ac:dyDescent="0.2">
      <c r="A27" s="18">
        <v>23</v>
      </c>
      <c r="B27" s="61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1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1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1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70">
        <v>22</v>
      </c>
      <c r="BR27" s="70">
        <v>105</v>
      </c>
      <c r="BS27" s="70">
        <v>1606024</v>
      </c>
      <c r="BT27" s="70" t="s">
        <v>639</v>
      </c>
      <c r="BU27" s="70">
        <v>1</v>
      </c>
      <c r="BV27" s="70">
        <v>21</v>
      </c>
      <c r="BW27" s="70">
        <f>SUM(BV$5:BV27)</f>
        <v>414</v>
      </c>
      <c r="CF27" s="70">
        <v>23</v>
      </c>
      <c r="CG27" s="70">
        <v>1</v>
      </c>
      <c r="CH27" s="70" t="s">
        <v>460</v>
      </c>
      <c r="CI27" s="70">
        <v>23</v>
      </c>
      <c r="CJ27" s="70"/>
      <c r="CK27" s="70"/>
      <c r="CL27" s="70"/>
      <c r="CM27" s="70" t="s">
        <v>669</v>
      </c>
      <c r="CN27" s="70">
        <v>2400</v>
      </c>
      <c r="CO27" s="70" t="s">
        <v>670</v>
      </c>
      <c r="CP27" s="70">
        <v>25</v>
      </c>
      <c r="CQ27" s="70"/>
      <c r="CR27" s="70"/>
      <c r="CS27" s="70" t="s">
        <v>670</v>
      </c>
      <c r="CT27" s="70">
        <v>40</v>
      </c>
      <c r="CU27" s="70"/>
      <c r="CV27" s="70"/>
      <c r="CW27" s="70"/>
      <c r="CX27" s="70"/>
      <c r="CY27" s="70"/>
      <c r="CZ27" s="70"/>
      <c r="DA27" s="70"/>
      <c r="DB27" s="70"/>
      <c r="DC27" s="70"/>
      <c r="DD27" s="70"/>
    </row>
    <row r="28" spans="1:108" ht="16.5" x14ac:dyDescent="0.2">
      <c r="A28" s="18">
        <v>24</v>
      </c>
      <c r="B28" s="61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1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1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1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70">
        <v>23</v>
      </c>
      <c r="BR28" s="70">
        <v>105</v>
      </c>
      <c r="BS28" s="70">
        <v>1606025</v>
      </c>
      <c r="BT28" s="70" t="s">
        <v>640</v>
      </c>
      <c r="BU28" s="70">
        <v>2</v>
      </c>
      <c r="BV28" s="70">
        <v>21</v>
      </c>
      <c r="BW28" s="70">
        <f>SUM(BV$5:BV28)</f>
        <v>435</v>
      </c>
      <c r="CF28" s="70">
        <v>24</v>
      </c>
      <c r="CG28" s="70">
        <v>1</v>
      </c>
      <c r="CH28" s="70" t="s">
        <v>460</v>
      </c>
      <c r="CI28" s="70">
        <v>24</v>
      </c>
      <c r="CJ28" s="70"/>
      <c r="CK28" s="70"/>
      <c r="CL28" s="70"/>
      <c r="CM28" s="70" t="s">
        <v>669</v>
      </c>
      <c r="CN28" s="70">
        <v>2400</v>
      </c>
      <c r="CO28" s="70" t="s">
        <v>670</v>
      </c>
      <c r="CP28" s="70">
        <v>25</v>
      </c>
      <c r="CQ28" s="70"/>
      <c r="CR28" s="70"/>
      <c r="CS28" s="70" t="s">
        <v>670</v>
      </c>
      <c r="CT28" s="70">
        <v>40</v>
      </c>
      <c r="CU28" s="70"/>
      <c r="CV28" s="70"/>
      <c r="CW28" s="70"/>
      <c r="CX28" s="70"/>
      <c r="CY28" s="70"/>
      <c r="CZ28" s="70"/>
      <c r="DA28" s="70"/>
      <c r="DB28" s="70"/>
      <c r="DC28" s="70"/>
      <c r="DD28" s="70"/>
    </row>
    <row r="29" spans="1:108" ht="16.5" x14ac:dyDescent="0.2">
      <c r="A29" s="18">
        <v>25</v>
      </c>
      <c r="B29" s="61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1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1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1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70">
        <v>24</v>
      </c>
      <c r="BR29" s="70">
        <v>105</v>
      </c>
      <c r="BS29" s="70">
        <v>1606026</v>
      </c>
      <c r="BT29" s="70" t="s">
        <v>641</v>
      </c>
      <c r="BU29" s="70">
        <v>2</v>
      </c>
      <c r="BV29" s="70">
        <v>21</v>
      </c>
      <c r="BW29" s="70">
        <f>SUM(BV$5:BV29)</f>
        <v>456</v>
      </c>
      <c r="CF29" s="70">
        <v>25</v>
      </c>
      <c r="CG29" s="70">
        <v>1</v>
      </c>
      <c r="CH29" s="70" t="s">
        <v>460</v>
      </c>
      <c r="CI29" s="70">
        <v>25</v>
      </c>
      <c r="CJ29" s="70"/>
      <c r="CK29" s="70"/>
      <c r="CL29" s="70"/>
      <c r="CM29" s="70" t="s">
        <v>669</v>
      </c>
      <c r="CN29" s="70">
        <v>2400</v>
      </c>
      <c r="CO29" s="70" t="s">
        <v>670</v>
      </c>
      <c r="CP29" s="70">
        <v>25</v>
      </c>
      <c r="CQ29" s="70" t="s">
        <v>671</v>
      </c>
      <c r="CR29" s="70">
        <v>2</v>
      </c>
      <c r="CS29" s="70" t="s">
        <v>670</v>
      </c>
      <c r="CT29" s="70">
        <v>45</v>
      </c>
      <c r="CU29" s="70"/>
      <c r="CV29" s="70"/>
      <c r="CW29" s="70"/>
      <c r="CX29" s="70"/>
      <c r="CY29" s="70"/>
      <c r="CZ29" s="70"/>
      <c r="DA29" s="70"/>
      <c r="DB29" s="70"/>
      <c r="DC29" s="70"/>
      <c r="DD29" s="70"/>
    </row>
    <row r="30" spans="1:108" ht="16.5" x14ac:dyDescent="0.2">
      <c r="A30" s="18">
        <v>26</v>
      </c>
      <c r="B30" s="61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1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1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1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70">
        <v>25</v>
      </c>
      <c r="BR30" s="70">
        <v>105</v>
      </c>
      <c r="BS30" s="70">
        <v>1606027</v>
      </c>
      <c r="BT30" s="70" t="s">
        <v>642</v>
      </c>
      <c r="BU30" s="70">
        <v>2</v>
      </c>
      <c r="BV30" s="70">
        <v>21</v>
      </c>
      <c r="BW30" s="70">
        <f>SUM(BV$5:BV30)</f>
        <v>477</v>
      </c>
      <c r="CF30" s="70">
        <v>26</v>
      </c>
      <c r="CG30" s="70">
        <v>1</v>
      </c>
      <c r="CH30" s="70" t="s">
        <v>460</v>
      </c>
      <c r="CI30" s="70">
        <v>26</v>
      </c>
      <c r="CJ30" s="70"/>
      <c r="CK30" s="70"/>
      <c r="CL30" s="70"/>
      <c r="CM30" s="70" t="s">
        <v>669</v>
      </c>
      <c r="CN30" s="70">
        <v>2400</v>
      </c>
      <c r="CO30" s="70" t="s">
        <v>670</v>
      </c>
      <c r="CP30" s="70">
        <v>30</v>
      </c>
      <c r="CQ30" s="70"/>
      <c r="CR30" s="70"/>
      <c r="CS30" s="70" t="s">
        <v>670</v>
      </c>
      <c r="CT30" s="70">
        <v>45</v>
      </c>
      <c r="CU30" s="70"/>
      <c r="CV30" s="70"/>
      <c r="CW30" s="70"/>
      <c r="CX30" s="70"/>
      <c r="CY30" s="70"/>
      <c r="CZ30" s="70"/>
      <c r="DA30" s="70"/>
      <c r="DB30" s="70"/>
      <c r="DC30" s="70"/>
      <c r="DD30" s="70"/>
    </row>
    <row r="31" spans="1:108" ht="16.5" x14ac:dyDescent="0.2">
      <c r="A31" s="18">
        <v>27</v>
      </c>
      <c r="B31" s="61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1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1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1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70">
        <v>26</v>
      </c>
      <c r="BR31" s="70">
        <v>105</v>
      </c>
      <c r="BS31" s="70">
        <v>1606028</v>
      </c>
      <c r="BT31" s="70" t="s">
        <v>643</v>
      </c>
      <c r="BU31" s="70">
        <v>3</v>
      </c>
      <c r="BV31" s="70">
        <v>21</v>
      </c>
      <c r="BW31" s="70">
        <f>SUM(BV$5:BV31)</f>
        <v>498</v>
      </c>
      <c r="CF31" s="70">
        <v>27</v>
      </c>
      <c r="CG31" s="70">
        <v>1</v>
      </c>
      <c r="CH31" s="70" t="s">
        <v>460</v>
      </c>
      <c r="CI31" s="70">
        <v>27</v>
      </c>
      <c r="CJ31" s="70"/>
      <c r="CK31" s="70"/>
      <c r="CL31" s="70"/>
      <c r="CM31" s="70" t="s">
        <v>669</v>
      </c>
      <c r="CN31" s="70">
        <v>2400</v>
      </c>
      <c r="CO31" s="70" t="s">
        <v>670</v>
      </c>
      <c r="CP31" s="70">
        <v>30</v>
      </c>
      <c r="CQ31" s="70"/>
      <c r="CR31" s="70"/>
      <c r="CS31" s="70" t="s">
        <v>670</v>
      </c>
      <c r="CT31" s="70">
        <v>45</v>
      </c>
      <c r="CU31" s="70"/>
      <c r="CV31" s="70"/>
      <c r="CW31" s="70"/>
      <c r="CX31" s="70"/>
      <c r="CY31" s="70"/>
      <c r="CZ31" s="70"/>
      <c r="DA31" s="70"/>
      <c r="DB31" s="70"/>
      <c r="DC31" s="70"/>
      <c r="DD31" s="70"/>
    </row>
    <row r="32" spans="1:108" ht="16.5" x14ac:dyDescent="0.2">
      <c r="A32" s="18">
        <v>28</v>
      </c>
      <c r="B32" s="61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1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1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1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70">
        <v>27</v>
      </c>
      <c r="BR32" s="70">
        <v>106</v>
      </c>
      <c r="BS32" s="70">
        <v>1606029</v>
      </c>
      <c r="BT32" s="70" t="s">
        <v>644</v>
      </c>
      <c r="BU32" s="70">
        <v>2</v>
      </c>
      <c r="BV32" s="70">
        <v>21</v>
      </c>
      <c r="BW32" s="70">
        <f>SUM(BV$5:BV32)</f>
        <v>519</v>
      </c>
      <c r="CF32" s="70">
        <v>28</v>
      </c>
      <c r="CG32" s="70">
        <v>1</v>
      </c>
      <c r="CH32" s="70" t="s">
        <v>460</v>
      </c>
      <c r="CI32" s="70">
        <v>28</v>
      </c>
      <c r="CJ32" s="70"/>
      <c r="CK32" s="70"/>
      <c r="CL32" s="70"/>
      <c r="CM32" s="70" t="s">
        <v>669</v>
      </c>
      <c r="CN32" s="70">
        <v>2400</v>
      </c>
      <c r="CO32" s="70" t="s">
        <v>670</v>
      </c>
      <c r="CP32" s="70">
        <v>30</v>
      </c>
      <c r="CQ32" s="70"/>
      <c r="CR32" s="70"/>
      <c r="CS32" s="70" t="s">
        <v>670</v>
      </c>
      <c r="CT32" s="70">
        <v>45</v>
      </c>
      <c r="CU32" s="70"/>
      <c r="CV32" s="70"/>
      <c r="CW32" s="70"/>
      <c r="CX32" s="70"/>
      <c r="CY32" s="70"/>
      <c r="CZ32" s="70"/>
      <c r="DA32" s="70"/>
      <c r="DB32" s="70"/>
      <c r="DC32" s="70"/>
      <c r="DD32" s="70"/>
    </row>
    <row r="33" spans="1:108" ht="16.5" x14ac:dyDescent="0.2">
      <c r="A33" s="18">
        <v>29</v>
      </c>
      <c r="B33" s="61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1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1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1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70">
        <v>28</v>
      </c>
      <c r="BR33" s="70">
        <v>106</v>
      </c>
      <c r="BS33" s="70">
        <v>1606030</v>
      </c>
      <c r="BT33" s="70" t="s">
        <v>645</v>
      </c>
      <c r="BU33" s="70">
        <v>2</v>
      </c>
      <c r="BV33" s="70">
        <v>21</v>
      </c>
      <c r="BW33" s="70">
        <f>SUM(BV$5:BV33)</f>
        <v>540</v>
      </c>
      <c r="CF33" s="70">
        <v>29</v>
      </c>
      <c r="CG33" s="70">
        <v>1</v>
      </c>
      <c r="CH33" s="70" t="s">
        <v>460</v>
      </c>
      <c r="CI33" s="70">
        <v>29</v>
      </c>
      <c r="CJ33" s="70"/>
      <c r="CK33" s="70"/>
      <c r="CL33" s="70"/>
      <c r="CM33" s="70" t="s">
        <v>669</v>
      </c>
      <c r="CN33" s="70">
        <v>2400</v>
      </c>
      <c r="CO33" s="70" t="s">
        <v>670</v>
      </c>
      <c r="CP33" s="70">
        <v>30</v>
      </c>
      <c r="CQ33" s="70"/>
      <c r="CR33" s="70"/>
      <c r="CS33" s="70" t="s">
        <v>670</v>
      </c>
      <c r="CT33" s="70">
        <v>45</v>
      </c>
      <c r="CU33" s="70"/>
      <c r="CV33" s="70"/>
      <c r="CW33" s="70"/>
      <c r="CX33" s="70"/>
      <c r="CY33" s="70"/>
      <c r="CZ33" s="70"/>
      <c r="DA33" s="70"/>
      <c r="DB33" s="70"/>
      <c r="DC33" s="70"/>
      <c r="DD33" s="70"/>
    </row>
    <row r="34" spans="1:108" ht="16.5" x14ac:dyDescent="0.2">
      <c r="A34" s="18">
        <v>30</v>
      </c>
      <c r="B34" s="61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1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70">
        <v>29</v>
      </c>
      <c r="BR34" s="70">
        <v>106</v>
      </c>
      <c r="BS34" s="70">
        <v>1606031</v>
      </c>
      <c r="BT34" s="70" t="s">
        <v>646</v>
      </c>
      <c r="BU34" s="70">
        <v>2</v>
      </c>
      <c r="BV34" s="70">
        <v>21</v>
      </c>
      <c r="BW34" s="70">
        <f>SUM(BV$5:BV34)</f>
        <v>561</v>
      </c>
      <c r="CF34" s="70">
        <v>30</v>
      </c>
      <c r="CG34" s="70">
        <v>1</v>
      </c>
      <c r="CH34" s="70" t="s">
        <v>460</v>
      </c>
      <c r="CI34" s="70">
        <v>30</v>
      </c>
      <c r="CJ34" s="70"/>
      <c r="CK34" s="70"/>
      <c r="CL34" s="70"/>
      <c r="CM34" s="70" t="s">
        <v>669</v>
      </c>
      <c r="CN34" s="70">
        <v>2400</v>
      </c>
      <c r="CO34" s="70" t="s">
        <v>670</v>
      </c>
      <c r="CP34" s="70">
        <v>30</v>
      </c>
      <c r="CQ34" s="70" t="s">
        <v>496</v>
      </c>
      <c r="CR34" s="70">
        <v>2</v>
      </c>
      <c r="CS34" s="70" t="s">
        <v>670</v>
      </c>
      <c r="CT34" s="70">
        <v>50</v>
      </c>
      <c r="CU34" s="70"/>
      <c r="CV34" s="70"/>
      <c r="CW34" s="70"/>
      <c r="CX34" s="70"/>
      <c r="CY34" s="70"/>
      <c r="CZ34" s="70"/>
      <c r="DA34" s="70"/>
      <c r="DB34" s="70"/>
      <c r="DC34" s="70"/>
      <c r="DD34" s="70"/>
    </row>
    <row r="35" spans="1:108" ht="16.5" x14ac:dyDescent="0.2">
      <c r="A35" s="18">
        <v>31</v>
      </c>
      <c r="B35" s="61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1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1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1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70">
        <v>30</v>
      </c>
      <c r="BR35" s="70">
        <v>106</v>
      </c>
      <c r="BS35" s="70">
        <v>1606032</v>
      </c>
      <c r="BT35" s="70" t="s">
        <v>647</v>
      </c>
      <c r="BU35" s="70">
        <v>3</v>
      </c>
      <c r="BV35" s="70">
        <v>21</v>
      </c>
      <c r="BW35" s="70">
        <f>SUM(BV$5:BV35)</f>
        <v>582</v>
      </c>
      <c r="CF35" s="70">
        <v>31</v>
      </c>
      <c r="CG35" s="70">
        <v>1</v>
      </c>
      <c r="CH35" s="70" t="s">
        <v>460</v>
      </c>
      <c r="CI35" s="70">
        <v>31</v>
      </c>
      <c r="CJ35" s="70"/>
      <c r="CK35" s="70"/>
      <c r="CL35" s="70"/>
      <c r="CM35" s="70" t="s">
        <v>669</v>
      </c>
      <c r="CN35" s="70">
        <v>2400</v>
      </c>
      <c r="CO35" s="70" t="s">
        <v>670</v>
      </c>
      <c r="CP35" s="70">
        <v>35</v>
      </c>
      <c r="CQ35" s="70"/>
      <c r="CR35" s="70"/>
      <c r="CS35" s="70" t="s">
        <v>670</v>
      </c>
      <c r="CT35" s="70">
        <v>50</v>
      </c>
      <c r="CU35" s="70"/>
      <c r="CV35" s="70"/>
      <c r="CW35" s="70"/>
      <c r="CX35" s="70"/>
      <c r="CY35" s="70"/>
      <c r="CZ35" s="70"/>
      <c r="DA35" s="70"/>
      <c r="DB35" s="70"/>
      <c r="DC35" s="70"/>
      <c r="DD35" s="70"/>
    </row>
    <row r="36" spans="1:108" ht="16.5" x14ac:dyDescent="0.2">
      <c r="A36" s="18">
        <v>32</v>
      </c>
      <c r="B36" s="61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1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1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1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70">
        <v>31</v>
      </c>
      <c r="BR36" s="70">
        <v>106</v>
      </c>
      <c r="BS36" s="70">
        <v>1606033</v>
      </c>
      <c r="BT36" s="70" t="s">
        <v>648</v>
      </c>
      <c r="BU36" s="70">
        <v>3</v>
      </c>
      <c r="BV36" s="70">
        <v>21</v>
      </c>
      <c r="BW36" s="70">
        <f>SUM(BV$5:BV36)</f>
        <v>603</v>
      </c>
      <c r="CF36" s="70">
        <v>32</v>
      </c>
      <c r="CG36" s="70">
        <v>1</v>
      </c>
      <c r="CH36" s="70" t="s">
        <v>460</v>
      </c>
      <c r="CI36" s="70">
        <v>32</v>
      </c>
      <c r="CJ36" s="70"/>
      <c r="CK36" s="70"/>
      <c r="CL36" s="70"/>
      <c r="CM36" s="70" t="s">
        <v>669</v>
      </c>
      <c r="CN36" s="70">
        <v>2400</v>
      </c>
      <c r="CO36" s="70" t="s">
        <v>670</v>
      </c>
      <c r="CP36" s="70">
        <v>35</v>
      </c>
      <c r="CQ36" s="70"/>
      <c r="CR36" s="70"/>
      <c r="CS36" s="70" t="s">
        <v>670</v>
      </c>
      <c r="CT36" s="70">
        <v>50</v>
      </c>
      <c r="CU36" s="70"/>
      <c r="CV36" s="70"/>
      <c r="CW36" s="70"/>
      <c r="CX36" s="70"/>
      <c r="CY36" s="70"/>
      <c r="CZ36" s="70"/>
      <c r="DA36" s="70"/>
      <c r="DB36" s="70"/>
      <c r="DC36" s="70"/>
      <c r="DD36" s="70"/>
    </row>
    <row r="37" spans="1:108" ht="16.5" x14ac:dyDescent="0.2">
      <c r="A37" s="18">
        <v>33</v>
      </c>
      <c r="B37" s="61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1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1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1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70">
        <v>32</v>
      </c>
      <c r="BR37" s="70">
        <v>106</v>
      </c>
      <c r="BS37" s="70">
        <v>1606034</v>
      </c>
      <c r="BT37" s="70" t="s">
        <v>649</v>
      </c>
      <c r="BU37" s="70">
        <v>3</v>
      </c>
      <c r="BV37" s="70">
        <v>21</v>
      </c>
      <c r="BW37" s="70">
        <f>SUM(BV$5:BV37)</f>
        <v>624</v>
      </c>
      <c r="CF37" s="70">
        <v>33</v>
      </c>
      <c r="CG37" s="70">
        <v>1</v>
      </c>
      <c r="CH37" s="70" t="s">
        <v>460</v>
      </c>
      <c r="CI37" s="70">
        <v>33</v>
      </c>
      <c r="CJ37" s="70"/>
      <c r="CK37" s="70"/>
      <c r="CL37" s="70"/>
      <c r="CM37" s="70" t="s">
        <v>669</v>
      </c>
      <c r="CN37" s="70">
        <v>2400</v>
      </c>
      <c r="CO37" s="70" t="s">
        <v>670</v>
      </c>
      <c r="CP37" s="70">
        <v>35</v>
      </c>
      <c r="CQ37" s="70"/>
      <c r="CR37" s="70"/>
      <c r="CS37" s="70" t="s">
        <v>670</v>
      </c>
      <c r="CT37" s="70">
        <v>50</v>
      </c>
      <c r="CU37" s="70"/>
      <c r="CV37" s="70"/>
      <c r="CW37" s="70"/>
      <c r="CX37" s="70"/>
      <c r="CY37" s="70"/>
      <c r="CZ37" s="70"/>
      <c r="DA37" s="70"/>
      <c r="DB37" s="70"/>
      <c r="DC37" s="70"/>
      <c r="DD37" s="70"/>
    </row>
    <row r="38" spans="1:108" ht="16.5" x14ac:dyDescent="0.2">
      <c r="A38" s="18">
        <v>34</v>
      </c>
      <c r="B38" s="61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1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1">
        <v>10</v>
      </c>
      <c r="W38" s="39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1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70">
        <v>33</v>
      </c>
      <c r="BR38" s="70">
        <v>106</v>
      </c>
      <c r="BS38" s="70">
        <v>1606035</v>
      </c>
      <c r="BT38" s="70" t="s">
        <v>650</v>
      </c>
      <c r="BU38" s="70">
        <v>4</v>
      </c>
      <c r="BV38" s="70">
        <v>21</v>
      </c>
      <c r="BW38" s="70">
        <f>SUM(BV$5:BV38)</f>
        <v>645</v>
      </c>
      <c r="CF38" s="70">
        <v>34</v>
      </c>
      <c r="CG38" s="70">
        <v>1</v>
      </c>
      <c r="CH38" s="70" t="s">
        <v>460</v>
      </c>
      <c r="CI38" s="70">
        <v>34</v>
      </c>
      <c r="CJ38" s="70"/>
      <c r="CK38" s="70"/>
      <c r="CL38" s="70"/>
      <c r="CM38" s="70" t="s">
        <v>669</v>
      </c>
      <c r="CN38" s="70">
        <v>2400</v>
      </c>
      <c r="CO38" s="70" t="s">
        <v>670</v>
      </c>
      <c r="CP38" s="70">
        <v>35</v>
      </c>
      <c r="CQ38" s="70"/>
      <c r="CR38" s="70"/>
      <c r="CS38" s="70" t="s">
        <v>670</v>
      </c>
      <c r="CT38" s="70">
        <v>50</v>
      </c>
      <c r="CU38" s="70"/>
      <c r="CV38" s="70"/>
      <c r="CW38" s="70"/>
      <c r="CX38" s="70"/>
      <c r="CY38" s="70"/>
      <c r="CZ38" s="70"/>
      <c r="DA38" s="70"/>
      <c r="DB38" s="70"/>
      <c r="DC38" s="70"/>
      <c r="DD38" s="70"/>
    </row>
    <row r="39" spans="1:108" ht="16.5" x14ac:dyDescent="0.2">
      <c r="A39" s="18">
        <v>35</v>
      </c>
      <c r="B39" s="61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1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1">
        <v>10</v>
      </c>
      <c r="W39" s="39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1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70">
        <v>34</v>
      </c>
      <c r="BR39" s="70">
        <v>106</v>
      </c>
      <c r="BS39" s="70">
        <v>1606036</v>
      </c>
      <c r="BT39" s="70" t="s">
        <v>651</v>
      </c>
      <c r="BU39" s="70">
        <v>4</v>
      </c>
      <c r="BV39" s="70">
        <v>21</v>
      </c>
      <c r="BW39" s="70">
        <f>SUM(BV$5:BV39)</f>
        <v>666</v>
      </c>
      <c r="CF39" s="70">
        <v>35</v>
      </c>
      <c r="CG39" s="70">
        <v>1</v>
      </c>
      <c r="CH39" s="70" t="s">
        <v>460</v>
      </c>
      <c r="CI39" s="70">
        <v>35</v>
      </c>
      <c r="CJ39" s="70"/>
      <c r="CK39" s="70"/>
      <c r="CL39" s="70"/>
      <c r="CM39" s="70" t="s">
        <v>669</v>
      </c>
      <c r="CN39" s="70">
        <v>3000</v>
      </c>
      <c r="CO39" s="70" t="s">
        <v>670</v>
      </c>
      <c r="CP39" s="70">
        <v>35</v>
      </c>
      <c r="CQ39" s="70" t="s">
        <v>671</v>
      </c>
      <c r="CR39" s="70">
        <v>2</v>
      </c>
      <c r="CS39" s="70" t="s">
        <v>670</v>
      </c>
      <c r="CT39" s="70">
        <v>55</v>
      </c>
      <c r="CU39" s="70"/>
      <c r="CV39" s="70"/>
      <c r="CW39" s="70"/>
      <c r="CX39" s="70"/>
      <c r="CY39" s="70"/>
      <c r="CZ39" s="70"/>
      <c r="DA39" s="70"/>
      <c r="DB39" s="70"/>
      <c r="DC39" s="70"/>
      <c r="DD39" s="70"/>
    </row>
    <row r="40" spans="1:108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1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1">
        <v>10</v>
      </c>
      <c r="W40" s="39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1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70">
        <v>35</v>
      </c>
      <c r="BR40" s="70">
        <v>107</v>
      </c>
      <c r="BS40" s="70">
        <v>1606037</v>
      </c>
      <c r="BT40" s="70" t="s">
        <v>652</v>
      </c>
      <c r="BU40" s="70">
        <v>2</v>
      </c>
      <c r="BV40" s="70">
        <v>21</v>
      </c>
      <c r="BW40" s="70">
        <f>SUM(BV$5:BV40)</f>
        <v>687</v>
      </c>
      <c r="CF40" s="70">
        <v>36</v>
      </c>
      <c r="CG40" s="70">
        <v>1</v>
      </c>
      <c r="CH40" s="70" t="s">
        <v>460</v>
      </c>
      <c r="CI40" s="70">
        <v>36</v>
      </c>
      <c r="CJ40" s="70"/>
      <c r="CK40" s="70"/>
      <c r="CL40" s="70"/>
      <c r="CM40" s="70" t="s">
        <v>669</v>
      </c>
      <c r="CN40" s="70">
        <v>3000</v>
      </c>
      <c r="CO40" s="70" t="s">
        <v>670</v>
      </c>
      <c r="CP40" s="70">
        <v>40</v>
      </c>
      <c r="CQ40" s="70"/>
      <c r="CR40" s="70"/>
      <c r="CS40" s="70" t="s">
        <v>670</v>
      </c>
      <c r="CT40" s="70">
        <v>55</v>
      </c>
      <c r="CU40" s="70"/>
      <c r="CV40" s="70"/>
      <c r="CW40" s="70"/>
      <c r="CX40" s="70"/>
      <c r="CY40" s="70"/>
      <c r="CZ40" s="70"/>
      <c r="DA40" s="70"/>
      <c r="DB40" s="70"/>
      <c r="DC40" s="70"/>
      <c r="DD40" s="70"/>
    </row>
    <row r="41" spans="1:108" ht="16.5" x14ac:dyDescent="0.2">
      <c r="A41" s="18">
        <v>37</v>
      </c>
      <c r="B41" s="61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1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1">
        <v>10</v>
      </c>
      <c r="W41" s="39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1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70">
        <v>36</v>
      </c>
      <c r="BR41" s="70">
        <v>107</v>
      </c>
      <c r="BS41" s="70">
        <v>1606038</v>
      </c>
      <c r="BT41" s="70" t="s">
        <v>653</v>
      </c>
      <c r="BU41" s="70">
        <v>2</v>
      </c>
      <c r="BV41" s="70">
        <v>21</v>
      </c>
      <c r="BW41" s="70">
        <f>SUM(BV$5:BV41)</f>
        <v>708</v>
      </c>
      <c r="CF41" s="70">
        <v>37</v>
      </c>
      <c r="CG41" s="70">
        <v>1</v>
      </c>
      <c r="CH41" s="70" t="s">
        <v>460</v>
      </c>
      <c r="CI41" s="70">
        <v>37</v>
      </c>
      <c r="CJ41" s="70"/>
      <c r="CK41" s="70"/>
      <c r="CL41" s="70"/>
      <c r="CM41" s="70" t="s">
        <v>669</v>
      </c>
      <c r="CN41" s="70">
        <v>3000</v>
      </c>
      <c r="CO41" s="70" t="s">
        <v>670</v>
      </c>
      <c r="CP41" s="70">
        <v>40</v>
      </c>
      <c r="CQ41" s="70"/>
      <c r="CR41" s="70"/>
      <c r="CS41" s="70" t="s">
        <v>670</v>
      </c>
      <c r="CT41" s="70">
        <v>55</v>
      </c>
      <c r="CU41" s="70"/>
      <c r="CV41" s="70"/>
      <c r="CW41" s="70"/>
      <c r="CX41" s="70"/>
      <c r="CY41" s="70"/>
      <c r="CZ41" s="70"/>
      <c r="DA41" s="70"/>
      <c r="DB41" s="70"/>
      <c r="DC41" s="70"/>
      <c r="DD41" s="70"/>
    </row>
    <row r="42" spans="1:108" ht="16.5" x14ac:dyDescent="0.2">
      <c r="A42" s="18">
        <v>38</v>
      </c>
      <c r="B42" s="61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1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1">
        <v>10</v>
      </c>
      <c r="W42" s="39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1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70">
        <v>37</v>
      </c>
      <c r="BR42" s="70">
        <v>107</v>
      </c>
      <c r="BS42" s="70">
        <v>1606039</v>
      </c>
      <c r="BT42" s="70" t="s">
        <v>654</v>
      </c>
      <c r="BU42" s="70">
        <v>2</v>
      </c>
      <c r="BV42" s="70">
        <v>21</v>
      </c>
      <c r="BW42" s="70">
        <f>SUM(BV$5:BV42)</f>
        <v>729</v>
      </c>
      <c r="CF42" s="70">
        <v>38</v>
      </c>
      <c r="CG42" s="70">
        <v>1</v>
      </c>
      <c r="CH42" s="70" t="s">
        <v>460</v>
      </c>
      <c r="CI42" s="70">
        <v>38</v>
      </c>
      <c r="CJ42" s="70"/>
      <c r="CK42" s="70"/>
      <c r="CL42" s="70"/>
      <c r="CM42" s="70" t="s">
        <v>669</v>
      </c>
      <c r="CN42" s="70">
        <v>3000</v>
      </c>
      <c r="CO42" s="70" t="s">
        <v>670</v>
      </c>
      <c r="CP42" s="70">
        <v>40</v>
      </c>
      <c r="CQ42" s="70"/>
      <c r="CR42" s="70"/>
      <c r="CS42" s="70" t="s">
        <v>670</v>
      </c>
      <c r="CT42" s="70">
        <v>55</v>
      </c>
      <c r="CU42" s="70"/>
      <c r="CV42" s="70"/>
      <c r="CW42" s="70"/>
      <c r="CX42" s="70"/>
      <c r="CY42" s="70"/>
      <c r="CZ42" s="70"/>
      <c r="DA42" s="70"/>
      <c r="DB42" s="70"/>
      <c r="DC42" s="70"/>
      <c r="DD42" s="70"/>
    </row>
    <row r="43" spans="1:108" ht="16.5" x14ac:dyDescent="0.2">
      <c r="A43" s="18">
        <v>39</v>
      </c>
      <c r="B43" s="61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1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1">
        <v>10</v>
      </c>
      <c r="W43" s="39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1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70">
        <v>38</v>
      </c>
      <c r="BR43" s="70">
        <v>107</v>
      </c>
      <c r="BS43" s="70">
        <v>1606040</v>
      </c>
      <c r="BT43" s="70" t="s">
        <v>655</v>
      </c>
      <c r="BU43" s="70">
        <v>3</v>
      </c>
      <c r="BV43" s="70">
        <v>21</v>
      </c>
      <c r="BW43" s="70">
        <f>SUM(BV$5:BV43)</f>
        <v>750</v>
      </c>
      <c r="CF43" s="70">
        <v>39</v>
      </c>
      <c r="CG43" s="70">
        <v>1</v>
      </c>
      <c r="CH43" s="70" t="s">
        <v>460</v>
      </c>
      <c r="CI43" s="70">
        <v>39</v>
      </c>
      <c r="CJ43" s="70"/>
      <c r="CK43" s="70"/>
      <c r="CL43" s="70"/>
      <c r="CM43" s="70" t="s">
        <v>669</v>
      </c>
      <c r="CN43" s="70">
        <v>3000</v>
      </c>
      <c r="CO43" s="70" t="s">
        <v>670</v>
      </c>
      <c r="CP43" s="70">
        <v>40</v>
      </c>
      <c r="CQ43" s="70"/>
      <c r="CR43" s="70"/>
      <c r="CS43" s="70" t="s">
        <v>670</v>
      </c>
      <c r="CT43" s="70">
        <v>55</v>
      </c>
      <c r="CU43" s="70"/>
      <c r="CV43" s="70"/>
      <c r="CW43" s="70"/>
      <c r="CX43" s="70"/>
      <c r="CY43" s="70"/>
      <c r="CZ43" s="70"/>
      <c r="DA43" s="70"/>
      <c r="DB43" s="70"/>
      <c r="DC43" s="70"/>
      <c r="DD43" s="70"/>
    </row>
    <row r="44" spans="1:108" ht="16.5" x14ac:dyDescent="0.2">
      <c r="A44" s="18">
        <v>40</v>
      </c>
      <c r="B44" s="61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1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70">
        <v>39</v>
      </c>
      <c r="BR44" s="70">
        <v>107</v>
      </c>
      <c r="BS44" s="70">
        <v>1606041</v>
      </c>
      <c r="BT44" s="70" t="s">
        <v>656</v>
      </c>
      <c r="BU44" s="70">
        <v>3</v>
      </c>
      <c r="BV44" s="70">
        <v>21</v>
      </c>
      <c r="BW44" s="70">
        <f>SUM(BV$5:BV44)</f>
        <v>771</v>
      </c>
      <c r="CF44" s="70">
        <v>40</v>
      </c>
      <c r="CG44" s="70">
        <v>1</v>
      </c>
      <c r="CH44" s="70" t="s">
        <v>460</v>
      </c>
      <c r="CI44" s="70">
        <v>40</v>
      </c>
      <c r="CJ44" s="70"/>
      <c r="CK44" s="70"/>
      <c r="CL44" s="70"/>
      <c r="CM44" s="70" t="s">
        <v>669</v>
      </c>
      <c r="CN44" s="70">
        <v>3000</v>
      </c>
      <c r="CO44" s="70" t="s">
        <v>670</v>
      </c>
      <c r="CP44" s="70">
        <v>40</v>
      </c>
      <c r="CQ44" s="70" t="s">
        <v>496</v>
      </c>
      <c r="CR44" s="70">
        <v>2</v>
      </c>
      <c r="CS44" s="70" t="s">
        <v>670</v>
      </c>
      <c r="CT44" s="70">
        <v>60</v>
      </c>
      <c r="CU44" s="70"/>
      <c r="CV44" s="70"/>
      <c r="CW44" s="70"/>
      <c r="CX44" s="70"/>
      <c r="CY44" s="70"/>
      <c r="CZ44" s="70"/>
      <c r="DA44" s="70"/>
      <c r="DB44" s="70"/>
      <c r="DC44" s="70"/>
      <c r="DD44" s="70"/>
    </row>
    <row r="45" spans="1:108" ht="16.5" x14ac:dyDescent="0.2">
      <c r="A45" s="18">
        <v>41</v>
      </c>
      <c r="B45" s="61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1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1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70">
        <v>40</v>
      </c>
      <c r="BR45" s="70">
        <v>107</v>
      </c>
      <c r="BS45" s="70">
        <v>1606042</v>
      </c>
      <c r="BT45" s="70" t="s">
        <v>657</v>
      </c>
      <c r="BU45" s="70">
        <v>3</v>
      </c>
      <c r="BV45" s="70">
        <v>21</v>
      </c>
      <c r="BW45" s="70">
        <f>SUM(BV$5:BV45)</f>
        <v>792</v>
      </c>
      <c r="CF45" s="70">
        <v>41</v>
      </c>
      <c r="CG45" s="70">
        <v>1</v>
      </c>
      <c r="CH45" s="70" t="s">
        <v>460</v>
      </c>
      <c r="CI45" s="70">
        <v>41</v>
      </c>
      <c r="CJ45" s="70"/>
      <c r="CK45" s="70"/>
      <c r="CL45" s="70"/>
      <c r="CM45" s="70" t="s">
        <v>669</v>
      </c>
      <c r="CN45" s="70">
        <v>3000</v>
      </c>
      <c r="CO45" s="70" t="s">
        <v>670</v>
      </c>
      <c r="CP45" s="70">
        <v>45</v>
      </c>
      <c r="CQ45" s="70"/>
      <c r="CR45" s="70"/>
      <c r="CS45" s="70" t="s">
        <v>670</v>
      </c>
      <c r="CT45" s="70">
        <v>60</v>
      </c>
      <c r="CU45" s="70"/>
      <c r="CV45" s="70"/>
      <c r="CW45" s="70"/>
      <c r="CX45" s="70"/>
      <c r="CY45" s="70"/>
      <c r="CZ45" s="70"/>
      <c r="DA45" s="70"/>
      <c r="DB45" s="70"/>
      <c r="DC45" s="70"/>
      <c r="DD45" s="70"/>
    </row>
    <row r="46" spans="1:108" ht="16.5" x14ac:dyDescent="0.2">
      <c r="A46" s="18">
        <v>42</v>
      </c>
      <c r="B46" s="61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1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1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70">
        <v>41</v>
      </c>
      <c r="BR46" s="70">
        <v>107</v>
      </c>
      <c r="BS46" s="70">
        <v>1606043</v>
      </c>
      <c r="BT46" s="70" t="s">
        <v>658</v>
      </c>
      <c r="BU46" s="70">
        <v>4</v>
      </c>
      <c r="BV46" s="70">
        <v>21</v>
      </c>
      <c r="BW46" s="70">
        <f>SUM(BV$5:BV46)</f>
        <v>813</v>
      </c>
      <c r="CF46" s="70">
        <v>42</v>
      </c>
      <c r="CG46" s="70">
        <v>1</v>
      </c>
      <c r="CH46" s="70" t="s">
        <v>460</v>
      </c>
      <c r="CI46" s="70">
        <v>42</v>
      </c>
      <c r="CJ46" s="70"/>
      <c r="CK46" s="70"/>
      <c r="CL46" s="70"/>
      <c r="CM46" s="70" t="s">
        <v>669</v>
      </c>
      <c r="CN46" s="70">
        <v>3000</v>
      </c>
      <c r="CO46" s="70" t="s">
        <v>670</v>
      </c>
      <c r="CP46" s="70">
        <v>45</v>
      </c>
      <c r="CQ46" s="70"/>
      <c r="CR46" s="70"/>
      <c r="CS46" s="70" t="s">
        <v>670</v>
      </c>
      <c r="CT46" s="70">
        <v>60</v>
      </c>
      <c r="CU46" s="70"/>
      <c r="CV46" s="70"/>
      <c r="CW46" s="70"/>
      <c r="CX46" s="70"/>
      <c r="CY46" s="70"/>
      <c r="CZ46" s="70"/>
      <c r="DA46" s="70"/>
      <c r="DB46" s="70"/>
      <c r="DC46" s="70"/>
      <c r="DD46" s="70"/>
    </row>
    <row r="47" spans="1:108" ht="16.5" x14ac:dyDescent="0.2">
      <c r="A47" s="18">
        <v>43</v>
      </c>
      <c r="B47" s="61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1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1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70">
        <v>42</v>
      </c>
      <c r="BR47" s="70">
        <v>107</v>
      </c>
      <c r="BS47" s="70">
        <v>1606044</v>
      </c>
      <c r="BT47" s="70" t="s">
        <v>659</v>
      </c>
      <c r="BU47" s="70">
        <v>4</v>
      </c>
      <c r="BV47" s="70">
        <v>21</v>
      </c>
      <c r="BW47" s="70">
        <f>SUM(BV$5:BV47)</f>
        <v>834</v>
      </c>
      <c r="CF47" s="70">
        <v>43</v>
      </c>
      <c r="CG47" s="70">
        <v>1</v>
      </c>
      <c r="CH47" s="70" t="s">
        <v>460</v>
      </c>
      <c r="CI47" s="70">
        <v>43</v>
      </c>
      <c r="CJ47" s="70"/>
      <c r="CK47" s="70"/>
      <c r="CL47" s="70"/>
      <c r="CM47" s="70" t="s">
        <v>669</v>
      </c>
      <c r="CN47" s="70">
        <v>3000</v>
      </c>
      <c r="CO47" s="70" t="s">
        <v>670</v>
      </c>
      <c r="CP47" s="70">
        <v>45</v>
      </c>
      <c r="CQ47" s="70"/>
      <c r="CR47" s="70"/>
      <c r="CS47" s="70" t="s">
        <v>670</v>
      </c>
      <c r="CT47" s="70">
        <v>60</v>
      </c>
      <c r="CU47" s="70"/>
      <c r="CV47" s="70"/>
      <c r="CW47" s="70"/>
      <c r="CX47" s="70"/>
      <c r="CY47" s="70"/>
      <c r="CZ47" s="70"/>
      <c r="DA47" s="70"/>
      <c r="DB47" s="70"/>
      <c r="DC47" s="70"/>
      <c r="DD47" s="70"/>
    </row>
    <row r="48" spans="1:108" ht="16.5" x14ac:dyDescent="0.2">
      <c r="A48" s="18">
        <v>44</v>
      </c>
      <c r="B48" s="61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1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1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70">
        <v>44</v>
      </c>
      <c r="CG48" s="70">
        <v>1</v>
      </c>
      <c r="CH48" s="70" t="s">
        <v>460</v>
      </c>
      <c r="CI48" s="70">
        <v>44</v>
      </c>
      <c r="CJ48" s="70"/>
      <c r="CK48" s="70"/>
      <c r="CL48" s="70"/>
      <c r="CM48" s="70" t="s">
        <v>669</v>
      </c>
      <c r="CN48" s="70">
        <v>3000</v>
      </c>
      <c r="CO48" s="70" t="s">
        <v>670</v>
      </c>
      <c r="CP48" s="70">
        <v>45</v>
      </c>
      <c r="CQ48" s="70"/>
      <c r="CR48" s="70"/>
      <c r="CS48" s="70" t="s">
        <v>670</v>
      </c>
      <c r="CT48" s="70">
        <v>60</v>
      </c>
      <c r="CU48" s="70"/>
      <c r="CV48" s="70"/>
      <c r="CW48" s="70"/>
      <c r="CX48" s="70"/>
      <c r="CY48" s="70"/>
      <c r="CZ48" s="70"/>
      <c r="DA48" s="70"/>
      <c r="DB48" s="70"/>
      <c r="DC48" s="70"/>
      <c r="DD48" s="70"/>
    </row>
    <row r="49" spans="1:108" ht="16.5" x14ac:dyDescent="0.2">
      <c r="A49" s="18">
        <v>45</v>
      </c>
      <c r="B49" s="61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1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1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70">
        <v>45</v>
      </c>
      <c r="CG49" s="70">
        <v>1</v>
      </c>
      <c r="CH49" s="70" t="s">
        <v>460</v>
      </c>
      <c r="CI49" s="70">
        <v>45</v>
      </c>
      <c r="CJ49" s="70"/>
      <c r="CK49" s="70"/>
      <c r="CL49" s="70"/>
      <c r="CM49" s="70" t="s">
        <v>669</v>
      </c>
      <c r="CN49" s="70">
        <v>3000</v>
      </c>
      <c r="CO49" s="70" t="s">
        <v>670</v>
      </c>
      <c r="CP49" s="70">
        <v>45</v>
      </c>
      <c r="CQ49" s="70" t="s">
        <v>671</v>
      </c>
      <c r="CR49" s="70">
        <v>2</v>
      </c>
      <c r="CS49" s="70" t="s">
        <v>670</v>
      </c>
      <c r="CT49" s="70">
        <v>65</v>
      </c>
      <c r="CU49" s="70"/>
      <c r="CV49" s="70"/>
      <c r="CW49" s="70"/>
      <c r="CX49" s="70"/>
      <c r="CY49" s="70"/>
      <c r="CZ49" s="70"/>
      <c r="DA49" s="70"/>
      <c r="DB49" s="70"/>
      <c r="DC49" s="70"/>
      <c r="DD49" s="70"/>
    </row>
    <row r="50" spans="1:108" ht="16.5" x14ac:dyDescent="0.2">
      <c r="A50" s="18">
        <v>46</v>
      </c>
      <c r="B50" s="61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1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1">
        <v>11</v>
      </c>
      <c r="W50" s="39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1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70">
        <v>46</v>
      </c>
      <c r="CG50" s="70">
        <v>1</v>
      </c>
      <c r="CH50" s="70" t="s">
        <v>460</v>
      </c>
      <c r="CI50" s="70">
        <v>46</v>
      </c>
      <c r="CJ50" s="70"/>
      <c r="CK50" s="70"/>
      <c r="CL50" s="70"/>
      <c r="CM50" s="70" t="s">
        <v>669</v>
      </c>
      <c r="CN50" s="70">
        <v>3000</v>
      </c>
      <c r="CO50" s="70" t="s">
        <v>670</v>
      </c>
      <c r="CP50" s="70">
        <v>50</v>
      </c>
      <c r="CQ50" s="70"/>
      <c r="CR50" s="70"/>
      <c r="CS50" s="70" t="s">
        <v>670</v>
      </c>
      <c r="CT50" s="70">
        <v>65</v>
      </c>
      <c r="CU50" s="70"/>
      <c r="CV50" s="70"/>
      <c r="CW50" s="70"/>
      <c r="CX50" s="70"/>
      <c r="CY50" s="70"/>
      <c r="CZ50" s="70"/>
      <c r="DA50" s="70"/>
      <c r="DB50" s="70"/>
      <c r="DC50" s="70"/>
      <c r="DD50" s="70"/>
    </row>
    <row r="51" spans="1:108" ht="16.5" x14ac:dyDescent="0.2">
      <c r="A51" s="18">
        <v>47</v>
      </c>
      <c r="B51" s="61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1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1">
        <v>11</v>
      </c>
      <c r="W51" s="39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1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70">
        <v>47</v>
      </c>
      <c r="CG51" s="70">
        <v>1</v>
      </c>
      <c r="CH51" s="70" t="s">
        <v>460</v>
      </c>
      <c r="CI51" s="70">
        <v>47</v>
      </c>
      <c r="CJ51" s="70"/>
      <c r="CK51" s="70"/>
      <c r="CL51" s="70"/>
      <c r="CM51" s="70" t="s">
        <v>669</v>
      </c>
      <c r="CN51" s="70">
        <v>3000</v>
      </c>
      <c r="CO51" s="70" t="s">
        <v>670</v>
      </c>
      <c r="CP51" s="70">
        <v>50</v>
      </c>
      <c r="CQ51" s="70"/>
      <c r="CR51" s="70"/>
      <c r="CS51" s="70" t="s">
        <v>670</v>
      </c>
      <c r="CT51" s="70">
        <v>65</v>
      </c>
      <c r="CU51" s="70"/>
      <c r="CV51" s="70"/>
      <c r="CW51" s="70"/>
      <c r="CX51" s="70"/>
      <c r="CY51" s="70"/>
      <c r="CZ51" s="70"/>
      <c r="DA51" s="70"/>
      <c r="DB51" s="70"/>
      <c r="DC51" s="70"/>
      <c r="DD51" s="70"/>
    </row>
    <row r="52" spans="1:108" ht="16.5" x14ac:dyDescent="0.2">
      <c r="A52" s="18">
        <v>48</v>
      </c>
      <c r="B52" s="61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1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1">
        <v>11</v>
      </c>
      <c r="W52" s="39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1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70">
        <v>48</v>
      </c>
      <c r="CG52" s="70">
        <v>1</v>
      </c>
      <c r="CH52" s="70" t="s">
        <v>460</v>
      </c>
      <c r="CI52" s="70">
        <v>48</v>
      </c>
      <c r="CJ52" s="70"/>
      <c r="CK52" s="70"/>
      <c r="CL52" s="70"/>
      <c r="CM52" s="70" t="s">
        <v>669</v>
      </c>
      <c r="CN52" s="70">
        <v>3000</v>
      </c>
      <c r="CO52" s="70" t="s">
        <v>670</v>
      </c>
      <c r="CP52" s="70">
        <v>50</v>
      </c>
      <c r="CQ52" s="70"/>
      <c r="CR52" s="70"/>
      <c r="CS52" s="70" t="s">
        <v>670</v>
      </c>
      <c r="CT52" s="70">
        <v>65</v>
      </c>
      <c r="CU52" s="70"/>
      <c r="CV52" s="70"/>
      <c r="CW52" s="70"/>
      <c r="CX52" s="70"/>
      <c r="CY52" s="70"/>
      <c r="CZ52" s="70"/>
      <c r="DA52" s="70"/>
      <c r="DB52" s="70"/>
      <c r="DC52" s="70"/>
      <c r="DD52" s="70"/>
    </row>
    <row r="53" spans="1:108" ht="16.5" x14ac:dyDescent="0.2">
      <c r="A53" s="18">
        <v>49</v>
      </c>
      <c r="B53" s="61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1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1">
        <v>11</v>
      </c>
      <c r="W53" s="39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1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70">
        <v>49</v>
      </c>
      <c r="CG53" s="70">
        <v>1</v>
      </c>
      <c r="CH53" s="70" t="s">
        <v>460</v>
      </c>
      <c r="CI53" s="70">
        <v>49</v>
      </c>
      <c r="CJ53" s="70"/>
      <c r="CK53" s="70"/>
      <c r="CL53" s="70"/>
      <c r="CM53" s="70" t="s">
        <v>669</v>
      </c>
      <c r="CN53" s="70">
        <v>3000</v>
      </c>
      <c r="CO53" s="70" t="s">
        <v>670</v>
      </c>
      <c r="CP53" s="70">
        <v>50</v>
      </c>
      <c r="CQ53" s="70"/>
      <c r="CR53" s="70"/>
      <c r="CS53" s="70" t="s">
        <v>670</v>
      </c>
      <c r="CT53" s="70">
        <v>65</v>
      </c>
      <c r="CU53" s="70"/>
      <c r="CV53" s="70"/>
      <c r="CW53" s="70"/>
      <c r="CX53" s="70"/>
      <c r="CY53" s="70"/>
      <c r="CZ53" s="70"/>
      <c r="DA53" s="70"/>
      <c r="DB53" s="70"/>
      <c r="DC53" s="70"/>
      <c r="DD53" s="70"/>
    </row>
    <row r="54" spans="1:108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1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1">
        <v>11</v>
      </c>
      <c r="W54" s="39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1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70">
        <v>50</v>
      </c>
      <c r="CG54" s="70">
        <v>1</v>
      </c>
      <c r="CH54" s="70" t="s">
        <v>460</v>
      </c>
      <c r="CI54" s="70">
        <v>50</v>
      </c>
      <c r="CJ54" s="70"/>
      <c r="CK54" s="70"/>
      <c r="CL54" s="70"/>
      <c r="CM54" s="70" t="s">
        <v>669</v>
      </c>
      <c r="CN54" s="70">
        <v>3600</v>
      </c>
      <c r="CO54" s="70" t="s">
        <v>670</v>
      </c>
      <c r="CP54" s="70">
        <v>50</v>
      </c>
      <c r="CQ54" s="70" t="s">
        <v>496</v>
      </c>
      <c r="CR54" s="70">
        <v>2</v>
      </c>
      <c r="CS54" s="70" t="s">
        <v>670</v>
      </c>
      <c r="CT54" s="70">
        <v>70</v>
      </c>
      <c r="CU54" s="70"/>
      <c r="CV54" s="70"/>
      <c r="CW54" s="70"/>
      <c r="CX54" s="70"/>
      <c r="CY54" s="70"/>
      <c r="CZ54" s="70"/>
      <c r="DA54" s="70"/>
      <c r="DB54" s="70"/>
      <c r="DC54" s="70"/>
      <c r="DD54" s="70"/>
    </row>
    <row r="55" spans="1:108" ht="16.5" x14ac:dyDescent="0.2">
      <c r="A55" s="18">
        <v>51</v>
      </c>
      <c r="B55" s="61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1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1">
        <v>11</v>
      </c>
      <c r="W55" s="39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1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70">
        <v>51</v>
      </c>
      <c r="CG55" s="70">
        <v>1</v>
      </c>
      <c r="CH55" s="70" t="s">
        <v>460</v>
      </c>
      <c r="CI55" s="70">
        <v>51</v>
      </c>
      <c r="CJ55" s="70"/>
      <c r="CK55" s="70"/>
      <c r="CL55" s="70"/>
      <c r="CM55" s="70" t="s">
        <v>669</v>
      </c>
      <c r="CN55" s="70">
        <v>3600</v>
      </c>
      <c r="CO55" s="70" t="s">
        <v>670</v>
      </c>
      <c r="CP55" s="70">
        <v>55</v>
      </c>
      <c r="CQ55" s="70"/>
      <c r="CR55" s="70"/>
      <c r="CS55" s="70" t="s">
        <v>670</v>
      </c>
      <c r="CT55" s="70">
        <v>70</v>
      </c>
      <c r="CU55" s="70"/>
      <c r="CV55" s="70"/>
      <c r="CW55" s="70"/>
      <c r="CX55" s="70"/>
      <c r="CY55" s="70"/>
      <c r="CZ55" s="70"/>
      <c r="DA55" s="70"/>
      <c r="DB55" s="70"/>
      <c r="DC55" s="70"/>
      <c r="DD55" s="70"/>
    </row>
    <row r="56" spans="1:108" ht="16.5" x14ac:dyDescent="0.2">
      <c r="A56" s="18">
        <v>52</v>
      </c>
      <c r="B56" s="61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1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1">
        <v>11</v>
      </c>
      <c r="W56" s="39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1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70">
        <v>52</v>
      </c>
      <c r="CG56" s="70">
        <v>1</v>
      </c>
      <c r="CH56" s="70" t="s">
        <v>460</v>
      </c>
      <c r="CI56" s="70">
        <v>52</v>
      </c>
      <c r="CJ56" s="70"/>
      <c r="CK56" s="70"/>
      <c r="CL56" s="70"/>
      <c r="CM56" s="70" t="s">
        <v>669</v>
      </c>
      <c r="CN56" s="70">
        <v>3600</v>
      </c>
      <c r="CO56" s="70" t="s">
        <v>670</v>
      </c>
      <c r="CP56" s="70">
        <v>55</v>
      </c>
      <c r="CQ56" s="70"/>
      <c r="CR56" s="70"/>
      <c r="CS56" s="70" t="s">
        <v>670</v>
      </c>
      <c r="CT56" s="70">
        <v>70</v>
      </c>
      <c r="CU56" s="70"/>
      <c r="CV56" s="70"/>
      <c r="CW56" s="70"/>
      <c r="CX56" s="70"/>
      <c r="CY56" s="70"/>
      <c r="CZ56" s="70"/>
      <c r="DA56" s="70"/>
      <c r="DB56" s="70"/>
      <c r="DC56" s="70"/>
      <c r="DD56" s="70"/>
    </row>
    <row r="57" spans="1:108" ht="16.5" x14ac:dyDescent="0.2">
      <c r="A57" s="18">
        <v>53</v>
      </c>
      <c r="B57" s="61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1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1">
        <v>11</v>
      </c>
      <c r="W57" s="39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1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70">
        <v>53</v>
      </c>
      <c r="CG57" s="70">
        <v>1</v>
      </c>
      <c r="CH57" s="70" t="s">
        <v>460</v>
      </c>
      <c r="CI57" s="70">
        <v>53</v>
      </c>
      <c r="CJ57" s="70"/>
      <c r="CK57" s="70"/>
      <c r="CL57" s="70"/>
      <c r="CM57" s="70" t="s">
        <v>669</v>
      </c>
      <c r="CN57" s="70">
        <v>3600</v>
      </c>
      <c r="CO57" s="70" t="s">
        <v>670</v>
      </c>
      <c r="CP57" s="70">
        <v>55</v>
      </c>
      <c r="CQ57" s="70"/>
      <c r="CR57" s="70"/>
      <c r="CS57" s="70" t="s">
        <v>670</v>
      </c>
      <c r="CT57" s="70">
        <v>70</v>
      </c>
      <c r="CU57" s="70"/>
      <c r="CV57" s="70"/>
      <c r="CW57" s="70"/>
      <c r="CX57" s="70"/>
      <c r="CY57" s="70"/>
      <c r="CZ57" s="70"/>
      <c r="DA57" s="70"/>
      <c r="DB57" s="70"/>
      <c r="DC57" s="70"/>
      <c r="DD57" s="70"/>
    </row>
    <row r="58" spans="1:108" ht="16.5" x14ac:dyDescent="0.2">
      <c r="A58" s="18">
        <v>54</v>
      </c>
      <c r="B58" s="61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1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1">
        <v>11</v>
      </c>
      <c r="W58" s="39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1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70">
        <v>54</v>
      </c>
      <c r="CG58" s="70">
        <v>1</v>
      </c>
      <c r="CH58" s="70" t="s">
        <v>460</v>
      </c>
      <c r="CI58" s="70">
        <v>54</v>
      </c>
      <c r="CJ58" s="70"/>
      <c r="CK58" s="70"/>
      <c r="CL58" s="70"/>
      <c r="CM58" s="70" t="s">
        <v>669</v>
      </c>
      <c r="CN58" s="70">
        <v>3600</v>
      </c>
      <c r="CO58" s="70" t="s">
        <v>670</v>
      </c>
      <c r="CP58" s="70">
        <v>55</v>
      </c>
      <c r="CQ58" s="70"/>
      <c r="CR58" s="70"/>
      <c r="CS58" s="70" t="s">
        <v>670</v>
      </c>
      <c r="CT58" s="70">
        <v>70</v>
      </c>
      <c r="CU58" s="70"/>
      <c r="CV58" s="70"/>
      <c r="CW58" s="70"/>
      <c r="CX58" s="70"/>
      <c r="CY58" s="70"/>
      <c r="CZ58" s="70"/>
      <c r="DA58" s="70"/>
      <c r="DB58" s="70"/>
      <c r="DC58" s="70"/>
      <c r="DD58" s="70"/>
    </row>
    <row r="59" spans="1:108" ht="16.5" x14ac:dyDescent="0.2">
      <c r="A59" s="18">
        <v>55</v>
      </c>
      <c r="B59" s="61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1">
        <v>11</v>
      </c>
      <c r="W59" s="39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1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70">
        <v>55</v>
      </c>
      <c r="CG59" s="70">
        <v>1</v>
      </c>
      <c r="CH59" s="70" t="s">
        <v>460</v>
      </c>
      <c r="CI59" s="70">
        <v>55</v>
      </c>
      <c r="CJ59" s="70"/>
      <c r="CK59" s="70"/>
      <c r="CL59" s="70"/>
      <c r="CM59" s="70" t="s">
        <v>669</v>
      </c>
      <c r="CN59" s="70">
        <v>3600</v>
      </c>
      <c r="CO59" s="70" t="s">
        <v>670</v>
      </c>
      <c r="CP59" s="70">
        <v>55</v>
      </c>
      <c r="CQ59" s="70" t="s">
        <v>671</v>
      </c>
      <c r="CR59" s="70">
        <v>2</v>
      </c>
      <c r="CS59" s="70" t="s">
        <v>670</v>
      </c>
      <c r="CT59" s="70">
        <v>75</v>
      </c>
      <c r="CU59" s="70"/>
      <c r="CV59" s="70"/>
      <c r="CW59" s="70"/>
      <c r="CX59" s="70"/>
      <c r="CY59" s="70"/>
      <c r="CZ59" s="70"/>
      <c r="DA59" s="70"/>
      <c r="DB59" s="70"/>
      <c r="DC59" s="70"/>
      <c r="DD59" s="70"/>
    </row>
    <row r="60" spans="1:108" ht="16.5" x14ac:dyDescent="0.2">
      <c r="A60" s="18">
        <v>56</v>
      </c>
      <c r="B60" s="61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1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1">
        <v>11</v>
      </c>
      <c r="W60" s="39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1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70">
        <v>56</v>
      </c>
      <c r="CG60" s="70">
        <v>1</v>
      </c>
      <c r="CH60" s="70" t="s">
        <v>460</v>
      </c>
      <c r="CI60" s="70">
        <v>56</v>
      </c>
      <c r="CJ60" s="70"/>
      <c r="CK60" s="70"/>
      <c r="CL60" s="70"/>
      <c r="CM60" s="70" t="s">
        <v>669</v>
      </c>
      <c r="CN60" s="70">
        <v>3600</v>
      </c>
      <c r="CO60" s="70" t="s">
        <v>670</v>
      </c>
      <c r="CP60" s="70">
        <v>60</v>
      </c>
      <c r="CQ60" s="70"/>
      <c r="CR60" s="70"/>
      <c r="CS60" s="70" t="s">
        <v>670</v>
      </c>
      <c r="CT60" s="70">
        <v>75</v>
      </c>
      <c r="CU60" s="70"/>
      <c r="CV60" s="70"/>
      <c r="CW60" s="70"/>
      <c r="CX60" s="70"/>
      <c r="CY60" s="70"/>
      <c r="CZ60" s="70"/>
      <c r="DA60" s="70"/>
      <c r="DB60" s="70"/>
      <c r="DC60" s="70"/>
      <c r="DD60" s="70"/>
    </row>
    <row r="61" spans="1:108" ht="16.5" x14ac:dyDescent="0.2">
      <c r="A61" s="18">
        <v>57</v>
      </c>
      <c r="B61" s="61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1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1">
        <v>11</v>
      </c>
      <c r="W61" s="39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1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70">
        <v>57</v>
      </c>
      <c r="CG61" s="70">
        <v>1</v>
      </c>
      <c r="CH61" s="70" t="s">
        <v>460</v>
      </c>
      <c r="CI61" s="70">
        <v>57</v>
      </c>
      <c r="CJ61" s="70"/>
      <c r="CK61" s="70"/>
      <c r="CL61" s="70"/>
      <c r="CM61" s="70" t="s">
        <v>669</v>
      </c>
      <c r="CN61" s="70">
        <v>3600</v>
      </c>
      <c r="CO61" s="70" t="s">
        <v>670</v>
      </c>
      <c r="CP61" s="70">
        <v>60</v>
      </c>
      <c r="CQ61" s="70"/>
      <c r="CR61" s="70"/>
      <c r="CS61" s="70" t="s">
        <v>670</v>
      </c>
      <c r="CT61" s="70">
        <v>75</v>
      </c>
      <c r="CU61" s="70"/>
      <c r="CV61" s="70"/>
      <c r="CW61" s="70"/>
      <c r="CX61" s="70"/>
      <c r="CY61" s="70"/>
      <c r="CZ61" s="70"/>
      <c r="DA61" s="70"/>
      <c r="DB61" s="70"/>
      <c r="DC61" s="70"/>
      <c r="DD61" s="70"/>
    </row>
    <row r="62" spans="1:108" ht="16.5" x14ac:dyDescent="0.2">
      <c r="A62" s="18">
        <v>58</v>
      </c>
      <c r="B62" s="61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1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1">
        <v>11</v>
      </c>
      <c r="W62" s="39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1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70">
        <v>58</v>
      </c>
      <c r="CG62" s="70">
        <v>1</v>
      </c>
      <c r="CH62" s="70" t="s">
        <v>460</v>
      </c>
      <c r="CI62" s="70">
        <v>58</v>
      </c>
      <c r="CJ62" s="70"/>
      <c r="CK62" s="70"/>
      <c r="CL62" s="70"/>
      <c r="CM62" s="70" t="s">
        <v>669</v>
      </c>
      <c r="CN62" s="70">
        <v>3600</v>
      </c>
      <c r="CO62" s="70" t="s">
        <v>670</v>
      </c>
      <c r="CP62" s="70">
        <v>60</v>
      </c>
      <c r="CQ62" s="70"/>
      <c r="CR62" s="70"/>
      <c r="CS62" s="70" t="s">
        <v>670</v>
      </c>
      <c r="CT62" s="70">
        <v>75</v>
      </c>
      <c r="CU62" s="70"/>
      <c r="CV62" s="70"/>
      <c r="CW62" s="70"/>
      <c r="CX62" s="70"/>
      <c r="CY62" s="70"/>
      <c r="CZ62" s="70"/>
      <c r="DA62" s="70"/>
      <c r="DB62" s="70"/>
      <c r="DC62" s="70"/>
      <c r="DD62" s="70"/>
    </row>
    <row r="63" spans="1:108" ht="16.5" x14ac:dyDescent="0.2">
      <c r="A63" s="18">
        <v>59</v>
      </c>
      <c r="B63" s="61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1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1">
        <v>11</v>
      </c>
      <c r="W63" s="39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1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70">
        <v>59</v>
      </c>
      <c r="CG63" s="70">
        <v>1</v>
      </c>
      <c r="CH63" s="70" t="s">
        <v>460</v>
      </c>
      <c r="CI63" s="70">
        <v>59</v>
      </c>
      <c r="CJ63" s="70"/>
      <c r="CK63" s="70"/>
      <c r="CL63" s="70"/>
      <c r="CM63" s="70" t="s">
        <v>669</v>
      </c>
      <c r="CN63" s="70">
        <v>3600</v>
      </c>
      <c r="CO63" s="70" t="s">
        <v>670</v>
      </c>
      <c r="CP63" s="70">
        <v>60</v>
      </c>
      <c r="CQ63" s="70"/>
      <c r="CR63" s="70"/>
      <c r="CS63" s="70" t="s">
        <v>670</v>
      </c>
      <c r="CT63" s="70">
        <v>75</v>
      </c>
      <c r="CU63" s="70"/>
      <c r="CV63" s="70"/>
      <c r="CW63" s="70"/>
      <c r="CX63" s="70"/>
      <c r="CY63" s="70"/>
      <c r="CZ63" s="70"/>
      <c r="DA63" s="70"/>
      <c r="DB63" s="70"/>
      <c r="DC63" s="70"/>
      <c r="DD63" s="70"/>
    </row>
    <row r="64" spans="1:108" ht="16.5" x14ac:dyDescent="0.2">
      <c r="A64" s="18">
        <v>60</v>
      </c>
      <c r="B64" s="61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1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1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70">
        <v>60</v>
      </c>
      <c r="CG64" s="70">
        <v>1</v>
      </c>
      <c r="CH64" s="70" t="s">
        <v>460</v>
      </c>
      <c r="CI64" s="70">
        <v>60</v>
      </c>
      <c r="CJ64" s="70"/>
      <c r="CK64" s="70"/>
      <c r="CL64" s="70"/>
      <c r="CM64" s="70" t="s">
        <v>669</v>
      </c>
      <c r="CN64" s="70">
        <v>3600</v>
      </c>
      <c r="CO64" s="70" t="s">
        <v>670</v>
      </c>
      <c r="CP64" s="70">
        <v>60</v>
      </c>
      <c r="CQ64" s="70" t="s">
        <v>496</v>
      </c>
      <c r="CR64" s="70">
        <v>2</v>
      </c>
      <c r="CS64" s="70" t="s">
        <v>670</v>
      </c>
      <c r="CT64" s="70">
        <v>80</v>
      </c>
      <c r="CU64" s="70"/>
      <c r="CV64" s="70"/>
      <c r="CW64" s="70"/>
      <c r="CX64" s="70"/>
      <c r="CY64" s="70"/>
      <c r="CZ64" s="70"/>
      <c r="DA64" s="70"/>
      <c r="DB64" s="70"/>
      <c r="DC64" s="70"/>
      <c r="DD64" s="70"/>
    </row>
    <row r="65" spans="1:108" ht="16.5" x14ac:dyDescent="0.2">
      <c r="A65" s="18">
        <v>61</v>
      </c>
      <c r="B65" s="61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1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1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70">
        <v>61</v>
      </c>
      <c r="CG65" s="70">
        <v>1</v>
      </c>
      <c r="CH65" s="70" t="s">
        <v>460</v>
      </c>
      <c r="CI65" s="70">
        <v>61</v>
      </c>
      <c r="CJ65" s="70"/>
      <c r="CK65" s="70"/>
      <c r="CL65" s="70"/>
      <c r="CM65" s="70" t="s">
        <v>669</v>
      </c>
      <c r="CN65" s="70">
        <v>3600</v>
      </c>
      <c r="CO65" s="70" t="s">
        <v>670</v>
      </c>
      <c r="CP65" s="70">
        <v>65</v>
      </c>
      <c r="CQ65" s="70"/>
      <c r="CR65" s="70"/>
      <c r="CS65" s="70" t="s">
        <v>670</v>
      </c>
      <c r="CT65" s="70">
        <v>80</v>
      </c>
      <c r="CU65" s="70"/>
      <c r="CV65" s="70"/>
      <c r="CW65" s="70"/>
      <c r="CX65" s="70"/>
      <c r="CY65" s="70"/>
      <c r="CZ65" s="70"/>
      <c r="DA65" s="70"/>
      <c r="DB65" s="70"/>
      <c r="DC65" s="70"/>
      <c r="DD65" s="70"/>
    </row>
    <row r="66" spans="1:108" ht="16.5" x14ac:dyDescent="0.2">
      <c r="A66" s="18">
        <v>62</v>
      </c>
      <c r="B66" s="61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1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1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70">
        <v>62</v>
      </c>
      <c r="CG66" s="70">
        <v>1</v>
      </c>
      <c r="CH66" s="70" t="s">
        <v>460</v>
      </c>
      <c r="CI66" s="70">
        <v>62</v>
      </c>
      <c r="CJ66" s="70"/>
      <c r="CK66" s="70"/>
      <c r="CL66" s="70"/>
      <c r="CM66" s="70" t="s">
        <v>669</v>
      </c>
      <c r="CN66" s="70">
        <v>3600</v>
      </c>
      <c r="CO66" s="70" t="s">
        <v>670</v>
      </c>
      <c r="CP66" s="70">
        <v>65</v>
      </c>
      <c r="CQ66" s="70"/>
      <c r="CR66" s="70"/>
      <c r="CS66" s="70" t="s">
        <v>670</v>
      </c>
      <c r="CT66" s="70">
        <v>80</v>
      </c>
      <c r="CU66" s="70"/>
      <c r="CV66" s="70"/>
      <c r="CW66" s="70"/>
      <c r="CX66" s="70"/>
      <c r="CY66" s="70"/>
      <c r="CZ66" s="70"/>
      <c r="DA66" s="70"/>
      <c r="DB66" s="70"/>
      <c r="DC66" s="70"/>
      <c r="DD66" s="70"/>
    </row>
    <row r="67" spans="1:108" ht="16.5" x14ac:dyDescent="0.2">
      <c r="A67" s="18">
        <v>63</v>
      </c>
      <c r="B67" s="61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1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1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70">
        <v>63</v>
      </c>
      <c r="CG67" s="70">
        <v>1</v>
      </c>
      <c r="CH67" s="70" t="s">
        <v>460</v>
      </c>
      <c r="CI67" s="70">
        <v>63</v>
      </c>
      <c r="CJ67" s="70"/>
      <c r="CK67" s="70"/>
      <c r="CL67" s="70"/>
      <c r="CM67" s="70" t="s">
        <v>669</v>
      </c>
      <c r="CN67" s="70">
        <v>3600</v>
      </c>
      <c r="CO67" s="70" t="s">
        <v>670</v>
      </c>
      <c r="CP67" s="70">
        <v>65</v>
      </c>
      <c r="CQ67" s="70"/>
      <c r="CR67" s="70"/>
      <c r="CS67" s="70" t="s">
        <v>670</v>
      </c>
      <c r="CT67" s="70">
        <v>80</v>
      </c>
      <c r="CU67" s="70"/>
      <c r="CV67" s="70"/>
      <c r="CW67" s="70"/>
      <c r="CX67" s="70"/>
      <c r="CY67" s="70"/>
      <c r="CZ67" s="70"/>
      <c r="DA67" s="70"/>
      <c r="DB67" s="70"/>
      <c r="DC67" s="70"/>
      <c r="DD67" s="70"/>
    </row>
    <row r="68" spans="1:108" ht="16.5" x14ac:dyDescent="0.2">
      <c r="A68" s="18">
        <v>64</v>
      </c>
      <c r="B68" s="61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1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1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70">
        <v>64</v>
      </c>
      <c r="CG68" s="70">
        <v>1</v>
      </c>
      <c r="CH68" s="70" t="s">
        <v>460</v>
      </c>
      <c r="CI68" s="70">
        <v>64</v>
      </c>
      <c r="CJ68" s="70"/>
      <c r="CK68" s="70"/>
      <c r="CL68" s="70"/>
      <c r="CM68" s="70" t="s">
        <v>669</v>
      </c>
      <c r="CN68" s="70">
        <v>3600</v>
      </c>
      <c r="CO68" s="70" t="s">
        <v>670</v>
      </c>
      <c r="CP68" s="70">
        <v>65</v>
      </c>
      <c r="CQ68" s="70"/>
      <c r="CR68" s="70"/>
      <c r="CS68" s="70" t="s">
        <v>670</v>
      </c>
      <c r="CT68" s="70">
        <v>80</v>
      </c>
      <c r="CU68" s="70"/>
      <c r="CV68" s="70"/>
      <c r="CW68" s="70"/>
      <c r="CX68" s="70"/>
      <c r="CY68" s="70"/>
      <c r="CZ68" s="70"/>
      <c r="DA68" s="70"/>
      <c r="DB68" s="70"/>
      <c r="DC68" s="70"/>
      <c r="DD68" s="70"/>
    </row>
    <row r="69" spans="1:108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1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1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70">
        <v>65</v>
      </c>
      <c r="CG69" s="70">
        <v>1</v>
      </c>
      <c r="CH69" s="70" t="s">
        <v>460</v>
      </c>
      <c r="CI69" s="70">
        <v>65</v>
      </c>
      <c r="CJ69" s="70"/>
      <c r="CK69" s="70"/>
      <c r="CL69" s="70"/>
      <c r="CM69" s="70" t="s">
        <v>669</v>
      </c>
      <c r="CN69" s="70">
        <v>4320</v>
      </c>
      <c r="CO69" s="70" t="s">
        <v>670</v>
      </c>
      <c r="CP69" s="70">
        <v>65</v>
      </c>
      <c r="CQ69" s="70" t="s">
        <v>671</v>
      </c>
      <c r="CR69" s="70">
        <v>2</v>
      </c>
      <c r="CS69" s="70" t="s">
        <v>670</v>
      </c>
      <c r="CT69" s="70">
        <v>85</v>
      </c>
      <c r="CU69" s="70"/>
      <c r="CV69" s="70"/>
      <c r="CW69" s="70"/>
      <c r="CX69" s="70"/>
      <c r="CY69" s="70"/>
      <c r="CZ69" s="70"/>
      <c r="DA69" s="70"/>
      <c r="DB69" s="70"/>
      <c r="DC69" s="70"/>
      <c r="DD69" s="70"/>
    </row>
    <row r="70" spans="1:108" ht="16.5" x14ac:dyDescent="0.2">
      <c r="A70" s="18">
        <v>66</v>
      </c>
      <c r="B70" s="61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1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1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70">
        <v>66</v>
      </c>
      <c r="CG70" s="70">
        <v>1</v>
      </c>
      <c r="CH70" s="70" t="s">
        <v>460</v>
      </c>
      <c r="CI70" s="70">
        <v>66</v>
      </c>
      <c r="CJ70" s="70"/>
      <c r="CK70" s="70"/>
      <c r="CL70" s="70"/>
      <c r="CM70" s="70" t="s">
        <v>669</v>
      </c>
      <c r="CN70" s="70">
        <v>4320</v>
      </c>
      <c r="CO70" s="70" t="s">
        <v>670</v>
      </c>
      <c r="CP70" s="70">
        <v>70</v>
      </c>
      <c r="CQ70" s="70"/>
      <c r="CR70" s="70"/>
      <c r="CS70" s="70" t="s">
        <v>670</v>
      </c>
      <c r="CT70" s="70">
        <v>85</v>
      </c>
      <c r="CU70" s="70"/>
      <c r="CV70" s="70"/>
      <c r="CW70" s="70"/>
      <c r="CX70" s="70"/>
      <c r="CY70" s="70"/>
      <c r="CZ70" s="70"/>
      <c r="DA70" s="70"/>
      <c r="DB70" s="70"/>
      <c r="DC70" s="70"/>
      <c r="DD70" s="70"/>
    </row>
    <row r="71" spans="1:108" ht="16.5" x14ac:dyDescent="0.2">
      <c r="A71" s="18">
        <v>67</v>
      </c>
      <c r="B71" s="61">
        <v>9</v>
      </c>
      <c r="C71" s="39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1">
        <v>10</v>
      </c>
      <c r="M71" s="39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1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70">
        <v>67</v>
      </c>
      <c r="CG71" s="70">
        <v>1</v>
      </c>
      <c r="CH71" s="70" t="s">
        <v>460</v>
      </c>
      <c r="CI71" s="70">
        <v>67</v>
      </c>
      <c r="CJ71" s="70"/>
      <c r="CK71" s="70"/>
      <c r="CL71" s="70"/>
      <c r="CM71" s="70" t="s">
        <v>669</v>
      </c>
      <c r="CN71" s="70">
        <v>4320</v>
      </c>
      <c r="CO71" s="70" t="s">
        <v>670</v>
      </c>
      <c r="CP71" s="70">
        <v>70</v>
      </c>
      <c r="CQ71" s="70"/>
      <c r="CR71" s="70"/>
      <c r="CS71" s="70" t="s">
        <v>670</v>
      </c>
      <c r="CT71" s="70">
        <v>85</v>
      </c>
      <c r="CU71" s="70"/>
      <c r="CV71" s="70"/>
      <c r="CW71" s="70"/>
      <c r="CX71" s="70"/>
      <c r="CY71" s="70"/>
      <c r="CZ71" s="70"/>
      <c r="DA71" s="70"/>
      <c r="DB71" s="70"/>
      <c r="DC71" s="70"/>
      <c r="DD71" s="70"/>
    </row>
    <row r="72" spans="1:108" ht="16.5" x14ac:dyDescent="0.2">
      <c r="A72" s="18">
        <v>68</v>
      </c>
      <c r="B72" s="61">
        <v>9</v>
      </c>
      <c r="C72" s="39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1">
        <v>10</v>
      </c>
      <c r="M72" s="39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1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70">
        <v>68</v>
      </c>
      <c r="CG72" s="70">
        <v>1</v>
      </c>
      <c r="CH72" s="70" t="s">
        <v>460</v>
      </c>
      <c r="CI72" s="70">
        <v>68</v>
      </c>
      <c r="CJ72" s="70"/>
      <c r="CK72" s="70"/>
      <c r="CL72" s="70"/>
      <c r="CM72" s="70" t="s">
        <v>669</v>
      </c>
      <c r="CN72" s="70">
        <v>4320</v>
      </c>
      <c r="CO72" s="70" t="s">
        <v>670</v>
      </c>
      <c r="CP72" s="70">
        <v>70</v>
      </c>
      <c r="CQ72" s="70"/>
      <c r="CR72" s="70"/>
      <c r="CS72" s="70" t="s">
        <v>670</v>
      </c>
      <c r="CT72" s="70">
        <v>85</v>
      </c>
      <c r="CU72" s="70"/>
      <c r="CV72" s="70"/>
      <c r="CW72" s="70"/>
      <c r="CX72" s="70"/>
      <c r="CY72" s="70"/>
      <c r="CZ72" s="70"/>
      <c r="DA72" s="70"/>
      <c r="DB72" s="70"/>
      <c r="DC72" s="70"/>
      <c r="DD72" s="70"/>
    </row>
    <row r="73" spans="1:108" ht="16.5" x14ac:dyDescent="0.2">
      <c r="A73" s="18">
        <v>69</v>
      </c>
      <c r="B73" s="61">
        <v>9</v>
      </c>
      <c r="C73" s="39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1">
        <v>10</v>
      </c>
      <c r="M73" s="39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1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70">
        <v>69</v>
      </c>
      <c r="CG73" s="70">
        <v>1</v>
      </c>
      <c r="CH73" s="70" t="s">
        <v>460</v>
      </c>
      <c r="CI73" s="70">
        <v>69</v>
      </c>
      <c r="CJ73" s="70"/>
      <c r="CK73" s="70"/>
      <c r="CL73" s="70"/>
      <c r="CM73" s="70" t="s">
        <v>669</v>
      </c>
      <c r="CN73" s="70">
        <v>4320</v>
      </c>
      <c r="CO73" s="70" t="s">
        <v>670</v>
      </c>
      <c r="CP73" s="70">
        <v>70</v>
      </c>
      <c r="CQ73" s="70"/>
      <c r="CR73" s="70"/>
      <c r="CS73" s="70" t="s">
        <v>670</v>
      </c>
      <c r="CT73" s="70">
        <v>85</v>
      </c>
      <c r="CU73" s="70"/>
      <c r="CV73" s="70"/>
      <c r="CW73" s="70"/>
      <c r="CX73" s="70"/>
      <c r="CY73" s="70"/>
      <c r="CZ73" s="70"/>
      <c r="DA73" s="70"/>
      <c r="DB73" s="70"/>
      <c r="DC73" s="70"/>
      <c r="DD73" s="70"/>
    </row>
    <row r="74" spans="1:108" ht="16.5" x14ac:dyDescent="0.2">
      <c r="A74" s="18">
        <v>70</v>
      </c>
      <c r="B74" s="61">
        <v>9</v>
      </c>
      <c r="C74" s="39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1">
        <v>12</v>
      </c>
      <c r="W74" s="39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1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70">
        <v>70</v>
      </c>
      <c r="CG74" s="70">
        <v>1</v>
      </c>
      <c r="CH74" s="70" t="s">
        <v>460</v>
      </c>
      <c r="CI74" s="70">
        <v>70</v>
      </c>
      <c r="CJ74" s="70"/>
      <c r="CK74" s="70"/>
      <c r="CL74" s="70"/>
      <c r="CM74" s="70" t="s">
        <v>669</v>
      </c>
      <c r="CN74" s="70">
        <v>4320</v>
      </c>
      <c r="CO74" s="70" t="s">
        <v>670</v>
      </c>
      <c r="CP74" s="70">
        <v>70</v>
      </c>
      <c r="CQ74" s="70" t="s">
        <v>496</v>
      </c>
      <c r="CR74" s="70">
        <v>2</v>
      </c>
      <c r="CS74" s="70" t="s">
        <v>670</v>
      </c>
      <c r="CT74" s="70">
        <v>90</v>
      </c>
      <c r="CU74" s="70"/>
      <c r="CV74" s="70"/>
      <c r="CW74" s="70"/>
      <c r="CX74" s="70"/>
      <c r="CY74" s="70"/>
      <c r="CZ74" s="70"/>
      <c r="DA74" s="70"/>
      <c r="DB74" s="70"/>
      <c r="DC74" s="70"/>
      <c r="DD74" s="70"/>
    </row>
    <row r="75" spans="1:108" ht="16.5" x14ac:dyDescent="0.2">
      <c r="A75" s="23">
        <v>71</v>
      </c>
      <c r="B75" s="61">
        <v>9</v>
      </c>
      <c r="C75" s="39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1">
        <v>11</v>
      </c>
      <c r="M75" s="39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1">
        <v>12</v>
      </c>
      <c r="W75" s="39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1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70">
        <v>71</v>
      </c>
      <c r="CG75" s="70">
        <v>1</v>
      </c>
      <c r="CH75" s="70" t="s">
        <v>460</v>
      </c>
      <c r="CI75" s="70">
        <v>71</v>
      </c>
      <c r="CJ75" s="70"/>
      <c r="CK75" s="70"/>
      <c r="CL75" s="70"/>
      <c r="CM75" s="70" t="s">
        <v>669</v>
      </c>
      <c r="CN75" s="70">
        <v>4320</v>
      </c>
      <c r="CO75" s="70" t="s">
        <v>670</v>
      </c>
      <c r="CP75" s="70">
        <v>75</v>
      </c>
      <c r="CQ75" s="70"/>
      <c r="CR75" s="70"/>
      <c r="CS75" s="70" t="s">
        <v>670</v>
      </c>
      <c r="CT75" s="70">
        <v>90</v>
      </c>
      <c r="CU75" s="70"/>
      <c r="CV75" s="70"/>
      <c r="CW75" s="70"/>
      <c r="CX75" s="70"/>
      <c r="CY75" s="70"/>
      <c r="CZ75" s="70"/>
      <c r="DA75" s="70"/>
      <c r="DB75" s="70"/>
      <c r="DC75" s="70"/>
      <c r="DD75" s="70"/>
    </row>
    <row r="76" spans="1:108" ht="16.5" x14ac:dyDescent="0.2">
      <c r="A76" s="23">
        <v>72</v>
      </c>
      <c r="B76" s="61">
        <v>9</v>
      </c>
      <c r="C76" s="39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1">
        <v>11</v>
      </c>
      <c r="M76" s="39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1">
        <v>12</v>
      </c>
      <c r="W76" s="39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1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70">
        <v>72</v>
      </c>
      <c r="CG76" s="70">
        <v>1</v>
      </c>
      <c r="CH76" s="70" t="s">
        <v>460</v>
      </c>
      <c r="CI76" s="70">
        <v>72</v>
      </c>
      <c r="CJ76" s="70"/>
      <c r="CK76" s="70"/>
      <c r="CL76" s="70"/>
      <c r="CM76" s="70" t="s">
        <v>669</v>
      </c>
      <c r="CN76" s="70">
        <v>4320</v>
      </c>
      <c r="CO76" s="70" t="s">
        <v>670</v>
      </c>
      <c r="CP76" s="70">
        <v>75</v>
      </c>
      <c r="CQ76" s="70"/>
      <c r="CR76" s="70"/>
      <c r="CS76" s="70" t="s">
        <v>670</v>
      </c>
      <c r="CT76" s="70">
        <v>90</v>
      </c>
      <c r="CU76" s="70"/>
      <c r="CV76" s="70"/>
      <c r="CW76" s="70"/>
      <c r="CX76" s="70"/>
      <c r="CY76" s="70"/>
      <c r="CZ76" s="70"/>
      <c r="DA76" s="70"/>
      <c r="DB76" s="70"/>
      <c r="DC76" s="70"/>
      <c r="DD76" s="70"/>
    </row>
    <row r="77" spans="1:108" ht="16.5" x14ac:dyDescent="0.2">
      <c r="A77" s="23">
        <v>73</v>
      </c>
      <c r="B77" s="61">
        <v>9</v>
      </c>
      <c r="C77" s="39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1">
        <v>11</v>
      </c>
      <c r="M77" s="39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1">
        <v>12</v>
      </c>
      <c r="W77" s="39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1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70">
        <v>73</v>
      </c>
      <c r="CG77" s="70">
        <v>1</v>
      </c>
      <c r="CH77" s="70" t="s">
        <v>460</v>
      </c>
      <c r="CI77" s="70">
        <v>73</v>
      </c>
      <c r="CJ77" s="70"/>
      <c r="CK77" s="70"/>
      <c r="CL77" s="70"/>
      <c r="CM77" s="70" t="s">
        <v>669</v>
      </c>
      <c r="CN77" s="70">
        <v>4320</v>
      </c>
      <c r="CO77" s="70" t="s">
        <v>670</v>
      </c>
      <c r="CP77" s="70">
        <v>75</v>
      </c>
      <c r="CQ77" s="70"/>
      <c r="CR77" s="70"/>
      <c r="CS77" s="70" t="s">
        <v>670</v>
      </c>
      <c r="CT77" s="70">
        <v>90</v>
      </c>
      <c r="CU77" s="70"/>
      <c r="CV77" s="70"/>
      <c r="CW77" s="70"/>
      <c r="CX77" s="70"/>
      <c r="CY77" s="70"/>
      <c r="CZ77" s="70"/>
      <c r="DA77" s="70"/>
      <c r="DB77" s="70"/>
      <c r="DC77" s="70"/>
      <c r="DD77" s="70"/>
    </row>
    <row r="78" spans="1:108" ht="16.5" x14ac:dyDescent="0.2">
      <c r="A78" s="23">
        <v>74</v>
      </c>
      <c r="B78" s="61">
        <v>9</v>
      </c>
      <c r="C78" s="39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1">
        <v>11</v>
      </c>
      <c r="M78" s="39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1">
        <v>12</v>
      </c>
      <c r="W78" s="39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1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70">
        <v>74</v>
      </c>
      <c r="CG78" s="70">
        <v>1</v>
      </c>
      <c r="CH78" s="70" t="s">
        <v>460</v>
      </c>
      <c r="CI78" s="70">
        <v>74</v>
      </c>
      <c r="CJ78" s="70"/>
      <c r="CK78" s="70"/>
      <c r="CL78" s="70"/>
      <c r="CM78" s="70" t="s">
        <v>669</v>
      </c>
      <c r="CN78" s="70">
        <v>4320</v>
      </c>
      <c r="CO78" s="70" t="s">
        <v>670</v>
      </c>
      <c r="CP78" s="70">
        <v>75</v>
      </c>
      <c r="CQ78" s="70"/>
      <c r="CR78" s="70"/>
      <c r="CS78" s="70" t="s">
        <v>670</v>
      </c>
      <c r="CT78" s="70">
        <v>90</v>
      </c>
      <c r="CU78" s="70"/>
      <c r="CV78" s="70"/>
      <c r="CW78" s="70"/>
      <c r="CX78" s="70"/>
      <c r="CY78" s="70"/>
      <c r="CZ78" s="70"/>
      <c r="DA78" s="70"/>
      <c r="DB78" s="70"/>
      <c r="DC78" s="70"/>
      <c r="DD78" s="70"/>
    </row>
    <row r="79" spans="1:108" ht="16.5" x14ac:dyDescent="0.2">
      <c r="A79" s="23">
        <v>75</v>
      </c>
      <c r="B79" s="61">
        <v>9</v>
      </c>
      <c r="C79" s="39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1">
        <v>11</v>
      </c>
      <c r="M79" s="39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1">
        <v>12</v>
      </c>
      <c r="W79" s="39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1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70">
        <v>75</v>
      </c>
      <c r="CG79" s="70">
        <v>1</v>
      </c>
      <c r="CH79" s="70" t="s">
        <v>460</v>
      </c>
      <c r="CI79" s="70">
        <v>75</v>
      </c>
      <c r="CJ79" s="70"/>
      <c r="CK79" s="70"/>
      <c r="CL79" s="70"/>
      <c r="CM79" s="70" t="s">
        <v>669</v>
      </c>
      <c r="CN79" s="70">
        <v>4320</v>
      </c>
      <c r="CO79" s="70" t="s">
        <v>670</v>
      </c>
      <c r="CP79" s="70">
        <v>75</v>
      </c>
      <c r="CQ79" s="70" t="s">
        <v>671</v>
      </c>
      <c r="CR79" s="70">
        <v>2</v>
      </c>
      <c r="CS79" s="70" t="s">
        <v>670</v>
      </c>
      <c r="CT79" s="70">
        <v>95</v>
      </c>
      <c r="CU79" s="70"/>
      <c r="CV79" s="70"/>
      <c r="CW79" s="70"/>
      <c r="CX79" s="70"/>
      <c r="CY79" s="70"/>
      <c r="CZ79" s="70"/>
      <c r="DA79" s="70"/>
      <c r="DB79" s="70"/>
      <c r="DC79" s="70"/>
      <c r="DD79" s="70"/>
    </row>
    <row r="80" spans="1:108" ht="16.5" x14ac:dyDescent="0.2">
      <c r="A80" s="23">
        <v>76</v>
      </c>
      <c r="B80" s="61">
        <v>9</v>
      </c>
      <c r="C80" s="39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1">
        <v>11</v>
      </c>
      <c r="M80" s="39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1">
        <v>12</v>
      </c>
      <c r="W80" s="39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1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70">
        <v>76</v>
      </c>
      <c r="CG80" s="70">
        <v>1</v>
      </c>
      <c r="CH80" s="70" t="s">
        <v>460</v>
      </c>
      <c r="CI80" s="70">
        <v>76</v>
      </c>
      <c r="CJ80" s="70"/>
      <c r="CK80" s="70"/>
      <c r="CL80" s="70"/>
      <c r="CM80" s="70" t="s">
        <v>669</v>
      </c>
      <c r="CN80" s="70">
        <v>4320</v>
      </c>
      <c r="CO80" s="70" t="s">
        <v>670</v>
      </c>
      <c r="CP80" s="70">
        <v>80</v>
      </c>
      <c r="CQ80" s="70"/>
      <c r="CR80" s="70"/>
      <c r="CS80" s="70" t="s">
        <v>670</v>
      </c>
      <c r="CT80" s="70">
        <v>95</v>
      </c>
      <c r="CU80" s="70"/>
      <c r="CV80" s="70"/>
      <c r="CW80" s="70"/>
      <c r="CX80" s="70"/>
      <c r="CY80" s="70"/>
      <c r="CZ80" s="70"/>
      <c r="DA80" s="70"/>
      <c r="DB80" s="70"/>
      <c r="DC80" s="70"/>
      <c r="DD80" s="70"/>
    </row>
    <row r="81" spans="1:108" ht="16.5" x14ac:dyDescent="0.2">
      <c r="A81" s="23">
        <v>77</v>
      </c>
      <c r="B81" s="61">
        <v>9</v>
      </c>
      <c r="C81" s="39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1">
        <v>11</v>
      </c>
      <c r="M81" s="39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1">
        <v>12</v>
      </c>
      <c r="W81" s="39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1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70">
        <v>77</v>
      </c>
      <c r="CG81" s="70">
        <v>1</v>
      </c>
      <c r="CH81" s="70" t="s">
        <v>460</v>
      </c>
      <c r="CI81" s="70">
        <v>77</v>
      </c>
      <c r="CJ81" s="70"/>
      <c r="CK81" s="70"/>
      <c r="CL81" s="70"/>
      <c r="CM81" s="70" t="s">
        <v>669</v>
      </c>
      <c r="CN81" s="70">
        <v>4320</v>
      </c>
      <c r="CO81" s="70" t="s">
        <v>670</v>
      </c>
      <c r="CP81" s="70">
        <v>80</v>
      </c>
      <c r="CQ81" s="70"/>
      <c r="CR81" s="70"/>
      <c r="CS81" s="70" t="s">
        <v>670</v>
      </c>
      <c r="CT81" s="70">
        <v>95</v>
      </c>
      <c r="CU81" s="70"/>
      <c r="CV81" s="70"/>
      <c r="CW81" s="70"/>
      <c r="CX81" s="70"/>
      <c r="CY81" s="70"/>
      <c r="CZ81" s="70"/>
      <c r="DA81" s="70"/>
      <c r="DB81" s="70"/>
      <c r="DC81" s="70"/>
      <c r="DD81" s="70"/>
    </row>
    <row r="82" spans="1:108" ht="16.5" x14ac:dyDescent="0.2">
      <c r="A82" s="23">
        <v>78</v>
      </c>
      <c r="B82" s="61">
        <v>9</v>
      </c>
      <c r="C82" s="39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1">
        <v>11</v>
      </c>
      <c r="M82" s="39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1">
        <v>12</v>
      </c>
      <c r="W82" s="39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1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70">
        <v>78</v>
      </c>
      <c r="CG82" s="70">
        <v>1</v>
      </c>
      <c r="CH82" s="70" t="s">
        <v>460</v>
      </c>
      <c r="CI82" s="70">
        <v>78</v>
      </c>
      <c r="CJ82" s="70"/>
      <c r="CK82" s="70"/>
      <c r="CL82" s="70"/>
      <c r="CM82" s="70" t="s">
        <v>669</v>
      </c>
      <c r="CN82" s="70">
        <v>4320</v>
      </c>
      <c r="CO82" s="70" t="s">
        <v>670</v>
      </c>
      <c r="CP82" s="70">
        <v>80</v>
      </c>
      <c r="CQ82" s="70"/>
      <c r="CR82" s="70"/>
      <c r="CS82" s="70" t="s">
        <v>670</v>
      </c>
      <c r="CT82" s="70">
        <v>95</v>
      </c>
      <c r="CU82" s="70"/>
      <c r="CV82" s="70"/>
      <c r="CW82" s="70"/>
      <c r="CX82" s="70"/>
      <c r="CY82" s="70"/>
      <c r="CZ82" s="70"/>
      <c r="DA82" s="70"/>
      <c r="DB82" s="70"/>
      <c r="DC82" s="70"/>
      <c r="DD82" s="70"/>
    </row>
    <row r="83" spans="1:108" ht="16.5" x14ac:dyDescent="0.2">
      <c r="A83" s="23">
        <v>79</v>
      </c>
      <c r="B83" s="61">
        <v>9</v>
      </c>
      <c r="C83" s="39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1">
        <v>11</v>
      </c>
      <c r="M83" s="39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1">
        <v>12</v>
      </c>
      <c r="W83" s="39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1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70">
        <v>79</v>
      </c>
      <c r="CG83" s="70">
        <v>1</v>
      </c>
      <c r="CH83" s="70" t="s">
        <v>460</v>
      </c>
      <c r="CI83" s="70">
        <v>79</v>
      </c>
      <c r="CJ83" s="70"/>
      <c r="CK83" s="70"/>
      <c r="CL83" s="70"/>
      <c r="CM83" s="70" t="s">
        <v>669</v>
      </c>
      <c r="CN83" s="70">
        <v>4320</v>
      </c>
      <c r="CO83" s="70" t="s">
        <v>670</v>
      </c>
      <c r="CP83" s="70">
        <v>80</v>
      </c>
      <c r="CQ83" s="70"/>
      <c r="CR83" s="70"/>
      <c r="CS83" s="70" t="s">
        <v>670</v>
      </c>
      <c r="CT83" s="70">
        <v>95</v>
      </c>
      <c r="CU83" s="70"/>
      <c r="CV83" s="70"/>
      <c r="CW83" s="70"/>
      <c r="CX83" s="70"/>
      <c r="CY83" s="70"/>
      <c r="CZ83" s="70"/>
      <c r="DA83" s="70"/>
      <c r="DB83" s="70"/>
      <c r="DC83" s="70"/>
      <c r="DD83" s="70"/>
    </row>
    <row r="84" spans="1:108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1">
        <v>11</v>
      </c>
      <c r="M84" s="39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1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70">
        <v>80</v>
      </c>
      <c r="CG84" s="70">
        <v>1</v>
      </c>
      <c r="CH84" s="70" t="s">
        <v>460</v>
      </c>
      <c r="CI84" s="70">
        <v>80</v>
      </c>
      <c r="CJ84" s="70"/>
      <c r="CK84" s="70"/>
      <c r="CL84" s="70"/>
      <c r="CM84" s="70" t="s">
        <v>669</v>
      </c>
      <c r="CN84" s="70">
        <v>5400</v>
      </c>
      <c r="CO84" s="70" t="s">
        <v>670</v>
      </c>
      <c r="CP84" s="70">
        <v>80</v>
      </c>
      <c r="CQ84" s="70" t="s">
        <v>496</v>
      </c>
      <c r="CR84" s="70">
        <v>2</v>
      </c>
      <c r="CS84" s="70" t="s">
        <v>670</v>
      </c>
      <c r="CT84" s="70">
        <v>100</v>
      </c>
      <c r="CU84" s="70"/>
      <c r="CV84" s="70"/>
      <c r="CW84" s="70"/>
      <c r="CX84" s="70"/>
      <c r="CY84" s="70"/>
      <c r="CZ84" s="70"/>
      <c r="DA84" s="70"/>
      <c r="DB84" s="70"/>
      <c r="DC84" s="70"/>
      <c r="DD84" s="70"/>
    </row>
    <row r="85" spans="1:108" ht="16.5" x14ac:dyDescent="0.2">
      <c r="A85" s="23">
        <v>81</v>
      </c>
      <c r="B85" s="61">
        <v>10</v>
      </c>
      <c r="C85" s="39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1">
        <v>11</v>
      </c>
      <c r="M85" s="39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1">
        <v>13</v>
      </c>
      <c r="W85" s="39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1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70">
        <v>81</v>
      </c>
      <c r="CG85" s="70">
        <v>1</v>
      </c>
      <c r="CH85" s="70" t="s">
        <v>460</v>
      </c>
      <c r="CI85" s="70">
        <v>81</v>
      </c>
      <c r="CJ85" s="70"/>
      <c r="CK85" s="70"/>
      <c r="CL85" s="70"/>
      <c r="CM85" s="70" t="s">
        <v>669</v>
      </c>
      <c r="CN85" s="70">
        <v>5400</v>
      </c>
      <c r="CO85" s="70" t="s">
        <v>670</v>
      </c>
      <c r="CP85" s="70">
        <v>85</v>
      </c>
      <c r="CQ85" s="70"/>
      <c r="CR85" s="70"/>
      <c r="CS85" s="70" t="s">
        <v>670</v>
      </c>
      <c r="CT85" s="70">
        <v>100</v>
      </c>
      <c r="CU85" s="70"/>
      <c r="CV85" s="70"/>
      <c r="CW85" s="70"/>
      <c r="CX85" s="70"/>
      <c r="CY85" s="70"/>
      <c r="CZ85" s="70"/>
      <c r="DA85" s="70"/>
      <c r="DB85" s="70"/>
      <c r="DC85" s="70"/>
      <c r="DD85" s="70"/>
    </row>
    <row r="86" spans="1:108" ht="16.5" x14ac:dyDescent="0.2">
      <c r="A86" s="23">
        <v>82</v>
      </c>
      <c r="B86" s="61">
        <v>10</v>
      </c>
      <c r="C86" s="39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1">
        <v>11</v>
      </c>
      <c r="M86" s="39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1">
        <v>13</v>
      </c>
      <c r="W86" s="39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1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70">
        <v>82</v>
      </c>
      <c r="CG86" s="70">
        <v>1</v>
      </c>
      <c r="CH86" s="70" t="s">
        <v>460</v>
      </c>
      <c r="CI86" s="70">
        <v>82</v>
      </c>
      <c r="CJ86" s="70"/>
      <c r="CK86" s="70"/>
      <c r="CL86" s="70"/>
      <c r="CM86" s="70" t="s">
        <v>669</v>
      </c>
      <c r="CN86" s="70">
        <v>5400</v>
      </c>
      <c r="CO86" s="70" t="s">
        <v>670</v>
      </c>
      <c r="CP86" s="70">
        <v>85</v>
      </c>
      <c r="CQ86" s="70"/>
      <c r="CR86" s="70"/>
      <c r="CS86" s="70" t="s">
        <v>670</v>
      </c>
      <c r="CT86" s="70">
        <v>100</v>
      </c>
      <c r="CU86" s="70"/>
      <c r="CV86" s="70"/>
      <c r="CW86" s="70"/>
      <c r="CX86" s="70"/>
      <c r="CY86" s="70"/>
      <c r="CZ86" s="70"/>
      <c r="DA86" s="70"/>
      <c r="DB86" s="70"/>
      <c r="DC86" s="70"/>
      <c r="DD86" s="70"/>
    </row>
    <row r="87" spans="1:108" ht="16.5" x14ac:dyDescent="0.2">
      <c r="A87" s="23">
        <v>83</v>
      </c>
      <c r="B87" s="61">
        <v>10</v>
      </c>
      <c r="C87" s="39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1">
        <v>11</v>
      </c>
      <c r="M87" s="39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1">
        <v>13</v>
      </c>
      <c r="W87" s="39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1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70">
        <v>83</v>
      </c>
      <c r="CG87" s="70">
        <v>1</v>
      </c>
      <c r="CH87" s="70" t="s">
        <v>460</v>
      </c>
      <c r="CI87" s="70">
        <v>83</v>
      </c>
      <c r="CJ87" s="70"/>
      <c r="CK87" s="70"/>
      <c r="CL87" s="70"/>
      <c r="CM87" s="70" t="s">
        <v>669</v>
      </c>
      <c r="CN87" s="70">
        <v>5400</v>
      </c>
      <c r="CO87" s="70" t="s">
        <v>670</v>
      </c>
      <c r="CP87" s="70">
        <v>85</v>
      </c>
      <c r="CQ87" s="70"/>
      <c r="CR87" s="70"/>
      <c r="CS87" s="70" t="s">
        <v>670</v>
      </c>
      <c r="CT87" s="70">
        <v>100</v>
      </c>
      <c r="CU87" s="70"/>
      <c r="CV87" s="70"/>
      <c r="CW87" s="70"/>
      <c r="CX87" s="70"/>
      <c r="CY87" s="70"/>
      <c r="CZ87" s="70"/>
      <c r="DA87" s="70"/>
      <c r="DB87" s="70"/>
      <c r="DC87" s="70"/>
      <c r="DD87" s="70"/>
    </row>
    <row r="88" spans="1:108" ht="16.5" x14ac:dyDescent="0.2">
      <c r="A88" s="23">
        <v>84</v>
      </c>
      <c r="B88" s="61">
        <v>10</v>
      </c>
      <c r="C88" s="39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1">
        <v>11</v>
      </c>
      <c r="M88" s="39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1">
        <v>13</v>
      </c>
      <c r="W88" s="39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1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70">
        <v>84</v>
      </c>
      <c r="CG88" s="70">
        <v>1</v>
      </c>
      <c r="CH88" s="70" t="s">
        <v>460</v>
      </c>
      <c r="CI88" s="70">
        <v>84</v>
      </c>
      <c r="CJ88" s="70"/>
      <c r="CK88" s="70"/>
      <c r="CL88" s="70"/>
      <c r="CM88" s="70" t="s">
        <v>669</v>
      </c>
      <c r="CN88" s="70">
        <v>5400</v>
      </c>
      <c r="CO88" s="70" t="s">
        <v>670</v>
      </c>
      <c r="CP88" s="70">
        <v>85</v>
      </c>
      <c r="CQ88" s="70"/>
      <c r="CR88" s="70"/>
      <c r="CS88" s="70" t="s">
        <v>670</v>
      </c>
      <c r="CT88" s="70">
        <v>100</v>
      </c>
      <c r="CU88" s="70"/>
      <c r="CV88" s="70"/>
      <c r="CW88" s="70"/>
      <c r="CX88" s="70"/>
      <c r="CY88" s="70"/>
      <c r="CZ88" s="70"/>
      <c r="DA88" s="70"/>
      <c r="DB88" s="70"/>
      <c r="DC88" s="70"/>
      <c r="DD88" s="70"/>
    </row>
    <row r="89" spans="1:108" ht="16.5" x14ac:dyDescent="0.2">
      <c r="A89" s="23">
        <v>85</v>
      </c>
      <c r="B89" s="61">
        <v>10</v>
      </c>
      <c r="C89" s="39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1">
        <v>13</v>
      </c>
      <c r="W89" s="39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1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70">
        <v>85</v>
      </c>
      <c r="CG89" s="70">
        <v>1</v>
      </c>
      <c r="CH89" s="70" t="s">
        <v>460</v>
      </c>
      <c r="CI89" s="70">
        <v>85</v>
      </c>
      <c r="CJ89" s="70"/>
      <c r="CK89" s="70"/>
      <c r="CL89" s="70"/>
      <c r="CM89" s="70" t="s">
        <v>669</v>
      </c>
      <c r="CN89" s="70">
        <v>5400</v>
      </c>
      <c r="CO89" s="70" t="s">
        <v>670</v>
      </c>
      <c r="CP89" s="70">
        <v>85</v>
      </c>
      <c r="CQ89" s="70" t="s">
        <v>671</v>
      </c>
      <c r="CR89" s="70">
        <v>2</v>
      </c>
      <c r="CS89" s="70" t="s">
        <v>670</v>
      </c>
      <c r="CT89" s="70">
        <v>105</v>
      </c>
      <c r="CU89" s="70"/>
      <c r="CV89" s="70"/>
      <c r="CW89" s="70"/>
      <c r="CX89" s="70"/>
      <c r="CY89" s="70"/>
      <c r="CZ89" s="70"/>
      <c r="DA89" s="70"/>
      <c r="DB89" s="70"/>
      <c r="DC89" s="70"/>
      <c r="DD89" s="70"/>
    </row>
    <row r="90" spans="1:108" ht="16.5" x14ac:dyDescent="0.2">
      <c r="A90" s="23">
        <v>86</v>
      </c>
      <c r="B90" s="61">
        <v>10</v>
      </c>
      <c r="C90" s="39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1">
        <v>12</v>
      </c>
      <c r="M90" s="39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1">
        <v>13</v>
      </c>
      <c r="W90" s="39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1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70">
        <v>86</v>
      </c>
      <c r="CG90" s="70">
        <v>1</v>
      </c>
      <c r="CH90" s="70" t="s">
        <v>460</v>
      </c>
      <c r="CI90" s="70">
        <v>86</v>
      </c>
      <c r="CJ90" s="70"/>
      <c r="CK90" s="70"/>
      <c r="CL90" s="70"/>
      <c r="CM90" s="70" t="s">
        <v>669</v>
      </c>
      <c r="CN90" s="70">
        <v>5400</v>
      </c>
      <c r="CO90" s="70" t="s">
        <v>670</v>
      </c>
      <c r="CP90" s="70">
        <v>90</v>
      </c>
      <c r="CQ90" s="70"/>
      <c r="CR90" s="70"/>
      <c r="CS90" s="70" t="s">
        <v>670</v>
      </c>
      <c r="CT90" s="70">
        <v>105</v>
      </c>
      <c r="CU90" s="70"/>
      <c r="CV90" s="70"/>
      <c r="CW90" s="70"/>
      <c r="CX90" s="70"/>
      <c r="CY90" s="70"/>
      <c r="CZ90" s="70"/>
      <c r="DA90" s="70"/>
      <c r="DB90" s="70"/>
      <c r="DC90" s="70"/>
      <c r="DD90" s="70"/>
    </row>
    <row r="91" spans="1:108" ht="16.5" x14ac:dyDescent="0.2">
      <c r="A91" s="23">
        <v>87</v>
      </c>
      <c r="B91" s="61">
        <v>10</v>
      </c>
      <c r="C91" s="39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1">
        <v>12</v>
      </c>
      <c r="M91" s="39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1">
        <v>13</v>
      </c>
      <c r="W91" s="39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1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70">
        <v>87</v>
      </c>
      <c r="CG91" s="70">
        <v>1</v>
      </c>
      <c r="CH91" s="70" t="s">
        <v>460</v>
      </c>
      <c r="CI91" s="70">
        <v>87</v>
      </c>
      <c r="CJ91" s="70"/>
      <c r="CK91" s="70"/>
      <c r="CL91" s="70"/>
      <c r="CM91" s="70" t="s">
        <v>669</v>
      </c>
      <c r="CN91" s="70">
        <v>5400</v>
      </c>
      <c r="CO91" s="70" t="s">
        <v>670</v>
      </c>
      <c r="CP91" s="70">
        <v>90</v>
      </c>
      <c r="CQ91" s="70"/>
      <c r="CR91" s="70"/>
      <c r="CS91" s="70" t="s">
        <v>670</v>
      </c>
      <c r="CT91" s="70">
        <v>105</v>
      </c>
      <c r="CU91" s="70"/>
      <c r="CV91" s="70"/>
      <c r="CW91" s="70"/>
      <c r="CX91" s="70"/>
      <c r="CY91" s="70"/>
      <c r="CZ91" s="70"/>
      <c r="DA91" s="70"/>
      <c r="DB91" s="70"/>
      <c r="DC91" s="70"/>
      <c r="DD91" s="70"/>
    </row>
    <row r="92" spans="1:108" ht="16.5" x14ac:dyDescent="0.2">
      <c r="A92" s="23">
        <v>88</v>
      </c>
      <c r="B92" s="61">
        <v>10</v>
      </c>
      <c r="C92" s="39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1">
        <v>12</v>
      </c>
      <c r="M92" s="39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1">
        <v>13</v>
      </c>
      <c r="W92" s="39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1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70">
        <v>88</v>
      </c>
      <c r="CG92" s="70">
        <v>1</v>
      </c>
      <c r="CH92" s="70" t="s">
        <v>460</v>
      </c>
      <c r="CI92" s="70">
        <v>88</v>
      </c>
      <c r="CJ92" s="70"/>
      <c r="CK92" s="70"/>
      <c r="CL92" s="70"/>
      <c r="CM92" s="70" t="s">
        <v>669</v>
      </c>
      <c r="CN92" s="70">
        <v>5400</v>
      </c>
      <c r="CO92" s="70" t="s">
        <v>670</v>
      </c>
      <c r="CP92" s="70">
        <v>90</v>
      </c>
      <c r="CQ92" s="70"/>
      <c r="CR92" s="70"/>
      <c r="CS92" s="70" t="s">
        <v>670</v>
      </c>
      <c r="CT92" s="70">
        <v>105</v>
      </c>
      <c r="CU92" s="70"/>
      <c r="CV92" s="70"/>
      <c r="CW92" s="70"/>
      <c r="CX92" s="70"/>
      <c r="CY92" s="70"/>
      <c r="CZ92" s="70"/>
      <c r="DA92" s="70"/>
      <c r="DB92" s="70"/>
      <c r="DC92" s="70"/>
      <c r="DD92" s="70"/>
    </row>
    <row r="93" spans="1:108" ht="16.5" x14ac:dyDescent="0.2">
      <c r="A93" s="23">
        <v>89</v>
      </c>
      <c r="B93" s="61">
        <v>10</v>
      </c>
      <c r="C93" s="39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1">
        <v>12</v>
      </c>
      <c r="M93" s="39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1">
        <v>13</v>
      </c>
      <c r="W93" s="39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1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70">
        <v>89</v>
      </c>
      <c r="CG93" s="70">
        <v>1</v>
      </c>
      <c r="CH93" s="70" t="s">
        <v>460</v>
      </c>
      <c r="CI93" s="70">
        <v>89</v>
      </c>
      <c r="CJ93" s="70"/>
      <c r="CK93" s="70"/>
      <c r="CL93" s="70"/>
      <c r="CM93" s="70" t="s">
        <v>669</v>
      </c>
      <c r="CN93" s="70">
        <v>5400</v>
      </c>
      <c r="CO93" s="70" t="s">
        <v>670</v>
      </c>
      <c r="CP93" s="70">
        <v>90</v>
      </c>
      <c r="CQ93" s="70"/>
      <c r="CR93" s="70"/>
      <c r="CS93" s="70" t="s">
        <v>670</v>
      </c>
      <c r="CT93" s="70">
        <v>105</v>
      </c>
      <c r="CU93" s="70"/>
      <c r="CV93" s="70"/>
      <c r="CW93" s="70"/>
      <c r="CX93" s="70"/>
      <c r="CY93" s="70"/>
      <c r="CZ93" s="70"/>
      <c r="DA93" s="70"/>
      <c r="DB93" s="70"/>
      <c r="DC93" s="70"/>
      <c r="DD93" s="70"/>
    </row>
    <row r="94" spans="1:108" ht="16.5" x14ac:dyDescent="0.2">
      <c r="A94" s="23">
        <v>90</v>
      </c>
      <c r="B94" s="61">
        <v>10</v>
      </c>
      <c r="C94" s="39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1">
        <v>12</v>
      </c>
      <c r="M94" s="39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1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70">
        <v>90</v>
      </c>
      <c r="CG94" s="70">
        <v>1</v>
      </c>
      <c r="CH94" s="70" t="s">
        <v>460</v>
      </c>
      <c r="CI94" s="70">
        <v>90</v>
      </c>
      <c r="CJ94" s="70"/>
      <c r="CK94" s="70"/>
      <c r="CL94" s="70"/>
      <c r="CM94" s="70" t="s">
        <v>669</v>
      </c>
      <c r="CN94" s="70">
        <v>5400</v>
      </c>
      <c r="CO94" s="70" t="s">
        <v>670</v>
      </c>
      <c r="CP94" s="70">
        <v>90</v>
      </c>
      <c r="CQ94" s="70" t="s">
        <v>496</v>
      </c>
      <c r="CR94" s="70">
        <v>2</v>
      </c>
      <c r="CS94" s="70" t="s">
        <v>670</v>
      </c>
      <c r="CT94" s="70">
        <v>110</v>
      </c>
      <c r="CU94" s="70"/>
      <c r="CV94" s="70"/>
      <c r="CW94" s="70"/>
      <c r="CX94" s="70"/>
      <c r="CY94" s="70"/>
      <c r="CZ94" s="70"/>
      <c r="DA94" s="70"/>
      <c r="DB94" s="70"/>
      <c r="DC94" s="70"/>
      <c r="DD94" s="70"/>
    </row>
    <row r="95" spans="1:108" ht="16.5" x14ac:dyDescent="0.2">
      <c r="A95" s="23">
        <v>91</v>
      </c>
      <c r="B95" s="61">
        <v>10</v>
      </c>
      <c r="C95" s="39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1">
        <v>12</v>
      </c>
      <c r="M95" s="39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1">
        <v>14</v>
      </c>
      <c r="W95" s="39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1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70">
        <v>91</v>
      </c>
      <c r="CG95" s="70">
        <v>1</v>
      </c>
      <c r="CH95" s="70" t="s">
        <v>460</v>
      </c>
      <c r="CI95" s="70">
        <v>91</v>
      </c>
      <c r="CJ95" s="70"/>
      <c r="CK95" s="70"/>
      <c r="CL95" s="70"/>
      <c r="CM95" s="70" t="s">
        <v>669</v>
      </c>
      <c r="CN95" s="70">
        <v>5400</v>
      </c>
      <c r="CO95" s="70" t="s">
        <v>670</v>
      </c>
      <c r="CP95" s="70">
        <v>95</v>
      </c>
      <c r="CQ95" s="70"/>
      <c r="CR95" s="70"/>
      <c r="CS95" s="70" t="s">
        <v>670</v>
      </c>
      <c r="CT95" s="70">
        <v>110</v>
      </c>
      <c r="CU95" s="70"/>
      <c r="CV95" s="70"/>
      <c r="CW95" s="70"/>
      <c r="CX95" s="70"/>
      <c r="CY95" s="70"/>
      <c r="CZ95" s="70"/>
      <c r="DA95" s="70"/>
      <c r="DB95" s="70"/>
      <c r="DC95" s="70"/>
      <c r="DD95" s="70"/>
    </row>
    <row r="96" spans="1:108" ht="16.5" x14ac:dyDescent="0.2">
      <c r="A96" s="23">
        <v>92</v>
      </c>
      <c r="B96" s="61">
        <v>10</v>
      </c>
      <c r="C96" s="39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1">
        <v>12</v>
      </c>
      <c r="M96" s="39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1">
        <v>14</v>
      </c>
      <c r="W96" s="39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1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70">
        <v>92</v>
      </c>
      <c r="CG96" s="70">
        <v>1</v>
      </c>
      <c r="CH96" s="70" t="s">
        <v>460</v>
      </c>
      <c r="CI96" s="70">
        <v>92</v>
      </c>
      <c r="CJ96" s="70"/>
      <c r="CK96" s="70"/>
      <c r="CL96" s="70"/>
      <c r="CM96" s="70" t="s">
        <v>669</v>
      </c>
      <c r="CN96" s="70">
        <v>5400</v>
      </c>
      <c r="CO96" s="70" t="s">
        <v>670</v>
      </c>
      <c r="CP96" s="70">
        <v>95</v>
      </c>
      <c r="CQ96" s="70"/>
      <c r="CR96" s="70"/>
      <c r="CS96" s="70" t="s">
        <v>670</v>
      </c>
      <c r="CT96" s="70">
        <v>110</v>
      </c>
      <c r="CU96" s="70"/>
      <c r="CV96" s="70"/>
      <c r="CW96" s="70"/>
      <c r="CX96" s="70"/>
      <c r="CY96" s="70"/>
      <c r="CZ96" s="70"/>
      <c r="DA96" s="70"/>
      <c r="DB96" s="70"/>
      <c r="DC96" s="70"/>
      <c r="DD96" s="70"/>
    </row>
    <row r="97" spans="1:108" ht="16.5" x14ac:dyDescent="0.2">
      <c r="A97" s="23">
        <v>93</v>
      </c>
      <c r="B97" s="61">
        <v>10</v>
      </c>
      <c r="C97" s="39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1">
        <v>12</v>
      </c>
      <c r="M97" s="39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1">
        <v>14</v>
      </c>
      <c r="W97" s="39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1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70">
        <v>93</v>
      </c>
      <c r="CG97" s="70">
        <v>1</v>
      </c>
      <c r="CH97" s="70" t="s">
        <v>460</v>
      </c>
      <c r="CI97" s="70">
        <v>93</v>
      </c>
      <c r="CJ97" s="70"/>
      <c r="CK97" s="70"/>
      <c r="CL97" s="70"/>
      <c r="CM97" s="70" t="s">
        <v>669</v>
      </c>
      <c r="CN97" s="70">
        <v>5400</v>
      </c>
      <c r="CO97" s="70" t="s">
        <v>670</v>
      </c>
      <c r="CP97" s="70">
        <v>95</v>
      </c>
      <c r="CQ97" s="70"/>
      <c r="CR97" s="70"/>
      <c r="CS97" s="70" t="s">
        <v>670</v>
      </c>
      <c r="CT97" s="70">
        <v>110</v>
      </c>
      <c r="CU97" s="70"/>
      <c r="CV97" s="70"/>
      <c r="CW97" s="70"/>
      <c r="CX97" s="70"/>
      <c r="CY97" s="70"/>
      <c r="CZ97" s="70"/>
      <c r="DA97" s="70"/>
      <c r="DB97" s="70"/>
      <c r="DC97" s="70"/>
      <c r="DD97" s="70"/>
    </row>
    <row r="98" spans="1:108" ht="16.5" x14ac:dyDescent="0.2">
      <c r="A98" s="23">
        <v>94</v>
      </c>
      <c r="B98" s="61">
        <v>10</v>
      </c>
      <c r="C98" s="39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1">
        <v>12</v>
      </c>
      <c r="M98" s="39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1">
        <v>14</v>
      </c>
      <c r="W98" s="39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1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70">
        <v>94</v>
      </c>
      <c r="CG98" s="70">
        <v>1</v>
      </c>
      <c r="CH98" s="70" t="s">
        <v>460</v>
      </c>
      <c r="CI98" s="70">
        <v>94</v>
      </c>
      <c r="CJ98" s="70"/>
      <c r="CK98" s="70"/>
      <c r="CL98" s="70"/>
      <c r="CM98" s="70" t="s">
        <v>669</v>
      </c>
      <c r="CN98" s="70">
        <v>5400</v>
      </c>
      <c r="CO98" s="70" t="s">
        <v>670</v>
      </c>
      <c r="CP98" s="70">
        <v>95</v>
      </c>
      <c r="CQ98" s="70"/>
      <c r="CR98" s="70"/>
      <c r="CS98" s="70" t="s">
        <v>670</v>
      </c>
      <c r="CT98" s="70">
        <v>110</v>
      </c>
      <c r="CU98" s="70"/>
      <c r="CV98" s="70"/>
      <c r="CW98" s="70"/>
      <c r="CX98" s="70"/>
      <c r="CY98" s="70"/>
      <c r="CZ98" s="70"/>
      <c r="DA98" s="70"/>
      <c r="DB98" s="70"/>
      <c r="DC98" s="70"/>
      <c r="DD98" s="70"/>
    </row>
    <row r="99" spans="1:108" ht="16.5" x14ac:dyDescent="0.2">
      <c r="A99" s="23">
        <v>95</v>
      </c>
      <c r="B99" s="61">
        <v>10</v>
      </c>
      <c r="C99" s="39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1">
        <v>12</v>
      </c>
      <c r="M99" s="39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1">
        <v>14</v>
      </c>
      <c r="W99" s="39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1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70">
        <v>95</v>
      </c>
      <c r="CG99" s="70">
        <v>1</v>
      </c>
      <c r="CH99" s="70" t="s">
        <v>460</v>
      </c>
      <c r="CI99" s="70">
        <v>95</v>
      </c>
      <c r="CJ99" s="70"/>
      <c r="CK99" s="70"/>
      <c r="CL99" s="70"/>
      <c r="CM99" s="70" t="s">
        <v>669</v>
      </c>
      <c r="CN99" s="70">
        <v>5400</v>
      </c>
      <c r="CO99" s="70" t="s">
        <v>670</v>
      </c>
      <c r="CP99" s="70">
        <v>95</v>
      </c>
      <c r="CQ99" s="70" t="s">
        <v>671</v>
      </c>
      <c r="CR99" s="70">
        <v>2</v>
      </c>
      <c r="CS99" s="70" t="s">
        <v>670</v>
      </c>
      <c r="CT99" s="70">
        <v>115</v>
      </c>
      <c r="CU99" s="70"/>
      <c r="CV99" s="70"/>
      <c r="CW99" s="70"/>
      <c r="CX99" s="70"/>
      <c r="CY99" s="70"/>
      <c r="CZ99" s="70"/>
      <c r="DA99" s="70"/>
      <c r="DB99" s="70"/>
      <c r="DC99" s="70"/>
      <c r="DD99" s="70"/>
    </row>
    <row r="100" spans="1:108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1">
        <v>12</v>
      </c>
      <c r="M100" s="39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1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70">
        <v>96</v>
      </c>
      <c r="CG100" s="70">
        <v>1</v>
      </c>
      <c r="CH100" s="70" t="s">
        <v>460</v>
      </c>
      <c r="CI100" s="70">
        <v>96</v>
      </c>
      <c r="CJ100" s="70"/>
      <c r="CK100" s="70"/>
      <c r="CL100" s="70"/>
      <c r="CM100" s="70" t="s">
        <v>669</v>
      </c>
      <c r="CN100" s="70">
        <v>6600</v>
      </c>
      <c r="CO100" s="70" t="s">
        <v>670</v>
      </c>
      <c r="CP100" s="70">
        <v>100</v>
      </c>
      <c r="CQ100" s="70"/>
      <c r="CR100" s="70"/>
      <c r="CS100" s="70" t="s">
        <v>670</v>
      </c>
      <c r="CT100" s="70">
        <v>115</v>
      </c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</row>
    <row r="101" spans="1:108" ht="16.5" x14ac:dyDescent="0.2">
      <c r="A101" s="23">
        <v>97</v>
      </c>
      <c r="B101" s="61">
        <v>11</v>
      </c>
      <c r="C101" s="39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1">
        <v>12</v>
      </c>
      <c r="M101" s="39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1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70">
        <v>97</v>
      </c>
      <c r="CG101" s="70">
        <v>1</v>
      </c>
      <c r="CH101" s="70" t="s">
        <v>460</v>
      </c>
      <c r="CI101" s="70">
        <v>97</v>
      </c>
      <c r="CJ101" s="70"/>
      <c r="CK101" s="70"/>
      <c r="CL101" s="70"/>
      <c r="CM101" s="70" t="s">
        <v>669</v>
      </c>
      <c r="CN101" s="70">
        <v>6600</v>
      </c>
      <c r="CO101" s="70" t="s">
        <v>670</v>
      </c>
      <c r="CP101" s="70">
        <v>100</v>
      </c>
      <c r="CQ101" s="70"/>
      <c r="CR101" s="70"/>
      <c r="CS101" s="70" t="s">
        <v>670</v>
      </c>
      <c r="CT101" s="70">
        <v>115</v>
      </c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</row>
    <row r="102" spans="1:108" ht="16.5" x14ac:dyDescent="0.2">
      <c r="A102" s="23">
        <v>98</v>
      </c>
      <c r="B102" s="61">
        <v>11</v>
      </c>
      <c r="C102" s="39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1">
        <v>12</v>
      </c>
      <c r="M102" s="39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1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70">
        <v>98</v>
      </c>
      <c r="CG102" s="70">
        <v>1</v>
      </c>
      <c r="CH102" s="70" t="s">
        <v>460</v>
      </c>
      <c r="CI102" s="70">
        <v>98</v>
      </c>
      <c r="CJ102" s="70"/>
      <c r="CK102" s="70"/>
      <c r="CL102" s="70"/>
      <c r="CM102" s="70" t="s">
        <v>669</v>
      </c>
      <c r="CN102" s="70">
        <v>6600</v>
      </c>
      <c r="CO102" s="70" t="s">
        <v>670</v>
      </c>
      <c r="CP102" s="70">
        <v>100</v>
      </c>
      <c r="CQ102" s="70"/>
      <c r="CR102" s="70"/>
      <c r="CS102" s="70" t="s">
        <v>670</v>
      </c>
      <c r="CT102" s="70">
        <v>115</v>
      </c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</row>
    <row r="103" spans="1:108" ht="16.5" x14ac:dyDescent="0.2">
      <c r="A103" s="23">
        <v>99</v>
      </c>
      <c r="B103" s="61">
        <v>11</v>
      </c>
      <c r="C103" s="39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1">
        <v>12</v>
      </c>
      <c r="M103" s="39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1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70">
        <v>99</v>
      </c>
      <c r="CG103" s="70">
        <v>1</v>
      </c>
      <c r="CH103" s="70" t="s">
        <v>460</v>
      </c>
      <c r="CI103" s="70">
        <v>99</v>
      </c>
      <c r="CJ103" s="70"/>
      <c r="CK103" s="70"/>
      <c r="CL103" s="70"/>
      <c r="CM103" s="70" t="s">
        <v>669</v>
      </c>
      <c r="CN103" s="70">
        <v>6600</v>
      </c>
      <c r="CO103" s="70" t="s">
        <v>670</v>
      </c>
      <c r="CP103" s="70">
        <v>100</v>
      </c>
      <c r="CQ103" s="70"/>
      <c r="CR103" s="70"/>
      <c r="CS103" s="70" t="s">
        <v>670</v>
      </c>
      <c r="CT103" s="70">
        <v>115</v>
      </c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</row>
    <row r="104" spans="1:108" ht="16.5" x14ac:dyDescent="0.2">
      <c r="A104" s="23">
        <v>100</v>
      </c>
      <c r="B104" s="61">
        <v>11</v>
      </c>
      <c r="C104" s="39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1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70">
        <v>100</v>
      </c>
      <c r="CG104" s="70">
        <v>1</v>
      </c>
      <c r="CH104" s="70" t="s">
        <v>460</v>
      </c>
      <c r="CI104" s="70">
        <v>100</v>
      </c>
      <c r="CJ104" s="70"/>
      <c r="CK104" s="70"/>
      <c r="CL104" s="70"/>
      <c r="CM104" s="70" t="s">
        <v>669</v>
      </c>
      <c r="CN104" s="70">
        <v>6600</v>
      </c>
      <c r="CO104" s="70" t="s">
        <v>670</v>
      </c>
      <c r="CP104" s="70">
        <v>100</v>
      </c>
      <c r="CQ104" s="70" t="s">
        <v>496</v>
      </c>
      <c r="CR104" s="70">
        <v>2</v>
      </c>
      <c r="CS104" s="70" t="s">
        <v>670</v>
      </c>
      <c r="CT104" s="70">
        <v>120</v>
      </c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70">
        <v>101</v>
      </c>
      <c r="CG105" s="70">
        <v>2</v>
      </c>
      <c r="CH105" s="70" t="s">
        <v>460</v>
      </c>
      <c r="CI105" s="70">
        <v>1</v>
      </c>
      <c r="CJ105" s="70"/>
      <c r="CK105" s="70"/>
      <c r="CL105" s="70"/>
      <c r="CM105" s="70" t="s">
        <v>669</v>
      </c>
      <c r="CN105" s="70">
        <v>3000</v>
      </c>
      <c r="CO105" s="70" t="s">
        <v>670</v>
      </c>
      <c r="CP105" s="70">
        <v>10</v>
      </c>
      <c r="CQ105" s="70"/>
      <c r="CR105" s="70"/>
      <c r="CS105" s="70" t="s">
        <v>670</v>
      </c>
      <c r="CT105" s="70">
        <v>20</v>
      </c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</row>
    <row r="106" spans="1:108" ht="16.5" x14ac:dyDescent="0.2">
      <c r="BB106" s="70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70">
        <v>102</v>
      </c>
      <c r="CG106" s="70">
        <v>2</v>
      </c>
      <c r="CH106" s="70" t="s">
        <v>460</v>
      </c>
      <c r="CI106" s="70">
        <v>2</v>
      </c>
      <c r="CJ106" s="70"/>
      <c r="CK106" s="70"/>
      <c r="CL106" s="70"/>
      <c r="CM106" s="70" t="s">
        <v>669</v>
      </c>
      <c r="CN106" s="70">
        <v>3000</v>
      </c>
      <c r="CO106" s="70" t="s">
        <v>670</v>
      </c>
      <c r="CP106" s="70">
        <v>10</v>
      </c>
      <c r="CQ106" s="70" t="s">
        <v>497</v>
      </c>
      <c r="CR106" s="70">
        <v>1</v>
      </c>
      <c r="CS106" s="70" t="s">
        <v>670</v>
      </c>
      <c r="CT106" s="70">
        <v>20</v>
      </c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</row>
    <row r="107" spans="1:108" ht="16.5" x14ac:dyDescent="0.2">
      <c r="BB107" s="70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70">
        <v>103</v>
      </c>
      <c r="CG107" s="70">
        <v>2</v>
      </c>
      <c r="CH107" s="70" t="s">
        <v>460</v>
      </c>
      <c r="CI107" s="70">
        <v>3</v>
      </c>
      <c r="CJ107" s="70"/>
      <c r="CK107" s="70"/>
      <c r="CL107" s="70"/>
      <c r="CM107" s="70" t="s">
        <v>669</v>
      </c>
      <c r="CN107" s="70">
        <v>3000</v>
      </c>
      <c r="CO107" s="70" t="s">
        <v>670</v>
      </c>
      <c r="CP107" s="70">
        <v>10</v>
      </c>
      <c r="CQ107" s="70"/>
      <c r="CR107" s="70"/>
      <c r="CS107" s="70" t="s">
        <v>670</v>
      </c>
      <c r="CT107" s="70">
        <v>20</v>
      </c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</row>
    <row r="108" spans="1:108" ht="16.5" x14ac:dyDescent="0.2">
      <c r="BB108" s="70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70">
        <v>104</v>
      </c>
      <c r="CG108" s="70">
        <v>2</v>
      </c>
      <c r="CH108" s="70" t="s">
        <v>460</v>
      </c>
      <c r="CI108" s="70">
        <v>4</v>
      </c>
      <c r="CJ108" s="70"/>
      <c r="CK108" s="70"/>
      <c r="CL108" s="70"/>
      <c r="CM108" s="70" t="s">
        <v>669</v>
      </c>
      <c r="CN108" s="70">
        <v>3000</v>
      </c>
      <c r="CO108" s="70" t="s">
        <v>670</v>
      </c>
      <c r="CP108" s="70">
        <v>10</v>
      </c>
      <c r="CQ108" s="70" t="s">
        <v>498</v>
      </c>
      <c r="CR108" s="70">
        <v>1</v>
      </c>
      <c r="CS108" s="70" t="s">
        <v>670</v>
      </c>
      <c r="CT108" s="70">
        <v>20</v>
      </c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</row>
    <row r="109" spans="1:108" ht="16.5" x14ac:dyDescent="0.2">
      <c r="BB109" s="70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70">
        <v>105</v>
      </c>
      <c r="CG109" s="70">
        <v>2</v>
      </c>
      <c r="CH109" s="70" t="s">
        <v>460</v>
      </c>
      <c r="CI109" s="70">
        <v>5</v>
      </c>
      <c r="CJ109" s="70"/>
      <c r="CK109" s="70"/>
      <c r="CL109" s="70"/>
      <c r="CM109" s="70" t="s">
        <v>669</v>
      </c>
      <c r="CN109" s="70">
        <v>3840</v>
      </c>
      <c r="CO109" s="70" t="s">
        <v>670</v>
      </c>
      <c r="CP109" s="70">
        <v>10</v>
      </c>
      <c r="CQ109" s="70"/>
      <c r="CR109" s="70"/>
      <c r="CS109" s="70" t="s">
        <v>670</v>
      </c>
      <c r="CT109" s="70">
        <v>25</v>
      </c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</row>
    <row r="110" spans="1:108" ht="16.5" x14ac:dyDescent="0.2">
      <c r="BB110" s="70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70">
        <v>106</v>
      </c>
      <c r="CG110" s="70">
        <v>2</v>
      </c>
      <c r="CH110" s="70" t="s">
        <v>460</v>
      </c>
      <c r="CI110" s="70">
        <v>6</v>
      </c>
      <c r="CJ110" s="70"/>
      <c r="CK110" s="70"/>
      <c r="CL110" s="70"/>
      <c r="CM110" s="70" t="s">
        <v>669</v>
      </c>
      <c r="CN110" s="70">
        <v>3840</v>
      </c>
      <c r="CO110" s="70" t="s">
        <v>670</v>
      </c>
      <c r="CP110" s="70">
        <v>15</v>
      </c>
      <c r="CQ110" s="70"/>
      <c r="CR110" s="70"/>
      <c r="CS110" s="70" t="s">
        <v>670</v>
      </c>
      <c r="CT110" s="70">
        <v>25</v>
      </c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</row>
    <row r="111" spans="1:108" ht="16.5" x14ac:dyDescent="0.2">
      <c r="BB111" s="70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70">
        <v>107</v>
      </c>
      <c r="CG111" s="70">
        <v>2</v>
      </c>
      <c r="CH111" s="70" t="s">
        <v>460</v>
      </c>
      <c r="CI111" s="70">
        <v>7</v>
      </c>
      <c r="CJ111" s="70"/>
      <c r="CK111" s="70"/>
      <c r="CL111" s="70"/>
      <c r="CM111" s="70" t="s">
        <v>669</v>
      </c>
      <c r="CN111" s="70">
        <v>3840</v>
      </c>
      <c r="CO111" s="70" t="s">
        <v>670</v>
      </c>
      <c r="CP111" s="70">
        <v>15</v>
      </c>
      <c r="CQ111" s="70" t="s">
        <v>497</v>
      </c>
      <c r="CR111" s="70">
        <v>1</v>
      </c>
      <c r="CS111" s="70" t="s">
        <v>670</v>
      </c>
      <c r="CT111" s="70">
        <v>25</v>
      </c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</row>
    <row r="112" spans="1:108" ht="16.5" x14ac:dyDescent="0.2">
      <c r="BB112" s="70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70">
        <v>108</v>
      </c>
      <c r="CG112" s="70">
        <v>2</v>
      </c>
      <c r="CH112" s="70" t="s">
        <v>460</v>
      </c>
      <c r="CI112" s="70">
        <v>8</v>
      </c>
      <c r="CJ112" s="70"/>
      <c r="CK112" s="70"/>
      <c r="CL112" s="70"/>
      <c r="CM112" s="70" t="s">
        <v>669</v>
      </c>
      <c r="CN112" s="70">
        <v>3840</v>
      </c>
      <c r="CO112" s="70" t="s">
        <v>670</v>
      </c>
      <c r="CP112" s="70">
        <v>15</v>
      </c>
      <c r="CQ112" s="70"/>
      <c r="CR112" s="70"/>
      <c r="CS112" s="70" t="s">
        <v>670</v>
      </c>
      <c r="CT112" s="70">
        <v>25</v>
      </c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</row>
    <row r="113" spans="54:108" ht="16.5" x14ac:dyDescent="0.2">
      <c r="BB113" s="70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70">
        <v>109</v>
      </c>
      <c r="CG113" s="70">
        <v>2</v>
      </c>
      <c r="CH113" s="70" t="s">
        <v>460</v>
      </c>
      <c r="CI113" s="70">
        <v>9</v>
      </c>
      <c r="CJ113" s="70"/>
      <c r="CK113" s="70"/>
      <c r="CL113" s="70"/>
      <c r="CM113" s="70" t="s">
        <v>669</v>
      </c>
      <c r="CN113" s="70">
        <v>3840</v>
      </c>
      <c r="CO113" s="70" t="s">
        <v>670</v>
      </c>
      <c r="CP113" s="70">
        <v>15</v>
      </c>
      <c r="CQ113" s="70"/>
      <c r="CR113" s="70"/>
      <c r="CS113" s="70" t="s">
        <v>670</v>
      </c>
      <c r="CT113" s="70">
        <v>25</v>
      </c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</row>
    <row r="114" spans="54:108" ht="16.5" x14ac:dyDescent="0.2">
      <c r="BB114" s="70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70">
        <v>110</v>
      </c>
      <c r="CG114" s="70">
        <v>2</v>
      </c>
      <c r="CH114" s="70" t="s">
        <v>460</v>
      </c>
      <c r="CI114" s="70">
        <v>10</v>
      </c>
      <c r="CJ114" s="70"/>
      <c r="CK114" s="70"/>
      <c r="CL114" s="70"/>
      <c r="CM114" s="70" t="s">
        <v>669</v>
      </c>
      <c r="CN114" s="70">
        <v>3840</v>
      </c>
      <c r="CO114" s="70" t="s">
        <v>670</v>
      </c>
      <c r="CP114" s="70">
        <v>15</v>
      </c>
      <c r="CQ114" s="70" t="s">
        <v>498</v>
      </c>
      <c r="CR114" s="70">
        <v>1</v>
      </c>
      <c r="CS114" s="70" t="s">
        <v>670</v>
      </c>
      <c r="CT114" s="70">
        <v>30</v>
      </c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</row>
    <row r="115" spans="54:108" ht="16.5" x14ac:dyDescent="0.2">
      <c r="BB115" s="70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70">
        <v>111</v>
      </c>
      <c r="CG115" s="70">
        <v>2</v>
      </c>
      <c r="CH115" s="70" t="s">
        <v>460</v>
      </c>
      <c r="CI115" s="70">
        <v>11</v>
      </c>
      <c r="CJ115" s="70"/>
      <c r="CK115" s="70"/>
      <c r="CL115" s="70"/>
      <c r="CM115" s="70" t="s">
        <v>669</v>
      </c>
      <c r="CN115" s="70">
        <v>4800</v>
      </c>
      <c r="CO115" s="70" t="s">
        <v>670</v>
      </c>
      <c r="CP115" s="70">
        <v>20</v>
      </c>
      <c r="CQ115" s="70"/>
      <c r="CR115" s="70"/>
      <c r="CS115" s="70" t="s">
        <v>670</v>
      </c>
      <c r="CT115" s="70">
        <v>30</v>
      </c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</row>
    <row r="116" spans="54:108" ht="16.5" x14ac:dyDescent="0.2">
      <c r="BB116" s="70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70">
        <v>112</v>
      </c>
      <c r="CG116" s="70">
        <v>2</v>
      </c>
      <c r="CH116" s="70" t="s">
        <v>460</v>
      </c>
      <c r="CI116" s="70">
        <v>12</v>
      </c>
      <c r="CJ116" s="70"/>
      <c r="CK116" s="70"/>
      <c r="CL116" s="70"/>
      <c r="CM116" s="70" t="s">
        <v>669</v>
      </c>
      <c r="CN116" s="70">
        <v>4800</v>
      </c>
      <c r="CO116" s="70" t="s">
        <v>670</v>
      </c>
      <c r="CP116" s="70">
        <v>20</v>
      </c>
      <c r="CQ116" s="70"/>
      <c r="CR116" s="70"/>
      <c r="CS116" s="70" t="s">
        <v>670</v>
      </c>
      <c r="CT116" s="70">
        <v>30</v>
      </c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</row>
    <row r="117" spans="54:108" ht="16.5" x14ac:dyDescent="0.2">
      <c r="BB117" s="70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70">
        <v>113</v>
      </c>
      <c r="CG117" s="70">
        <v>2</v>
      </c>
      <c r="CH117" s="70" t="s">
        <v>460</v>
      </c>
      <c r="CI117" s="70">
        <v>13</v>
      </c>
      <c r="CJ117" s="70"/>
      <c r="CK117" s="70"/>
      <c r="CL117" s="70"/>
      <c r="CM117" s="70" t="s">
        <v>669</v>
      </c>
      <c r="CN117" s="70">
        <v>4800</v>
      </c>
      <c r="CO117" s="70" t="s">
        <v>670</v>
      </c>
      <c r="CP117" s="70">
        <v>20</v>
      </c>
      <c r="CQ117" s="70"/>
      <c r="CR117" s="70"/>
      <c r="CS117" s="70" t="s">
        <v>670</v>
      </c>
      <c r="CT117" s="70">
        <v>30</v>
      </c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</row>
    <row r="118" spans="54:108" ht="16.5" x14ac:dyDescent="0.2">
      <c r="BB118" s="70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70">
        <v>114</v>
      </c>
      <c r="CG118" s="70">
        <v>2</v>
      </c>
      <c r="CH118" s="70" t="s">
        <v>460</v>
      </c>
      <c r="CI118" s="70">
        <v>14</v>
      </c>
      <c r="CJ118" s="70"/>
      <c r="CK118" s="70"/>
      <c r="CL118" s="70"/>
      <c r="CM118" s="70" t="s">
        <v>669</v>
      </c>
      <c r="CN118" s="70">
        <v>4800</v>
      </c>
      <c r="CO118" s="70" t="s">
        <v>670</v>
      </c>
      <c r="CP118" s="70">
        <v>20</v>
      </c>
      <c r="CQ118" s="70"/>
      <c r="CR118" s="70"/>
      <c r="CS118" s="70" t="s">
        <v>670</v>
      </c>
      <c r="CT118" s="70">
        <v>30</v>
      </c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</row>
    <row r="119" spans="54:108" ht="16.5" x14ac:dyDescent="0.2">
      <c r="BB119" s="70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70">
        <v>115</v>
      </c>
      <c r="CG119" s="70">
        <v>2</v>
      </c>
      <c r="CH119" s="70" t="s">
        <v>460</v>
      </c>
      <c r="CI119" s="70">
        <v>15</v>
      </c>
      <c r="CJ119" s="70"/>
      <c r="CK119" s="70"/>
      <c r="CL119" s="70"/>
      <c r="CM119" s="70" t="s">
        <v>669</v>
      </c>
      <c r="CN119" s="70">
        <v>4800</v>
      </c>
      <c r="CO119" s="70" t="s">
        <v>670</v>
      </c>
      <c r="CP119" s="70">
        <v>20</v>
      </c>
      <c r="CQ119" s="70" t="s">
        <v>497</v>
      </c>
      <c r="CR119" s="70">
        <v>2</v>
      </c>
      <c r="CS119" s="70" t="s">
        <v>670</v>
      </c>
      <c r="CT119" s="70">
        <v>35</v>
      </c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</row>
    <row r="120" spans="54:108" ht="16.5" x14ac:dyDescent="0.2">
      <c r="BB120" s="70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70">
        <v>116</v>
      </c>
      <c r="CG120" s="70">
        <v>2</v>
      </c>
      <c r="CH120" s="70" t="s">
        <v>460</v>
      </c>
      <c r="CI120" s="70">
        <v>16</v>
      </c>
      <c r="CJ120" s="70"/>
      <c r="CK120" s="70"/>
      <c r="CL120" s="70"/>
      <c r="CM120" s="70" t="s">
        <v>669</v>
      </c>
      <c r="CN120" s="70">
        <v>4800</v>
      </c>
      <c r="CO120" s="70" t="s">
        <v>670</v>
      </c>
      <c r="CP120" s="70">
        <v>25</v>
      </c>
      <c r="CQ120" s="70"/>
      <c r="CR120" s="70"/>
      <c r="CS120" s="70" t="s">
        <v>670</v>
      </c>
      <c r="CT120" s="70">
        <v>35</v>
      </c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</row>
    <row r="121" spans="54:108" ht="16.5" x14ac:dyDescent="0.2">
      <c r="BB121" s="70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70">
        <v>117</v>
      </c>
      <c r="CG121" s="70">
        <v>2</v>
      </c>
      <c r="CH121" s="70" t="s">
        <v>460</v>
      </c>
      <c r="CI121" s="70">
        <v>17</v>
      </c>
      <c r="CJ121" s="70"/>
      <c r="CK121" s="70"/>
      <c r="CL121" s="70"/>
      <c r="CM121" s="70" t="s">
        <v>669</v>
      </c>
      <c r="CN121" s="70">
        <v>4800</v>
      </c>
      <c r="CO121" s="70" t="s">
        <v>670</v>
      </c>
      <c r="CP121" s="70">
        <v>25</v>
      </c>
      <c r="CQ121" s="70"/>
      <c r="CR121" s="70"/>
      <c r="CS121" s="70" t="s">
        <v>670</v>
      </c>
      <c r="CT121" s="70">
        <v>35</v>
      </c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</row>
    <row r="122" spans="54:108" ht="16.5" x14ac:dyDescent="0.2">
      <c r="BB122" s="70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70">
        <v>118</v>
      </c>
      <c r="CG122" s="70">
        <v>2</v>
      </c>
      <c r="CH122" s="70" t="s">
        <v>460</v>
      </c>
      <c r="CI122" s="70">
        <v>18</v>
      </c>
      <c r="CJ122" s="70"/>
      <c r="CK122" s="70"/>
      <c r="CL122" s="70"/>
      <c r="CM122" s="70" t="s">
        <v>669</v>
      </c>
      <c r="CN122" s="70">
        <v>4800</v>
      </c>
      <c r="CO122" s="70" t="s">
        <v>670</v>
      </c>
      <c r="CP122" s="70">
        <v>25</v>
      </c>
      <c r="CQ122" s="70"/>
      <c r="CR122" s="70"/>
      <c r="CS122" s="70" t="s">
        <v>670</v>
      </c>
      <c r="CT122" s="70">
        <v>35</v>
      </c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</row>
    <row r="123" spans="54:108" ht="16.5" x14ac:dyDescent="0.2">
      <c r="BB123" s="70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70">
        <v>119</v>
      </c>
      <c r="CG123" s="70">
        <v>2</v>
      </c>
      <c r="CH123" s="70" t="s">
        <v>460</v>
      </c>
      <c r="CI123" s="70">
        <v>19</v>
      </c>
      <c r="CJ123" s="70"/>
      <c r="CK123" s="70"/>
      <c r="CL123" s="70"/>
      <c r="CM123" s="70" t="s">
        <v>669</v>
      </c>
      <c r="CN123" s="70">
        <v>4800</v>
      </c>
      <c r="CO123" s="70" t="s">
        <v>670</v>
      </c>
      <c r="CP123" s="70">
        <v>25</v>
      </c>
      <c r="CQ123" s="70"/>
      <c r="CR123" s="70"/>
      <c r="CS123" s="70" t="s">
        <v>670</v>
      </c>
      <c r="CT123" s="70">
        <v>35</v>
      </c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</row>
    <row r="124" spans="54:108" ht="16.5" x14ac:dyDescent="0.2">
      <c r="BB124" s="70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70">
        <v>120</v>
      </c>
      <c r="CG124" s="70">
        <v>2</v>
      </c>
      <c r="CH124" s="70" t="s">
        <v>460</v>
      </c>
      <c r="CI124" s="70">
        <v>20</v>
      </c>
      <c r="CJ124" s="70"/>
      <c r="CK124" s="70"/>
      <c r="CL124" s="70"/>
      <c r="CM124" s="70" t="s">
        <v>669</v>
      </c>
      <c r="CN124" s="70">
        <v>6000</v>
      </c>
      <c r="CO124" s="70" t="s">
        <v>670</v>
      </c>
      <c r="CP124" s="70">
        <v>25</v>
      </c>
      <c r="CQ124" s="70" t="s">
        <v>498</v>
      </c>
      <c r="CR124" s="70">
        <v>2</v>
      </c>
      <c r="CS124" s="70" t="s">
        <v>670</v>
      </c>
      <c r="CT124" s="70">
        <v>40</v>
      </c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</row>
    <row r="125" spans="54:108" ht="16.5" x14ac:dyDescent="0.2">
      <c r="BB125" s="70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70">
        <v>121</v>
      </c>
      <c r="CG125" s="70">
        <v>2</v>
      </c>
      <c r="CH125" s="70" t="s">
        <v>460</v>
      </c>
      <c r="CI125" s="70">
        <v>21</v>
      </c>
      <c r="CJ125" s="70"/>
      <c r="CK125" s="70"/>
      <c r="CL125" s="70"/>
      <c r="CM125" s="70" t="s">
        <v>669</v>
      </c>
      <c r="CN125" s="70">
        <v>6000</v>
      </c>
      <c r="CO125" s="70" t="s">
        <v>670</v>
      </c>
      <c r="CP125" s="70">
        <v>30</v>
      </c>
      <c r="CQ125" s="70"/>
      <c r="CR125" s="70"/>
      <c r="CS125" s="70" t="s">
        <v>670</v>
      </c>
      <c r="CT125" s="70">
        <v>40</v>
      </c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</row>
    <row r="126" spans="54:108" ht="16.5" x14ac:dyDescent="0.2">
      <c r="BB126" s="70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70">
        <v>122</v>
      </c>
      <c r="CG126" s="70">
        <v>2</v>
      </c>
      <c r="CH126" s="70" t="s">
        <v>460</v>
      </c>
      <c r="CI126" s="70">
        <v>22</v>
      </c>
      <c r="CJ126" s="70"/>
      <c r="CK126" s="70"/>
      <c r="CL126" s="70"/>
      <c r="CM126" s="70" t="s">
        <v>669</v>
      </c>
      <c r="CN126" s="70">
        <v>6000</v>
      </c>
      <c r="CO126" s="70" t="s">
        <v>670</v>
      </c>
      <c r="CP126" s="70">
        <v>30</v>
      </c>
      <c r="CQ126" s="70"/>
      <c r="CR126" s="70"/>
      <c r="CS126" s="70" t="s">
        <v>670</v>
      </c>
      <c r="CT126" s="70">
        <v>40</v>
      </c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</row>
    <row r="127" spans="54:108" ht="16.5" x14ac:dyDescent="0.2">
      <c r="BB127" s="70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70">
        <v>123</v>
      </c>
      <c r="CG127" s="70">
        <v>2</v>
      </c>
      <c r="CH127" s="70" t="s">
        <v>460</v>
      </c>
      <c r="CI127" s="70">
        <v>23</v>
      </c>
      <c r="CJ127" s="70"/>
      <c r="CK127" s="70"/>
      <c r="CL127" s="70"/>
      <c r="CM127" s="70" t="s">
        <v>669</v>
      </c>
      <c r="CN127" s="70">
        <v>6000</v>
      </c>
      <c r="CO127" s="70" t="s">
        <v>670</v>
      </c>
      <c r="CP127" s="70">
        <v>30</v>
      </c>
      <c r="CQ127" s="70"/>
      <c r="CR127" s="70"/>
      <c r="CS127" s="70" t="s">
        <v>670</v>
      </c>
      <c r="CT127" s="70">
        <v>40</v>
      </c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</row>
    <row r="128" spans="54:108" ht="16.5" x14ac:dyDescent="0.2">
      <c r="BB128" s="70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70">
        <v>124</v>
      </c>
      <c r="CG128" s="70">
        <v>2</v>
      </c>
      <c r="CH128" s="70" t="s">
        <v>460</v>
      </c>
      <c r="CI128" s="70">
        <v>24</v>
      </c>
      <c r="CJ128" s="70"/>
      <c r="CK128" s="70"/>
      <c r="CL128" s="70"/>
      <c r="CM128" s="70" t="s">
        <v>669</v>
      </c>
      <c r="CN128" s="70">
        <v>6000</v>
      </c>
      <c r="CO128" s="70" t="s">
        <v>670</v>
      </c>
      <c r="CP128" s="70">
        <v>30</v>
      </c>
      <c r="CQ128" s="70"/>
      <c r="CR128" s="70"/>
      <c r="CS128" s="70" t="s">
        <v>670</v>
      </c>
      <c r="CT128" s="70">
        <v>40</v>
      </c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</row>
    <row r="129" spans="54:108" ht="16.5" x14ac:dyDescent="0.2">
      <c r="BB129" s="70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70">
        <v>125</v>
      </c>
      <c r="CG129" s="70">
        <v>2</v>
      </c>
      <c r="CH129" s="70" t="s">
        <v>460</v>
      </c>
      <c r="CI129" s="70">
        <v>25</v>
      </c>
      <c r="CJ129" s="70"/>
      <c r="CK129" s="70"/>
      <c r="CL129" s="70"/>
      <c r="CM129" s="70" t="s">
        <v>669</v>
      </c>
      <c r="CN129" s="70">
        <v>6000</v>
      </c>
      <c r="CO129" s="70" t="s">
        <v>670</v>
      </c>
      <c r="CP129" s="70">
        <v>30</v>
      </c>
      <c r="CQ129" s="70" t="s">
        <v>497</v>
      </c>
      <c r="CR129" s="70">
        <v>2</v>
      </c>
      <c r="CS129" s="70" t="s">
        <v>670</v>
      </c>
      <c r="CT129" s="70">
        <v>45</v>
      </c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</row>
    <row r="130" spans="54:108" ht="16.5" x14ac:dyDescent="0.2">
      <c r="BB130" s="70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70">
        <v>126</v>
      </c>
      <c r="CG130" s="70">
        <v>2</v>
      </c>
      <c r="CH130" s="70" t="s">
        <v>460</v>
      </c>
      <c r="CI130" s="70">
        <v>26</v>
      </c>
      <c r="CJ130" s="70"/>
      <c r="CK130" s="70"/>
      <c r="CL130" s="70"/>
      <c r="CM130" s="70" t="s">
        <v>669</v>
      </c>
      <c r="CN130" s="70">
        <v>6000</v>
      </c>
      <c r="CO130" s="70" t="s">
        <v>670</v>
      </c>
      <c r="CP130" s="70">
        <v>35</v>
      </c>
      <c r="CQ130" s="70"/>
      <c r="CR130" s="70"/>
      <c r="CS130" s="70" t="s">
        <v>670</v>
      </c>
      <c r="CT130" s="70">
        <v>45</v>
      </c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</row>
    <row r="131" spans="54:108" ht="16.5" x14ac:dyDescent="0.2">
      <c r="BB131" s="70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70">
        <v>127</v>
      </c>
      <c r="CG131" s="70">
        <v>2</v>
      </c>
      <c r="CH131" s="70" t="s">
        <v>460</v>
      </c>
      <c r="CI131" s="70">
        <v>27</v>
      </c>
      <c r="CJ131" s="70"/>
      <c r="CK131" s="70"/>
      <c r="CL131" s="70"/>
      <c r="CM131" s="70" t="s">
        <v>669</v>
      </c>
      <c r="CN131" s="70">
        <v>6000</v>
      </c>
      <c r="CO131" s="70" t="s">
        <v>670</v>
      </c>
      <c r="CP131" s="70">
        <v>35</v>
      </c>
      <c r="CQ131" s="70"/>
      <c r="CR131" s="70"/>
      <c r="CS131" s="70" t="s">
        <v>670</v>
      </c>
      <c r="CT131" s="70">
        <v>45</v>
      </c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</row>
    <row r="132" spans="54:108" ht="16.5" x14ac:dyDescent="0.2">
      <c r="BB132" s="70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70">
        <v>128</v>
      </c>
      <c r="CG132" s="70">
        <v>2</v>
      </c>
      <c r="CH132" s="70" t="s">
        <v>460</v>
      </c>
      <c r="CI132" s="70">
        <v>28</v>
      </c>
      <c r="CJ132" s="70"/>
      <c r="CK132" s="70"/>
      <c r="CL132" s="70"/>
      <c r="CM132" s="70" t="s">
        <v>669</v>
      </c>
      <c r="CN132" s="70">
        <v>6000</v>
      </c>
      <c r="CO132" s="70" t="s">
        <v>670</v>
      </c>
      <c r="CP132" s="70">
        <v>35</v>
      </c>
      <c r="CQ132" s="70"/>
      <c r="CR132" s="70"/>
      <c r="CS132" s="70" t="s">
        <v>670</v>
      </c>
      <c r="CT132" s="70">
        <v>45</v>
      </c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</row>
    <row r="133" spans="54:108" ht="16.5" x14ac:dyDescent="0.2">
      <c r="BB133" s="70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70">
        <v>129</v>
      </c>
      <c r="CG133" s="70">
        <v>2</v>
      </c>
      <c r="CH133" s="70" t="s">
        <v>460</v>
      </c>
      <c r="CI133" s="70">
        <v>29</v>
      </c>
      <c r="CJ133" s="70"/>
      <c r="CK133" s="70"/>
      <c r="CL133" s="70"/>
      <c r="CM133" s="70" t="s">
        <v>669</v>
      </c>
      <c r="CN133" s="70">
        <v>6000</v>
      </c>
      <c r="CO133" s="70" t="s">
        <v>670</v>
      </c>
      <c r="CP133" s="70">
        <v>35</v>
      </c>
      <c r="CQ133" s="70"/>
      <c r="CR133" s="70"/>
      <c r="CS133" s="70" t="s">
        <v>670</v>
      </c>
      <c r="CT133" s="70">
        <v>45</v>
      </c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</row>
    <row r="134" spans="54:108" ht="16.5" x14ac:dyDescent="0.2">
      <c r="BB134" s="70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70">
        <v>130</v>
      </c>
      <c r="CG134" s="70">
        <v>2</v>
      </c>
      <c r="CH134" s="70" t="s">
        <v>460</v>
      </c>
      <c r="CI134" s="70">
        <v>30</v>
      </c>
      <c r="CJ134" s="70"/>
      <c r="CK134" s="70"/>
      <c r="CL134" s="70"/>
      <c r="CM134" s="70" t="s">
        <v>669</v>
      </c>
      <c r="CN134" s="70">
        <v>7200</v>
      </c>
      <c r="CO134" s="70" t="s">
        <v>670</v>
      </c>
      <c r="CP134" s="70">
        <v>35</v>
      </c>
      <c r="CQ134" s="70" t="s">
        <v>497</v>
      </c>
      <c r="CR134" s="70">
        <v>2</v>
      </c>
      <c r="CS134" s="70" t="s">
        <v>670</v>
      </c>
      <c r="CT134" s="70">
        <v>50</v>
      </c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</row>
    <row r="135" spans="54:108" ht="16.5" x14ac:dyDescent="0.2">
      <c r="BB135" s="70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70">
        <v>131</v>
      </c>
      <c r="CG135" s="70">
        <v>2</v>
      </c>
      <c r="CH135" s="70" t="s">
        <v>460</v>
      </c>
      <c r="CI135" s="70">
        <v>31</v>
      </c>
      <c r="CJ135" s="70"/>
      <c r="CK135" s="70"/>
      <c r="CL135" s="70"/>
      <c r="CM135" s="70" t="s">
        <v>669</v>
      </c>
      <c r="CN135" s="70">
        <v>7200</v>
      </c>
      <c r="CO135" s="70" t="s">
        <v>670</v>
      </c>
      <c r="CP135" s="70">
        <v>40</v>
      </c>
      <c r="CQ135" s="70"/>
      <c r="CR135" s="70"/>
      <c r="CS135" s="70" t="s">
        <v>670</v>
      </c>
      <c r="CT135" s="70">
        <v>50</v>
      </c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</row>
    <row r="136" spans="54:108" ht="16.5" x14ac:dyDescent="0.2">
      <c r="BB136" s="70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70">
        <v>132</v>
      </c>
      <c r="CG136" s="70">
        <v>2</v>
      </c>
      <c r="CH136" s="70" t="s">
        <v>460</v>
      </c>
      <c r="CI136" s="70">
        <v>32</v>
      </c>
      <c r="CJ136" s="70"/>
      <c r="CK136" s="70"/>
      <c r="CL136" s="70"/>
      <c r="CM136" s="70" t="s">
        <v>669</v>
      </c>
      <c r="CN136" s="70">
        <v>7200</v>
      </c>
      <c r="CO136" s="70" t="s">
        <v>670</v>
      </c>
      <c r="CP136" s="70">
        <v>40</v>
      </c>
      <c r="CQ136" s="70"/>
      <c r="CR136" s="70"/>
      <c r="CS136" s="70" t="s">
        <v>670</v>
      </c>
      <c r="CT136" s="70">
        <v>50</v>
      </c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</row>
    <row r="137" spans="54:108" ht="16.5" x14ac:dyDescent="0.2">
      <c r="BB137" s="70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70">
        <v>133</v>
      </c>
      <c r="CG137" s="70">
        <v>2</v>
      </c>
      <c r="CH137" s="70" t="s">
        <v>460</v>
      </c>
      <c r="CI137" s="70">
        <v>33</v>
      </c>
      <c r="CJ137" s="70"/>
      <c r="CK137" s="70"/>
      <c r="CL137" s="70"/>
      <c r="CM137" s="70" t="s">
        <v>669</v>
      </c>
      <c r="CN137" s="70">
        <v>7200</v>
      </c>
      <c r="CO137" s="70" t="s">
        <v>670</v>
      </c>
      <c r="CP137" s="70">
        <v>40</v>
      </c>
      <c r="CQ137" s="70"/>
      <c r="CR137" s="70"/>
      <c r="CS137" s="70" t="s">
        <v>670</v>
      </c>
      <c r="CT137" s="70">
        <v>50</v>
      </c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</row>
    <row r="138" spans="54:108" ht="16.5" x14ac:dyDescent="0.2">
      <c r="BB138" s="70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70">
        <v>134</v>
      </c>
      <c r="CG138" s="70">
        <v>2</v>
      </c>
      <c r="CH138" s="70" t="s">
        <v>460</v>
      </c>
      <c r="CI138" s="70">
        <v>34</v>
      </c>
      <c r="CJ138" s="70"/>
      <c r="CK138" s="70"/>
      <c r="CL138" s="70"/>
      <c r="CM138" s="70" t="s">
        <v>669</v>
      </c>
      <c r="CN138" s="70">
        <v>7200</v>
      </c>
      <c r="CO138" s="70" t="s">
        <v>670</v>
      </c>
      <c r="CP138" s="70">
        <v>40</v>
      </c>
      <c r="CQ138" s="70"/>
      <c r="CR138" s="70"/>
      <c r="CS138" s="70" t="s">
        <v>670</v>
      </c>
      <c r="CT138" s="70">
        <v>50</v>
      </c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</row>
    <row r="139" spans="54:108" ht="16.5" x14ac:dyDescent="0.2">
      <c r="BB139" s="70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70">
        <v>135</v>
      </c>
      <c r="CG139" s="70">
        <v>2</v>
      </c>
      <c r="CH139" s="70" t="s">
        <v>460</v>
      </c>
      <c r="CI139" s="70">
        <v>35</v>
      </c>
      <c r="CJ139" s="70"/>
      <c r="CK139" s="70"/>
      <c r="CL139" s="70"/>
      <c r="CM139" s="70" t="s">
        <v>669</v>
      </c>
      <c r="CN139" s="70">
        <v>7200</v>
      </c>
      <c r="CO139" s="70" t="s">
        <v>670</v>
      </c>
      <c r="CP139" s="70">
        <v>40</v>
      </c>
      <c r="CQ139" s="70" t="s">
        <v>498</v>
      </c>
      <c r="CR139" s="70">
        <v>2</v>
      </c>
      <c r="CS139" s="70" t="s">
        <v>670</v>
      </c>
      <c r="CT139" s="70">
        <v>55</v>
      </c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</row>
    <row r="140" spans="54:108" ht="16.5" x14ac:dyDescent="0.2">
      <c r="BB140" s="70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70">
        <v>136</v>
      </c>
      <c r="CG140" s="70">
        <v>2</v>
      </c>
      <c r="CH140" s="70" t="s">
        <v>460</v>
      </c>
      <c r="CI140" s="70">
        <v>36</v>
      </c>
      <c r="CJ140" s="70"/>
      <c r="CK140" s="70"/>
      <c r="CL140" s="70"/>
      <c r="CM140" s="70" t="s">
        <v>669</v>
      </c>
      <c r="CN140" s="70">
        <v>7200</v>
      </c>
      <c r="CO140" s="70" t="s">
        <v>670</v>
      </c>
      <c r="CP140" s="70">
        <v>45</v>
      </c>
      <c r="CQ140" s="70"/>
      <c r="CR140" s="70"/>
      <c r="CS140" s="70" t="s">
        <v>670</v>
      </c>
      <c r="CT140" s="70">
        <v>55</v>
      </c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</row>
    <row r="141" spans="54:108" ht="16.5" x14ac:dyDescent="0.2">
      <c r="BB141" s="70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70">
        <v>137</v>
      </c>
      <c r="CG141" s="70">
        <v>2</v>
      </c>
      <c r="CH141" s="70" t="s">
        <v>460</v>
      </c>
      <c r="CI141" s="70">
        <v>37</v>
      </c>
      <c r="CJ141" s="70"/>
      <c r="CK141" s="70"/>
      <c r="CL141" s="70"/>
      <c r="CM141" s="70" t="s">
        <v>669</v>
      </c>
      <c r="CN141" s="70">
        <v>7200</v>
      </c>
      <c r="CO141" s="70" t="s">
        <v>670</v>
      </c>
      <c r="CP141" s="70">
        <v>45</v>
      </c>
      <c r="CQ141" s="70"/>
      <c r="CR141" s="70"/>
      <c r="CS141" s="70" t="s">
        <v>670</v>
      </c>
      <c r="CT141" s="70">
        <v>55</v>
      </c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</row>
    <row r="142" spans="54:108" ht="16.5" x14ac:dyDescent="0.2">
      <c r="BB142" s="70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70">
        <v>138</v>
      </c>
      <c r="CG142" s="70">
        <v>2</v>
      </c>
      <c r="CH142" s="70" t="s">
        <v>460</v>
      </c>
      <c r="CI142" s="70">
        <v>38</v>
      </c>
      <c r="CJ142" s="70"/>
      <c r="CK142" s="70"/>
      <c r="CL142" s="70"/>
      <c r="CM142" s="70" t="s">
        <v>669</v>
      </c>
      <c r="CN142" s="70">
        <v>7200</v>
      </c>
      <c r="CO142" s="70" t="s">
        <v>670</v>
      </c>
      <c r="CP142" s="70">
        <v>45</v>
      </c>
      <c r="CQ142" s="70"/>
      <c r="CR142" s="70"/>
      <c r="CS142" s="70" t="s">
        <v>670</v>
      </c>
      <c r="CT142" s="70">
        <v>55</v>
      </c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</row>
    <row r="143" spans="54:108" ht="16.5" x14ac:dyDescent="0.2">
      <c r="BB143" s="70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70">
        <v>139</v>
      </c>
      <c r="CG143" s="70">
        <v>2</v>
      </c>
      <c r="CH143" s="70" t="s">
        <v>460</v>
      </c>
      <c r="CI143" s="70">
        <v>39</v>
      </c>
      <c r="CJ143" s="70"/>
      <c r="CK143" s="70"/>
      <c r="CL143" s="70"/>
      <c r="CM143" s="70" t="s">
        <v>669</v>
      </c>
      <c r="CN143" s="70">
        <v>7200</v>
      </c>
      <c r="CO143" s="70" t="s">
        <v>670</v>
      </c>
      <c r="CP143" s="70">
        <v>45</v>
      </c>
      <c r="CQ143" s="70"/>
      <c r="CR143" s="70"/>
      <c r="CS143" s="70" t="s">
        <v>670</v>
      </c>
      <c r="CT143" s="70">
        <v>55</v>
      </c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</row>
    <row r="144" spans="54:108" ht="16.5" x14ac:dyDescent="0.2">
      <c r="BB144" s="70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70">
        <v>140</v>
      </c>
      <c r="CG144" s="70">
        <v>2</v>
      </c>
      <c r="CH144" s="70" t="s">
        <v>460</v>
      </c>
      <c r="CI144" s="70">
        <v>40</v>
      </c>
      <c r="CJ144" s="70"/>
      <c r="CK144" s="70"/>
      <c r="CL144" s="70"/>
      <c r="CM144" s="70" t="s">
        <v>669</v>
      </c>
      <c r="CN144" s="70">
        <v>8640</v>
      </c>
      <c r="CO144" s="70" t="s">
        <v>670</v>
      </c>
      <c r="CP144" s="70">
        <v>45</v>
      </c>
      <c r="CQ144" s="70" t="s">
        <v>497</v>
      </c>
      <c r="CR144" s="70">
        <v>2</v>
      </c>
      <c r="CS144" s="70" t="s">
        <v>670</v>
      </c>
      <c r="CT144" s="70">
        <v>60</v>
      </c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</row>
    <row r="145" spans="54:108" ht="16.5" x14ac:dyDescent="0.2">
      <c r="BB145" s="70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70">
        <v>141</v>
      </c>
      <c r="CG145" s="70">
        <v>2</v>
      </c>
      <c r="CH145" s="70" t="s">
        <v>460</v>
      </c>
      <c r="CI145" s="70">
        <v>41</v>
      </c>
      <c r="CJ145" s="70"/>
      <c r="CK145" s="70"/>
      <c r="CL145" s="70"/>
      <c r="CM145" s="70" t="s">
        <v>669</v>
      </c>
      <c r="CN145" s="70">
        <v>8640</v>
      </c>
      <c r="CO145" s="70" t="s">
        <v>670</v>
      </c>
      <c r="CP145" s="70">
        <v>50</v>
      </c>
      <c r="CQ145" s="70"/>
      <c r="CR145" s="70"/>
      <c r="CS145" s="70" t="s">
        <v>670</v>
      </c>
      <c r="CT145" s="70">
        <v>60</v>
      </c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</row>
    <row r="146" spans="54:108" ht="16.5" x14ac:dyDescent="0.2">
      <c r="BB146" s="70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70">
        <v>142</v>
      </c>
      <c r="CG146" s="70">
        <v>2</v>
      </c>
      <c r="CH146" s="70" t="s">
        <v>460</v>
      </c>
      <c r="CI146" s="70">
        <v>42</v>
      </c>
      <c r="CJ146" s="70"/>
      <c r="CK146" s="70"/>
      <c r="CL146" s="70"/>
      <c r="CM146" s="70" t="s">
        <v>669</v>
      </c>
      <c r="CN146" s="70">
        <v>8640</v>
      </c>
      <c r="CO146" s="70" t="s">
        <v>670</v>
      </c>
      <c r="CP146" s="70">
        <v>50</v>
      </c>
      <c r="CQ146" s="70"/>
      <c r="CR146" s="70"/>
      <c r="CS146" s="70" t="s">
        <v>670</v>
      </c>
      <c r="CT146" s="70">
        <v>60</v>
      </c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</row>
    <row r="147" spans="54:108" ht="16.5" x14ac:dyDescent="0.2">
      <c r="BB147" s="70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70">
        <v>143</v>
      </c>
      <c r="CG147" s="70">
        <v>2</v>
      </c>
      <c r="CH147" s="70" t="s">
        <v>460</v>
      </c>
      <c r="CI147" s="70">
        <v>43</v>
      </c>
      <c r="CJ147" s="70"/>
      <c r="CK147" s="70"/>
      <c r="CL147" s="70"/>
      <c r="CM147" s="70" t="s">
        <v>669</v>
      </c>
      <c r="CN147" s="70">
        <v>8640</v>
      </c>
      <c r="CO147" s="70" t="s">
        <v>670</v>
      </c>
      <c r="CP147" s="70">
        <v>50</v>
      </c>
      <c r="CQ147" s="70"/>
      <c r="CR147" s="70"/>
      <c r="CS147" s="70" t="s">
        <v>670</v>
      </c>
      <c r="CT147" s="70">
        <v>60</v>
      </c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</row>
    <row r="148" spans="54:108" ht="16.5" x14ac:dyDescent="0.2">
      <c r="BB148" s="70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70">
        <v>144</v>
      </c>
      <c r="CG148" s="70">
        <v>2</v>
      </c>
      <c r="CH148" s="70" t="s">
        <v>460</v>
      </c>
      <c r="CI148" s="70">
        <v>44</v>
      </c>
      <c r="CJ148" s="70"/>
      <c r="CK148" s="70"/>
      <c r="CL148" s="70"/>
      <c r="CM148" s="70" t="s">
        <v>669</v>
      </c>
      <c r="CN148" s="70">
        <v>8640</v>
      </c>
      <c r="CO148" s="70" t="s">
        <v>670</v>
      </c>
      <c r="CP148" s="70">
        <v>50</v>
      </c>
      <c r="CQ148" s="70"/>
      <c r="CR148" s="70"/>
      <c r="CS148" s="70" t="s">
        <v>670</v>
      </c>
      <c r="CT148" s="70">
        <v>60</v>
      </c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</row>
    <row r="149" spans="54:108" ht="16.5" x14ac:dyDescent="0.2">
      <c r="BB149" s="70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70">
        <v>145</v>
      </c>
      <c r="CG149" s="70">
        <v>2</v>
      </c>
      <c r="CH149" s="70" t="s">
        <v>460</v>
      </c>
      <c r="CI149" s="70">
        <v>45</v>
      </c>
      <c r="CJ149" s="70"/>
      <c r="CK149" s="70"/>
      <c r="CL149" s="70"/>
      <c r="CM149" s="70" t="s">
        <v>669</v>
      </c>
      <c r="CN149" s="70">
        <v>8640</v>
      </c>
      <c r="CO149" s="70" t="s">
        <v>670</v>
      </c>
      <c r="CP149" s="70">
        <v>50</v>
      </c>
      <c r="CQ149" s="70" t="s">
        <v>498</v>
      </c>
      <c r="CR149" s="70">
        <v>2</v>
      </c>
      <c r="CS149" s="70" t="s">
        <v>670</v>
      </c>
      <c r="CT149" s="70">
        <v>65</v>
      </c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</row>
    <row r="150" spans="54:108" ht="16.5" x14ac:dyDescent="0.2">
      <c r="BB150" s="70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70">
        <v>146</v>
      </c>
      <c r="CG150" s="70">
        <v>2</v>
      </c>
      <c r="CH150" s="70" t="s">
        <v>460</v>
      </c>
      <c r="CI150" s="70">
        <v>46</v>
      </c>
      <c r="CJ150" s="70"/>
      <c r="CK150" s="70"/>
      <c r="CL150" s="70"/>
      <c r="CM150" s="70" t="s">
        <v>669</v>
      </c>
      <c r="CN150" s="70">
        <v>8640</v>
      </c>
      <c r="CO150" s="70" t="s">
        <v>670</v>
      </c>
      <c r="CP150" s="70">
        <v>55</v>
      </c>
      <c r="CQ150" s="70"/>
      <c r="CR150" s="70"/>
      <c r="CS150" s="70" t="s">
        <v>670</v>
      </c>
      <c r="CT150" s="70">
        <v>65</v>
      </c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</row>
    <row r="151" spans="54:108" ht="16.5" x14ac:dyDescent="0.2">
      <c r="BB151" s="70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70">
        <v>147</v>
      </c>
      <c r="CG151" s="70">
        <v>2</v>
      </c>
      <c r="CH151" s="70" t="s">
        <v>460</v>
      </c>
      <c r="CI151" s="70">
        <v>47</v>
      </c>
      <c r="CJ151" s="70"/>
      <c r="CK151" s="70"/>
      <c r="CL151" s="70"/>
      <c r="CM151" s="70" t="s">
        <v>669</v>
      </c>
      <c r="CN151" s="70">
        <v>8640</v>
      </c>
      <c r="CO151" s="70" t="s">
        <v>670</v>
      </c>
      <c r="CP151" s="70">
        <v>55</v>
      </c>
      <c r="CQ151" s="70"/>
      <c r="CR151" s="70"/>
      <c r="CS151" s="70" t="s">
        <v>670</v>
      </c>
      <c r="CT151" s="70">
        <v>65</v>
      </c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</row>
    <row r="152" spans="54:108" ht="16.5" x14ac:dyDescent="0.2">
      <c r="BB152" s="70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70">
        <v>148</v>
      </c>
      <c r="CG152" s="70">
        <v>2</v>
      </c>
      <c r="CH152" s="70" t="s">
        <v>460</v>
      </c>
      <c r="CI152" s="70">
        <v>48</v>
      </c>
      <c r="CJ152" s="70"/>
      <c r="CK152" s="70"/>
      <c r="CL152" s="70"/>
      <c r="CM152" s="70" t="s">
        <v>669</v>
      </c>
      <c r="CN152" s="70">
        <v>8640</v>
      </c>
      <c r="CO152" s="70" t="s">
        <v>670</v>
      </c>
      <c r="CP152" s="70">
        <v>55</v>
      </c>
      <c r="CQ152" s="70"/>
      <c r="CR152" s="70"/>
      <c r="CS152" s="70" t="s">
        <v>670</v>
      </c>
      <c r="CT152" s="70">
        <v>65</v>
      </c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</row>
    <row r="153" spans="54:108" ht="16.5" x14ac:dyDescent="0.2">
      <c r="BB153" s="70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70">
        <v>149</v>
      </c>
      <c r="CG153" s="70">
        <v>2</v>
      </c>
      <c r="CH153" s="70" t="s">
        <v>460</v>
      </c>
      <c r="CI153" s="70">
        <v>49</v>
      </c>
      <c r="CJ153" s="70"/>
      <c r="CK153" s="70"/>
      <c r="CL153" s="70"/>
      <c r="CM153" s="70" t="s">
        <v>669</v>
      </c>
      <c r="CN153" s="70">
        <v>8640</v>
      </c>
      <c r="CO153" s="70" t="s">
        <v>670</v>
      </c>
      <c r="CP153" s="70">
        <v>55</v>
      </c>
      <c r="CQ153" s="70"/>
      <c r="CR153" s="70"/>
      <c r="CS153" s="70" t="s">
        <v>670</v>
      </c>
      <c r="CT153" s="70">
        <v>65</v>
      </c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</row>
    <row r="154" spans="54:108" ht="16.5" x14ac:dyDescent="0.2">
      <c r="BB154" s="70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70">
        <v>150</v>
      </c>
      <c r="CG154" s="70">
        <v>2</v>
      </c>
      <c r="CH154" s="70" t="s">
        <v>460</v>
      </c>
      <c r="CI154" s="70">
        <v>50</v>
      </c>
      <c r="CJ154" s="70"/>
      <c r="CK154" s="70"/>
      <c r="CL154" s="70"/>
      <c r="CM154" s="70" t="s">
        <v>669</v>
      </c>
      <c r="CN154" s="70">
        <v>8640</v>
      </c>
      <c r="CO154" s="70" t="s">
        <v>670</v>
      </c>
      <c r="CP154" s="70">
        <v>55</v>
      </c>
      <c r="CQ154" s="70" t="s">
        <v>497</v>
      </c>
      <c r="CR154" s="70">
        <v>2</v>
      </c>
      <c r="CS154" s="70" t="s">
        <v>670</v>
      </c>
      <c r="CT154" s="70">
        <v>70</v>
      </c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</row>
    <row r="155" spans="54:108" ht="16.5" x14ac:dyDescent="0.2">
      <c r="BB155" s="70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70">
        <v>151</v>
      </c>
      <c r="CG155" s="70">
        <v>2</v>
      </c>
      <c r="CH155" s="70" t="s">
        <v>460</v>
      </c>
      <c r="CI155" s="70">
        <v>51</v>
      </c>
      <c r="CJ155" s="70"/>
      <c r="CK155" s="70"/>
      <c r="CL155" s="70"/>
      <c r="CM155" s="70" t="s">
        <v>669</v>
      </c>
      <c r="CN155" s="70">
        <v>8640</v>
      </c>
      <c r="CO155" s="70" t="s">
        <v>670</v>
      </c>
      <c r="CP155" s="70">
        <v>60</v>
      </c>
      <c r="CQ155" s="70"/>
      <c r="CR155" s="70"/>
      <c r="CS155" s="70" t="s">
        <v>670</v>
      </c>
      <c r="CT155" s="70">
        <v>70</v>
      </c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</row>
    <row r="156" spans="54:108" ht="16.5" x14ac:dyDescent="0.2">
      <c r="BB156" s="70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70">
        <v>152</v>
      </c>
      <c r="CG156" s="70">
        <v>2</v>
      </c>
      <c r="CH156" s="70" t="s">
        <v>460</v>
      </c>
      <c r="CI156" s="70">
        <v>52</v>
      </c>
      <c r="CJ156" s="70"/>
      <c r="CK156" s="70"/>
      <c r="CL156" s="70"/>
      <c r="CM156" s="70" t="s">
        <v>669</v>
      </c>
      <c r="CN156" s="70">
        <v>8640</v>
      </c>
      <c r="CO156" s="70" t="s">
        <v>670</v>
      </c>
      <c r="CP156" s="70">
        <v>60</v>
      </c>
      <c r="CQ156" s="70"/>
      <c r="CR156" s="70"/>
      <c r="CS156" s="70" t="s">
        <v>670</v>
      </c>
      <c r="CT156" s="70">
        <v>70</v>
      </c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</row>
    <row r="157" spans="54:108" ht="16.5" x14ac:dyDescent="0.2">
      <c r="BB157" s="70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70">
        <v>153</v>
      </c>
      <c r="CG157" s="70">
        <v>2</v>
      </c>
      <c r="CH157" s="70" t="s">
        <v>460</v>
      </c>
      <c r="CI157" s="70">
        <v>53</v>
      </c>
      <c r="CJ157" s="70"/>
      <c r="CK157" s="70"/>
      <c r="CL157" s="70"/>
      <c r="CM157" s="70" t="s">
        <v>669</v>
      </c>
      <c r="CN157" s="70">
        <v>8640</v>
      </c>
      <c r="CO157" s="70" t="s">
        <v>670</v>
      </c>
      <c r="CP157" s="70">
        <v>60</v>
      </c>
      <c r="CQ157" s="70"/>
      <c r="CR157" s="70"/>
      <c r="CS157" s="70" t="s">
        <v>670</v>
      </c>
      <c r="CT157" s="70">
        <v>70</v>
      </c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</row>
    <row r="158" spans="54:108" ht="16.5" x14ac:dyDescent="0.2">
      <c r="BB158" s="70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70">
        <v>154</v>
      </c>
      <c r="CG158" s="70">
        <v>2</v>
      </c>
      <c r="CH158" s="70" t="s">
        <v>460</v>
      </c>
      <c r="CI158" s="70">
        <v>54</v>
      </c>
      <c r="CJ158" s="70"/>
      <c r="CK158" s="70"/>
      <c r="CL158" s="70"/>
      <c r="CM158" s="70" t="s">
        <v>669</v>
      </c>
      <c r="CN158" s="70">
        <v>8640</v>
      </c>
      <c r="CO158" s="70" t="s">
        <v>670</v>
      </c>
      <c r="CP158" s="70">
        <v>60</v>
      </c>
      <c r="CQ158" s="70"/>
      <c r="CR158" s="70"/>
      <c r="CS158" s="70" t="s">
        <v>670</v>
      </c>
      <c r="CT158" s="70">
        <v>70</v>
      </c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</row>
    <row r="159" spans="54:108" ht="16.5" x14ac:dyDescent="0.2">
      <c r="BB159" s="70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70">
        <v>155</v>
      </c>
      <c r="CG159" s="70">
        <v>2</v>
      </c>
      <c r="CH159" s="70" t="s">
        <v>460</v>
      </c>
      <c r="CI159" s="70">
        <v>55</v>
      </c>
      <c r="CJ159" s="70"/>
      <c r="CK159" s="70"/>
      <c r="CL159" s="70"/>
      <c r="CM159" s="70" t="s">
        <v>669</v>
      </c>
      <c r="CN159" s="70">
        <v>10800</v>
      </c>
      <c r="CO159" s="70" t="s">
        <v>670</v>
      </c>
      <c r="CP159" s="70">
        <v>60</v>
      </c>
      <c r="CQ159" s="70" t="s">
        <v>498</v>
      </c>
      <c r="CR159" s="70">
        <v>2</v>
      </c>
      <c r="CS159" s="70" t="s">
        <v>670</v>
      </c>
      <c r="CT159" s="70">
        <v>75</v>
      </c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</row>
    <row r="160" spans="54:108" ht="16.5" x14ac:dyDescent="0.2">
      <c r="BB160" s="70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70">
        <v>156</v>
      </c>
      <c r="CG160" s="70">
        <v>2</v>
      </c>
      <c r="CH160" s="70" t="s">
        <v>460</v>
      </c>
      <c r="CI160" s="70">
        <v>56</v>
      </c>
      <c r="CJ160" s="70"/>
      <c r="CK160" s="70"/>
      <c r="CL160" s="70"/>
      <c r="CM160" s="70" t="s">
        <v>669</v>
      </c>
      <c r="CN160" s="70">
        <v>10800</v>
      </c>
      <c r="CO160" s="70" t="s">
        <v>670</v>
      </c>
      <c r="CP160" s="70">
        <v>65</v>
      </c>
      <c r="CQ160" s="70"/>
      <c r="CR160" s="70"/>
      <c r="CS160" s="70" t="s">
        <v>670</v>
      </c>
      <c r="CT160" s="70">
        <v>75</v>
      </c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</row>
    <row r="161" spans="54:108" ht="16.5" x14ac:dyDescent="0.2">
      <c r="BB161" s="70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70">
        <v>157</v>
      </c>
      <c r="CG161" s="70">
        <v>2</v>
      </c>
      <c r="CH161" s="70" t="s">
        <v>460</v>
      </c>
      <c r="CI161" s="70">
        <v>57</v>
      </c>
      <c r="CJ161" s="70"/>
      <c r="CK161" s="70"/>
      <c r="CL161" s="70"/>
      <c r="CM161" s="70" t="s">
        <v>669</v>
      </c>
      <c r="CN161" s="70">
        <v>10800</v>
      </c>
      <c r="CO161" s="70" t="s">
        <v>670</v>
      </c>
      <c r="CP161" s="70">
        <v>65</v>
      </c>
      <c r="CQ161" s="70"/>
      <c r="CR161" s="70"/>
      <c r="CS161" s="70" t="s">
        <v>670</v>
      </c>
      <c r="CT161" s="70">
        <v>75</v>
      </c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</row>
    <row r="162" spans="54:108" ht="16.5" x14ac:dyDescent="0.2">
      <c r="BB162" s="70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70">
        <v>158</v>
      </c>
      <c r="CG162" s="70">
        <v>2</v>
      </c>
      <c r="CH162" s="70" t="s">
        <v>460</v>
      </c>
      <c r="CI162" s="70">
        <v>58</v>
      </c>
      <c r="CJ162" s="70"/>
      <c r="CK162" s="70"/>
      <c r="CL162" s="70"/>
      <c r="CM162" s="70" t="s">
        <v>669</v>
      </c>
      <c r="CN162" s="70">
        <v>10800</v>
      </c>
      <c r="CO162" s="70" t="s">
        <v>670</v>
      </c>
      <c r="CP162" s="70">
        <v>65</v>
      </c>
      <c r="CQ162" s="70"/>
      <c r="CR162" s="70"/>
      <c r="CS162" s="70" t="s">
        <v>670</v>
      </c>
      <c r="CT162" s="70">
        <v>75</v>
      </c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</row>
    <row r="163" spans="54:108" ht="16.5" x14ac:dyDescent="0.2">
      <c r="BB163" s="70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70">
        <v>159</v>
      </c>
      <c r="CG163" s="70">
        <v>2</v>
      </c>
      <c r="CH163" s="70" t="s">
        <v>460</v>
      </c>
      <c r="CI163" s="70">
        <v>59</v>
      </c>
      <c r="CJ163" s="70"/>
      <c r="CK163" s="70"/>
      <c r="CL163" s="70"/>
      <c r="CM163" s="70" t="s">
        <v>669</v>
      </c>
      <c r="CN163" s="70">
        <v>10800</v>
      </c>
      <c r="CO163" s="70" t="s">
        <v>670</v>
      </c>
      <c r="CP163" s="70">
        <v>65</v>
      </c>
      <c r="CQ163" s="70"/>
      <c r="CR163" s="70"/>
      <c r="CS163" s="70" t="s">
        <v>670</v>
      </c>
      <c r="CT163" s="70">
        <v>75</v>
      </c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</row>
    <row r="164" spans="54:108" ht="16.5" x14ac:dyDescent="0.2">
      <c r="BB164" s="70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70">
        <v>160</v>
      </c>
      <c r="CG164" s="70">
        <v>2</v>
      </c>
      <c r="CH164" s="70" t="s">
        <v>460</v>
      </c>
      <c r="CI164" s="70">
        <v>60</v>
      </c>
      <c r="CJ164" s="70"/>
      <c r="CK164" s="70"/>
      <c r="CL164" s="70"/>
      <c r="CM164" s="70" t="s">
        <v>669</v>
      </c>
      <c r="CN164" s="70">
        <v>10800</v>
      </c>
      <c r="CO164" s="70" t="s">
        <v>670</v>
      </c>
      <c r="CP164" s="70">
        <v>65</v>
      </c>
      <c r="CQ164" s="70" t="s">
        <v>497</v>
      </c>
      <c r="CR164" s="70">
        <v>2</v>
      </c>
      <c r="CS164" s="70" t="s">
        <v>670</v>
      </c>
      <c r="CT164" s="70">
        <v>80</v>
      </c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</row>
    <row r="165" spans="54:108" ht="16.5" x14ac:dyDescent="0.2">
      <c r="BB165" s="70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70">
        <v>161</v>
      </c>
      <c r="CG165" s="70">
        <v>2</v>
      </c>
      <c r="CH165" s="70" t="s">
        <v>460</v>
      </c>
      <c r="CI165" s="70">
        <v>61</v>
      </c>
      <c r="CJ165" s="70"/>
      <c r="CK165" s="70"/>
      <c r="CL165" s="70"/>
      <c r="CM165" s="70" t="s">
        <v>669</v>
      </c>
      <c r="CN165" s="70">
        <v>10800</v>
      </c>
      <c r="CO165" s="70" t="s">
        <v>670</v>
      </c>
      <c r="CP165" s="70">
        <v>70</v>
      </c>
      <c r="CQ165" s="70"/>
      <c r="CR165" s="70"/>
      <c r="CS165" s="70" t="s">
        <v>670</v>
      </c>
      <c r="CT165" s="70">
        <v>80</v>
      </c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</row>
    <row r="166" spans="54:108" ht="16.5" x14ac:dyDescent="0.2">
      <c r="BB166" s="70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70">
        <v>162</v>
      </c>
      <c r="CG166" s="70">
        <v>2</v>
      </c>
      <c r="CH166" s="70" t="s">
        <v>460</v>
      </c>
      <c r="CI166" s="70">
        <v>62</v>
      </c>
      <c r="CJ166" s="70"/>
      <c r="CK166" s="70"/>
      <c r="CL166" s="70"/>
      <c r="CM166" s="70" t="s">
        <v>669</v>
      </c>
      <c r="CN166" s="70">
        <v>10800</v>
      </c>
      <c r="CO166" s="70" t="s">
        <v>670</v>
      </c>
      <c r="CP166" s="70">
        <v>70</v>
      </c>
      <c r="CQ166" s="70"/>
      <c r="CR166" s="70"/>
      <c r="CS166" s="70" t="s">
        <v>670</v>
      </c>
      <c r="CT166" s="70">
        <v>80</v>
      </c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</row>
    <row r="167" spans="54:108" ht="16.5" x14ac:dyDescent="0.2">
      <c r="BB167" s="70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70">
        <v>163</v>
      </c>
      <c r="CG167" s="70">
        <v>2</v>
      </c>
      <c r="CH167" s="70" t="s">
        <v>460</v>
      </c>
      <c r="CI167" s="70">
        <v>63</v>
      </c>
      <c r="CJ167" s="70"/>
      <c r="CK167" s="70"/>
      <c r="CL167" s="70"/>
      <c r="CM167" s="70" t="s">
        <v>669</v>
      </c>
      <c r="CN167" s="70">
        <v>10800</v>
      </c>
      <c r="CO167" s="70" t="s">
        <v>670</v>
      </c>
      <c r="CP167" s="70">
        <v>70</v>
      </c>
      <c r="CQ167" s="70"/>
      <c r="CR167" s="70"/>
      <c r="CS167" s="70" t="s">
        <v>670</v>
      </c>
      <c r="CT167" s="70">
        <v>80</v>
      </c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</row>
    <row r="168" spans="54:108" ht="16.5" x14ac:dyDescent="0.2">
      <c r="BB168" s="70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70">
        <v>164</v>
      </c>
      <c r="CG168" s="70">
        <v>2</v>
      </c>
      <c r="CH168" s="70" t="s">
        <v>460</v>
      </c>
      <c r="CI168" s="70">
        <v>64</v>
      </c>
      <c r="CJ168" s="70"/>
      <c r="CK168" s="70"/>
      <c r="CL168" s="70"/>
      <c r="CM168" s="70" t="s">
        <v>669</v>
      </c>
      <c r="CN168" s="70">
        <v>10800</v>
      </c>
      <c r="CO168" s="70" t="s">
        <v>670</v>
      </c>
      <c r="CP168" s="70">
        <v>70</v>
      </c>
      <c r="CQ168" s="70"/>
      <c r="CR168" s="70"/>
      <c r="CS168" s="70" t="s">
        <v>670</v>
      </c>
      <c r="CT168" s="70">
        <v>80</v>
      </c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</row>
    <row r="169" spans="54:108" ht="16.5" x14ac:dyDescent="0.2">
      <c r="BB169" s="70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70">
        <v>165</v>
      </c>
      <c r="CG169" s="70">
        <v>2</v>
      </c>
      <c r="CH169" s="70" t="s">
        <v>460</v>
      </c>
      <c r="CI169" s="70">
        <v>65</v>
      </c>
      <c r="CJ169" s="70"/>
      <c r="CK169" s="70"/>
      <c r="CL169" s="70"/>
      <c r="CM169" s="70" t="s">
        <v>669</v>
      </c>
      <c r="CN169" s="70">
        <v>10800</v>
      </c>
      <c r="CO169" s="70" t="s">
        <v>670</v>
      </c>
      <c r="CP169" s="70">
        <v>70</v>
      </c>
      <c r="CQ169" s="70" t="s">
        <v>498</v>
      </c>
      <c r="CR169" s="70">
        <v>2</v>
      </c>
      <c r="CS169" s="70" t="s">
        <v>670</v>
      </c>
      <c r="CT169" s="70">
        <v>85</v>
      </c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</row>
    <row r="170" spans="54:108" ht="16.5" x14ac:dyDescent="0.2">
      <c r="BB170" s="70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70">
        <v>166</v>
      </c>
      <c r="CG170" s="70">
        <v>2</v>
      </c>
      <c r="CH170" s="70" t="s">
        <v>460</v>
      </c>
      <c r="CI170" s="70">
        <v>66</v>
      </c>
      <c r="CJ170" s="70"/>
      <c r="CK170" s="70"/>
      <c r="CL170" s="70"/>
      <c r="CM170" s="70" t="s">
        <v>669</v>
      </c>
      <c r="CN170" s="70">
        <v>10800</v>
      </c>
      <c r="CO170" s="70" t="s">
        <v>670</v>
      </c>
      <c r="CP170" s="70">
        <v>75</v>
      </c>
      <c r="CQ170" s="70"/>
      <c r="CR170" s="70"/>
      <c r="CS170" s="70" t="s">
        <v>670</v>
      </c>
      <c r="CT170" s="70">
        <v>85</v>
      </c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</row>
    <row r="171" spans="54:108" ht="16.5" x14ac:dyDescent="0.2">
      <c r="BB171" s="70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70">
        <v>167</v>
      </c>
      <c r="CG171" s="70">
        <v>2</v>
      </c>
      <c r="CH171" s="70" t="s">
        <v>460</v>
      </c>
      <c r="CI171" s="70">
        <v>67</v>
      </c>
      <c r="CJ171" s="70"/>
      <c r="CK171" s="70"/>
      <c r="CL171" s="70"/>
      <c r="CM171" s="70" t="s">
        <v>669</v>
      </c>
      <c r="CN171" s="70">
        <v>10800</v>
      </c>
      <c r="CO171" s="70" t="s">
        <v>670</v>
      </c>
      <c r="CP171" s="70">
        <v>75</v>
      </c>
      <c r="CQ171" s="70"/>
      <c r="CR171" s="70"/>
      <c r="CS171" s="70" t="s">
        <v>670</v>
      </c>
      <c r="CT171" s="70">
        <v>85</v>
      </c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</row>
    <row r="172" spans="54:108" ht="16.5" x14ac:dyDescent="0.2">
      <c r="BB172" s="70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70">
        <v>168</v>
      </c>
      <c r="CG172" s="70">
        <v>2</v>
      </c>
      <c r="CH172" s="70" t="s">
        <v>460</v>
      </c>
      <c r="CI172" s="70">
        <v>68</v>
      </c>
      <c r="CJ172" s="70"/>
      <c r="CK172" s="70"/>
      <c r="CL172" s="70"/>
      <c r="CM172" s="70" t="s">
        <v>669</v>
      </c>
      <c r="CN172" s="70">
        <v>10800</v>
      </c>
      <c r="CO172" s="70" t="s">
        <v>670</v>
      </c>
      <c r="CP172" s="70">
        <v>75</v>
      </c>
      <c r="CQ172" s="70"/>
      <c r="CR172" s="70"/>
      <c r="CS172" s="70" t="s">
        <v>670</v>
      </c>
      <c r="CT172" s="70">
        <v>85</v>
      </c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</row>
    <row r="173" spans="54:108" ht="16.5" x14ac:dyDescent="0.2">
      <c r="BB173" s="70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70">
        <v>169</v>
      </c>
      <c r="CG173" s="70">
        <v>2</v>
      </c>
      <c r="CH173" s="70" t="s">
        <v>460</v>
      </c>
      <c r="CI173" s="70">
        <v>69</v>
      </c>
      <c r="CJ173" s="70"/>
      <c r="CK173" s="70"/>
      <c r="CL173" s="70"/>
      <c r="CM173" s="70" t="s">
        <v>669</v>
      </c>
      <c r="CN173" s="70">
        <v>10800</v>
      </c>
      <c r="CO173" s="70" t="s">
        <v>670</v>
      </c>
      <c r="CP173" s="70">
        <v>75</v>
      </c>
      <c r="CQ173" s="70"/>
      <c r="CR173" s="70"/>
      <c r="CS173" s="70" t="s">
        <v>670</v>
      </c>
      <c r="CT173" s="70">
        <v>85</v>
      </c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</row>
    <row r="174" spans="54:108" ht="16.5" x14ac:dyDescent="0.2">
      <c r="BB174" s="70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70">
        <v>170</v>
      </c>
      <c r="CG174" s="70">
        <v>2</v>
      </c>
      <c r="CH174" s="70" t="s">
        <v>460</v>
      </c>
      <c r="CI174" s="70">
        <v>70</v>
      </c>
      <c r="CJ174" s="70"/>
      <c r="CK174" s="70"/>
      <c r="CL174" s="70"/>
      <c r="CM174" s="70" t="s">
        <v>669</v>
      </c>
      <c r="CN174" s="70">
        <v>13200</v>
      </c>
      <c r="CO174" s="70" t="s">
        <v>670</v>
      </c>
      <c r="CP174" s="70">
        <v>75</v>
      </c>
      <c r="CQ174" s="70" t="s">
        <v>497</v>
      </c>
      <c r="CR174" s="70">
        <v>2</v>
      </c>
      <c r="CS174" s="70" t="s">
        <v>670</v>
      </c>
      <c r="CT174" s="70">
        <v>90</v>
      </c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</row>
    <row r="175" spans="54:108" ht="16.5" x14ac:dyDescent="0.2">
      <c r="BB175" s="70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70">
        <v>171</v>
      </c>
      <c r="CG175" s="70">
        <v>2</v>
      </c>
      <c r="CH175" s="70" t="s">
        <v>460</v>
      </c>
      <c r="CI175" s="70">
        <v>71</v>
      </c>
      <c r="CJ175" s="70"/>
      <c r="CK175" s="70"/>
      <c r="CL175" s="70"/>
      <c r="CM175" s="70" t="s">
        <v>669</v>
      </c>
      <c r="CN175" s="70">
        <v>13200</v>
      </c>
      <c r="CO175" s="70" t="s">
        <v>670</v>
      </c>
      <c r="CP175" s="70">
        <v>80</v>
      </c>
      <c r="CQ175" s="70"/>
      <c r="CR175" s="70"/>
      <c r="CS175" s="70" t="s">
        <v>670</v>
      </c>
      <c r="CT175" s="70">
        <v>90</v>
      </c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</row>
    <row r="176" spans="54:108" ht="16.5" x14ac:dyDescent="0.2">
      <c r="BB176" s="70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70">
        <v>172</v>
      </c>
      <c r="CG176" s="70">
        <v>2</v>
      </c>
      <c r="CH176" s="70" t="s">
        <v>460</v>
      </c>
      <c r="CI176" s="70">
        <v>72</v>
      </c>
      <c r="CJ176" s="70"/>
      <c r="CK176" s="70"/>
      <c r="CL176" s="70"/>
      <c r="CM176" s="70" t="s">
        <v>669</v>
      </c>
      <c r="CN176" s="70">
        <v>13200</v>
      </c>
      <c r="CO176" s="70" t="s">
        <v>670</v>
      </c>
      <c r="CP176" s="70">
        <v>80</v>
      </c>
      <c r="CQ176" s="70"/>
      <c r="CR176" s="70"/>
      <c r="CS176" s="70" t="s">
        <v>670</v>
      </c>
      <c r="CT176" s="70">
        <v>90</v>
      </c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</row>
    <row r="177" spans="54:108" ht="16.5" x14ac:dyDescent="0.2">
      <c r="BB177" s="70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70">
        <v>173</v>
      </c>
      <c r="CG177" s="70">
        <v>2</v>
      </c>
      <c r="CH177" s="70" t="s">
        <v>460</v>
      </c>
      <c r="CI177" s="70">
        <v>73</v>
      </c>
      <c r="CJ177" s="70"/>
      <c r="CK177" s="70"/>
      <c r="CL177" s="70"/>
      <c r="CM177" s="70" t="s">
        <v>669</v>
      </c>
      <c r="CN177" s="70">
        <v>13200</v>
      </c>
      <c r="CO177" s="70" t="s">
        <v>670</v>
      </c>
      <c r="CP177" s="70">
        <v>80</v>
      </c>
      <c r="CQ177" s="70"/>
      <c r="CR177" s="70"/>
      <c r="CS177" s="70" t="s">
        <v>670</v>
      </c>
      <c r="CT177" s="70">
        <v>90</v>
      </c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</row>
    <row r="178" spans="54:108" ht="16.5" x14ac:dyDescent="0.2">
      <c r="BB178" s="70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70">
        <v>174</v>
      </c>
      <c r="CG178" s="70">
        <v>2</v>
      </c>
      <c r="CH178" s="70" t="s">
        <v>460</v>
      </c>
      <c r="CI178" s="70">
        <v>74</v>
      </c>
      <c r="CJ178" s="70"/>
      <c r="CK178" s="70"/>
      <c r="CL178" s="70"/>
      <c r="CM178" s="70" t="s">
        <v>669</v>
      </c>
      <c r="CN178" s="70">
        <v>13200</v>
      </c>
      <c r="CO178" s="70" t="s">
        <v>670</v>
      </c>
      <c r="CP178" s="70">
        <v>80</v>
      </c>
      <c r="CQ178" s="70"/>
      <c r="CR178" s="70"/>
      <c r="CS178" s="70" t="s">
        <v>670</v>
      </c>
      <c r="CT178" s="70">
        <v>90</v>
      </c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</row>
    <row r="179" spans="54:108" ht="16.5" x14ac:dyDescent="0.2">
      <c r="BB179" s="70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70">
        <v>175</v>
      </c>
      <c r="CG179" s="70">
        <v>2</v>
      </c>
      <c r="CH179" s="70" t="s">
        <v>460</v>
      </c>
      <c r="CI179" s="70">
        <v>75</v>
      </c>
      <c r="CJ179" s="70"/>
      <c r="CK179" s="70"/>
      <c r="CL179" s="70"/>
      <c r="CM179" s="70" t="s">
        <v>669</v>
      </c>
      <c r="CN179" s="70">
        <v>13200</v>
      </c>
      <c r="CO179" s="70" t="s">
        <v>670</v>
      </c>
      <c r="CP179" s="70">
        <v>80</v>
      </c>
      <c r="CQ179" s="70" t="s">
        <v>498</v>
      </c>
      <c r="CR179" s="70">
        <v>2</v>
      </c>
      <c r="CS179" s="70" t="s">
        <v>670</v>
      </c>
      <c r="CT179" s="70">
        <v>95</v>
      </c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</row>
    <row r="180" spans="54:108" ht="16.5" x14ac:dyDescent="0.2">
      <c r="BB180" s="70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70">
        <v>176</v>
      </c>
      <c r="CG180" s="70">
        <v>2</v>
      </c>
      <c r="CH180" s="70" t="s">
        <v>460</v>
      </c>
      <c r="CI180" s="70">
        <v>76</v>
      </c>
      <c r="CJ180" s="70"/>
      <c r="CK180" s="70"/>
      <c r="CL180" s="70"/>
      <c r="CM180" s="70" t="s">
        <v>669</v>
      </c>
      <c r="CN180" s="70">
        <v>13200</v>
      </c>
      <c r="CO180" s="70" t="s">
        <v>670</v>
      </c>
      <c r="CP180" s="70">
        <v>85</v>
      </c>
      <c r="CQ180" s="70"/>
      <c r="CR180" s="70"/>
      <c r="CS180" s="70" t="s">
        <v>670</v>
      </c>
      <c r="CT180" s="70">
        <v>95</v>
      </c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</row>
    <row r="181" spans="54:108" ht="16.5" x14ac:dyDescent="0.2">
      <c r="BB181" s="70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70">
        <v>177</v>
      </c>
      <c r="CG181" s="70">
        <v>2</v>
      </c>
      <c r="CH181" s="70" t="s">
        <v>460</v>
      </c>
      <c r="CI181" s="70">
        <v>77</v>
      </c>
      <c r="CJ181" s="70"/>
      <c r="CK181" s="70"/>
      <c r="CL181" s="70"/>
      <c r="CM181" s="70" t="s">
        <v>669</v>
      </c>
      <c r="CN181" s="70">
        <v>13200</v>
      </c>
      <c r="CO181" s="70" t="s">
        <v>670</v>
      </c>
      <c r="CP181" s="70">
        <v>85</v>
      </c>
      <c r="CQ181" s="70"/>
      <c r="CR181" s="70"/>
      <c r="CS181" s="70" t="s">
        <v>670</v>
      </c>
      <c r="CT181" s="70">
        <v>95</v>
      </c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</row>
    <row r="182" spans="54:108" ht="16.5" x14ac:dyDescent="0.2">
      <c r="BB182" s="70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70">
        <v>178</v>
      </c>
      <c r="CG182" s="70">
        <v>2</v>
      </c>
      <c r="CH182" s="70" t="s">
        <v>460</v>
      </c>
      <c r="CI182" s="70">
        <v>78</v>
      </c>
      <c r="CJ182" s="70"/>
      <c r="CK182" s="70"/>
      <c r="CL182" s="70"/>
      <c r="CM182" s="70" t="s">
        <v>669</v>
      </c>
      <c r="CN182" s="70">
        <v>13200</v>
      </c>
      <c r="CO182" s="70" t="s">
        <v>670</v>
      </c>
      <c r="CP182" s="70">
        <v>85</v>
      </c>
      <c r="CQ182" s="70"/>
      <c r="CR182" s="70"/>
      <c r="CS182" s="70" t="s">
        <v>670</v>
      </c>
      <c r="CT182" s="70">
        <v>95</v>
      </c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</row>
    <row r="183" spans="54:108" ht="16.5" x14ac:dyDescent="0.2">
      <c r="BB183" s="70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70">
        <v>179</v>
      </c>
      <c r="CG183" s="70">
        <v>2</v>
      </c>
      <c r="CH183" s="70" t="s">
        <v>460</v>
      </c>
      <c r="CI183" s="70">
        <v>79</v>
      </c>
      <c r="CJ183" s="70"/>
      <c r="CK183" s="70"/>
      <c r="CL183" s="70"/>
      <c r="CM183" s="70" t="s">
        <v>669</v>
      </c>
      <c r="CN183" s="70">
        <v>13200</v>
      </c>
      <c r="CO183" s="70" t="s">
        <v>670</v>
      </c>
      <c r="CP183" s="70">
        <v>85</v>
      </c>
      <c r="CQ183" s="70"/>
      <c r="CR183" s="70"/>
      <c r="CS183" s="70" t="s">
        <v>670</v>
      </c>
      <c r="CT183" s="70">
        <v>95</v>
      </c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</row>
    <row r="184" spans="54:108" ht="16.5" x14ac:dyDescent="0.2">
      <c r="BB184" s="70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70">
        <v>180</v>
      </c>
      <c r="CG184" s="70">
        <v>2</v>
      </c>
      <c r="CH184" s="70" t="s">
        <v>460</v>
      </c>
      <c r="CI184" s="70">
        <v>80</v>
      </c>
      <c r="CJ184" s="70"/>
      <c r="CK184" s="70"/>
      <c r="CL184" s="70"/>
      <c r="CM184" s="70" t="s">
        <v>669</v>
      </c>
      <c r="CN184" s="70">
        <v>13200</v>
      </c>
      <c r="CO184" s="70" t="s">
        <v>670</v>
      </c>
      <c r="CP184" s="70">
        <v>85</v>
      </c>
      <c r="CQ184" s="70" t="s">
        <v>497</v>
      </c>
      <c r="CR184" s="70">
        <v>2</v>
      </c>
      <c r="CS184" s="70" t="s">
        <v>670</v>
      </c>
      <c r="CT184" s="70">
        <v>100</v>
      </c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</row>
    <row r="185" spans="54:108" ht="16.5" x14ac:dyDescent="0.2">
      <c r="BB185" s="70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70">
        <v>181</v>
      </c>
      <c r="CG185" s="70">
        <v>2</v>
      </c>
      <c r="CH185" s="70" t="s">
        <v>460</v>
      </c>
      <c r="CI185" s="70">
        <v>81</v>
      </c>
      <c r="CJ185" s="70"/>
      <c r="CK185" s="70"/>
      <c r="CL185" s="70"/>
      <c r="CM185" s="70" t="s">
        <v>669</v>
      </c>
      <c r="CN185" s="70">
        <v>13200</v>
      </c>
      <c r="CO185" s="70" t="s">
        <v>670</v>
      </c>
      <c r="CP185" s="70">
        <v>90</v>
      </c>
      <c r="CQ185" s="70"/>
      <c r="CR185" s="70"/>
      <c r="CS185" s="70" t="s">
        <v>670</v>
      </c>
      <c r="CT185" s="70">
        <v>100</v>
      </c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</row>
    <row r="186" spans="54:108" ht="16.5" x14ac:dyDescent="0.2">
      <c r="BB186" s="70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70">
        <v>182</v>
      </c>
      <c r="CG186" s="70">
        <v>2</v>
      </c>
      <c r="CH186" s="70" t="s">
        <v>460</v>
      </c>
      <c r="CI186" s="70">
        <v>82</v>
      </c>
      <c r="CJ186" s="70"/>
      <c r="CK186" s="70"/>
      <c r="CL186" s="70"/>
      <c r="CM186" s="70" t="s">
        <v>669</v>
      </c>
      <c r="CN186" s="70">
        <v>13200</v>
      </c>
      <c r="CO186" s="70" t="s">
        <v>670</v>
      </c>
      <c r="CP186" s="70">
        <v>90</v>
      </c>
      <c r="CQ186" s="70"/>
      <c r="CR186" s="70"/>
      <c r="CS186" s="70" t="s">
        <v>670</v>
      </c>
      <c r="CT186" s="70">
        <v>100</v>
      </c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</row>
    <row r="187" spans="54:108" ht="16.5" x14ac:dyDescent="0.2">
      <c r="BB187" s="70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70">
        <v>183</v>
      </c>
      <c r="CG187" s="70">
        <v>2</v>
      </c>
      <c r="CH187" s="70" t="s">
        <v>460</v>
      </c>
      <c r="CI187" s="70">
        <v>83</v>
      </c>
      <c r="CJ187" s="70"/>
      <c r="CK187" s="70"/>
      <c r="CL187" s="70"/>
      <c r="CM187" s="70" t="s">
        <v>669</v>
      </c>
      <c r="CN187" s="70">
        <v>13200</v>
      </c>
      <c r="CO187" s="70" t="s">
        <v>670</v>
      </c>
      <c r="CP187" s="70">
        <v>90</v>
      </c>
      <c r="CQ187" s="70"/>
      <c r="CR187" s="70"/>
      <c r="CS187" s="70" t="s">
        <v>670</v>
      </c>
      <c r="CT187" s="70">
        <v>100</v>
      </c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</row>
    <row r="188" spans="54:108" ht="16.5" x14ac:dyDescent="0.2">
      <c r="BB188" s="70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70">
        <v>184</v>
      </c>
      <c r="CG188" s="70">
        <v>2</v>
      </c>
      <c r="CH188" s="70" t="s">
        <v>460</v>
      </c>
      <c r="CI188" s="70">
        <v>84</v>
      </c>
      <c r="CJ188" s="70"/>
      <c r="CK188" s="70"/>
      <c r="CL188" s="70"/>
      <c r="CM188" s="70" t="s">
        <v>669</v>
      </c>
      <c r="CN188" s="70">
        <v>13200</v>
      </c>
      <c r="CO188" s="70" t="s">
        <v>670</v>
      </c>
      <c r="CP188" s="70">
        <v>90</v>
      </c>
      <c r="CQ188" s="70"/>
      <c r="CR188" s="70"/>
      <c r="CS188" s="70" t="s">
        <v>670</v>
      </c>
      <c r="CT188" s="70">
        <v>100</v>
      </c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</row>
    <row r="189" spans="54:108" ht="16.5" x14ac:dyDescent="0.2">
      <c r="BB189" s="70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70">
        <v>185</v>
      </c>
      <c r="CG189" s="70">
        <v>2</v>
      </c>
      <c r="CH189" s="70" t="s">
        <v>460</v>
      </c>
      <c r="CI189" s="70">
        <v>85</v>
      </c>
      <c r="CJ189" s="70"/>
      <c r="CK189" s="70"/>
      <c r="CL189" s="70"/>
      <c r="CM189" s="70" t="s">
        <v>669</v>
      </c>
      <c r="CN189" s="70">
        <v>15600</v>
      </c>
      <c r="CO189" s="70" t="s">
        <v>670</v>
      </c>
      <c r="CP189" s="70">
        <v>90</v>
      </c>
      <c r="CQ189" s="70" t="s">
        <v>498</v>
      </c>
      <c r="CR189" s="70">
        <v>2</v>
      </c>
      <c r="CS189" s="70" t="s">
        <v>670</v>
      </c>
      <c r="CT189" s="70">
        <v>105</v>
      </c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</row>
    <row r="190" spans="54:108" ht="16.5" x14ac:dyDescent="0.2">
      <c r="BB190" s="70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70">
        <v>186</v>
      </c>
      <c r="CG190" s="70">
        <v>2</v>
      </c>
      <c r="CH190" s="70" t="s">
        <v>460</v>
      </c>
      <c r="CI190" s="70">
        <v>86</v>
      </c>
      <c r="CJ190" s="70"/>
      <c r="CK190" s="70"/>
      <c r="CL190" s="70"/>
      <c r="CM190" s="70" t="s">
        <v>669</v>
      </c>
      <c r="CN190" s="70">
        <v>15600</v>
      </c>
      <c r="CO190" s="70" t="s">
        <v>670</v>
      </c>
      <c r="CP190" s="70">
        <v>95</v>
      </c>
      <c r="CQ190" s="70"/>
      <c r="CR190" s="70"/>
      <c r="CS190" s="70" t="s">
        <v>670</v>
      </c>
      <c r="CT190" s="70">
        <v>105</v>
      </c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</row>
    <row r="191" spans="54:108" ht="16.5" x14ac:dyDescent="0.2">
      <c r="BB191" s="70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70">
        <v>187</v>
      </c>
      <c r="CG191" s="70">
        <v>2</v>
      </c>
      <c r="CH191" s="70" t="s">
        <v>460</v>
      </c>
      <c r="CI191" s="70">
        <v>87</v>
      </c>
      <c r="CJ191" s="70"/>
      <c r="CK191" s="70"/>
      <c r="CL191" s="70"/>
      <c r="CM191" s="70" t="s">
        <v>669</v>
      </c>
      <c r="CN191" s="70">
        <v>15600</v>
      </c>
      <c r="CO191" s="70" t="s">
        <v>670</v>
      </c>
      <c r="CP191" s="70">
        <v>95</v>
      </c>
      <c r="CQ191" s="70"/>
      <c r="CR191" s="70"/>
      <c r="CS191" s="70" t="s">
        <v>670</v>
      </c>
      <c r="CT191" s="70">
        <v>105</v>
      </c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</row>
    <row r="192" spans="54:108" ht="16.5" x14ac:dyDescent="0.2">
      <c r="BB192" s="70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70">
        <v>188</v>
      </c>
      <c r="CG192" s="70">
        <v>2</v>
      </c>
      <c r="CH192" s="70" t="s">
        <v>460</v>
      </c>
      <c r="CI192" s="70">
        <v>88</v>
      </c>
      <c r="CJ192" s="70"/>
      <c r="CK192" s="70"/>
      <c r="CL192" s="70"/>
      <c r="CM192" s="70" t="s">
        <v>669</v>
      </c>
      <c r="CN192" s="70">
        <v>15600</v>
      </c>
      <c r="CO192" s="70" t="s">
        <v>670</v>
      </c>
      <c r="CP192" s="70">
        <v>95</v>
      </c>
      <c r="CQ192" s="70"/>
      <c r="CR192" s="70"/>
      <c r="CS192" s="70" t="s">
        <v>670</v>
      </c>
      <c r="CT192" s="70">
        <v>105</v>
      </c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</row>
    <row r="193" spans="54:108" ht="16.5" x14ac:dyDescent="0.2">
      <c r="BB193" s="70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70">
        <v>189</v>
      </c>
      <c r="CG193" s="70">
        <v>2</v>
      </c>
      <c r="CH193" s="70" t="s">
        <v>460</v>
      </c>
      <c r="CI193" s="70">
        <v>89</v>
      </c>
      <c r="CJ193" s="70"/>
      <c r="CK193" s="70"/>
      <c r="CL193" s="70"/>
      <c r="CM193" s="70" t="s">
        <v>669</v>
      </c>
      <c r="CN193" s="70">
        <v>15600</v>
      </c>
      <c r="CO193" s="70" t="s">
        <v>670</v>
      </c>
      <c r="CP193" s="70">
        <v>95</v>
      </c>
      <c r="CQ193" s="70"/>
      <c r="CR193" s="70"/>
      <c r="CS193" s="70" t="s">
        <v>670</v>
      </c>
      <c r="CT193" s="70">
        <v>105</v>
      </c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</row>
    <row r="194" spans="54:108" ht="16.5" x14ac:dyDescent="0.2">
      <c r="BB194" s="70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70">
        <v>190</v>
      </c>
      <c r="CG194" s="70">
        <v>2</v>
      </c>
      <c r="CH194" s="70" t="s">
        <v>460</v>
      </c>
      <c r="CI194" s="70">
        <v>90</v>
      </c>
      <c r="CJ194" s="70"/>
      <c r="CK194" s="70"/>
      <c r="CL194" s="70"/>
      <c r="CM194" s="70" t="s">
        <v>669</v>
      </c>
      <c r="CN194" s="70">
        <v>15600</v>
      </c>
      <c r="CO194" s="70" t="s">
        <v>670</v>
      </c>
      <c r="CP194" s="70">
        <v>95</v>
      </c>
      <c r="CQ194" s="70" t="s">
        <v>497</v>
      </c>
      <c r="CR194" s="70">
        <v>2</v>
      </c>
      <c r="CS194" s="70" t="s">
        <v>670</v>
      </c>
      <c r="CT194" s="70">
        <v>110</v>
      </c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</row>
    <row r="195" spans="54:108" ht="16.5" x14ac:dyDescent="0.2">
      <c r="BB195" s="70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70">
        <v>191</v>
      </c>
      <c r="CG195" s="70">
        <v>2</v>
      </c>
      <c r="CH195" s="70" t="s">
        <v>460</v>
      </c>
      <c r="CI195" s="70">
        <v>91</v>
      </c>
      <c r="CJ195" s="70"/>
      <c r="CK195" s="70"/>
      <c r="CL195" s="70"/>
      <c r="CM195" s="70" t="s">
        <v>669</v>
      </c>
      <c r="CN195" s="70">
        <v>15600</v>
      </c>
      <c r="CO195" s="70" t="s">
        <v>670</v>
      </c>
      <c r="CP195" s="70">
        <v>100</v>
      </c>
      <c r="CQ195" s="70"/>
      <c r="CR195" s="70"/>
      <c r="CS195" s="70" t="s">
        <v>670</v>
      </c>
      <c r="CT195" s="70">
        <v>110</v>
      </c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</row>
    <row r="196" spans="54:108" ht="16.5" x14ac:dyDescent="0.2">
      <c r="BB196" s="70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70">
        <v>192</v>
      </c>
      <c r="CG196" s="70">
        <v>2</v>
      </c>
      <c r="CH196" s="70" t="s">
        <v>460</v>
      </c>
      <c r="CI196" s="70">
        <v>92</v>
      </c>
      <c r="CJ196" s="70"/>
      <c r="CK196" s="70"/>
      <c r="CL196" s="70"/>
      <c r="CM196" s="70" t="s">
        <v>669</v>
      </c>
      <c r="CN196" s="70">
        <v>15600</v>
      </c>
      <c r="CO196" s="70" t="s">
        <v>670</v>
      </c>
      <c r="CP196" s="70">
        <v>100</v>
      </c>
      <c r="CQ196" s="70"/>
      <c r="CR196" s="70"/>
      <c r="CS196" s="70" t="s">
        <v>670</v>
      </c>
      <c r="CT196" s="70">
        <v>110</v>
      </c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</row>
    <row r="197" spans="54:108" ht="16.5" x14ac:dyDescent="0.2">
      <c r="BB197" s="70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70">
        <v>193</v>
      </c>
      <c r="CG197" s="70">
        <v>2</v>
      </c>
      <c r="CH197" s="70" t="s">
        <v>460</v>
      </c>
      <c r="CI197" s="70">
        <v>93</v>
      </c>
      <c r="CJ197" s="70"/>
      <c r="CK197" s="70"/>
      <c r="CL197" s="70"/>
      <c r="CM197" s="70" t="s">
        <v>669</v>
      </c>
      <c r="CN197" s="70">
        <v>15600</v>
      </c>
      <c r="CO197" s="70" t="s">
        <v>670</v>
      </c>
      <c r="CP197" s="70">
        <v>100</v>
      </c>
      <c r="CQ197" s="70"/>
      <c r="CR197" s="70"/>
      <c r="CS197" s="70" t="s">
        <v>670</v>
      </c>
      <c r="CT197" s="70">
        <v>110</v>
      </c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</row>
    <row r="198" spans="54:108" ht="16.5" x14ac:dyDescent="0.2">
      <c r="BB198" s="70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70">
        <v>194</v>
      </c>
      <c r="CG198" s="70">
        <v>2</v>
      </c>
      <c r="CH198" s="70" t="s">
        <v>460</v>
      </c>
      <c r="CI198" s="70">
        <v>94</v>
      </c>
      <c r="CJ198" s="70"/>
      <c r="CK198" s="70"/>
      <c r="CL198" s="70"/>
      <c r="CM198" s="70" t="s">
        <v>669</v>
      </c>
      <c r="CN198" s="70">
        <v>15600</v>
      </c>
      <c r="CO198" s="70" t="s">
        <v>670</v>
      </c>
      <c r="CP198" s="70">
        <v>100</v>
      </c>
      <c r="CQ198" s="70"/>
      <c r="CR198" s="70"/>
      <c r="CS198" s="70" t="s">
        <v>670</v>
      </c>
      <c r="CT198" s="70">
        <v>110</v>
      </c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</row>
    <row r="199" spans="54:108" ht="16.5" x14ac:dyDescent="0.2">
      <c r="BB199" s="70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70">
        <v>195</v>
      </c>
      <c r="CG199" s="70">
        <v>2</v>
      </c>
      <c r="CH199" s="70" t="s">
        <v>460</v>
      </c>
      <c r="CI199" s="70">
        <v>95</v>
      </c>
      <c r="CJ199" s="70"/>
      <c r="CK199" s="70"/>
      <c r="CL199" s="70"/>
      <c r="CM199" s="70" t="s">
        <v>669</v>
      </c>
      <c r="CN199" s="70">
        <v>15600</v>
      </c>
      <c r="CO199" s="70" t="s">
        <v>670</v>
      </c>
      <c r="CP199" s="70">
        <v>100</v>
      </c>
      <c r="CQ199" s="70" t="s">
        <v>498</v>
      </c>
      <c r="CR199" s="70">
        <v>2</v>
      </c>
      <c r="CS199" s="70" t="s">
        <v>670</v>
      </c>
      <c r="CT199" s="70">
        <v>115</v>
      </c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</row>
    <row r="200" spans="54:108" ht="16.5" x14ac:dyDescent="0.2">
      <c r="BB200" s="70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70">
        <v>196</v>
      </c>
      <c r="CG200" s="70">
        <v>2</v>
      </c>
      <c r="CH200" s="70" t="s">
        <v>460</v>
      </c>
      <c r="CI200" s="70">
        <v>96</v>
      </c>
      <c r="CJ200" s="70"/>
      <c r="CK200" s="70"/>
      <c r="CL200" s="70"/>
      <c r="CM200" s="70" t="s">
        <v>669</v>
      </c>
      <c r="CN200" s="70">
        <v>15600</v>
      </c>
      <c r="CO200" s="70" t="s">
        <v>670</v>
      </c>
      <c r="CP200" s="70">
        <v>105</v>
      </c>
      <c r="CQ200" s="70"/>
      <c r="CR200" s="70"/>
      <c r="CS200" s="70" t="s">
        <v>670</v>
      </c>
      <c r="CT200" s="70">
        <v>115</v>
      </c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</row>
    <row r="201" spans="54:108" ht="16.5" x14ac:dyDescent="0.2">
      <c r="BB201" s="70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70">
        <v>197</v>
      </c>
      <c r="CG201" s="70">
        <v>2</v>
      </c>
      <c r="CH201" s="70" t="s">
        <v>460</v>
      </c>
      <c r="CI201" s="70">
        <v>97</v>
      </c>
      <c r="CJ201" s="70"/>
      <c r="CK201" s="70"/>
      <c r="CL201" s="70"/>
      <c r="CM201" s="70" t="s">
        <v>669</v>
      </c>
      <c r="CN201" s="70">
        <v>15600</v>
      </c>
      <c r="CO201" s="70" t="s">
        <v>670</v>
      </c>
      <c r="CP201" s="70">
        <v>105</v>
      </c>
      <c r="CQ201" s="70"/>
      <c r="CR201" s="70"/>
      <c r="CS201" s="70" t="s">
        <v>670</v>
      </c>
      <c r="CT201" s="70">
        <v>115</v>
      </c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</row>
    <row r="202" spans="54:108" ht="16.5" x14ac:dyDescent="0.2">
      <c r="BB202" s="70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70">
        <v>198</v>
      </c>
      <c r="CG202" s="70">
        <v>2</v>
      </c>
      <c r="CH202" s="70" t="s">
        <v>460</v>
      </c>
      <c r="CI202" s="70">
        <v>98</v>
      </c>
      <c r="CJ202" s="70"/>
      <c r="CK202" s="70"/>
      <c r="CL202" s="70"/>
      <c r="CM202" s="70" t="s">
        <v>669</v>
      </c>
      <c r="CN202" s="70">
        <v>15600</v>
      </c>
      <c r="CO202" s="70" t="s">
        <v>670</v>
      </c>
      <c r="CP202" s="70">
        <v>105</v>
      </c>
      <c r="CQ202" s="70"/>
      <c r="CR202" s="70"/>
      <c r="CS202" s="70" t="s">
        <v>670</v>
      </c>
      <c r="CT202" s="70">
        <v>115</v>
      </c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</row>
    <row r="203" spans="54:108" ht="16.5" x14ac:dyDescent="0.2">
      <c r="BB203" s="70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70">
        <v>199</v>
      </c>
      <c r="CG203" s="70">
        <v>2</v>
      </c>
      <c r="CH203" s="70" t="s">
        <v>460</v>
      </c>
      <c r="CI203" s="70">
        <v>99</v>
      </c>
      <c r="CJ203" s="70"/>
      <c r="CK203" s="70"/>
      <c r="CL203" s="70"/>
      <c r="CM203" s="70" t="s">
        <v>669</v>
      </c>
      <c r="CN203" s="70">
        <v>15600</v>
      </c>
      <c r="CO203" s="70" t="s">
        <v>670</v>
      </c>
      <c r="CP203" s="70">
        <v>105</v>
      </c>
      <c r="CQ203" s="70"/>
      <c r="CR203" s="70"/>
      <c r="CS203" s="70" t="s">
        <v>670</v>
      </c>
      <c r="CT203" s="70">
        <v>115</v>
      </c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</row>
    <row r="204" spans="54:108" ht="16.5" x14ac:dyDescent="0.2">
      <c r="BB204" s="70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70">
        <v>200</v>
      </c>
      <c r="CG204" s="70">
        <v>2</v>
      </c>
      <c r="CH204" s="70" t="s">
        <v>460</v>
      </c>
      <c r="CI204" s="70">
        <v>100</v>
      </c>
      <c r="CJ204" s="70"/>
      <c r="CK204" s="70"/>
      <c r="CL204" s="70"/>
      <c r="CM204" s="70" t="s">
        <v>669</v>
      </c>
      <c r="CN204" s="70">
        <v>18000</v>
      </c>
      <c r="CO204" s="70" t="s">
        <v>670</v>
      </c>
      <c r="CP204" s="70">
        <v>105</v>
      </c>
      <c r="CQ204" s="70" t="s">
        <v>497</v>
      </c>
      <c r="CR204" s="70">
        <v>2</v>
      </c>
      <c r="CS204" s="70" t="s">
        <v>670</v>
      </c>
      <c r="CT204" s="70">
        <v>120</v>
      </c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</row>
    <row r="205" spans="54:108" ht="16.5" x14ac:dyDescent="0.2">
      <c r="BB205" s="70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70">
        <v>201</v>
      </c>
      <c r="CG205" s="70">
        <v>3</v>
      </c>
      <c r="CH205" s="70" t="s">
        <v>460</v>
      </c>
      <c r="CI205" s="70">
        <v>1</v>
      </c>
      <c r="CJ205" s="70"/>
      <c r="CK205" s="70"/>
      <c r="CL205" s="70"/>
      <c r="CM205" s="70" t="s">
        <v>669</v>
      </c>
      <c r="CN205" s="70">
        <v>5760</v>
      </c>
      <c r="CO205" s="70" t="s">
        <v>670</v>
      </c>
      <c r="CP205" s="70">
        <v>15</v>
      </c>
      <c r="CQ205" s="70"/>
      <c r="CR205" s="70"/>
      <c r="CS205" s="70" t="s">
        <v>670</v>
      </c>
      <c r="CT205" s="70">
        <v>20</v>
      </c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</row>
    <row r="206" spans="54:108" ht="16.5" x14ac:dyDescent="0.2">
      <c r="BB206" s="70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70">
        <v>202</v>
      </c>
      <c r="CG206" s="70">
        <v>3</v>
      </c>
      <c r="CH206" s="70" t="s">
        <v>460</v>
      </c>
      <c r="CI206" s="70">
        <v>2</v>
      </c>
      <c r="CJ206" s="70"/>
      <c r="CK206" s="70"/>
      <c r="CL206" s="70"/>
      <c r="CM206" s="70" t="s">
        <v>669</v>
      </c>
      <c r="CN206" s="70">
        <v>5760</v>
      </c>
      <c r="CO206" s="70" t="s">
        <v>670</v>
      </c>
      <c r="CP206" s="70">
        <v>15</v>
      </c>
      <c r="CQ206" s="70" t="s">
        <v>499</v>
      </c>
      <c r="CR206" s="70">
        <v>1</v>
      </c>
      <c r="CS206" s="70" t="s">
        <v>670</v>
      </c>
      <c r="CT206" s="70">
        <v>20</v>
      </c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</row>
    <row r="207" spans="54:108" ht="16.5" x14ac:dyDescent="0.2">
      <c r="BB207" s="70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70">
        <v>203</v>
      </c>
      <c r="CG207" s="70">
        <v>3</v>
      </c>
      <c r="CH207" s="70" t="s">
        <v>460</v>
      </c>
      <c r="CI207" s="70">
        <v>3</v>
      </c>
      <c r="CJ207" s="70"/>
      <c r="CK207" s="70"/>
      <c r="CL207" s="70"/>
      <c r="CM207" s="70" t="s">
        <v>669</v>
      </c>
      <c r="CN207" s="70">
        <v>5760</v>
      </c>
      <c r="CO207" s="70" t="s">
        <v>670</v>
      </c>
      <c r="CP207" s="70">
        <v>15</v>
      </c>
      <c r="CQ207" s="70"/>
      <c r="CR207" s="70"/>
      <c r="CS207" s="70" t="s">
        <v>670</v>
      </c>
      <c r="CT207" s="70">
        <v>20</v>
      </c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</row>
    <row r="208" spans="54:108" ht="16.5" x14ac:dyDescent="0.2">
      <c r="BB208" s="70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70">
        <v>204</v>
      </c>
      <c r="CG208" s="70">
        <v>3</v>
      </c>
      <c r="CH208" s="70" t="s">
        <v>460</v>
      </c>
      <c r="CI208" s="70">
        <v>4</v>
      </c>
      <c r="CJ208" s="70"/>
      <c r="CK208" s="70"/>
      <c r="CL208" s="70"/>
      <c r="CM208" s="70" t="s">
        <v>669</v>
      </c>
      <c r="CN208" s="70">
        <v>5760</v>
      </c>
      <c r="CO208" s="70" t="s">
        <v>670</v>
      </c>
      <c r="CP208" s="70">
        <v>15</v>
      </c>
      <c r="CQ208" s="70" t="s">
        <v>500</v>
      </c>
      <c r="CR208" s="70">
        <v>1</v>
      </c>
      <c r="CS208" s="70" t="s">
        <v>670</v>
      </c>
      <c r="CT208" s="70">
        <v>20</v>
      </c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</row>
    <row r="209" spans="54:108" ht="16.5" x14ac:dyDescent="0.2">
      <c r="BB209" s="70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70">
        <v>205</v>
      </c>
      <c r="CG209" s="70">
        <v>3</v>
      </c>
      <c r="CH209" s="70" t="s">
        <v>460</v>
      </c>
      <c r="CI209" s="70">
        <v>5</v>
      </c>
      <c r="CJ209" s="70"/>
      <c r="CK209" s="70"/>
      <c r="CL209" s="70"/>
      <c r="CM209" s="70" t="s">
        <v>669</v>
      </c>
      <c r="CN209" s="70">
        <v>5760</v>
      </c>
      <c r="CO209" s="70" t="s">
        <v>670</v>
      </c>
      <c r="CP209" s="70">
        <v>15</v>
      </c>
      <c r="CQ209" s="70"/>
      <c r="CR209" s="70"/>
      <c r="CS209" s="70" t="s">
        <v>670</v>
      </c>
      <c r="CT209" s="70">
        <v>25</v>
      </c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</row>
    <row r="210" spans="54:108" ht="16.5" x14ac:dyDescent="0.2">
      <c r="BB210" s="70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70">
        <v>206</v>
      </c>
      <c r="CG210" s="70">
        <v>3</v>
      </c>
      <c r="CH210" s="70" t="s">
        <v>460</v>
      </c>
      <c r="CI210" s="70">
        <v>6</v>
      </c>
      <c r="CJ210" s="70"/>
      <c r="CK210" s="70"/>
      <c r="CL210" s="70"/>
      <c r="CM210" s="70" t="s">
        <v>669</v>
      </c>
      <c r="CN210" s="70">
        <v>7200</v>
      </c>
      <c r="CO210" s="70" t="s">
        <v>670</v>
      </c>
      <c r="CP210" s="70">
        <v>20</v>
      </c>
      <c r="CQ210" s="70"/>
      <c r="CR210" s="70"/>
      <c r="CS210" s="70" t="s">
        <v>670</v>
      </c>
      <c r="CT210" s="70">
        <v>25</v>
      </c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</row>
    <row r="211" spans="54:108" ht="16.5" x14ac:dyDescent="0.2">
      <c r="BB211" s="70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70">
        <v>207</v>
      </c>
      <c r="CG211" s="70">
        <v>3</v>
      </c>
      <c r="CH211" s="70" t="s">
        <v>460</v>
      </c>
      <c r="CI211" s="70">
        <v>7</v>
      </c>
      <c r="CJ211" s="70"/>
      <c r="CK211" s="70"/>
      <c r="CL211" s="70"/>
      <c r="CM211" s="70" t="s">
        <v>669</v>
      </c>
      <c r="CN211" s="70">
        <v>7200</v>
      </c>
      <c r="CO211" s="70" t="s">
        <v>670</v>
      </c>
      <c r="CP211" s="70">
        <v>20</v>
      </c>
      <c r="CQ211" s="70" t="s">
        <v>503</v>
      </c>
      <c r="CR211" s="70">
        <v>1</v>
      </c>
      <c r="CS211" s="70" t="s">
        <v>670</v>
      </c>
      <c r="CT211" s="70">
        <v>25</v>
      </c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</row>
    <row r="212" spans="54:108" ht="16.5" x14ac:dyDescent="0.2">
      <c r="BB212" s="70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70">
        <v>208</v>
      </c>
      <c r="CG212" s="70">
        <v>3</v>
      </c>
      <c r="CH212" s="70" t="s">
        <v>460</v>
      </c>
      <c r="CI212" s="70">
        <v>8</v>
      </c>
      <c r="CJ212" s="70"/>
      <c r="CK212" s="70"/>
      <c r="CL212" s="70"/>
      <c r="CM212" s="70" t="s">
        <v>669</v>
      </c>
      <c r="CN212" s="70">
        <v>7200</v>
      </c>
      <c r="CO212" s="70" t="s">
        <v>670</v>
      </c>
      <c r="CP212" s="70">
        <v>20</v>
      </c>
      <c r="CQ212" s="70"/>
      <c r="CR212" s="70"/>
      <c r="CS212" s="70" t="s">
        <v>670</v>
      </c>
      <c r="CT212" s="70">
        <v>25</v>
      </c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</row>
    <row r="213" spans="54:108" ht="16.5" x14ac:dyDescent="0.2">
      <c r="BB213" s="70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70">
        <v>209</v>
      </c>
      <c r="CG213" s="70">
        <v>3</v>
      </c>
      <c r="CH213" s="70" t="s">
        <v>460</v>
      </c>
      <c r="CI213" s="70">
        <v>9</v>
      </c>
      <c r="CJ213" s="70"/>
      <c r="CK213" s="70"/>
      <c r="CL213" s="70"/>
      <c r="CM213" s="70" t="s">
        <v>669</v>
      </c>
      <c r="CN213" s="70">
        <v>7200</v>
      </c>
      <c r="CO213" s="70" t="s">
        <v>670</v>
      </c>
      <c r="CP213" s="70">
        <v>20</v>
      </c>
      <c r="CQ213" s="70"/>
      <c r="CR213" s="70"/>
      <c r="CS213" s="70" t="s">
        <v>670</v>
      </c>
      <c r="CT213" s="70">
        <v>25</v>
      </c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</row>
    <row r="214" spans="54:108" ht="16.5" x14ac:dyDescent="0.2">
      <c r="BB214" s="70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70">
        <v>210</v>
      </c>
      <c r="CG214" s="70">
        <v>3</v>
      </c>
      <c r="CH214" s="70" t="s">
        <v>460</v>
      </c>
      <c r="CI214" s="70">
        <v>10</v>
      </c>
      <c r="CJ214" s="70"/>
      <c r="CK214" s="70"/>
      <c r="CL214" s="70"/>
      <c r="CM214" s="70" t="s">
        <v>669</v>
      </c>
      <c r="CN214" s="70">
        <v>7200</v>
      </c>
      <c r="CO214" s="70" t="s">
        <v>670</v>
      </c>
      <c r="CP214" s="70">
        <v>20</v>
      </c>
      <c r="CQ214" s="70" t="s">
        <v>504</v>
      </c>
      <c r="CR214" s="70">
        <v>1</v>
      </c>
      <c r="CS214" s="70" t="s">
        <v>670</v>
      </c>
      <c r="CT214" s="70">
        <v>30</v>
      </c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</row>
    <row r="215" spans="54:108" ht="16.5" x14ac:dyDescent="0.2">
      <c r="BB215" s="70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70">
        <v>211</v>
      </c>
      <c r="CG215" s="70">
        <v>3</v>
      </c>
      <c r="CH215" s="70" t="s">
        <v>460</v>
      </c>
      <c r="CI215" s="70">
        <v>11</v>
      </c>
      <c r="CJ215" s="70"/>
      <c r="CK215" s="70"/>
      <c r="CL215" s="70"/>
      <c r="CM215" s="70" t="s">
        <v>669</v>
      </c>
      <c r="CN215" s="70">
        <v>9000</v>
      </c>
      <c r="CO215" s="70" t="s">
        <v>670</v>
      </c>
      <c r="CP215" s="70">
        <v>25</v>
      </c>
      <c r="CQ215" s="70"/>
      <c r="CR215" s="70"/>
      <c r="CS215" s="70" t="s">
        <v>670</v>
      </c>
      <c r="CT215" s="70">
        <v>30</v>
      </c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</row>
    <row r="216" spans="54:108" ht="16.5" x14ac:dyDescent="0.2">
      <c r="BB216" s="70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70">
        <v>212</v>
      </c>
      <c r="CG216" s="70">
        <v>3</v>
      </c>
      <c r="CH216" s="70" t="s">
        <v>460</v>
      </c>
      <c r="CI216" s="70">
        <v>12</v>
      </c>
      <c r="CJ216" s="70"/>
      <c r="CK216" s="70"/>
      <c r="CL216" s="70"/>
      <c r="CM216" s="70" t="s">
        <v>669</v>
      </c>
      <c r="CN216" s="70">
        <v>9000</v>
      </c>
      <c r="CO216" s="70" t="s">
        <v>670</v>
      </c>
      <c r="CP216" s="70">
        <v>25</v>
      </c>
      <c r="CQ216" s="70"/>
      <c r="CR216" s="70"/>
      <c r="CS216" s="70" t="s">
        <v>670</v>
      </c>
      <c r="CT216" s="70">
        <v>30</v>
      </c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</row>
    <row r="217" spans="54:108" ht="16.5" x14ac:dyDescent="0.2">
      <c r="BB217" s="70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70">
        <v>213</v>
      </c>
      <c r="CG217" s="70">
        <v>3</v>
      </c>
      <c r="CH217" s="70" t="s">
        <v>460</v>
      </c>
      <c r="CI217" s="70">
        <v>13</v>
      </c>
      <c r="CJ217" s="70"/>
      <c r="CK217" s="70"/>
      <c r="CL217" s="70"/>
      <c r="CM217" s="70" t="s">
        <v>669</v>
      </c>
      <c r="CN217" s="70">
        <v>9000</v>
      </c>
      <c r="CO217" s="70" t="s">
        <v>670</v>
      </c>
      <c r="CP217" s="70">
        <v>25</v>
      </c>
      <c r="CQ217" s="70"/>
      <c r="CR217" s="70"/>
      <c r="CS217" s="70" t="s">
        <v>670</v>
      </c>
      <c r="CT217" s="70">
        <v>30</v>
      </c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</row>
    <row r="218" spans="54:108" ht="16.5" x14ac:dyDescent="0.2">
      <c r="BB218" s="70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70">
        <v>214</v>
      </c>
      <c r="CG218" s="70">
        <v>3</v>
      </c>
      <c r="CH218" s="70" t="s">
        <v>460</v>
      </c>
      <c r="CI218" s="70">
        <v>14</v>
      </c>
      <c r="CJ218" s="70"/>
      <c r="CK218" s="70"/>
      <c r="CL218" s="70"/>
      <c r="CM218" s="70" t="s">
        <v>669</v>
      </c>
      <c r="CN218" s="70">
        <v>9000</v>
      </c>
      <c r="CO218" s="70" t="s">
        <v>670</v>
      </c>
      <c r="CP218" s="70">
        <v>25</v>
      </c>
      <c r="CQ218" s="70"/>
      <c r="CR218" s="70"/>
      <c r="CS218" s="70" t="s">
        <v>670</v>
      </c>
      <c r="CT218" s="70">
        <v>30</v>
      </c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</row>
    <row r="219" spans="54:108" ht="16.5" x14ac:dyDescent="0.2">
      <c r="BB219" s="70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70">
        <v>215</v>
      </c>
      <c r="CG219" s="70">
        <v>3</v>
      </c>
      <c r="CH219" s="70" t="s">
        <v>460</v>
      </c>
      <c r="CI219" s="70">
        <v>15</v>
      </c>
      <c r="CJ219" s="70"/>
      <c r="CK219" s="70"/>
      <c r="CL219" s="70"/>
      <c r="CM219" s="70" t="s">
        <v>669</v>
      </c>
      <c r="CN219" s="70">
        <v>9000</v>
      </c>
      <c r="CO219" s="70" t="s">
        <v>670</v>
      </c>
      <c r="CP219" s="70">
        <v>25</v>
      </c>
      <c r="CQ219" s="70" t="s">
        <v>499</v>
      </c>
      <c r="CR219" s="70">
        <v>2</v>
      </c>
      <c r="CS219" s="70" t="s">
        <v>670</v>
      </c>
      <c r="CT219" s="70">
        <v>35</v>
      </c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</row>
    <row r="220" spans="54:108" ht="16.5" x14ac:dyDescent="0.2">
      <c r="BB220" s="70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70">
        <v>216</v>
      </c>
      <c r="CG220" s="70">
        <v>3</v>
      </c>
      <c r="CH220" s="70" t="s">
        <v>460</v>
      </c>
      <c r="CI220" s="70">
        <v>16</v>
      </c>
      <c r="CJ220" s="70"/>
      <c r="CK220" s="70"/>
      <c r="CL220" s="70"/>
      <c r="CM220" s="70" t="s">
        <v>669</v>
      </c>
      <c r="CN220" s="70">
        <v>10800</v>
      </c>
      <c r="CO220" s="70" t="s">
        <v>670</v>
      </c>
      <c r="CP220" s="70">
        <v>30</v>
      </c>
      <c r="CQ220" s="70"/>
      <c r="CR220" s="70"/>
      <c r="CS220" s="70" t="s">
        <v>670</v>
      </c>
      <c r="CT220" s="70">
        <v>35</v>
      </c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</row>
    <row r="221" spans="54:108" ht="16.5" x14ac:dyDescent="0.2">
      <c r="BB221" s="70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70">
        <v>217</v>
      </c>
      <c r="CG221" s="70">
        <v>3</v>
      </c>
      <c r="CH221" s="70" t="s">
        <v>460</v>
      </c>
      <c r="CI221" s="70">
        <v>17</v>
      </c>
      <c r="CJ221" s="70"/>
      <c r="CK221" s="70"/>
      <c r="CL221" s="70"/>
      <c r="CM221" s="70" t="s">
        <v>669</v>
      </c>
      <c r="CN221" s="70">
        <v>10800</v>
      </c>
      <c r="CO221" s="70" t="s">
        <v>670</v>
      </c>
      <c r="CP221" s="70">
        <v>30</v>
      </c>
      <c r="CQ221" s="70"/>
      <c r="CR221" s="70"/>
      <c r="CS221" s="70" t="s">
        <v>670</v>
      </c>
      <c r="CT221" s="70">
        <v>35</v>
      </c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</row>
    <row r="222" spans="54:108" ht="16.5" x14ac:dyDescent="0.2">
      <c r="BB222" s="70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70">
        <v>218</v>
      </c>
      <c r="CG222" s="70">
        <v>3</v>
      </c>
      <c r="CH222" s="70" t="s">
        <v>460</v>
      </c>
      <c r="CI222" s="70">
        <v>18</v>
      </c>
      <c r="CJ222" s="70"/>
      <c r="CK222" s="70"/>
      <c r="CL222" s="70"/>
      <c r="CM222" s="70" t="s">
        <v>669</v>
      </c>
      <c r="CN222" s="70">
        <v>10800</v>
      </c>
      <c r="CO222" s="70" t="s">
        <v>670</v>
      </c>
      <c r="CP222" s="70">
        <v>30</v>
      </c>
      <c r="CQ222" s="70"/>
      <c r="CR222" s="70"/>
      <c r="CS222" s="70" t="s">
        <v>670</v>
      </c>
      <c r="CT222" s="70">
        <v>35</v>
      </c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</row>
    <row r="223" spans="54:108" ht="16.5" x14ac:dyDescent="0.2">
      <c r="BB223" s="70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70">
        <v>219</v>
      </c>
      <c r="CG223" s="70">
        <v>3</v>
      </c>
      <c r="CH223" s="70" t="s">
        <v>460</v>
      </c>
      <c r="CI223" s="70">
        <v>19</v>
      </c>
      <c r="CJ223" s="70"/>
      <c r="CK223" s="70"/>
      <c r="CL223" s="70"/>
      <c r="CM223" s="70" t="s">
        <v>669</v>
      </c>
      <c r="CN223" s="70">
        <v>10800</v>
      </c>
      <c r="CO223" s="70" t="s">
        <v>670</v>
      </c>
      <c r="CP223" s="70">
        <v>30</v>
      </c>
      <c r="CQ223" s="70"/>
      <c r="CR223" s="70"/>
      <c r="CS223" s="70" t="s">
        <v>670</v>
      </c>
      <c r="CT223" s="70">
        <v>35</v>
      </c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</row>
    <row r="224" spans="54:108" ht="16.5" x14ac:dyDescent="0.2">
      <c r="BB224" s="70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70">
        <v>220</v>
      </c>
      <c r="CG224" s="70">
        <v>3</v>
      </c>
      <c r="CH224" s="70" t="s">
        <v>460</v>
      </c>
      <c r="CI224" s="70">
        <v>20</v>
      </c>
      <c r="CJ224" s="70"/>
      <c r="CK224" s="70"/>
      <c r="CL224" s="70"/>
      <c r="CM224" s="70" t="s">
        <v>669</v>
      </c>
      <c r="CN224" s="70">
        <v>12960</v>
      </c>
      <c r="CO224" s="70" t="s">
        <v>670</v>
      </c>
      <c r="CP224" s="70">
        <v>30</v>
      </c>
      <c r="CQ224" s="70" t="s">
        <v>500</v>
      </c>
      <c r="CR224" s="70">
        <v>2</v>
      </c>
      <c r="CS224" s="70" t="s">
        <v>670</v>
      </c>
      <c r="CT224" s="70">
        <v>40</v>
      </c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</row>
    <row r="225" spans="54:108" ht="16.5" x14ac:dyDescent="0.2">
      <c r="BB225" s="70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70">
        <v>221</v>
      </c>
      <c r="CG225" s="70">
        <v>3</v>
      </c>
      <c r="CH225" s="70" t="s">
        <v>460</v>
      </c>
      <c r="CI225" s="70">
        <v>21</v>
      </c>
      <c r="CJ225" s="70"/>
      <c r="CK225" s="70"/>
      <c r="CL225" s="70"/>
      <c r="CM225" s="70" t="s">
        <v>669</v>
      </c>
      <c r="CN225" s="70">
        <v>12960</v>
      </c>
      <c r="CO225" s="70" t="s">
        <v>670</v>
      </c>
      <c r="CP225" s="70">
        <v>35</v>
      </c>
      <c r="CQ225" s="70"/>
      <c r="CR225" s="70"/>
      <c r="CS225" s="70" t="s">
        <v>670</v>
      </c>
      <c r="CT225" s="70">
        <v>40</v>
      </c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</row>
    <row r="226" spans="54:108" ht="16.5" x14ac:dyDescent="0.2">
      <c r="BB226" s="70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70">
        <v>222</v>
      </c>
      <c r="CG226" s="70">
        <v>3</v>
      </c>
      <c r="CH226" s="70" t="s">
        <v>460</v>
      </c>
      <c r="CI226" s="70">
        <v>22</v>
      </c>
      <c r="CJ226" s="70"/>
      <c r="CK226" s="70"/>
      <c r="CL226" s="70"/>
      <c r="CM226" s="70" t="s">
        <v>669</v>
      </c>
      <c r="CN226" s="70">
        <v>12960</v>
      </c>
      <c r="CO226" s="70" t="s">
        <v>670</v>
      </c>
      <c r="CP226" s="70">
        <v>35</v>
      </c>
      <c r="CQ226" s="70"/>
      <c r="CR226" s="70"/>
      <c r="CS226" s="70" t="s">
        <v>670</v>
      </c>
      <c r="CT226" s="70">
        <v>40</v>
      </c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</row>
    <row r="227" spans="54:108" ht="16.5" x14ac:dyDescent="0.2">
      <c r="BB227" s="70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70">
        <v>223</v>
      </c>
      <c r="CG227" s="70">
        <v>3</v>
      </c>
      <c r="CH227" s="70" t="s">
        <v>460</v>
      </c>
      <c r="CI227" s="70">
        <v>23</v>
      </c>
      <c r="CJ227" s="70"/>
      <c r="CK227" s="70"/>
      <c r="CL227" s="70"/>
      <c r="CM227" s="70" t="s">
        <v>669</v>
      </c>
      <c r="CN227" s="70">
        <v>12960</v>
      </c>
      <c r="CO227" s="70" t="s">
        <v>670</v>
      </c>
      <c r="CP227" s="70">
        <v>35</v>
      </c>
      <c r="CQ227" s="70"/>
      <c r="CR227" s="70"/>
      <c r="CS227" s="70" t="s">
        <v>670</v>
      </c>
      <c r="CT227" s="70">
        <v>40</v>
      </c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</row>
    <row r="228" spans="54:108" ht="16.5" x14ac:dyDescent="0.2">
      <c r="BB228" s="70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70">
        <v>224</v>
      </c>
      <c r="CG228" s="70">
        <v>3</v>
      </c>
      <c r="CH228" s="70" t="s">
        <v>460</v>
      </c>
      <c r="CI228" s="70">
        <v>24</v>
      </c>
      <c r="CJ228" s="70"/>
      <c r="CK228" s="70"/>
      <c r="CL228" s="70"/>
      <c r="CM228" s="70" t="s">
        <v>669</v>
      </c>
      <c r="CN228" s="70">
        <v>12960</v>
      </c>
      <c r="CO228" s="70" t="s">
        <v>670</v>
      </c>
      <c r="CP228" s="70">
        <v>35</v>
      </c>
      <c r="CQ228" s="70"/>
      <c r="CR228" s="70"/>
      <c r="CS228" s="70" t="s">
        <v>670</v>
      </c>
      <c r="CT228" s="70">
        <v>40</v>
      </c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</row>
    <row r="229" spans="54:108" ht="16.5" x14ac:dyDescent="0.2">
      <c r="BB229" s="70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70">
        <v>225</v>
      </c>
      <c r="CG229" s="70">
        <v>3</v>
      </c>
      <c r="CH229" s="70" t="s">
        <v>460</v>
      </c>
      <c r="CI229" s="70">
        <v>25</v>
      </c>
      <c r="CJ229" s="70"/>
      <c r="CK229" s="70"/>
      <c r="CL229" s="70"/>
      <c r="CM229" s="70" t="s">
        <v>669</v>
      </c>
      <c r="CN229" s="70">
        <v>12960</v>
      </c>
      <c r="CO229" s="70" t="s">
        <v>670</v>
      </c>
      <c r="CP229" s="70">
        <v>35</v>
      </c>
      <c r="CQ229" s="70" t="s">
        <v>503</v>
      </c>
      <c r="CR229" s="70">
        <v>2</v>
      </c>
      <c r="CS229" s="70" t="s">
        <v>670</v>
      </c>
      <c r="CT229" s="70">
        <v>45</v>
      </c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</row>
    <row r="230" spans="54:108" ht="16.5" x14ac:dyDescent="0.2">
      <c r="BB230" s="70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70">
        <v>226</v>
      </c>
      <c r="CG230" s="70">
        <v>3</v>
      </c>
      <c r="CH230" s="70" t="s">
        <v>460</v>
      </c>
      <c r="CI230" s="70">
        <v>26</v>
      </c>
      <c r="CJ230" s="70"/>
      <c r="CK230" s="70"/>
      <c r="CL230" s="70"/>
      <c r="CM230" s="70" t="s">
        <v>669</v>
      </c>
      <c r="CN230" s="70">
        <v>12960</v>
      </c>
      <c r="CO230" s="70" t="s">
        <v>670</v>
      </c>
      <c r="CP230" s="70">
        <v>40</v>
      </c>
      <c r="CQ230" s="70"/>
      <c r="CR230" s="70"/>
      <c r="CS230" s="70" t="s">
        <v>670</v>
      </c>
      <c r="CT230" s="70">
        <v>45</v>
      </c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</row>
    <row r="231" spans="54:108" ht="16.5" x14ac:dyDescent="0.2">
      <c r="BB231" s="70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70">
        <v>227</v>
      </c>
      <c r="CG231" s="70">
        <v>3</v>
      </c>
      <c r="CH231" s="70" t="s">
        <v>460</v>
      </c>
      <c r="CI231" s="70">
        <v>27</v>
      </c>
      <c r="CJ231" s="70"/>
      <c r="CK231" s="70"/>
      <c r="CL231" s="70"/>
      <c r="CM231" s="70" t="s">
        <v>669</v>
      </c>
      <c r="CN231" s="70">
        <v>12960</v>
      </c>
      <c r="CO231" s="70" t="s">
        <v>670</v>
      </c>
      <c r="CP231" s="70">
        <v>40</v>
      </c>
      <c r="CQ231" s="70"/>
      <c r="CR231" s="70"/>
      <c r="CS231" s="70" t="s">
        <v>670</v>
      </c>
      <c r="CT231" s="70">
        <v>45</v>
      </c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</row>
    <row r="232" spans="54:108" ht="16.5" x14ac:dyDescent="0.2">
      <c r="BB232" s="70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70">
        <v>228</v>
      </c>
      <c r="CG232" s="70">
        <v>3</v>
      </c>
      <c r="CH232" s="70" t="s">
        <v>460</v>
      </c>
      <c r="CI232" s="70">
        <v>28</v>
      </c>
      <c r="CJ232" s="70"/>
      <c r="CK232" s="70"/>
      <c r="CL232" s="70"/>
      <c r="CM232" s="70" t="s">
        <v>669</v>
      </c>
      <c r="CN232" s="70">
        <v>12960</v>
      </c>
      <c r="CO232" s="70" t="s">
        <v>670</v>
      </c>
      <c r="CP232" s="70">
        <v>40</v>
      </c>
      <c r="CQ232" s="70"/>
      <c r="CR232" s="70"/>
      <c r="CS232" s="70" t="s">
        <v>670</v>
      </c>
      <c r="CT232" s="70">
        <v>45</v>
      </c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</row>
    <row r="233" spans="54:108" ht="16.5" x14ac:dyDescent="0.2">
      <c r="BB233" s="70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70">
        <v>229</v>
      </c>
      <c r="CG233" s="70">
        <v>3</v>
      </c>
      <c r="CH233" s="70" t="s">
        <v>460</v>
      </c>
      <c r="CI233" s="70">
        <v>29</v>
      </c>
      <c r="CJ233" s="70"/>
      <c r="CK233" s="70"/>
      <c r="CL233" s="70"/>
      <c r="CM233" s="70" t="s">
        <v>669</v>
      </c>
      <c r="CN233" s="70">
        <v>12960</v>
      </c>
      <c r="CO233" s="70" t="s">
        <v>670</v>
      </c>
      <c r="CP233" s="70">
        <v>40</v>
      </c>
      <c r="CQ233" s="70"/>
      <c r="CR233" s="70"/>
      <c r="CS233" s="70" t="s">
        <v>670</v>
      </c>
      <c r="CT233" s="70">
        <v>45</v>
      </c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</row>
    <row r="234" spans="54:108" ht="16.5" x14ac:dyDescent="0.2">
      <c r="BB234" s="70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70">
        <v>230</v>
      </c>
      <c r="CG234" s="70">
        <v>3</v>
      </c>
      <c r="CH234" s="70" t="s">
        <v>460</v>
      </c>
      <c r="CI234" s="70">
        <v>30</v>
      </c>
      <c r="CJ234" s="70"/>
      <c r="CK234" s="70"/>
      <c r="CL234" s="70"/>
      <c r="CM234" s="70" t="s">
        <v>669</v>
      </c>
      <c r="CN234" s="70">
        <v>16200</v>
      </c>
      <c r="CO234" s="70" t="s">
        <v>670</v>
      </c>
      <c r="CP234" s="70">
        <v>40</v>
      </c>
      <c r="CQ234" s="70" t="s">
        <v>504</v>
      </c>
      <c r="CR234" s="70">
        <v>2</v>
      </c>
      <c r="CS234" s="70" t="s">
        <v>670</v>
      </c>
      <c r="CT234" s="70">
        <v>50</v>
      </c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</row>
    <row r="235" spans="54:108" ht="16.5" x14ac:dyDescent="0.2">
      <c r="BB235" s="70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70">
        <v>231</v>
      </c>
      <c r="CG235" s="70">
        <v>3</v>
      </c>
      <c r="CH235" s="70" t="s">
        <v>460</v>
      </c>
      <c r="CI235" s="70">
        <v>31</v>
      </c>
      <c r="CJ235" s="70"/>
      <c r="CK235" s="70"/>
      <c r="CL235" s="70"/>
      <c r="CM235" s="70" t="s">
        <v>669</v>
      </c>
      <c r="CN235" s="70">
        <v>16200</v>
      </c>
      <c r="CO235" s="70" t="s">
        <v>670</v>
      </c>
      <c r="CP235" s="70">
        <v>45</v>
      </c>
      <c r="CQ235" s="70"/>
      <c r="CR235" s="70"/>
      <c r="CS235" s="70" t="s">
        <v>670</v>
      </c>
      <c r="CT235" s="70">
        <v>50</v>
      </c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</row>
    <row r="236" spans="54:108" ht="16.5" x14ac:dyDescent="0.2">
      <c r="BB236" s="70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70">
        <v>232</v>
      </c>
      <c r="CG236" s="70">
        <v>3</v>
      </c>
      <c r="CH236" s="70" t="s">
        <v>460</v>
      </c>
      <c r="CI236" s="70">
        <v>32</v>
      </c>
      <c r="CJ236" s="70"/>
      <c r="CK236" s="70"/>
      <c r="CL236" s="70"/>
      <c r="CM236" s="70" t="s">
        <v>669</v>
      </c>
      <c r="CN236" s="70">
        <v>16200</v>
      </c>
      <c r="CO236" s="70" t="s">
        <v>670</v>
      </c>
      <c r="CP236" s="70">
        <v>45</v>
      </c>
      <c r="CQ236" s="70"/>
      <c r="CR236" s="70"/>
      <c r="CS236" s="70" t="s">
        <v>670</v>
      </c>
      <c r="CT236" s="70">
        <v>50</v>
      </c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</row>
    <row r="237" spans="54:108" ht="16.5" x14ac:dyDescent="0.2">
      <c r="BB237" s="70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70">
        <v>233</v>
      </c>
      <c r="CG237" s="70">
        <v>3</v>
      </c>
      <c r="CH237" s="70" t="s">
        <v>460</v>
      </c>
      <c r="CI237" s="70">
        <v>33</v>
      </c>
      <c r="CJ237" s="70"/>
      <c r="CK237" s="70"/>
      <c r="CL237" s="70"/>
      <c r="CM237" s="70" t="s">
        <v>669</v>
      </c>
      <c r="CN237" s="70">
        <v>16200</v>
      </c>
      <c r="CO237" s="70" t="s">
        <v>670</v>
      </c>
      <c r="CP237" s="70">
        <v>45</v>
      </c>
      <c r="CQ237" s="70"/>
      <c r="CR237" s="70"/>
      <c r="CS237" s="70" t="s">
        <v>670</v>
      </c>
      <c r="CT237" s="70">
        <v>50</v>
      </c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</row>
    <row r="238" spans="54:108" ht="16.5" x14ac:dyDescent="0.2">
      <c r="BB238" s="70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70">
        <v>234</v>
      </c>
      <c r="CG238" s="70">
        <v>3</v>
      </c>
      <c r="CH238" s="70" t="s">
        <v>460</v>
      </c>
      <c r="CI238" s="70">
        <v>34</v>
      </c>
      <c r="CJ238" s="70"/>
      <c r="CK238" s="70"/>
      <c r="CL238" s="70"/>
      <c r="CM238" s="70" t="s">
        <v>669</v>
      </c>
      <c r="CN238" s="70">
        <v>16200</v>
      </c>
      <c r="CO238" s="70" t="s">
        <v>670</v>
      </c>
      <c r="CP238" s="70">
        <v>45</v>
      </c>
      <c r="CQ238" s="70"/>
      <c r="CR238" s="70"/>
      <c r="CS238" s="70" t="s">
        <v>670</v>
      </c>
      <c r="CT238" s="70">
        <v>50</v>
      </c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</row>
    <row r="239" spans="54:108" ht="16.5" x14ac:dyDescent="0.2">
      <c r="BB239" s="70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70">
        <v>235</v>
      </c>
      <c r="CG239" s="70">
        <v>3</v>
      </c>
      <c r="CH239" s="70" t="s">
        <v>460</v>
      </c>
      <c r="CI239" s="70">
        <v>35</v>
      </c>
      <c r="CJ239" s="70"/>
      <c r="CK239" s="70"/>
      <c r="CL239" s="70"/>
      <c r="CM239" s="70" t="s">
        <v>669</v>
      </c>
      <c r="CN239" s="70">
        <v>16200</v>
      </c>
      <c r="CO239" s="70" t="s">
        <v>670</v>
      </c>
      <c r="CP239" s="70">
        <v>45</v>
      </c>
      <c r="CQ239" s="70" t="s">
        <v>499</v>
      </c>
      <c r="CR239" s="70">
        <v>2</v>
      </c>
      <c r="CS239" s="70" t="s">
        <v>670</v>
      </c>
      <c r="CT239" s="70">
        <v>55</v>
      </c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</row>
    <row r="240" spans="54:108" ht="16.5" x14ac:dyDescent="0.2">
      <c r="BB240" s="70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70">
        <v>236</v>
      </c>
      <c r="CG240" s="70">
        <v>3</v>
      </c>
      <c r="CH240" s="70" t="s">
        <v>460</v>
      </c>
      <c r="CI240" s="70">
        <v>36</v>
      </c>
      <c r="CJ240" s="70"/>
      <c r="CK240" s="70"/>
      <c r="CL240" s="70"/>
      <c r="CM240" s="70" t="s">
        <v>669</v>
      </c>
      <c r="CN240" s="70">
        <v>16200</v>
      </c>
      <c r="CO240" s="70" t="s">
        <v>670</v>
      </c>
      <c r="CP240" s="70">
        <v>50</v>
      </c>
      <c r="CQ240" s="70"/>
      <c r="CR240" s="70"/>
      <c r="CS240" s="70" t="s">
        <v>670</v>
      </c>
      <c r="CT240" s="70">
        <v>55</v>
      </c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</row>
    <row r="241" spans="54:108" ht="16.5" x14ac:dyDescent="0.2">
      <c r="BB241" s="70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70">
        <v>237</v>
      </c>
      <c r="CG241" s="70">
        <v>3</v>
      </c>
      <c r="CH241" s="70" t="s">
        <v>460</v>
      </c>
      <c r="CI241" s="70">
        <v>37</v>
      </c>
      <c r="CJ241" s="70"/>
      <c r="CK241" s="70"/>
      <c r="CL241" s="70"/>
      <c r="CM241" s="70" t="s">
        <v>669</v>
      </c>
      <c r="CN241" s="70">
        <v>16200</v>
      </c>
      <c r="CO241" s="70" t="s">
        <v>670</v>
      </c>
      <c r="CP241" s="70">
        <v>50</v>
      </c>
      <c r="CQ241" s="70"/>
      <c r="CR241" s="70"/>
      <c r="CS241" s="70" t="s">
        <v>670</v>
      </c>
      <c r="CT241" s="70">
        <v>55</v>
      </c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</row>
    <row r="242" spans="54:108" ht="16.5" x14ac:dyDescent="0.2">
      <c r="BB242" s="70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70">
        <v>238</v>
      </c>
      <c r="CG242" s="70">
        <v>3</v>
      </c>
      <c r="CH242" s="70" t="s">
        <v>460</v>
      </c>
      <c r="CI242" s="70">
        <v>38</v>
      </c>
      <c r="CJ242" s="70"/>
      <c r="CK242" s="70"/>
      <c r="CL242" s="70"/>
      <c r="CM242" s="70" t="s">
        <v>669</v>
      </c>
      <c r="CN242" s="70">
        <v>16200</v>
      </c>
      <c r="CO242" s="70" t="s">
        <v>670</v>
      </c>
      <c r="CP242" s="70">
        <v>50</v>
      </c>
      <c r="CQ242" s="70"/>
      <c r="CR242" s="70"/>
      <c r="CS242" s="70" t="s">
        <v>670</v>
      </c>
      <c r="CT242" s="70">
        <v>55</v>
      </c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</row>
    <row r="243" spans="54:108" ht="16.5" x14ac:dyDescent="0.2">
      <c r="BB243" s="70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70">
        <v>239</v>
      </c>
      <c r="CG243" s="70">
        <v>3</v>
      </c>
      <c r="CH243" s="70" t="s">
        <v>460</v>
      </c>
      <c r="CI243" s="70">
        <v>39</v>
      </c>
      <c r="CJ243" s="70"/>
      <c r="CK243" s="70"/>
      <c r="CL243" s="70"/>
      <c r="CM243" s="70" t="s">
        <v>669</v>
      </c>
      <c r="CN243" s="70">
        <v>16200</v>
      </c>
      <c r="CO243" s="70" t="s">
        <v>670</v>
      </c>
      <c r="CP243" s="70">
        <v>50</v>
      </c>
      <c r="CQ243" s="70"/>
      <c r="CR243" s="70"/>
      <c r="CS243" s="70" t="s">
        <v>670</v>
      </c>
      <c r="CT243" s="70">
        <v>55</v>
      </c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</row>
    <row r="244" spans="54:108" ht="16.5" x14ac:dyDescent="0.2">
      <c r="BB244" s="70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70">
        <v>240</v>
      </c>
      <c r="CG244" s="70">
        <v>3</v>
      </c>
      <c r="CH244" s="70" t="s">
        <v>460</v>
      </c>
      <c r="CI244" s="70">
        <v>40</v>
      </c>
      <c r="CJ244" s="70"/>
      <c r="CK244" s="70"/>
      <c r="CL244" s="70"/>
      <c r="CM244" s="70" t="s">
        <v>669</v>
      </c>
      <c r="CN244" s="70">
        <v>16200</v>
      </c>
      <c r="CO244" s="70" t="s">
        <v>670</v>
      </c>
      <c r="CP244" s="70">
        <v>50</v>
      </c>
      <c r="CQ244" s="70" t="s">
        <v>500</v>
      </c>
      <c r="CR244" s="70">
        <v>2</v>
      </c>
      <c r="CS244" s="70" t="s">
        <v>670</v>
      </c>
      <c r="CT244" s="70">
        <v>60</v>
      </c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</row>
    <row r="245" spans="54:108" ht="16.5" x14ac:dyDescent="0.2">
      <c r="BB245" s="70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70">
        <v>241</v>
      </c>
      <c r="CG245" s="70">
        <v>3</v>
      </c>
      <c r="CH245" s="70" t="s">
        <v>460</v>
      </c>
      <c r="CI245" s="70">
        <v>41</v>
      </c>
      <c r="CJ245" s="70"/>
      <c r="CK245" s="70"/>
      <c r="CL245" s="70"/>
      <c r="CM245" s="70" t="s">
        <v>669</v>
      </c>
      <c r="CN245" s="70">
        <v>16200</v>
      </c>
      <c r="CO245" s="70" t="s">
        <v>670</v>
      </c>
      <c r="CP245" s="70">
        <v>55</v>
      </c>
      <c r="CQ245" s="70"/>
      <c r="CR245" s="70"/>
      <c r="CS245" s="70" t="s">
        <v>670</v>
      </c>
      <c r="CT245" s="70">
        <v>60</v>
      </c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</row>
    <row r="246" spans="54:108" ht="16.5" x14ac:dyDescent="0.2">
      <c r="BB246" s="70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70">
        <v>242</v>
      </c>
      <c r="CG246" s="70">
        <v>3</v>
      </c>
      <c r="CH246" s="70" t="s">
        <v>460</v>
      </c>
      <c r="CI246" s="70">
        <v>42</v>
      </c>
      <c r="CJ246" s="70"/>
      <c r="CK246" s="70"/>
      <c r="CL246" s="70"/>
      <c r="CM246" s="70" t="s">
        <v>669</v>
      </c>
      <c r="CN246" s="70">
        <v>16200</v>
      </c>
      <c r="CO246" s="70" t="s">
        <v>670</v>
      </c>
      <c r="CP246" s="70">
        <v>55</v>
      </c>
      <c r="CQ246" s="70"/>
      <c r="CR246" s="70"/>
      <c r="CS246" s="70" t="s">
        <v>670</v>
      </c>
      <c r="CT246" s="70">
        <v>60</v>
      </c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</row>
    <row r="247" spans="54:108" ht="16.5" x14ac:dyDescent="0.2">
      <c r="BB247" s="70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70">
        <v>243</v>
      </c>
      <c r="CG247" s="70">
        <v>3</v>
      </c>
      <c r="CH247" s="70" t="s">
        <v>460</v>
      </c>
      <c r="CI247" s="70">
        <v>43</v>
      </c>
      <c r="CJ247" s="70"/>
      <c r="CK247" s="70"/>
      <c r="CL247" s="70"/>
      <c r="CM247" s="70" t="s">
        <v>669</v>
      </c>
      <c r="CN247" s="70">
        <v>16200</v>
      </c>
      <c r="CO247" s="70" t="s">
        <v>670</v>
      </c>
      <c r="CP247" s="70">
        <v>55</v>
      </c>
      <c r="CQ247" s="70"/>
      <c r="CR247" s="70"/>
      <c r="CS247" s="70" t="s">
        <v>670</v>
      </c>
      <c r="CT247" s="70">
        <v>60</v>
      </c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</row>
    <row r="248" spans="54:108" ht="16.5" x14ac:dyDescent="0.2">
      <c r="BB248" s="70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70">
        <v>244</v>
      </c>
      <c r="CG248" s="70">
        <v>3</v>
      </c>
      <c r="CH248" s="70" t="s">
        <v>460</v>
      </c>
      <c r="CI248" s="70">
        <v>44</v>
      </c>
      <c r="CJ248" s="70"/>
      <c r="CK248" s="70"/>
      <c r="CL248" s="70"/>
      <c r="CM248" s="70" t="s">
        <v>669</v>
      </c>
      <c r="CN248" s="70">
        <v>16200</v>
      </c>
      <c r="CO248" s="70" t="s">
        <v>670</v>
      </c>
      <c r="CP248" s="70">
        <v>55</v>
      </c>
      <c r="CQ248" s="70"/>
      <c r="CR248" s="70"/>
      <c r="CS248" s="70" t="s">
        <v>670</v>
      </c>
      <c r="CT248" s="70">
        <v>60</v>
      </c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</row>
    <row r="249" spans="54:108" ht="16.5" x14ac:dyDescent="0.2">
      <c r="BB249" s="70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70">
        <v>245</v>
      </c>
      <c r="CG249" s="70">
        <v>3</v>
      </c>
      <c r="CH249" s="70" t="s">
        <v>460</v>
      </c>
      <c r="CI249" s="70">
        <v>45</v>
      </c>
      <c r="CJ249" s="70"/>
      <c r="CK249" s="70"/>
      <c r="CL249" s="70"/>
      <c r="CM249" s="70" t="s">
        <v>669</v>
      </c>
      <c r="CN249" s="70">
        <v>19800</v>
      </c>
      <c r="CO249" s="70" t="s">
        <v>670</v>
      </c>
      <c r="CP249" s="70">
        <v>55</v>
      </c>
      <c r="CQ249" s="70" t="s">
        <v>503</v>
      </c>
      <c r="CR249" s="70">
        <v>2</v>
      </c>
      <c r="CS249" s="70" t="s">
        <v>670</v>
      </c>
      <c r="CT249" s="70">
        <v>65</v>
      </c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</row>
    <row r="250" spans="54:108" ht="16.5" x14ac:dyDescent="0.2">
      <c r="BB250" s="70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70">
        <v>246</v>
      </c>
      <c r="CG250" s="70">
        <v>3</v>
      </c>
      <c r="CH250" s="70" t="s">
        <v>460</v>
      </c>
      <c r="CI250" s="70">
        <v>46</v>
      </c>
      <c r="CJ250" s="70"/>
      <c r="CK250" s="70"/>
      <c r="CL250" s="70"/>
      <c r="CM250" s="70" t="s">
        <v>669</v>
      </c>
      <c r="CN250" s="70">
        <v>19800</v>
      </c>
      <c r="CO250" s="70" t="s">
        <v>670</v>
      </c>
      <c r="CP250" s="70">
        <v>60</v>
      </c>
      <c r="CQ250" s="70"/>
      <c r="CR250" s="70"/>
      <c r="CS250" s="70" t="s">
        <v>670</v>
      </c>
      <c r="CT250" s="70">
        <v>65</v>
      </c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</row>
    <row r="251" spans="54:108" ht="16.5" x14ac:dyDescent="0.2">
      <c r="BB251" s="70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70">
        <v>247</v>
      </c>
      <c r="CG251" s="70">
        <v>3</v>
      </c>
      <c r="CH251" s="70" t="s">
        <v>460</v>
      </c>
      <c r="CI251" s="70">
        <v>47</v>
      </c>
      <c r="CJ251" s="70"/>
      <c r="CK251" s="70"/>
      <c r="CL251" s="70"/>
      <c r="CM251" s="70" t="s">
        <v>669</v>
      </c>
      <c r="CN251" s="70">
        <v>19800</v>
      </c>
      <c r="CO251" s="70" t="s">
        <v>670</v>
      </c>
      <c r="CP251" s="70">
        <v>60</v>
      </c>
      <c r="CQ251" s="70"/>
      <c r="CR251" s="70"/>
      <c r="CS251" s="70" t="s">
        <v>670</v>
      </c>
      <c r="CT251" s="70">
        <v>65</v>
      </c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</row>
    <row r="252" spans="54:108" ht="16.5" x14ac:dyDescent="0.2">
      <c r="BB252" s="70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70">
        <v>248</v>
      </c>
      <c r="CG252" s="70">
        <v>3</v>
      </c>
      <c r="CH252" s="70" t="s">
        <v>460</v>
      </c>
      <c r="CI252" s="70">
        <v>48</v>
      </c>
      <c r="CJ252" s="70"/>
      <c r="CK252" s="70"/>
      <c r="CL252" s="70"/>
      <c r="CM252" s="70" t="s">
        <v>669</v>
      </c>
      <c r="CN252" s="70">
        <v>19800</v>
      </c>
      <c r="CO252" s="70" t="s">
        <v>670</v>
      </c>
      <c r="CP252" s="70">
        <v>60</v>
      </c>
      <c r="CQ252" s="70"/>
      <c r="CR252" s="70"/>
      <c r="CS252" s="70" t="s">
        <v>670</v>
      </c>
      <c r="CT252" s="70">
        <v>65</v>
      </c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</row>
    <row r="253" spans="54:108" ht="16.5" x14ac:dyDescent="0.2">
      <c r="BB253" s="70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70">
        <v>249</v>
      </c>
      <c r="CG253" s="70">
        <v>3</v>
      </c>
      <c r="CH253" s="70" t="s">
        <v>460</v>
      </c>
      <c r="CI253" s="70">
        <v>49</v>
      </c>
      <c r="CJ253" s="70"/>
      <c r="CK253" s="70"/>
      <c r="CL253" s="70"/>
      <c r="CM253" s="70" t="s">
        <v>669</v>
      </c>
      <c r="CN253" s="70">
        <v>19800</v>
      </c>
      <c r="CO253" s="70" t="s">
        <v>670</v>
      </c>
      <c r="CP253" s="70">
        <v>60</v>
      </c>
      <c r="CQ253" s="70"/>
      <c r="CR253" s="70"/>
      <c r="CS253" s="70" t="s">
        <v>670</v>
      </c>
      <c r="CT253" s="70">
        <v>65</v>
      </c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</row>
    <row r="254" spans="54:108" ht="16.5" x14ac:dyDescent="0.2">
      <c r="BB254" s="70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70">
        <v>250</v>
      </c>
      <c r="CG254" s="70">
        <v>3</v>
      </c>
      <c r="CH254" s="70" t="s">
        <v>460</v>
      </c>
      <c r="CI254" s="70">
        <v>50</v>
      </c>
      <c r="CJ254" s="70"/>
      <c r="CK254" s="70"/>
      <c r="CL254" s="70"/>
      <c r="CM254" s="70" t="s">
        <v>669</v>
      </c>
      <c r="CN254" s="70">
        <v>19800</v>
      </c>
      <c r="CO254" s="70" t="s">
        <v>670</v>
      </c>
      <c r="CP254" s="70">
        <v>60</v>
      </c>
      <c r="CQ254" s="70" t="s">
        <v>504</v>
      </c>
      <c r="CR254" s="70">
        <v>2</v>
      </c>
      <c r="CS254" s="70" t="s">
        <v>670</v>
      </c>
      <c r="CT254" s="70">
        <v>70</v>
      </c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</row>
    <row r="255" spans="54:108" ht="16.5" x14ac:dyDescent="0.2">
      <c r="BB255" s="70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70">
        <v>251</v>
      </c>
      <c r="CG255" s="70">
        <v>3</v>
      </c>
      <c r="CH255" s="70" t="s">
        <v>460</v>
      </c>
      <c r="CI255" s="70">
        <v>51</v>
      </c>
      <c r="CJ255" s="70"/>
      <c r="CK255" s="70"/>
      <c r="CL255" s="70"/>
      <c r="CM255" s="70" t="s">
        <v>669</v>
      </c>
      <c r="CN255" s="70">
        <v>19800</v>
      </c>
      <c r="CO255" s="70" t="s">
        <v>670</v>
      </c>
      <c r="CP255" s="70">
        <v>65</v>
      </c>
      <c r="CQ255" s="70"/>
      <c r="CR255" s="70"/>
      <c r="CS255" s="70" t="s">
        <v>670</v>
      </c>
      <c r="CT255" s="70">
        <v>70</v>
      </c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</row>
    <row r="256" spans="54:108" ht="16.5" x14ac:dyDescent="0.2">
      <c r="BB256" s="70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70">
        <v>252</v>
      </c>
      <c r="CG256" s="70">
        <v>3</v>
      </c>
      <c r="CH256" s="70" t="s">
        <v>460</v>
      </c>
      <c r="CI256" s="70">
        <v>52</v>
      </c>
      <c r="CJ256" s="70"/>
      <c r="CK256" s="70"/>
      <c r="CL256" s="70"/>
      <c r="CM256" s="70" t="s">
        <v>669</v>
      </c>
      <c r="CN256" s="70">
        <v>19800</v>
      </c>
      <c r="CO256" s="70" t="s">
        <v>670</v>
      </c>
      <c r="CP256" s="70">
        <v>65</v>
      </c>
      <c r="CQ256" s="70"/>
      <c r="CR256" s="70"/>
      <c r="CS256" s="70" t="s">
        <v>670</v>
      </c>
      <c r="CT256" s="70">
        <v>70</v>
      </c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</row>
    <row r="257" spans="54:108" ht="16.5" x14ac:dyDescent="0.2">
      <c r="BB257" s="70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70">
        <v>253</v>
      </c>
      <c r="CG257" s="70">
        <v>3</v>
      </c>
      <c r="CH257" s="70" t="s">
        <v>460</v>
      </c>
      <c r="CI257" s="70">
        <v>53</v>
      </c>
      <c r="CJ257" s="70"/>
      <c r="CK257" s="70"/>
      <c r="CL257" s="70"/>
      <c r="CM257" s="70" t="s">
        <v>669</v>
      </c>
      <c r="CN257" s="70">
        <v>19800</v>
      </c>
      <c r="CO257" s="70" t="s">
        <v>670</v>
      </c>
      <c r="CP257" s="70">
        <v>65</v>
      </c>
      <c r="CQ257" s="70"/>
      <c r="CR257" s="70"/>
      <c r="CS257" s="70" t="s">
        <v>670</v>
      </c>
      <c r="CT257" s="70">
        <v>70</v>
      </c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</row>
    <row r="258" spans="54:108" ht="16.5" x14ac:dyDescent="0.2">
      <c r="BB258" s="70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70">
        <v>254</v>
      </c>
      <c r="CG258" s="70">
        <v>3</v>
      </c>
      <c r="CH258" s="70" t="s">
        <v>460</v>
      </c>
      <c r="CI258" s="70">
        <v>54</v>
      </c>
      <c r="CJ258" s="70"/>
      <c r="CK258" s="70"/>
      <c r="CL258" s="70"/>
      <c r="CM258" s="70" t="s">
        <v>669</v>
      </c>
      <c r="CN258" s="70">
        <v>19800</v>
      </c>
      <c r="CO258" s="70" t="s">
        <v>670</v>
      </c>
      <c r="CP258" s="70">
        <v>65</v>
      </c>
      <c r="CQ258" s="70"/>
      <c r="CR258" s="70"/>
      <c r="CS258" s="70" t="s">
        <v>670</v>
      </c>
      <c r="CT258" s="70">
        <v>70</v>
      </c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</row>
    <row r="259" spans="54:108" ht="16.5" x14ac:dyDescent="0.2">
      <c r="BB259" s="70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70">
        <v>255</v>
      </c>
      <c r="CG259" s="70">
        <v>3</v>
      </c>
      <c r="CH259" s="70" t="s">
        <v>460</v>
      </c>
      <c r="CI259" s="70">
        <v>55</v>
      </c>
      <c r="CJ259" s="70"/>
      <c r="CK259" s="70"/>
      <c r="CL259" s="70"/>
      <c r="CM259" s="70" t="s">
        <v>669</v>
      </c>
      <c r="CN259" s="70">
        <v>19800</v>
      </c>
      <c r="CO259" s="70" t="s">
        <v>670</v>
      </c>
      <c r="CP259" s="70">
        <v>65</v>
      </c>
      <c r="CQ259" s="70" t="s">
        <v>499</v>
      </c>
      <c r="CR259" s="70">
        <v>2</v>
      </c>
      <c r="CS259" s="70" t="s">
        <v>670</v>
      </c>
      <c r="CT259" s="70">
        <v>75</v>
      </c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</row>
    <row r="260" spans="54:108" ht="16.5" x14ac:dyDescent="0.2">
      <c r="BB260" s="70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70">
        <v>256</v>
      </c>
      <c r="CG260" s="70">
        <v>3</v>
      </c>
      <c r="CH260" s="70" t="s">
        <v>460</v>
      </c>
      <c r="CI260" s="70">
        <v>56</v>
      </c>
      <c r="CJ260" s="70"/>
      <c r="CK260" s="70"/>
      <c r="CL260" s="70"/>
      <c r="CM260" s="70" t="s">
        <v>669</v>
      </c>
      <c r="CN260" s="70">
        <v>19800</v>
      </c>
      <c r="CO260" s="70" t="s">
        <v>670</v>
      </c>
      <c r="CP260" s="70">
        <v>70</v>
      </c>
      <c r="CQ260" s="70"/>
      <c r="CR260" s="70"/>
      <c r="CS260" s="70" t="s">
        <v>670</v>
      </c>
      <c r="CT260" s="70">
        <v>75</v>
      </c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</row>
    <row r="261" spans="54:108" ht="16.5" x14ac:dyDescent="0.2">
      <c r="BB261" s="70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70">
        <v>257</v>
      </c>
      <c r="CG261" s="70">
        <v>3</v>
      </c>
      <c r="CH261" s="70" t="s">
        <v>460</v>
      </c>
      <c r="CI261" s="70">
        <v>57</v>
      </c>
      <c r="CJ261" s="70"/>
      <c r="CK261" s="70"/>
      <c r="CL261" s="70"/>
      <c r="CM261" s="70" t="s">
        <v>669</v>
      </c>
      <c r="CN261" s="70">
        <v>19800</v>
      </c>
      <c r="CO261" s="70" t="s">
        <v>670</v>
      </c>
      <c r="CP261" s="70">
        <v>70</v>
      </c>
      <c r="CQ261" s="70"/>
      <c r="CR261" s="70"/>
      <c r="CS261" s="70" t="s">
        <v>670</v>
      </c>
      <c r="CT261" s="70">
        <v>75</v>
      </c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</row>
    <row r="262" spans="54:108" ht="16.5" x14ac:dyDescent="0.2">
      <c r="BB262" s="70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70">
        <v>258</v>
      </c>
      <c r="CG262" s="70">
        <v>3</v>
      </c>
      <c r="CH262" s="70" t="s">
        <v>460</v>
      </c>
      <c r="CI262" s="70">
        <v>58</v>
      </c>
      <c r="CJ262" s="70"/>
      <c r="CK262" s="70"/>
      <c r="CL262" s="70"/>
      <c r="CM262" s="70" t="s">
        <v>669</v>
      </c>
      <c r="CN262" s="70">
        <v>19800</v>
      </c>
      <c r="CO262" s="70" t="s">
        <v>670</v>
      </c>
      <c r="CP262" s="70">
        <v>70</v>
      </c>
      <c r="CQ262" s="70"/>
      <c r="CR262" s="70"/>
      <c r="CS262" s="70" t="s">
        <v>670</v>
      </c>
      <c r="CT262" s="70">
        <v>75</v>
      </c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</row>
    <row r="263" spans="54:108" ht="16.5" x14ac:dyDescent="0.2">
      <c r="BB263" s="70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70">
        <v>259</v>
      </c>
      <c r="CG263" s="70">
        <v>3</v>
      </c>
      <c r="CH263" s="70" t="s">
        <v>460</v>
      </c>
      <c r="CI263" s="70">
        <v>59</v>
      </c>
      <c r="CJ263" s="70"/>
      <c r="CK263" s="70"/>
      <c r="CL263" s="70"/>
      <c r="CM263" s="70" t="s">
        <v>669</v>
      </c>
      <c r="CN263" s="70">
        <v>19800</v>
      </c>
      <c r="CO263" s="70" t="s">
        <v>670</v>
      </c>
      <c r="CP263" s="70">
        <v>70</v>
      </c>
      <c r="CQ263" s="70"/>
      <c r="CR263" s="70"/>
      <c r="CS263" s="70" t="s">
        <v>670</v>
      </c>
      <c r="CT263" s="70">
        <v>75</v>
      </c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</row>
    <row r="264" spans="54:108" ht="16.5" x14ac:dyDescent="0.2">
      <c r="BB264" s="70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70">
        <v>260</v>
      </c>
      <c r="CG264" s="70">
        <v>3</v>
      </c>
      <c r="CH264" s="70" t="s">
        <v>460</v>
      </c>
      <c r="CI264" s="70">
        <v>60</v>
      </c>
      <c r="CJ264" s="70"/>
      <c r="CK264" s="70"/>
      <c r="CL264" s="70"/>
      <c r="CM264" s="70" t="s">
        <v>669</v>
      </c>
      <c r="CN264" s="70">
        <v>23400</v>
      </c>
      <c r="CO264" s="70" t="s">
        <v>670</v>
      </c>
      <c r="CP264" s="70">
        <v>70</v>
      </c>
      <c r="CQ264" s="70" t="s">
        <v>500</v>
      </c>
      <c r="CR264" s="70">
        <v>2</v>
      </c>
      <c r="CS264" s="70" t="s">
        <v>670</v>
      </c>
      <c r="CT264" s="70">
        <v>80</v>
      </c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</row>
    <row r="265" spans="54:108" ht="16.5" x14ac:dyDescent="0.2">
      <c r="BB265" s="70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70">
        <v>261</v>
      </c>
      <c r="CG265" s="70">
        <v>3</v>
      </c>
      <c r="CH265" s="70" t="s">
        <v>460</v>
      </c>
      <c r="CI265" s="70">
        <v>61</v>
      </c>
      <c r="CJ265" s="70"/>
      <c r="CK265" s="70"/>
      <c r="CL265" s="70"/>
      <c r="CM265" s="70" t="s">
        <v>669</v>
      </c>
      <c r="CN265" s="70">
        <v>23400</v>
      </c>
      <c r="CO265" s="70" t="s">
        <v>670</v>
      </c>
      <c r="CP265" s="70">
        <v>75</v>
      </c>
      <c r="CQ265" s="70"/>
      <c r="CR265" s="70"/>
      <c r="CS265" s="70" t="s">
        <v>670</v>
      </c>
      <c r="CT265" s="70">
        <v>80</v>
      </c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</row>
    <row r="266" spans="54:108" ht="16.5" x14ac:dyDescent="0.2">
      <c r="BB266" s="70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70">
        <v>262</v>
      </c>
      <c r="CG266" s="70">
        <v>3</v>
      </c>
      <c r="CH266" s="70" t="s">
        <v>460</v>
      </c>
      <c r="CI266" s="70">
        <v>62</v>
      </c>
      <c r="CJ266" s="70"/>
      <c r="CK266" s="70"/>
      <c r="CL266" s="70"/>
      <c r="CM266" s="70" t="s">
        <v>669</v>
      </c>
      <c r="CN266" s="70">
        <v>23400</v>
      </c>
      <c r="CO266" s="70" t="s">
        <v>670</v>
      </c>
      <c r="CP266" s="70">
        <v>75</v>
      </c>
      <c r="CQ266" s="70"/>
      <c r="CR266" s="70"/>
      <c r="CS266" s="70" t="s">
        <v>670</v>
      </c>
      <c r="CT266" s="70">
        <v>80</v>
      </c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</row>
    <row r="267" spans="54:108" ht="16.5" x14ac:dyDescent="0.2">
      <c r="BB267" s="70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70">
        <v>263</v>
      </c>
      <c r="CG267" s="70">
        <v>3</v>
      </c>
      <c r="CH267" s="70" t="s">
        <v>460</v>
      </c>
      <c r="CI267" s="70">
        <v>63</v>
      </c>
      <c r="CJ267" s="70"/>
      <c r="CK267" s="70"/>
      <c r="CL267" s="70"/>
      <c r="CM267" s="70" t="s">
        <v>669</v>
      </c>
      <c r="CN267" s="70">
        <v>23400</v>
      </c>
      <c r="CO267" s="70" t="s">
        <v>670</v>
      </c>
      <c r="CP267" s="70">
        <v>75</v>
      </c>
      <c r="CQ267" s="70"/>
      <c r="CR267" s="70"/>
      <c r="CS267" s="70" t="s">
        <v>670</v>
      </c>
      <c r="CT267" s="70">
        <v>80</v>
      </c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</row>
    <row r="268" spans="54:108" ht="16.5" x14ac:dyDescent="0.2">
      <c r="BB268" s="70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70">
        <v>264</v>
      </c>
      <c r="CG268" s="70">
        <v>3</v>
      </c>
      <c r="CH268" s="70" t="s">
        <v>460</v>
      </c>
      <c r="CI268" s="70">
        <v>64</v>
      </c>
      <c r="CJ268" s="70"/>
      <c r="CK268" s="70"/>
      <c r="CL268" s="70"/>
      <c r="CM268" s="70" t="s">
        <v>669</v>
      </c>
      <c r="CN268" s="70">
        <v>23400</v>
      </c>
      <c r="CO268" s="70" t="s">
        <v>670</v>
      </c>
      <c r="CP268" s="70">
        <v>75</v>
      </c>
      <c r="CQ268" s="70"/>
      <c r="CR268" s="70"/>
      <c r="CS268" s="70" t="s">
        <v>670</v>
      </c>
      <c r="CT268" s="70">
        <v>80</v>
      </c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</row>
    <row r="269" spans="54:108" ht="16.5" x14ac:dyDescent="0.2">
      <c r="BB269" s="70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70">
        <v>265</v>
      </c>
      <c r="CG269" s="70">
        <v>3</v>
      </c>
      <c r="CH269" s="70" t="s">
        <v>460</v>
      </c>
      <c r="CI269" s="70">
        <v>65</v>
      </c>
      <c r="CJ269" s="70"/>
      <c r="CK269" s="70"/>
      <c r="CL269" s="70"/>
      <c r="CM269" s="70" t="s">
        <v>669</v>
      </c>
      <c r="CN269" s="70">
        <v>23400</v>
      </c>
      <c r="CO269" s="70" t="s">
        <v>670</v>
      </c>
      <c r="CP269" s="70">
        <v>75</v>
      </c>
      <c r="CQ269" s="70" t="s">
        <v>503</v>
      </c>
      <c r="CR269" s="70">
        <v>2</v>
      </c>
      <c r="CS269" s="70" t="s">
        <v>670</v>
      </c>
      <c r="CT269" s="70">
        <v>85</v>
      </c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</row>
    <row r="270" spans="54:108" ht="16.5" x14ac:dyDescent="0.2">
      <c r="BB270" s="70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70">
        <v>266</v>
      </c>
      <c r="CG270" s="70">
        <v>3</v>
      </c>
      <c r="CH270" s="70" t="s">
        <v>460</v>
      </c>
      <c r="CI270" s="70">
        <v>66</v>
      </c>
      <c r="CJ270" s="70"/>
      <c r="CK270" s="70"/>
      <c r="CL270" s="70"/>
      <c r="CM270" s="70" t="s">
        <v>669</v>
      </c>
      <c r="CN270" s="70">
        <v>23400</v>
      </c>
      <c r="CO270" s="70" t="s">
        <v>670</v>
      </c>
      <c r="CP270" s="70">
        <v>80</v>
      </c>
      <c r="CQ270" s="70"/>
      <c r="CR270" s="70"/>
      <c r="CS270" s="70" t="s">
        <v>670</v>
      </c>
      <c r="CT270" s="70">
        <v>85</v>
      </c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</row>
    <row r="271" spans="54:108" ht="16.5" x14ac:dyDescent="0.2">
      <c r="BB271" s="70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70">
        <v>267</v>
      </c>
      <c r="CG271" s="70">
        <v>3</v>
      </c>
      <c r="CH271" s="70" t="s">
        <v>460</v>
      </c>
      <c r="CI271" s="70">
        <v>67</v>
      </c>
      <c r="CJ271" s="70"/>
      <c r="CK271" s="70"/>
      <c r="CL271" s="70"/>
      <c r="CM271" s="70" t="s">
        <v>669</v>
      </c>
      <c r="CN271" s="70">
        <v>23400</v>
      </c>
      <c r="CO271" s="70" t="s">
        <v>670</v>
      </c>
      <c r="CP271" s="70">
        <v>80</v>
      </c>
      <c r="CQ271" s="70"/>
      <c r="CR271" s="70"/>
      <c r="CS271" s="70" t="s">
        <v>670</v>
      </c>
      <c r="CT271" s="70">
        <v>85</v>
      </c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</row>
    <row r="272" spans="54:108" ht="16.5" x14ac:dyDescent="0.2">
      <c r="BB272" s="70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70">
        <v>268</v>
      </c>
      <c r="CG272" s="70">
        <v>3</v>
      </c>
      <c r="CH272" s="70" t="s">
        <v>460</v>
      </c>
      <c r="CI272" s="70">
        <v>68</v>
      </c>
      <c r="CJ272" s="70"/>
      <c r="CK272" s="70"/>
      <c r="CL272" s="70"/>
      <c r="CM272" s="70" t="s">
        <v>669</v>
      </c>
      <c r="CN272" s="70">
        <v>23400</v>
      </c>
      <c r="CO272" s="70" t="s">
        <v>670</v>
      </c>
      <c r="CP272" s="70">
        <v>80</v>
      </c>
      <c r="CQ272" s="70"/>
      <c r="CR272" s="70"/>
      <c r="CS272" s="70" t="s">
        <v>670</v>
      </c>
      <c r="CT272" s="70">
        <v>85</v>
      </c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</row>
    <row r="273" spans="54:108" ht="16.5" x14ac:dyDescent="0.2">
      <c r="BB273" s="70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70">
        <v>269</v>
      </c>
      <c r="CG273" s="70">
        <v>3</v>
      </c>
      <c r="CH273" s="70" t="s">
        <v>460</v>
      </c>
      <c r="CI273" s="70">
        <v>69</v>
      </c>
      <c r="CJ273" s="70"/>
      <c r="CK273" s="70"/>
      <c r="CL273" s="70"/>
      <c r="CM273" s="70" t="s">
        <v>669</v>
      </c>
      <c r="CN273" s="70">
        <v>23400</v>
      </c>
      <c r="CO273" s="70" t="s">
        <v>670</v>
      </c>
      <c r="CP273" s="70">
        <v>80</v>
      </c>
      <c r="CQ273" s="70"/>
      <c r="CR273" s="70"/>
      <c r="CS273" s="70" t="s">
        <v>670</v>
      </c>
      <c r="CT273" s="70">
        <v>85</v>
      </c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</row>
    <row r="274" spans="54:108" ht="16.5" x14ac:dyDescent="0.2">
      <c r="BB274" s="70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70">
        <v>270</v>
      </c>
      <c r="CG274" s="70">
        <v>3</v>
      </c>
      <c r="CH274" s="70" t="s">
        <v>460</v>
      </c>
      <c r="CI274" s="70">
        <v>70</v>
      </c>
      <c r="CJ274" s="70"/>
      <c r="CK274" s="70"/>
      <c r="CL274" s="70"/>
      <c r="CM274" s="70" t="s">
        <v>669</v>
      </c>
      <c r="CN274" s="70">
        <v>23400</v>
      </c>
      <c r="CO274" s="70" t="s">
        <v>670</v>
      </c>
      <c r="CP274" s="70">
        <v>80</v>
      </c>
      <c r="CQ274" s="70" t="s">
        <v>504</v>
      </c>
      <c r="CR274" s="70">
        <v>2</v>
      </c>
      <c r="CS274" s="70" t="s">
        <v>670</v>
      </c>
      <c r="CT274" s="70">
        <v>90</v>
      </c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</row>
    <row r="275" spans="54:108" ht="16.5" x14ac:dyDescent="0.2">
      <c r="BB275" s="70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70">
        <v>271</v>
      </c>
      <c r="CG275" s="70">
        <v>3</v>
      </c>
      <c r="CH275" s="70" t="s">
        <v>460</v>
      </c>
      <c r="CI275" s="70">
        <v>71</v>
      </c>
      <c r="CJ275" s="70"/>
      <c r="CK275" s="70"/>
      <c r="CL275" s="70"/>
      <c r="CM275" s="70" t="s">
        <v>669</v>
      </c>
      <c r="CN275" s="70">
        <v>23400</v>
      </c>
      <c r="CO275" s="70" t="s">
        <v>670</v>
      </c>
      <c r="CP275" s="70">
        <v>85</v>
      </c>
      <c r="CQ275" s="70"/>
      <c r="CR275" s="70"/>
      <c r="CS275" s="70" t="s">
        <v>670</v>
      </c>
      <c r="CT275" s="70">
        <v>90</v>
      </c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</row>
    <row r="276" spans="54:108" ht="16.5" x14ac:dyDescent="0.2">
      <c r="BB276" s="70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70">
        <v>272</v>
      </c>
      <c r="CG276" s="70">
        <v>3</v>
      </c>
      <c r="CH276" s="70" t="s">
        <v>460</v>
      </c>
      <c r="CI276" s="70">
        <v>72</v>
      </c>
      <c r="CJ276" s="70"/>
      <c r="CK276" s="70"/>
      <c r="CL276" s="70"/>
      <c r="CM276" s="70" t="s">
        <v>669</v>
      </c>
      <c r="CN276" s="70">
        <v>23400</v>
      </c>
      <c r="CO276" s="70" t="s">
        <v>670</v>
      </c>
      <c r="CP276" s="70">
        <v>85</v>
      </c>
      <c r="CQ276" s="70"/>
      <c r="CR276" s="70"/>
      <c r="CS276" s="70" t="s">
        <v>670</v>
      </c>
      <c r="CT276" s="70">
        <v>90</v>
      </c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</row>
    <row r="277" spans="54:108" ht="16.5" x14ac:dyDescent="0.2">
      <c r="BB277" s="70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70">
        <v>273</v>
      </c>
      <c r="CG277" s="70">
        <v>3</v>
      </c>
      <c r="CH277" s="70" t="s">
        <v>460</v>
      </c>
      <c r="CI277" s="70">
        <v>73</v>
      </c>
      <c r="CJ277" s="70"/>
      <c r="CK277" s="70"/>
      <c r="CL277" s="70"/>
      <c r="CM277" s="70" t="s">
        <v>669</v>
      </c>
      <c r="CN277" s="70">
        <v>23400</v>
      </c>
      <c r="CO277" s="70" t="s">
        <v>670</v>
      </c>
      <c r="CP277" s="70">
        <v>85</v>
      </c>
      <c r="CQ277" s="70"/>
      <c r="CR277" s="70"/>
      <c r="CS277" s="70" t="s">
        <v>670</v>
      </c>
      <c r="CT277" s="70">
        <v>90</v>
      </c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</row>
    <row r="278" spans="54:108" ht="16.5" x14ac:dyDescent="0.2">
      <c r="BB278" s="70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70">
        <v>274</v>
      </c>
      <c r="CG278" s="70">
        <v>3</v>
      </c>
      <c r="CH278" s="70" t="s">
        <v>460</v>
      </c>
      <c r="CI278" s="70">
        <v>74</v>
      </c>
      <c r="CJ278" s="70"/>
      <c r="CK278" s="70"/>
      <c r="CL278" s="70"/>
      <c r="CM278" s="70" t="s">
        <v>669</v>
      </c>
      <c r="CN278" s="70">
        <v>23400</v>
      </c>
      <c r="CO278" s="70" t="s">
        <v>670</v>
      </c>
      <c r="CP278" s="70">
        <v>85</v>
      </c>
      <c r="CQ278" s="70"/>
      <c r="CR278" s="70"/>
      <c r="CS278" s="70" t="s">
        <v>670</v>
      </c>
      <c r="CT278" s="70">
        <v>90</v>
      </c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</row>
    <row r="279" spans="54:108" ht="16.5" x14ac:dyDescent="0.2">
      <c r="BB279" s="70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70">
        <v>275</v>
      </c>
      <c r="CG279" s="70">
        <v>3</v>
      </c>
      <c r="CH279" s="70" t="s">
        <v>460</v>
      </c>
      <c r="CI279" s="70">
        <v>75</v>
      </c>
      <c r="CJ279" s="70"/>
      <c r="CK279" s="70"/>
      <c r="CL279" s="70"/>
      <c r="CM279" s="70" t="s">
        <v>669</v>
      </c>
      <c r="CN279" s="70">
        <v>23400</v>
      </c>
      <c r="CO279" s="70" t="s">
        <v>670</v>
      </c>
      <c r="CP279" s="70">
        <v>85</v>
      </c>
      <c r="CQ279" s="70" t="s">
        <v>499</v>
      </c>
      <c r="CR279" s="70">
        <v>2</v>
      </c>
      <c r="CS279" s="70" t="s">
        <v>670</v>
      </c>
      <c r="CT279" s="70">
        <v>95</v>
      </c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</row>
    <row r="280" spans="54:108" ht="16.5" x14ac:dyDescent="0.2">
      <c r="BB280" s="70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70">
        <v>276</v>
      </c>
      <c r="CG280" s="70">
        <v>3</v>
      </c>
      <c r="CH280" s="70" t="s">
        <v>460</v>
      </c>
      <c r="CI280" s="70">
        <v>76</v>
      </c>
      <c r="CJ280" s="70"/>
      <c r="CK280" s="70"/>
      <c r="CL280" s="70"/>
      <c r="CM280" s="70" t="s">
        <v>669</v>
      </c>
      <c r="CN280" s="70">
        <v>23400</v>
      </c>
      <c r="CO280" s="70" t="s">
        <v>670</v>
      </c>
      <c r="CP280" s="70">
        <v>90</v>
      </c>
      <c r="CQ280" s="70"/>
      <c r="CR280" s="70"/>
      <c r="CS280" s="70" t="s">
        <v>670</v>
      </c>
      <c r="CT280" s="70">
        <v>95</v>
      </c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</row>
    <row r="281" spans="54:108" ht="16.5" x14ac:dyDescent="0.2">
      <c r="BB281" s="70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70">
        <v>277</v>
      </c>
      <c r="CG281" s="70">
        <v>3</v>
      </c>
      <c r="CH281" s="70" t="s">
        <v>460</v>
      </c>
      <c r="CI281" s="70">
        <v>77</v>
      </c>
      <c r="CJ281" s="70"/>
      <c r="CK281" s="70"/>
      <c r="CL281" s="70"/>
      <c r="CM281" s="70" t="s">
        <v>669</v>
      </c>
      <c r="CN281" s="70">
        <v>23400</v>
      </c>
      <c r="CO281" s="70" t="s">
        <v>670</v>
      </c>
      <c r="CP281" s="70">
        <v>90</v>
      </c>
      <c r="CQ281" s="70"/>
      <c r="CR281" s="70"/>
      <c r="CS281" s="70" t="s">
        <v>670</v>
      </c>
      <c r="CT281" s="70">
        <v>95</v>
      </c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</row>
    <row r="282" spans="54:108" ht="16.5" x14ac:dyDescent="0.2">
      <c r="BB282" s="70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70">
        <v>278</v>
      </c>
      <c r="CG282" s="70">
        <v>3</v>
      </c>
      <c r="CH282" s="70" t="s">
        <v>460</v>
      </c>
      <c r="CI282" s="70">
        <v>78</v>
      </c>
      <c r="CJ282" s="70"/>
      <c r="CK282" s="70"/>
      <c r="CL282" s="70"/>
      <c r="CM282" s="70" t="s">
        <v>669</v>
      </c>
      <c r="CN282" s="70">
        <v>23400</v>
      </c>
      <c r="CO282" s="70" t="s">
        <v>670</v>
      </c>
      <c r="CP282" s="70">
        <v>90</v>
      </c>
      <c r="CQ282" s="70"/>
      <c r="CR282" s="70"/>
      <c r="CS282" s="70" t="s">
        <v>670</v>
      </c>
      <c r="CT282" s="70">
        <v>95</v>
      </c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</row>
    <row r="283" spans="54:108" ht="16.5" x14ac:dyDescent="0.2">
      <c r="BB283" s="70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70">
        <v>279</v>
      </c>
      <c r="CG283" s="70">
        <v>3</v>
      </c>
      <c r="CH283" s="70" t="s">
        <v>460</v>
      </c>
      <c r="CI283" s="70">
        <v>79</v>
      </c>
      <c r="CJ283" s="70"/>
      <c r="CK283" s="70"/>
      <c r="CL283" s="70"/>
      <c r="CM283" s="70" t="s">
        <v>669</v>
      </c>
      <c r="CN283" s="70">
        <v>23400</v>
      </c>
      <c r="CO283" s="70" t="s">
        <v>670</v>
      </c>
      <c r="CP283" s="70">
        <v>90</v>
      </c>
      <c r="CQ283" s="70"/>
      <c r="CR283" s="70"/>
      <c r="CS283" s="70" t="s">
        <v>670</v>
      </c>
      <c r="CT283" s="70">
        <v>95</v>
      </c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</row>
    <row r="284" spans="54:108" ht="16.5" x14ac:dyDescent="0.2">
      <c r="BB284" s="70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70">
        <v>280</v>
      </c>
      <c r="CG284" s="70">
        <v>3</v>
      </c>
      <c r="CH284" s="70" t="s">
        <v>460</v>
      </c>
      <c r="CI284" s="70">
        <v>80</v>
      </c>
      <c r="CJ284" s="70"/>
      <c r="CK284" s="70"/>
      <c r="CL284" s="70"/>
      <c r="CM284" s="70" t="s">
        <v>669</v>
      </c>
      <c r="CN284" s="70">
        <v>27000</v>
      </c>
      <c r="CO284" s="70" t="s">
        <v>670</v>
      </c>
      <c r="CP284" s="70">
        <v>90</v>
      </c>
      <c r="CQ284" s="70" t="s">
        <v>500</v>
      </c>
      <c r="CR284" s="70">
        <v>2</v>
      </c>
      <c r="CS284" s="70" t="s">
        <v>670</v>
      </c>
      <c r="CT284" s="70">
        <v>100</v>
      </c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</row>
    <row r="285" spans="54:108" ht="16.5" x14ac:dyDescent="0.2">
      <c r="BB285" s="70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70">
        <v>281</v>
      </c>
      <c r="CG285" s="70">
        <v>3</v>
      </c>
      <c r="CH285" s="70" t="s">
        <v>460</v>
      </c>
      <c r="CI285" s="70">
        <v>81</v>
      </c>
      <c r="CJ285" s="70"/>
      <c r="CK285" s="70"/>
      <c r="CL285" s="70"/>
      <c r="CM285" s="70" t="s">
        <v>669</v>
      </c>
      <c r="CN285" s="70">
        <v>27000</v>
      </c>
      <c r="CO285" s="70" t="s">
        <v>670</v>
      </c>
      <c r="CP285" s="70">
        <v>95</v>
      </c>
      <c r="CQ285" s="70"/>
      <c r="CR285" s="70"/>
      <c r="CS285" s="70" t="s">
        <v>670</v>
      </c>
      <c r="CT285" s="70">
        <v>100</v>
      </c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</row>
    <row r="286" spans="54:108" ht="16.5" x14ac:dyDescent="0.2">
      <c r="BB286" s="70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70">
        <v>282</v>
      </c>
      <c r="CG286" s="70">
        <v>3</v>
      </c>
      <c r="CH286" s="70" t="s">
        <v>460</v>
      </c>
      <c r="CI286" s="70">
        <v>82</v>
      </c>
      <c r="CJ286" s="70"/>
      <c r="CK286" s="70"/>
      <c r="CL286" s="70"/>
      <c r="CM286" s="70" t="s">
        <v>669</v>
      </c>
      <c r="CN286" s="70">
        <v>27000</v>
      </c>
      <c r="CO286" s="70" t="s">
        <v>670</v>
      </c>
      <c r="CP286" s="70">
        <v>95</v>
      </c>
      <c r="CQ286" s="70"/>
      <c r="CR286" s="70"/>
      <c r="CS286" s="70" t="s">
        <v>670</v>
      </c>
      <c r="CT286" s="70">
        <v>100</v>
      </c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</row>
    <row r="287" spans="54:108" ht="16.5" x14ac:dyDescent="0.2">
      <c r="BB287" s="70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70">
        <v>283</v>
      </c>
      <c r="CG287" s="70">
        <v>3</v>
      </c>
      <c r="CH287" s="70" t="s">
        <v>460</v>
      </c>
      <c r="CI287" s="70">
        <v>83</v>
      </c>
      <c r="CJ287" s="70"/>
      <c r="CK287" s="70"/>
      <c r="CL287" s="70"/>
      <c r="CM287" s="70" t="s">
        <v>669</v>
      </c>
      <c r="CN287" s="70">
        <v>27000</v>
      </c>
      <c r="CO287" s="70" t="s">
        <v>670</v>
      </c>
      <c r="CP287" s="70">
        <v>95</v>
      </c>
      <c r="CQ287" s="70"/>
      <c r="CR287" s="70"/>
      <c r="CS287" s="70" t="s">
        <v>670</v>
      </c>
      <c r="CT287" s="70">
        <v>100</v>
      </c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</row>
    <row r="288" spans="54:108" ht="16.5" x14ac:dyDescent="0.2">
      <c r="BB288" s="70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70">
        <v>284</v>
      </c>
      <c r="CG288" s="70">
        <v>3</v>
      </c>
      <c r="CH288" s="70" t="s">
        <v>460</v>
      </c>
      <c r="CI288" s="70">
        <v>84</v>
      </c>
      <c r="CJ288" s="70"/>
      <c r="CK288" s="70"/>
      <c r="CL288" s="70"/>
      <c r="CM288" s="70" t="s">
        <v>669</v>
      </c>
      <c r="CN288" s="70">
        <v>27000</v>
      </c>
      <c r="CO288" s="70" t="s">
        <v>670</v>
      </c>
      <c r="CP288" s="70">
        <v>95</v>
      </c>
      <c r="CQ288" s="70"/>
      <c r="CR288" s="70"/>
      <c r="CS288" s="70" t="s">
        <v>670</v>
      </c>
      <c r="CT288" s="70">
        <v>100</v>
      </c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</row>
    <row r="289" spans="54:108" ht="16.5" x14ac:dyDescent="0.2">
      <c r="BB289" s="70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70">
        <v>285</v>
      </c>
      <c r="CG289" s="70">
        <v>3</v>
      </c>
      <c r="CH289" s="70" t="s">
        <v>460</v>
      </c>
      <c r="CI289" s="70">
        <v>85</v>
      </c>
      <c r="CJ289" s="70"/>
      <c r="CK289" s="70"/>
      <c r="CL289" s="70"/>
      <c r="CM289" s="70" t="s">
        <v>669</v>
      </c>
      <c r="CN289" s="70">
        <v>27000</v>
      </c>
      <c r="CO289" s="70" t="s">
        <v>670</v>
      </c>
      <c r="CP289" s="70">
        <v>95</v>
      </c>
      <c r="CQ289" s="70" t="s">
        <v>503</v>
      </c>
      <c r="CR289" s="70">
        <v>2</v>
      </c>
      <c r="CS289" s="70" t="s">
        <v>670</v>
      </c>
      <c r="CT289" s="70">
        <v>105</v>
      </c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</row>
    <row r="290" spans="54:108" ht="16.5" x14ac:dyDescent="0.2">
      <c r="BB290" s="70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70">
        <v>286</v>
      </c>
      <c r="CG290" s="70">
        <v>3</v>
      </c>
      <c r="CH290" s="70" t="s">
        <v>460</v>
      </c>
      <c r="CI290" s="70">
        <v>86</v>
      </c>
      <c r="CJ290" s="70"/>
      <c r="CK290" s="70"/>
      <c r="CL290" s="70"/>
      <c r="CM290" s="70" t="s">
        <v>669</v>
      </c>
      <c r="CN290" s="70">
        <v>27000</v>
      </c>
      <c r="CO290" s="70" t="s">
        <v>670</v>
      </c>
      <c r="CP290" s="70">
        <v>100</v>
      </c>
      <c r="CQ290" s="70"/>
      <c r="CR290" s="70"/>
      <c r="CS290" s="70" t="s">
        <v>670</v>
      </c>
      <c r="CT290" s="70">
        <v>105</v>
      </c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</row>
    <row r="291" spans="54:108" ht="16.5" x14ac:dyDescent="0.2">
      <c r="BB291" s="70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70">
        <v>287</v>
      </c>
      <c r="CG291" s="70">
        <v>3</v>
      </c>
      <c r="CH291" s="70" t="s">
        <v>460</v>
      </c>
      <c r="CI291" s="70">
        <v>87</v>
      </c>
      <c r="CJ291" s="70"/>
      <c r="CK291" s="70"/>
      <c r="CL291" s="70"/>
      <c r="CM291" s="70" t="s">
        <v>669</v>
      </c>
      <c r="CN291" s="70">
        <v>27000</v>
      </c>
      <c r="CO291" s="70" t="s">
        <v>670</v>
      </c>
      <c r="CP291" s="70">
        <v>100</v>
      </c>
      <c r="CQ291" s="70"/>
      <c r="CR291" s="70"/>
      <c r="CS291" s="70" t="s">
        <v>670</v>
      </c>
      <c r="CT291" s="70">
        <v>105</v>
      </c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</row>
    <row r="292" spans="54:108" ht="16.5" x14ac:dyDescent="0.2">
      <c r="BB292" s="70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70">
        <v>288</v>
      </c>
      <c r="CG292" s="70">
        <v>3</v>
      </c>
      <c r="CH292" s="70" t="s">
        <v>460</v>
      </c>
      <c r="CI292" s="70">
        <v>88</v>
      </c>
      <c r="CJ292" s="70"/>
      <c r="CK292" s="70"/>
      <c r="CL292" s="70"/>
      <c r="CM292" s="70" t="s">
        <v>669</v>
      </c>
      <c r="CN292" s="70">
        <v>27000</v>
      </c>
      <c r="CO292" s="70" t="s">
        <v>670</v>
      </c>
      <c r="CP292" s="70">
        <v>100</v>
      </c>
      <c r="CQ292" s="70"/>
      <c r="CR292" s="70"/>
      <c r="CS292" s="70" t="s">
        <v>670</v>
      </c>
      <c r="CT292" s="70">
        <v>105</v>
      </c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</row>
    <row r="293" spans="54:108" ht="16.5" x14ac:dyDescent="0.2">
      <c r="BB293" s="70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70">
        <v>289</v>
      </c>
      <c r="CG293" s="70">
        <v>3</v>
      </c>
      <c r="CH293" s="70" t="s">
        <v>460</v>
      </c>
      <c r="CI293" s="70">
        <v>89</v>
      </c>
      <c r="CJ293" s="70"/>
      <c r="CK293" s="70"/>
      <c r="CL293" s="70"/>
      <c r="CM293" s="70" t="s">
        <v>669</v>
      </c>
      <c r="CN293" s="70">
        <v>27000</v>
      </c>
      <c r="CO293" s="70" t="s">
        <v>670</v>
      </c>
      <c r="CP293" s="70">
        <v>100</v>
      </c>
      <c r="CQ293" s="70"/>
      <c r="CR293" s="70"/>
      <c r="CS293" s="70" t="s">
        <v>670</v>
      </c>
      <c r="CT293" s="70">
        <v>105</v>
      </c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</row>
    <row r="294" spans="54:108" ht="16.5" x14ac:dyDescent="0.2">
      <c r="BB294" s="70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70">
        <v>290</v>
      </c>
      <c r="CG294" s="70">
        <v>3</v>
      </c>
      <c r="CH294" s="70" t="s">
        <v>460</v>
      </c>
      <c r="CI294" s="70">
        <v>90</v>
      </c>
      <c r="CJ294" s="70"/>
      <c r="CK294" s="70"/>
      <c r="CL294" s="70"/>
      <c r="CM294" s="70" t="s">
        <v>669</v>
      </c>
      <c r="CN294" s="70">
        <v>31500</v>
      </c>
      <c r="CO294" s="70" t="s">
        <v>670</v>
      </c>
      <c r="CP294" s="70">
        <v>100</v>
      </c>
      <c r="CQ294" s="70" t="s">
        <v>504</v>
      </c>
      <c r="CR294" s="70">
        <v>2</v>
      </c>
      <c r="CS294" s="70" t="s">
        <v>670</v>
      </c>
      <c r="CT294" s="70">
        <v>110</v>
      </c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</row>
    <row r="295" spans="54:108" ht="16.5" x14ac:dyDescent="0.2">
      <c r="BB295" s="70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70">
        <v>291</v>
      </c>
      <c r="CG295" s="70">
        <v>3</v>
      </c>
      <c r="CH295" s="70" t="s">
        <v>460</v>
      </c>
      <c r="CI295" s="70">
        <v>91</v>
      </c>
      <c r="CJ295" s="70"/>
      <c r="CK295" s="70"/>
      <c r="CL295" s="70"/>
      <c r="CM295" s="70" t="s">
        <v>669</v>
      </c>
      <c r="CN295" s="70">
        <v>31500</v>
      </c>
      <c r="CO295" s="70" t="s">
        <v>670</v>
      </c>
      <c r="CP295" s="70">
        <v>105</v>
      </c>
      <c r="CQ295" s="70"/>
      <c r="CR295" s="70"/>
      <c r="CS295" s="70" t="s">
        <v>670</v>
      </c>
      <c r="CT295" s="70">
        <v>110</v>
      </c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</row>
    <row r="296" spans="54:108" ht="16.5" x14ac:dyDescent="0.2">
      <c r="BB296" s="70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70">
        <v>292</v>
      </c>
      <c r="CG296" s="70">
        <v>3</v>
      </c>
      <c r="CH296" s="70" t="s">
        <v>460</v>
      </c>
      <c r="CI296" s="70">
        <v>92</v>
      </c>
      <c r="CJ296" s="70"/>
      <c r="CK296" s="70"/>
      <c r="CL296" s="70"/>
      <c r="CM296" s="70" t="s">
        <v>669</v>
      </c>
      <c r="CN296" s="70">
        <v>31500</v>
      </c>
      <c r="CO296" s="70" t="s">
        <v>670</v>
      </c>
      <c r="CP296" s="70">
        <v>105</v>
      </c>
      <c r="CQ296" s="70"/>
      <c r="CR296" s="70"/>
      <c r="CS296" s="70" t="s">
        <v>670</v>
      </c>
      <c r="CT296" s="70">
        <v>110</v>
      </c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</row>
    <row r="297" spans="54:108" ht="16.5" x14ac:dyDescent="0.2">
      <c r="BB297" s="70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70">
        <v>293</v>
      </c>
      <c r="CG297" s="70">
        <v>3</v>
      </c>
      <c r="CH297" s="70" t="s">
        <v>460</v>
      </c>
      <c r="CI297" s="70">
        <v>93</v>
      </c>
      <c r="CJ297" s="70"/>
      <c r="CK297" s="70"/>
      <c r="CL297" s="70"/>
      <c r="CM297" s="70" t="s">
        <v>669</v>
      </c>
      <c r="CN297" s="70">
        <v>31500</v>
      </c>
      <c r="CO297" s="70" t="s">
        <v>670</v>
      </c>
      <c r="CP297" s="70">
        <v>105</v>
      </c>
      <c r="CQ297" s="70"/>
      <c r="CR297" s="70"/>
      <c r="CS297" s="70" t="s">
        <v>670</v>
      </c>
      <c r="CT297" s="70">
        <v>110</v>
      </c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</row>
    <row r="298" spans="54:108" ht="16.5" x14ac:dyDescent="0.2">
      <c r="BB298" s="70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70">
        <v>294</v>
      </c>
      <c r="CG298" s="70">
        <v>3</v>
      </c>
      <c r="CH298" s="70" t="s">
        <v>460</v>
      </c>
      <c r="CI298" s="70">
        <v>94</v>
      </c>
      <c r="CJ298" s="70"/>
      <c r="CK298" s="70"/>
      <c r="CL298" s="70"/>
      <c r="CM298" s="70" t="s">
        <v>669</v>
      </c>
      <c r="CN298" s="70">
        <v>31500</v>
      </c>
      <c r="CO298" s="70" t="s">
        <v>670</v>
      </c>
      <c r="CP298" s="70">
        <v>105</v>
      </c>
      <c r="CQ298" s="70"/>
      <c r="CR298" s="70"/>
      <c r="CS298" s="70" t="s">
        <v>670</v>
      </c>
      <c r="CT298" s="70">
        <v>110</v>
      </c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</row>
    <row r="299" spans="54:108" ht="16.5" x14ac:dyDescent="0.2">
      <c r="BB299" s="70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70">
        <v>295</v>
      </c>
      <c r="CG299" s="70">
        <v>3</v>
      </c>
      <c r="CH299" s="70" t="s">
        <v>460</v>
      </c>
      <c r="CI299" s="70">
        <v>95</v>
      </c>
      <c r="CJ299" s="70"/>
      <c r="CK299" s="70"/>
      <c r="CL299" s="70"/>
      <c r="CM299" s="70" t="s">
        <v>669</v>
      </c>
      <c r="CN299" s="70">
        <v>31500</v>
      </c>
      <c r="CO299" s="70" t="s">
        <v>670</v>
      </c>
      <c r="CP299" s="70">
        <v>105</v>
      </c>
      <c r="CQ299" s="70" t="s">
        <v>499</v>
      </c>
      <c r="CR299" s="70">
        <v>3</v>
      </c>
      <c r="CS299" s="70" t="s">
        <v>670</v>
      </c>
      <c r="CT299" s="70">
        <v>115</v>
      </c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</row>
    <row r="300" spans="54:108" ht="16.5" x14ac:dyDescent="0.2">
      <c r="BB300" s="70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70">
        <v>296</v>
      </c>
      <c r="CG300" s="70">
        <v>3</v>
      </c>
      <c r="CH300" s="70" t="s">
        <v>460</v>
      </c>
      <c r="CI300" s="70">
        <v>96</v>
      </c>
      <c r="CJ300" s="70"/>
      <c r="CK300" s="70"/>
      <c r="CL300" s="70"/>
      <c r="CM300" s="70" t="s">
        <v>669</v>
      </c>
      <c r="CN300" s="70">
        <v>36000</v>
      </c>
      <c r="CO300" s="70" t="s">
        <v>670</v>
      </c>
      <c r="CP300" s="70">
        <v>110</v>
      </c>
      <c r="CQ300" s="70"/>
      <c r="CR300" s="70"/>
      <c r="CS300" s="70" t="s">
        <v>670</v>
      </c>
      <c r="CT300" s="70">
        <v>115</v>
      </c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</row>
    <row r="301" spans="54:108" ht="16.5" x14ac:dyDescent="0.2">
      <c r="BB301" s="70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70">
        <v>297</v>
      </c>
      <c r="CG301" s="70">
        <v>3</v>
      </c>
      <c r="CH301" s="70" t="s">
        <v>460</v>
      </c>
      <c r="CI301" s="70">
        <v>97</v>
      </c>
      <c r="CJ301" s="70"/>
      <c r="CK301" s="70"/>
      <c r="CL301" s="70"/>
      <c r="CM301" s="70" t="s">
        <v>669</v>
      </c>
      <c r="CN301" s="70">
        <v>36000</v>
      </c>
      <c r="CO301" s="70" t="s">
        <v>670</v>
      </c>
      <c r="CP301" s="70">
        <v>110</v>
      </c>
      <c r="CQ301" s="70"/>
      <c r="CR301" s="70"/>
      <c r="CS301" s="70" t="s">
        <v>670</v>
      </c>
      <c r="CT301" s="70">
        <v>115</v>
      </c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</row>
    <row r="302" spans="54:108" ht="16.5" x14ac:dyDescent="0.2">
      <c r="BB302" s="70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70">
        <v>298</v>
      </c>
      <c r="CG302" s="70">
        <v>3</v>
      </c>
      <c r="CH302" s="70" t="s">
        <v>460</v>
      </c>
      <c r="CI302" s="70">
        <v>98</v>
      </c>
      <c r="CJ302" s="70"/>
      <c r="CK302" s="70"/>
      <c r="CL302" s="70"/>
      <c r="CM302" s="70" t="s">
        <v>669</v>
      </c>
      <c r="CN302" s="70">
        <v>36000</v>
      </c>
      <c r="CO302" s="70" t="s">
        <v>670</v>
      </c>
      <c r="CP302" s="70">
        <v>110</v>
      </c>
      <c r="CQ302" s="70"/>
      <c r="CR302" s="70"/>
      <c r="CS302" s="70" t="s">
        <v>670</v>
      </c>
      <c r="CT302" s="70">
        <v>115</v>
      </c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</row>
    <row r="303" spans="54:108" ht="16.5" x14ac:dyDescent="0.2">
      <c r="BB303" s="70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70">
        <v>299</v>
      </c>
      <c r="CG303" s="70">
        <v>3</v>
      </c>
      <c r="CH303" s="70" t="s">
        <v>460</v>
      </c>
      <c r="CI303" s="70">
        <v>99</v>
      </c>
      <c r="CJ303" s="70"/>
      <c r="CK303" s="70"/>
      <c r="CL303" s="70"/>
      <c r="CM303" s="70" t="s">
        <v>669</v>
      </c>
      <c r="CN303" s="70">
        <v>36000</v>
      </c>
      <c r="CO303" s="70" t="s">
        <v>670</v>
      </c>
      <c r="CP303" s="70">
        <v>110</v>
      </c>
      <c r="CQ303" s="70"/>
      <c r="CR303" s="70"/>
      <c r="CS303" s="70" t="s">
        <v>670</v>
      </c>
      <c r="CT303" s="70">
        <v>115</v>
      </c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</row>
    <row r="304" spans="54:108" ht="16.5" x14ac:dyDescent="0.2">
      <c r="BB304" s="70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70">
        <v>300</v>
      </c>
      <c r="CG304" s="70">
        <v>3</v>
      </c>
      <c r="CH304" s="70" t="s">
        <v>460</v>
      </c>
      <c r="CI304" s="70">
        <v>100</v>
      </c>
      <c r="CJ304" s="70"/>
      <c r="CK304" s="70"/>
      <c r="CL304" s="70"/>
      <c r="CM304" s="70" t="s">
        <v>669</v>
      </c>
      <c r="CN304" s="70">
        <v>36000</v>
      </c>
      <c r="CO304" s="70" t="s">
        <v>670</v>
      </c>
      <c r="CP304" s="70">
        <v>110</v>
      </c>
      <c r="CQ304" s="70" t="s">
        <v>503</v>
      </c>
      <c r="CR304" s="70">
        <v>3</v>
      </c>
      <c r="CS304" s="70" t="s">
        <v>670</v>
      </c>
      <c r="CT304" s="70">
        <v>120</v>
      </c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</row>
    <row r="305" spans="54:108" ht="16.5" x14ac:dyDescent="0.2">
      <c r="BB305" s="70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70">
        <v>301</v>
      </c>
      <c r="CG305" s="70">
        <v>4</v>
      </c>
      <c r="CH305" s="70" t="s">
        <v>460</v>
      </c>
      <c r="CI305" s="70">
        <v>1</v>
      </c>
      <c r="CJ305" s="70"/>
      <c r="CK305" s="70"/>
      <c r="CL305" s="70"/>
      <c r="CM305" s="70" t="s">
        <v>669</v>
      </c>
      <c r="CN305" s="70">
        <v>5760</v>
      </c>
      <c r="CO305" s="70" t="s">
        <v>670</v>
      </c>
      <c r="CP305" s="70">
        <v>20</v>
      </c>
      <c r="CQ305" s="70"/>
      <c r="CR305" s="70"/>
      <c r="CS305" s="70" t="s">
        <v>670</v>
      </c>
      <c r="CT305" s="70">
        <v>20</v>
      </c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</row>
    <row r="306" spans="54:108" ht="16.5" x14ac:dyDescent="0.2">
      <c r="BB306" s="70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70">
        <v>302</v>
      </c>
      <c r="CG306" s="70">
        <v>4</v>
      </c>
      <c r="CH306" s="70" t="s">
        <v>460</v>
      </c>
      <c r="CI306" s="70">
        <v>2</v>
      </c>
      <c r="CJ306" s="70"/>
      <c r="CK306" s="70"/>
      <c r="CL306" s="70"/>
      <c r="CM306" s="70" t="s">
        <v>669</v>
      </c>
      <c r="CN306" s="70">
        <v>5760</v>
      </c>
      <c r="CO306" s="70" t="s">
        <v>670</v>
      </c>
      <c r="CP306" s="70">
        <v>20</v>
      </c>
      <c r="CQ306" s="70" t="s">
        <v>501</v>
      </c>
      <c r="CR306" s="70">
        <v>1</v>
      </c>
      <c r="CS306" s="70" t="s">
        <v>670</v>
      </c>
      <c r="CT306" s="70">
        <v>20</v>
      </c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</row>
    <row r="307" spans="54:108" ht="16.5" x14ac:dyDescent="0.2">
      <c r="BB307" s="70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70">
        <v>303</v>
      </c>
      <c r="CG307" s="70">
        <v>4</v>
      </c>
      <c r="CH307" s="70" t="s">
        <v>460</v>
      </c>
      <c r="CI307" s="70">
        <v>3</v>
      </c>
      <c r="CJ307" s="70"/>
      <c r="CK307" s="70"/>
      <c r="CL307" s="70"/>
      <c r="CM307" s="70" t="s">
        <v>669</v>
      </c>
      <c r="CN307" s="70">
        <v>5760</v>
      </c>
      <c r="CO307" s="70" t="s">
        <v>670</v>
      </c>
      <c r="CP307" s="70">
        <v>20</v>
      </c>
      <c r="CQ307" s="70"/>
      <c r="CR307" s="70"/>
      <c r="CS307" s="70" t="s">
        <v>670</v>
      </c>
      <c r="CT307" s="70">
        <v>20</v>
      </c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</row>
    <row r="308" spans="54:108" ht="16.5" x14ac:dyDescent="0.2">
      <c r="BB308" s="70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70">
        <v>304</v>
      </c>
      <c r="CG308" s="70">
        <v>4</v>
      </c>
      <c r="CH308" s="70" t="s">
        <v>460</v>
      </c>
      <c r="CI308" s="70">
        <v>4</v>
      </c>
      <c r="CJ308" s="70"/>
      <c r="CK308" s="70"/>
      <c r="CL308" s="70"/>
      <c r="CM308" s="70" t="s">
        <v>669</v>
      </c>
      <c r="CN308" s="70">
        <v>5760</v>
      </c>
      <c r="CO308" s="70" t="s">
        <v>670</v>
      </c>
      <c r="CP308" s="70">
        <v>20</v>
      </c>
      <c r="CQ308" s="70" t="s">
        <v>502</v>
      </c>
      <c r="CR308" s="70">
        <v>1</v>
      </c>
      <c r="CS308" s="70" t="s">
        <v>670</v>
      </c>
      <c r="CT308" s="70">
        <v>20</v>
      </c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</row>
    <row r="309" spans="54:108" ht="16.5" x14ac:dyDescent="0.2">
      <c r="BB309" s="70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70">
        <v>305</v>
      </c>
      <c r="CG309" s="70">
        <v>4</v>
      </c>
      <c r="CH309" s="70" t="s">
        <v>460</v>
      </c>
      <c r="CI309" s="70">
        <v>5</v>
      </c>
      <c r="CJ309" s="70"/>
      <c r="CK309" s="70"/>
      <c r="CL309" s="70"/>
      <c r="CM309" s="70" t="s">
        <v>669</v>
      </c>
      <c r="CN309" s="70">
        <v>5760</v>
      </c>
      <c r="CO309" s="70" t="s">
        <v>670</v>
      </c>
      <c r="CP309" s="70">
        <v>20</v>
      </c>
      <c r="CQ309" s="70"/>
      <c r="CR309" s="70"/>
      <c r="CS309" s="70" t="s">
        <v>670</v>
      </c>
      <c r="CT309" s="70">
        <v>25</v>
      </c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</row>
    <row r="310" spans="54:108" ht="16.5" x14ac:dyDescent="0.2">
      <c r="BB310" s="70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70">
        <v>306</v>
      </c>
      <c r="CG310" s="70">
        <v>4</v>
      </c>
      <c r="CH310" s="70" t="s">
        <v>460</v>
      </c>
      <c r="CI310" s="70">
        <v>6</v>
      </c>
      <c r="CJ310" s="70"/>
      <c r="CK310" s="70"/>
      <c r="CL310" s="70"/>
      <c r="CM310" s="70" t="s">
        <v>669</v>
      </c>
      <c r="CN310" s="70">
        <v>7200</v>
      </c>
      <c r="CO310" s="70" t="s">
        <v>670</v>
      </c>
      <c r="CP310" s="70">
        <v>25</v>
      </c>
      <c r="CQ310" s="70"/>
      <c r="CR310" s="70"/>
      <c r="CS310" s="70" t="s">
        <v>670</v>
      </c>
      <c r="CT310" s="70">
        <v>25</v>
      </c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</row>
    <row r="311" spans="54:108" ht="16.5" x14ac:dyDescent="0.2">
      <c r="BB311" s="70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70">
        <v>307</v>
      </c>
      <c r="CG311" s="70">
        <v>4</v>
      </c>
      <c r="CH311" s="70" t="s">
        <v>460</v>
      </c>
      <c r="CI311" s="70">
        <v>7</v>
      </c>
      <c r="CJ311" s="70"/>
      <c r="CK311" s="70"/>
      <c r="CL311" s="70"/>
      <c r="CM311" s="70" t="s">
        <v>669</v>
      </c>
      <c r="CN311" s="70">
        <v>7200</v>
      </c>
      <c r="CO311" s="70" t="s">
        <v>670</v>
      </c>
      <c r="CP311" s="70">
        <v>25</v>
      </c>
      <c r="CQ311" s="70" t="s">
        <v>505</v>
      </c>
      <c r="CR311" s="70">
        <v>1</v>
      </c>
      <c r="CS311" s="70" t="s">
        <v>670</v>
      </c>
      <c r="CT311" s="70">
        <v>25</v>
      </c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</row>
    <row r="312" spans="54:108" ht="16.5" x14ac:dyDescent="0.2">
      <c r="BB312" s="70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70">
        <v>308</v>
      </c>
      <c r="CG312" s="70">
        <v>4</v>
      </c>
      <c r="CH312" s="70" t="s">
        <v>460</v>
      </c>
      <c r="CI312" s="70">
        <v>8</v>
      </c>
      <c r="CJ312" s="70"/>
      <c r="CK312" s="70"/>
      <c r="CL312" s="70"/>
      <c r="CM312" s="70" t="s">
        <v>669</v>
      </c>
      <c r="CN312" s="70">
        <v>7200</v>
      </c>
      <c r="CO312" s="70" t="s">
        <v>670</v>
      </c>
      <c r="CP312" s="70">
        <v>25</v>
      </c>
      <c r="CQ312" s="70"/>
      <c r="CR312" s="70"/>
      <c r="CS312" s="70" t="s">
        <v>670</v>
      </c>
      <c r="CT312" s="70">
        <v>25</v>
      </c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</row>
    <row r="313" spans="54:108" ht="16.5" x14ac:dyDescent="0.2">
      <c r="BB313" s="70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70">
        <v>309</v>
      </c>
      <c r="CG313" s="70">
        <v>4</v>
      </c>
      <c r="CH313" s="70" t="s">
        <v>460</v>
      </c>
      <c r="CI313" s="70">
        <v>9</v>
      </c>
      <c r="CJ313" s="70"/>
      <c r="CK313" s="70"/>
      <c r="CL313" s="70"/>
      <c r="CM313" s="70" t="s">
        <v>669</v>
      </c>
      <c r="CN313" s="70">
        <v>7200</v>
      </c>
      <c r="CO313" s="70" t="s">
        <v>670</v>
      </c>
      <c r="CP313" s="70">
        <v>25</v>
      </c>
      <c r="CQ313" s="70"/>
      <c r="CR313" s="70"/>
      <c r="CS313" s="70" t="s">
        <v>670</v>
      </c>
      <c r="CT313" s="70">
        <v>25</v>
      </c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</row>
    <row r="314" spans="54:108" ht="16.5" x14ac:dyDescent="0.2">
      <c r="BB314" s="70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70">
        <v>310</v>
      </c>
      <c r="CG314" s="70">
        <v>4</v>
      </c>
      <c r="CH314" s="70" t="s">
        <v>460</v>
      </c>
      <c r="CI314" s="70">
        <v>10</v>
      </c>
      <c r="CJ314" s="70"/>
      <c r="CK314" s="70"/>
      <c r="CL314" s="70"/>
      <c r="CM314" s="70" t="s">
        <v>669</v>
      </c>
      <c r="CN314" s="70">
        <v>7200</v>
      </c>
      <c r="CO314" s="70" t="s">
        <v>670</v>
      </c>
      <c r="CP314" s="70">
        <v>25</v>
      </c>
      <c r="CQ314" s="70" t="s">
        <v>506</v>
      </c>
      <c r="CR314" s="70">
        <v>1</v>
      </c>
      <c r="CS314" s="70" t="s">
        <v>670</v>
      </c>
      <c r="CT314" s="70">
        <v>30</v>
      </c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</row>
    <row r="315" spans="54:108" ht="16.5" x14ac:dyDescent="0.2">
      <c r="BB315" s="70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70">
        <v>311</v>
      </c>
      <c r="CG315" s="70">
        <v>4</v>
      </c>
      <c r="CH315" s="70" t="s">
        <v>460</v>
      </c>
      <c r="CI315" s="70">
        <v>11</v>
      </c>
      <c r="CJ315" s="70"/>
      <c r="CK315" s="70"/>
      <c r="CL315" s="70"/>
      <c r="CM315" s="70" t="s">
        <v>669</v>
      </c>
      <c r="CN315" s="70">
        <v>9000</v>
      </c>
      <c r="CO315" s="70" t="s">
        <v>670</v>
      </c>
      <c r="CP315" s="70">
        <v>30</v>
      </c>
      <c r="CQ315" s="70"/>
      <c r="CR315" s="70"/>
      <c r="CS315" s="70" t="s">
        <v>670</v>
      </c>
      <c r="CT315" s="70">
        <v>30</v>
      </c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</row>
    <row r="316" spans="54:108" ht="16.5" x14ac:dyDescent="0.2">
      <c r="BB316" s="70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70">
        <v>312</v>
      </c>
      <c r="CG316" s="70">
        <v>4</v>
      </c>
      <c r="CH316" s="70" t="s">
        <v>460</v>
      </c>
      <c r="CI316" s="70">
        <v>12</v>
      </c>
      <c r="CJ316" s="70"/>
      <c r="CK316" s="70"/>
      <c r="CL316" s="70"/>
      <c r="CM316" s="70" t="s">
        <v>669</v>
      </c>
      <c r="CN316" s="70">
        <v>9000</v>
      </c>
      <c r="CO316" s="70" t="s">
        <v>670</v>
      </c>
      <c r="CP316" s="70">
        <v>30</v>
      </c>
      <c r="CQ316" s="70"/>
      <c r="CR316" s="70"/>
      <c r="CS316" s="70" t="s">
        <v>670</v>
      </c>
      <c r="CT316" s="70">
        <v>30</v>
      </c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</row>
    <row r="317" spans="54:108" ht="16.5" x14ac:dyDescent="0.2">
      <c r="BB317" s="70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70">
        <v>313</v>
      </c>
      <c r="CG317" s="70">
        <v>4</v>
      </c>
      <c r="CH317" s="70" t="s">
        <v>460</v>
      </c>
      <c r="CI317" s="70">
        <v>13</v>
      </c>
      <c r="CJ317" s="70"/>
      <c r="CK317" s="70"/>
      <c r="CL317" s="70"/>
      <c r="CM317" s="70" t="s">
        <v>669</v>
      </c>
      <c r="CN317" s="70">
        <v>9000</v>
      </c>
      <c r="CO317" s="70" t="s">
        <v>670</v>
      </c>
      <c r="CP317" s="70">
        <v>30</v>
      </c>
      <c r="CQ317" s="70"/>
      <c r="CR317" s="70"/>
      <c r="CS317" s="70" t="s">
        <v>670</v>
      </c>
      <c r="CT317" s="70">
        <v>30</v>
      </c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</row>
    <row r="318" spans="54:108" ht="16.5" x14ac:dyDescent="0.2">
      <c r="BB318" s="70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70">
        <v>314</v>
      </c>
      <c r="CG318" s="70">
        <v>4</v>
      </c>
      <c r="CH318" s="70" t="s">
        <v>460</v>
      </c>
      <c r="CI318" s="70">
        <v>14</v>
      </c>
      <c r="CJ318" s="70"/>
      <c r="CK318" s="70"/>
      <c r="CL318" s="70"/>
      <c r="CM318" s="70" t="s">
        <v>669</v>
      </c>
      <c r="CN318" s="70">
        <v>9000</v>
      </c>
      <c r="CO318" s="70" t="s">
        <v>670</v>
      </c>
      <c r="CP318" s="70">
        <v>30</v>
      </c>
      <c r="CQ318" s="70"/>
      <c r="CR318" s="70"/>
      <c r="CS318" s="70" t="s">
        <v>670</v>
      </c>
      <c r="CT318" s="70">
        <v>30</v>
      </c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</row>
    <row r="319" spans="54:108" ht="16.5" x14ac:dyDescent="0.2">
      <c r="BB319" s="70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70">
        <v>315</v>
      </c>
      <c r="CG319" s="70">
        <v>4</v>
      </c>
      <c r="CH319" s="70" t="s">
        <v>460</v>
      </c>
      <c r="CI319" s="70">
        <v>15</v>
      </c>
      <c r="CJ319" s="70"/>
      <c r="CK319" s="70"/>
      <c r="CL319" s="70"/>
      <c r="CM319" s="70" t="s">
        <v>669</v>
      </c>
      <c r="CN319" s="70">
        <v>9000</v>
      </c>
      <c r="CO319" s="70" t="s">
        <v>670</v>
      </c>
      <c r="CP319" s="70">
        <v>30</v>
      </c>
      <c r="CQ319" s="70" t="s">
        <v>501</v>
      </c>
      <c r="CR319" s="70">
        <v>2</v>
      </c>
      <c r="CS319" s="70" t="s">
        <v>670</v>
      </c>
      <c r="CT319" s="70">
        <v>35</v>
      </c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</row>
    <row r="320" spans="54:108" ht="16.5" x14ac:dyDescent="0.2">
      <c r="BB320" s="70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70">
        <v>316</v>
      </c>
      <c r="CG320" s="70">
        <v>4</v>
      </c>
      <c r="CH320" s="70" t="s">
        <v>460</v>
      </c>
      <c r="CI320" s="70">
        <v>16</v>
      </c>
      <c r="CJ320" s="70"/>
      <c r="CK320" s="70"/>
      <c r="CL320" s="70"/>
      <c r="CM320" s="70" t="s">
        <v>669</v>
      </c>
      <c r="CN320" s="70">
        <v>10800</v>
      </c>
      <c r="CO320" s="70" t="s">
        <v>670</v>
      </c>
      <c r="CP320" s="70">
        <v>35</v>
      </c>
      <c r="CQ320" s="70"/>
      <c r="CR320" s="70"/>
      <c r="CS320" s="70" t="s">
        <v>670</v>
      </c>
      <c r="CT320" s="70">
        <v>35</v>
      </c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</row>
    <row r="321" spans="54:108" ht="16.5" x14ac:dyDescent="0.2">
      <c r="BB321" s="70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70">
        <v>317</v>
      </c>
      <c r="CG321" s="70">
        <v>4</v>
      </c>
      <c r="CH321" s="70" t="s">
        <v>460</v>
      </c>
      <c r="CI321" s="70">
        <v>17</v>
      </c>
      <c r="CJ321" s="70"/>
      <c r="CK321" s="70"/>
      <c r="CL321" s="70"/>
      <c r="CM321" s="70" t="s">
        <v>669</v>
      </c>
      <c r="CN321" s="70">
        <v>10800</v>
      </c>
      <c r="CO321" s="70" t="s">
        <v>670</v>
      </c>
      <c r="CP321" s="70">
        <v>35</v>
      </c>
      <c r="CQ321" s="70"/>
      <c r="CR321" s="70"/>
      <c r="CS321" s="70" t="s">
        <v>670</v>
      </c>
      <c r="CT321" s="70">
        <v>35</v>
      </c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</row>
    <row r="322" spans="54:108" ht="16.5" x14ac:dyDescent="0.2">
      <c r="BB322" s="70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70">
        <v>318</v>
      </c>
      <c r="CG322" s="70">
        <v>4</v>
      </c>
      <c r="CH322" s="70" t="s">
        <v>460</v>
      </c>
      <c r="CI322" s="70">
        <v>18</v>
      </c>
      <c r="CJ322" s="70"/>
      <c r="CK322" s="70"/>
      <c r="CL322" s="70"/>
      <c r="CM322" s="70" t="s">
        <v>669</v>
      </c>
      <c r="CN322" s="70">
        <v>10800</v>
      </c>
      <c r="CO322" s="70" t="s">
        <v>670</v>
      </c>
      <c r="CP322" s="70">
        <v>35</v>
      </c>
      <c r="CQ322" s="70"/>
      <c r="CR322" s="70"/>
      <c r="CS322" s="70" t="s">
        <v>670</v>
      </c>
      <c r="CT322" s="70">
        <v>35</v>
      </c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</row>
    <row r="323" spans="54:108" ht="16.5" x14ac:dyDescent="0.2">
      <c r="BB323" s="70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70">
        <v>319</v>
      </c>
      <c r="CG323" s="70">
        <v>4</v>
      </c>
      <c r="CH323" s="70" t="s">
        <v>460</v>
      </c>
      <c r="CI323" s="70">
        <v>19</v>
      </c>
      <c r="CJ323" s="70"/>
      <c r="CK323" s="70"/>
      <c r="CL323" s="70"/>
      <c r="CM323" s="70" t="s">
        <v>669</v>
      </c>
      <c r="CN323" s="70">
        <v>10800</v>
      </c>
      <c r="CO323" s="70" t="s">
        <v>670</v>
      </c>
      <c r="CP323" s="70">
        <v>35</v>
      </c>
      <c r="CQ323" s="70"/>
      <c r="CR323" s="70"/>
      <c r="CS323" s="70" t="s">
        <v>670</v>
      </c>
      <c r="CT323" s="70">
        <v>35</v>
      </c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</row>
    <row r="324" spans="54:108" ht="16.5" x14ac:dyDescent="0.2">
      <c r="BB324" s="70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70">
        <v>320</v>
      </c>
      <c r="CG324" s="70">
        <v>4</v>
      </c>
      <c r="CH324" s="70" t="s">
        <v>460</v>
      </c>
      <c r="CI324" s="70">
        <v>20</v>
      </c>
      <c r="CJ324" s="70"/>
      <c r="CK324" s="70"/>
      <c r="CL324" s="70"/>
      <c r="CM324" s="70" t="s">
        <v>669</v>
      </c>
      <c r="CN324" s="70">
        <v>12960</v>
      </c>
      <c r="CO324" s="70" t="s">
        <v>670</v>
      </c>
      <c r="CP324" s="70">
        <v>35</v>
      </c>
      <c r="CQ324" s="70" t="s">
        <v>502</v>
      </c>
      <c r="CR324" s="70">
        <v>2</v>
      </c>
      <c r="CS324" s="70" t="s">
        <v>670</v>
      </c>
      <c r="CT324" s="70">
        <v>40</v>
      </c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</row>
    <row r="325" spans="54:108" ht="16.5" x14ac:dyDescent="0.2">
      <c r="BB325" s="70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70">
        <v>321</v>
      </c>
      <c r="CG325" s="70">
        <v>4</v>
      </c>
      <c r="CH325" s="70" t="s">
        <v>460</v>
      </c>
      <c r="CI325" s="70">
        <v>21</v>
      </c>
      <c r="CJ325" s="70"/>
      <c r="CK325" s="70"/>
      <c r="CL325" s="70"/>
      <c r="CM325" s="70" t="s">
        <v>669</v>
      </c>
      <c r="CN325" s="70">
        <v>12960</v>
      </c>
      <c r="CO325" s="70" t="s">
        <v>670</v>
      </c>
      <c r="CP325" s="70">
        <v>40</v>
      </c>
      <c r="CQ325" s="70"/>
      <c r="CR325" s="70"/>
      <c r="CS325" s="70" t="s">
        <v>670</v>
      </c>
      <c r="CT325" s="70">
        <v>40</v>
      </c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</row>
    <row r="326" spans="54:108" ht="16.5" x14ac:dyDescent="0.2">
      <c r="BB326" s="70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70">
        <v>322</v>
      </c>
      <c r="CG326" s="70">
        <v>4</v>
      </c>
      <c r="CH326" s="70" t="s">
        <v>460</v>
      </c>
      <c r="CI326" s="70">
        <v>22</v>
      </c>
      <c r="CJ326" s="70"/>
      <c r="CK326" s="70"/>
      <c r="CL326" s="70"/>
      <c r="CM326" s="70" t="s">
        <v>669</v>
      </c>
      <c r="CN326" s="70">
        <v>12960</v>
      </c>
      <c r="CO326" s="70" t="s">
        <v>670</v>
      </c>
      <c r="CP326" s="70">
        <v>40</v>
      </c>
      <c r="CQ326" s="70"/>
      <c r="CR326" s="70"/>
      <c r="CS326" s="70" t="s">
        <v>670</v>
      </c>
      <c r="CT326" s="70">
        <v>40</v>
      </c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</row>
    <row r="327" spans="54:108" ht="16.5" x14ac:dyDescent="0.2">
      <c r="BB327" s="70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70">
        <v>323</v>
      </c>
      <c r="CG327" s="70">
        <v>4</v>
      </c>
      <c r="CH327" s="70" t="s">
        <v>460</v>
      </c>
      <c r="CI327" s="70">
        <v>23</v>
      </c>
      <c r="CJ327" s="70"/>
      <c r="CK327" s="70"/>
      <c r="CL327" s="70"/>
      <c r="CM327" s="70" t="s">
        <v>669</v>
      </c>
      <c r="CN327" s="70">
        <v>12960</v>
      </c>
      <c r="CO327" s="70" t="s">
        <v>670</v>
      </c>
      <c r="CP327" s="70">
        <v>40</v>
      </c>
      <c r="CQ327" s="70"/>
      <c r="CR327" s="70"/>
      <c r="CS327" s="70" t="s">
        <v>670</v>
      </c>
      <c r="CT327" s="70">
        <v>40</v>
      </c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</row>
    <row r="328" spans="54:108" ht="16.5" x14ac:dyDescent="0.2">
      <c r="BB328" s="70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70">
        <v>324</v>
      </c>
      <c r="CG328" s="70">
        <v>4</v>
      </c>
      <c r="CH328" s="70" t="s">
        <v>460</v>
      </c>
      <c r="CI328" s="70">
        <v>24</v>
      </c>
      <c r="CJ328" s="70"/>
      <c r="CK328" s="70"/>
      <c r="CL328" s="70"/>
      <c r="CM328" s="70" t="s">
        <v>669</v>
      </c>
      <c r="CN328" s="70">
        <v>12960</v>
      </c>
      <c r="CO328" s="70" t="s">
        <v>670</v>
      </c>
      <c r="CP328" s="70">
        <v>40</v>
      </c>
      <c r="CQ328" s="70"/>
      <c r="CR328" s="70"/>
      <c r="CS328" s="70" t="s">
        <v>670</v>
      </c>
      <c r="CT328" s="70">
        <v>40</v>
      </c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</row>
    <row r="329" spans="54:108" ht="16.5" x14ac:dyDescent="0.2">
      <c r="BB329" s="70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70">
        <v>325</v>
      </c>
      <c r="CG329" s="70">
        <v>4</v>
      </c>
      <c r="CH329" s="70" t="s">
        <v>460</v>
      </c>
      <c r="CI329" s="70">
        <v>25</v>
      </c>
      <c r="CJ329" s="70"/>
      <c r="CK329" s="70"/>
      <c r="CL329" s="70"/>
      <c r="CM329" s="70" t="s">
        <v>669</v>
      </c>
      <c r="CN329" s="70">
        <v>12960</v>
      </c>
      <c r="CO329" s="70" t="s">
        <v>670</v>
      </c>
      <c r="CP329" s="70">
        <v>40</v>
      </c>
      <c r="CQ329" s="70" t="s">
        <v>505</v>
      </c>
      <c r="CR329" s="70">
        <v>2</v>
      </c>
      <c r="CS329" s="70" t="s">
        <v>670</v>
      </c>
      <c r="CT329" s="70">
        <v>45</v>
      </c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</row>
    <row r="330" spans="54:108" ht="16.5" x14ac:dyDescent="0.2">
      <c r="BB330" s="70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70">
        <v>326</v>
      </c>
      <c r="CG330" s="70">
        <v>4</v>
      </c>
      <c r="CH330" s="70" t="s">
        <v>460</v>
      </c>
      <c r="CI330" s="70">
        <v>26</v>
      </c>
      <c r="CJ330" s="70"/>
      <c r="CK330" s="70"/>
      <c r="CL330" s="70"/>
      <c r="CM330" s="70" t="s">
        <v>669</v>
      </c>
      <c r="CN330" s="70">
        <v>12960</v>
      </c>
      <c r="CO330" s="70" t="s">
        <v>670</v>
      </c>
      <c r="CP330" s="70">
        <v>45</v>
      </c>
      <c r="CQ330" s="70"/>
      <c r="CR330" s="70"/>
      <c r="CS330" s="70" t="s">
        <v>670</v>
      </c>
      <c r="CT330" s="70">
        <v>45</v>
      </c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</row>
    <row r="331" spans="54:108" ht="16.5" x14ac:dyDescent="0.2">
      <c r="BB331" s="70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70">
        <v>327</v>
      </c>
      <c r="CG331" s="70">
        <v>4</v>
      </c>
      <c r="CH331" s="70" t="s">
        <v>460</v>
      </c>
      <c r="CI331" s="70">
        <v>27</v>
      </c>
      <c r="CJ331" s="70"/>
      <c r="CK331" s="70"/>
      <c r="CL331" s="70"/>
      <c r="CM331" s="70" t="s">
        <v>669</v>
      </c>
      <c r="CN331" s="70">
        <v>12960</v>
      </c>
      <c r="CO331" s="70" t="s">
        <v>670</v>
      </c>
      <c r="CP331" s="70">
        <v>45</v>
      </c>
      <c r="CQ331" s="70"/>
      <c r="CR331" s="70"/>
      <c r="CS331" s="70" t="s">
        <v>670</v>
      </c>
      <c r="CT331" s="70">
        <v>45</v>
      </c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</row>
    <row r="332" spans="54:108" ht="16.5" x14ac:dyDescent="0.2">
      <c r="BB332" s="70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70">
        <v>328</v>
      </c>
      <c r="CG332" s="70">
        <v>4</v>
      </c>
      <c r="CH332" s="70" t="s">
        <v>460</v>
      </c>
      <c r="CI332" s="70">
        <v>28</v>
      </c>
      <c r="CJ332" s="70"/>
      <c r="CK332" s="70"/>
      <c r="CL332" s="70"/>
      <c r="CM332" s="70" t="s">
        <v>669</v>
      </c>
      <c r="CN332" s="70">
        <v>12960</v>
      </c>
      <c r="CO332" s="70" t="s">
        <v>670</v>
      </c>
      <c r="CP332" s="70">
        <v>45</v>
      </c>
      <c r="CQ332" s="70"/>
      <c r="CR332" s="70"/>
      <c r="CS332" s="70" t="s">
        <v>670</v>
      </c>
      <c r="CT332" s="70">
        <v>45</v>
      </c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</row>
    <row r="333" spans="54:108" ht="16.5" x14ac:dyDescent="0.2">
      <c r="BB333" s="70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70">
        <v>329</v>
      </c>
      <c r="CG333" s="70">
        <v>4</v>
      </c>
      <c r="CH333" s="70" t="s">
        <v>460</v>
      </c>
      <c r="CI333" s="70">
        <v>29</v>
      </c>
      <c r="CJ333" s="70"/>
      <c r="CK333" s="70"/>
      <c r="CL333" s="70"/>
      <c r="CM333" s="70" t="s">
        <v>669</v>
      </c>
      <c r="CN333" s="70">
        <v>12960</v>
      </c>
      <c r="CO333" s="70" t="s">
        <v>670</v>
      </c>
      <c r="CP333" s="70">
        <v>45</v>
      </c>
      <c r="CQ333" s="70"/>
      <c r="CR333" s="70"/>
      <c r="CS333" s="70" t="s">
        <v>670</v>
      </c>
      <c r="CT333" s="70">
        <v>45</v>
      </c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</row>
    <row r="334" spans="54:108" ht="16.5" x14ac:dyDescent="0.2">
      <c r="BB334" s="70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70">
        <v>330</v>
      </c>
      <c r="CG334" s="70">
        <v>4</v>
      </c>
      <c r="CH334" s="70" t="s">
        <v>460</v>
      </c>
      <c r="CI334" s="70">
        <v>30</v>
      </c>
      <c r="CJ334" s="70"/>
      <c r="CK334" s="70"/>
      <c r="CL334" s="70"/>
      <c r="CM334" s="70" t="s">
        <v>669</v>
      </c>
      <c r="CN334" s="70">
        <v>16200</v>
      </c>
      <c r="CO334" s="70" t="s">
        <v>670</v>
      </c>
      <c r="CP334" s="70">
        <v>45</v>
      </c>
      <c r="CQ334" s="70" t="s">
        <v>506</v>
      </c>
      <c r="CR334" s="70">
        <v>2</v>
      </c>
      <c r="CS334" s="70" t="s">
        <v>670</v>
      </c>
      <c r="CT334" s="70">
        <v>50</v>
      </c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</row>
    <row r="335" spans="54:108" ht="16.5" x14ac:dyDescent="0.2">
      <c r="BB335" s="70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70">
        <v>331</v>
      </c>
      <c r="CG335" s="70">
        <v>4</v>
      </c>
      <c r="CH335" s="70" t="s">
        <v>460</v>
      </c>
      <c r="CI335" s="70">
        <v>31</v>
      </c>
      <c r="CJ335" s="70"/>
      <c r="CK335" s="70"/>
      <c r="CL335" s="70"/>
      <c r="CM335" s="70" t="s">
        <v>669</v>
      </c>
      <c r="CN335" s="70">
        <v>16200</v>
      </c>
      <c r="CO335" s="70" t="s">
        <v>670</v>
      </c>
      <c r="CP335" s="70">
        <v>50</v>
      </c>
      <c r="CQ335" s="70"/>
      <c r="CR335" s="70"/>
      <c r="CS335" s="70" t="s">
        <v>670</v>
      </c>
      <c r="CT335" s="70">
        <v>50</v>
      </c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</row>
    <row r="336" spans="54:108" ht="16.5" x14ac:dyDescent="0.2">
      <c r="BB336" s="70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70">
        <v>332</v>
      </c>
      <c r="CG336" s="70">
        <v>4</v>
      </c>
      <c r="CH336" s="70" t="s">
        <v>460</v>
      </c>
      <c r="CI336" s="70">
        <v>32</v>
      </c>
      <c r="CJ336" s="70"/>
      <c r="CK336" s="70"/>
      <c r="CL336" s="70"/>
      <c r="CM336" s="70" t="s">
        <v>669</v>
      </c>
      <c r="CN336" s="70">
        <v>16200</v>
      </c>
      <c r="CO336" s="70" t="s">
        <v>670</v>
      </c>
      <c r="CP336" s="70">
        <v>50</v>
      </c>
      <c r="CQ336" s="70"/>
      <c r="CR336" s="70"/>
      <c r="CS336" s="70" t="s">
        <v>670</v>
      </c>
      <c r="CT336" s="70">
        <v>50</v>
      </c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</row>
    <row r="337" spans="54:108" ht="16.5" x14ac:dyDescent="0.2">
      <c r="BB337" s="70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70">
        <v>333</v>
      </c>
      <c r="CG337" s="70">
        <v>4</v>
      </c>
      <c r="CH337" s="70" t="s">
        <v>460</v>
      </c>
      <c r="CI337" s="70">
        <v>33</v>
      </c>
      <c r="CJ337" s="70"/>
      <c r="CK337" s="70"/>
      <c r="CL337" s="70"/>
      <c r="CM337" s="70" t="s">
        <v>669</v>
      </c>
      <c r="CN337" s="70">
        <v>16200</v>
      </c>
      <c r="CO337" s="70" t="s">
        <v>670</v>
      </c>
      <c r="CP337" s="70">
        <v>50</v>
      </c>
      <c r="CQ337" s="70"/>
      <c r="CR337" s="70"/>
      <c r="CS337" s="70" t="s">
        <v>670</v>
      </c>
      <c r="CT337" s="70">
        <v>50</v>
      </c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</row>
    <row r="338" spans="54:108" ht="16.5" x14ac:dyDescent="0.2">
      <c r="BB338" s="70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70">
        <v>334</v>
      </c>
      <c r="CG338" s="70">
        <v>4</v>
      </c>
      <c r="CH338" s="70" t="s">
        <v>460</v>
      </c>
      <c r="CI338" s="70">
        <v>34</v>
      </c>
      <c r="CJ338" s="70"/>
      <c r="CK338" s="70"/>
      <c r="CL338" s="70"/>
      <c r="CM338" s="70" t="s">
        <v>669</v>
      </c>
      <c r="CN338" s="70">
        <v>16200</v>
      </c>
      <c r="CO338" s="70" t="s">
        <v>670</v>
      </c>
      <c r="CP338" s="70">
        <v>50</v>
      </c>
      <c r="CQ338" s="70"/>
      <c r="CR338" s="70"/>
      <c r="CS338" s="70" t="s">
        <v>670</v>
      </c>
      <c r="CT338" s="70">
        <v>50</v>
      </c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</row>
    <row r="339" spans="54:108" ht="16.5" x14ac:dyDescent="0.2">
      <c r="BB339" s="70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70">
        <v>335</v>
      </c>
      <c r="CG339" s="70">
        <v>4</v>
      </c>
      <c r="CH339" s="70" t="s">
        <v>460</v>
      </c>
      <c r="CI339" s="70">
        <v>35</v>
      </c>
      <c r="CJ339" s="70"/>
      <c r="CK339" s="70"/>
      <c r="CL339" s="70"/>
      <c r="CM339" s="70" t="s">
        <v>669</v>
      </c>
      <c r="CN339" s="70">
        <v>16200</v>
      </c>
      <c r="CO339" s="70" t="s">
        <v>670</v>
      </c>
      <c r="CP339" s="70">
        <v>50</v>
      </c>
      <c r="CQ339" s="70" t="s">
        <v>501</v>
      </c>
      <c r="CR339" s="70">
        <v>2</v>
      </c>
      <c r="CS339" s="70" t="s">
        <v>670</v>
      </c>
      <c r="CT339" s="70">
        <v>55</v>
      </c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</row>
    <row r="340" spans="54:108" ht="16.5" x14ac:dyDescent="0.2">
      <c r="BB340" s="70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70">
        <v>336</v>
      </c>
      <c r="CG340" s="70">
        <v>4</v>
      </c>
      <c r="CH340" s="70" t="s">
        <v>460</v>
      </c>
      <c r="CI340" s="70">
        <v>36</v>
      </c>
      <c r="CJ340" s="70"/>
      <c r="CK340" s="70"/>
      <c r="CL340" s="70"/>
      <c r="CM340" s="70" t="s">
        <v>669</v>
      </c>
      <c r="CN340" s="70">
        <v>16200</v>
      </c>
      <c r="CO340" s="70" t="s">
        <v>670</v>
      </c>
      <c r="CP340" s="70">
        <v>55</v>
      </c>
      <c r="CQ340" s="70"/>
      <c r="CR340" s="70"/>
      <c r="CS340" s="70" t="s">
        <v>670</v>
      </c>
      <c r="CT340" s="70">
        <v>55</v>
      </c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</row>
    <row r="341" spans="54:108" ht="16.5" x14ac:dyDescent="0.2">
      <c r="BB341" s="70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70">
        <v>337</v>
      </c>
      <c r="CG341" s="70">
        <v>4</v>
      </c>
      <c r="CH341" s="70" t="s">
        <v>460</v>
      </c>
      <c r="CI341" s="70">
        <v>37</v>
      </c>
      <c r="CJ341" s="70"/>
      <c r="CK341" s="70"/>
      <c r="CL341" s="70"/>
      <c r="CM341" s="70" t="s">
        <v>669</v>
      </c>
      <c r="CN341" s="70">
        <v>16200</v>
      </c>
      <c r="CO341" s="70" t="s">
        <v>670</v>
      </c>
      <c r="CP341" s="70">
        <v>55</v>
      </c>
      <c r="CQ341" s="70"/>
      <c r="CR341" s="70"/>
      <c r="CS341" s="70" t="s">
        <v>670</v>
      </c>
      <c r="CT341" s="70">
        <v>55</v>
      </c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</row>
    <row r="342" spans="54:108" ht="16.5" x14ac:dyDescent="0.2">
      <c r="BB342" s="70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70">
        <v>338</v>
      </c>
      <c r="CG342" s="70">
        <v>4</v>
      </c>
      <c r="CH342" s="70" t="s">
        <v>460</v>
      </c>
      <c r="CI342" s="70">
        <v>38</v>
      </c>
      <c r="CJ342" s="70"/>
      <c r="CK342" s="70"/>
      <c r="CL342" s="70"/>
      <c r="CM342" s="70" t="s">
        <v>669</v>
      </c>
      <c r="CN342" s="70">
        <v>16200</v>
      </c>
      <c r="CO342" s="70" t="s">
        <v>670</v>
      </c>
      <c r="CP342" s="70">
        <v>55</v>
      </c>
      <c r="CQ342" s="70"/>
      <c r="CR342" s="70"/>
      <c r="CS342" s="70" t="s">
        <v>670</v>
      </c>
      <c r="CT342" s="70">
        <v>55</v>
      </c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</row>
    <row r="343" spans="54:108" ht="16.5" x14ac:dyDescent="0.2">
      <c r="BB343" s="70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70">
        <v>339</v>
      </c>
      <c r="CG343" s="70">
        <v>4</v>
      </c>
      <c r="CH343" s="70" t="s">
        <v>460</v>
      </c>
      <c r="CI343" s="70">
        <v>39</v>
      </c>
      <c r="CJ343" s="70"/>
      <c r="CK343" s="70"/>
      <c r="CL343" s="70"/>
      <c r="CM343" s="70" t="s">
        <v>669</v>
      </c>
      <c r="CN343" s="70">
        <v>16200</v>
      </c>
      <c r="CO343" s="70" t="s">
        <v>670</v>
      </c>
      <c r="CP343" s="70">
        <v>55</v>
      </c>
      <c r="CQ343" s="70"/>
      <c r="CR343" s="70"/>
      <c r="CS343" s="70" t="s">
        <v>670</v>
      </c>
      <c r="CT343" s="70">
        <v>55</v>
      </c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</row>
    <row r="344" spans="54:108" ht="16.5" x14ac:dyDescent="0.2">
      <c r="BB344" s="70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70">
        <v>340</v>
      </c>
      <c r="CG344" s="70">
        <v>4</v>
      </c>
      <c r="CH344" s="70" t="s">
        <v>460</v>
      </c>
      <c r="CI344" s="70">
        <v>40</v>
      </c>
      <c r="CJ344" s="70"/>
      <c r="CK344" s="70"/>
      <c r="CL344" s="70"/>
      <c r="CM344" s="70" t="s">
        <v>669</v>
      </c>
      <c r="CN344" s="70">
        <v>16200</v>
      </c>
      <c r="CO344" s="70" t="s">
        <v>670</v>
      </c>
      <c r="CP344" s="70">
        <v>55</v>
      </c>
      <c r="CQ344" s="70" t="s">
        <v>502</v>
      </c>
      <c r="CR344" s="70">
        <v>2</v>
      </c>
      <c r="CS344" s="70" t="s">
        <v>670</v>
      </c>
      <c r="CT344" s="70">
        <v>60</v>
      </c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</row>
    <row r="345" spans="54:108" ht="16.5" x14ac:dyDescent="0.2">
      <c r="BB345" s="70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70">
        <v>341</v>
      </c>
      <c r="CG345" s="70">
        <v>4</v>
      </c>
      <c r="CH345" s="70" t="s">
        <v>460</v>
      </c>
      <c r="CI345" s="70">
        <v>41</v>
      </c>
      <c r="CJ345" s="70"/>
      <c r="CK345" s="70"/>
      <c r="CL345" s="70"/>
      <c r="CM345" s="70" t="s">
        <v>669</v>
      </c>
      <c r="CN345" s="70">
        <v>16200</v>
      </c>
      <c r="CO345" s="70" t="s">
        <v>670</v>
      </c>
      <c r="CP345" s="70">
        <v>60</v>
      </c>
      <c r="CQ345" s="70"/>
      <c r="CR345" s="70"/>
      <c r="CS345" s="70" t="s">
        <v>670</v>
      </c>
      <c r="CT345" s="70">
        <v>60</v>
      </c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</row>
    <row r="346" spans="54:108" ht="16.5" x14ac:dyDescent="0.2">
      <c r="BB346" s="70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70">
        <v>342</v>
      </c>
      <c r="CG346" s="70">
        <v>4</v>
      </c>
      <c r="CH346" s="70" t="s">
        <v>460</v>
      </c>
      <c r="CI346" s="70">
        <v>42</v>
      </c>
      <c r="CJ346" s="70"/>
      <c r="CK346" s="70"/>
      <c r="CL346" s="70"/>
      <c r="CM346" s="70" t="s">
        <v>669</v>
      </c>
      <c r="CN346" s="70">
        <v>16200</v>
      </c>
      <c r="CO346" s="70" t="s">
        <v>670</v>
      </c>
      <c r="CP346" s="70">
        <v>60</v>
      </c>
      <c r="CQ346" s="70"/>
      <c r="CR346" s="70"/>
      <c r="CS346" s="70" t="s">
        <v>670</v>
      </c>
      <c r="CT346" s="70">
        <v>60</v>
      </c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</row>
    <row r="347" spans="54:108" ht="16.5" x14ac:dyDescent="0.2">
      <c r="BB347" s="70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70">
        <v>343</v>
      </c>
      <c r="CG347" s="70">
        <v>4</v>
      </c>
      <c r="CH347" s="70" t="s">
        <v>460</v>
      </c>
      <c r="CI347" s="70">
        <v>43</v>
      </c>
      <c r="CJ347" s="70"/>
      <c r="CK347" s="70"/>
      <c r="CL347" s="70"/>
      <c r="CM347" s="70" t="s">
        <v>669</v>
      </c>
      <c r="CN347" s="70">
        <v>16200</v>
      </c>
      <c r="CO347" s="70" t="s">
        <v>670</v>
      </c>
      <c r="CP347" s="70">
        <v>60</v>
      </c>
      <c r="CQ347" s="70"/>
      <c r="CR347" s="70"/>
      <c r="CS347" s="70" t="s">
        <v>670</v>
      </c>
      <c r="CT347" s="70">
        <v>60</v>
      </c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</row>
    <row r="348" spans="54:108" ht="16.5" x14ac:dyDescent="0.2">
      <c r="BB348" s="70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70">
        <v>344</v>
      </c>
      <c r="CG348" s="70">
        <v>4</v>
      </c>
      <c r="CH348" s="70" t="s">
        <v>460</v>
      </c>
      <c r="CI348" s="70">
        <v>44</v>
      </c>
      <c r="CJ348" s="70"/>
      <c r="CK348" s="70"/>
      <c r="CL348" s="70"/>
      <c r="CM348" s="70" t="s">
        <v>669</v>
      </c>
      <c r="CN348" s="70">
        <v>16200</v>
      </c>
      <c r="CO348" s="70" t="s">
        <v>670</v>
      </c>
      <c r="CP348" s="70">
        <v>60</v>
      </c>
      <c r="CQ348" s="70"/>
      <c r="CR348" s="70"/>
      <c r="CS348" s="70" t="s">
        <v>670</v>
      </c>
      <c r="CT348" s="70">
        <v>60</v>
      </c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</row>
    <row r="349" spans="54:108" ht="16.5" x14ac:dyDescent="0.2">
      <c r="BB349" s="70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70">
        <v>345</v>
      </c>
      <c r="CG349" s="70">
        <v>4</v>
      </c>
      <c r="CH349" s="70" t="s">
        <v>460</v>
      </c>
      <c r="CI349" s="70">
        <v>45</v>
      </c>
      <c r="CJ349" s="70"/>
      <c r="CK349" s="70"/>
      <c r="CL349" s="70"/>
      <c r="CM349" s="70" t="s">
        <v>669</v>
      </c>
      <c r="CN349" s="70">
        <v>19800</v>
      </c>
      <c r="CO349" s="70" t="s">
        <v>670</v>
      </c>
      <c r="CP349" s="70">
        <v>60</v>
      </c>
      <c r="CQ349" s="70" t="s">
        <v>505</v>
      </c>
      <c r="CR349" s="70">
        <v>2</v>
      </c>
      <c r="CS349" s="70" t="s">
        <v>670</v>
      </c>
      <c r="CT349" s="70">
        <v>65</v>
      </c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</row>
    <row r="350" spans="54:108" ht="16.5" x14ac:dyDescent="0.2">
      <c r="BB350" s="70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70">
        <v>346</v>
      </c>
      <c r="CG350" s="70">
        <v>4</v>
      </c>
      <c r="CH350" s="70" t="s">
        <v>460</v>
      </c>
      <c r="CI350" s="70">
        <v>46</v>
      </c>
      <c r="CJ350" s="70"/>
      <c r="CK350" s="70"/>
      <c r="CL350" s="70"/>
      <c r="CM350" s="70" t="s">
        <v>669</v>
      </c>
      <c r="CN350" s="70">
        <v>19800</v>
      </c>
      <c r="CO350" s="70" t="s">
        <v>670</v>
      </c>
      <c r="CP350" s="70">
        <v>65</v>
      </c>
      <c r="CQ350" s="70"/>
      <c r="CR350" s="70"/>
      <c r="CS350" s="70" t="s">
        <v>670</v>
      </c>
      <c r="CT350" s="70">
        <v>65</v>
      </c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</row>
    <row r="351" spans="54:108" ht="16.5" x14ac:dyDescent="0.2">
      <c r="BB351" s="70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70">
        <v>347</v>
      </c>
      <c r="CG351" s="70">
        <v>4</v>
      </c>
      <c r="CH351" s="70" t="s">
        <v>460</v>
      </c>
      <c r="CI351" s="70">
        <v>47</v>
      </c>
      <c r="CJ351" s="70"/>
      <c r="CK351" s="70"/>
      <c r="CL351" s="70"/>
      <c r="CM351" s="70" t="s">
        <v>669</v>
      </c>
      <c r="CN351" s="70">
        <v>19800</v>
      </c>
      <c r="CO351" s="70" t="s">
        <v>670</v>
      </c>
      <c r="CP351" s="70">
        <v>65</v>
      </c>
      <c r="CQ351" s="70"/>
      <c r="CR351" s="70"/>
      <c r="CS351" s="70" t="s">
        <v>670</v>
      </c>
      <c r="CT351" s="70">
        <v>65</v>
      </c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</row>
    <row r="352" spans="54:108" ht="16.5" x14ac:dyDescent="0.2">
      <c r="BB352" s="70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70">
        <v>348</v>
      </c>
      <c r="CG352" s="70">
        <v>4</v>
      </c>
      <c r="CH352" s="70" t="s">
        <v>460</v>
      </c>
      <c r="CI352" s="70">
        <v>48</v>
      </c>
      <c r="CJ352" s="70"/>
      <c r="CK352" s="70"/>
      <c r="CL352" s="70"/>
      <c r="CM352" s="70" t="s">
        <v>669</v>
      </c>
      <c r="CN352" s="70">
        <v>19800</v>
      </c>
      <c r="CO352" s="70" t="s">
        <v>670</v>
      </c>
      <c r="CP352" s="70">
        <v>65</v>
      </c>
      <c r="CQ352" s="70"/>
      <c r="CR352" s="70"/>
      <c r="CS352" s="70" t="s">
        <v>670</v>
      </c>
      <c r="CT352" s="70">
        <v>65</v>
      </c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</row>
    <row r="353" spans="54:108" ht="16.5" x14ac:dyDescent="0.2">
      <c r="BB353" s="70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70">
        <v>349</v>
      </c>
      <c r="CG353" s="70">
        <v>4</v>
      </c>
      <c r="CH353" s="70" t="s">
        <v>460</v>
      </c>
      <c r="CI353" s="70">
        <v>49</v>
      </c>
      <c r="CJ353" s="70"/>
      <c r="CK353" s="70"/>
      <c r="CL353" s="70"/>
      <c r="CM353" s="70" t="s">
        <v>669</v>
      </c>
      <c r="CN353" s="70">
        <v>19800</v>
      </c>
      <c r="CO353" s="70" t="s">
        <v>670</v>
      </c>
      <c r="CP353" s="70">
        <v>65</v>
      </c>
      <c r="CQ353" s="70"/>
      <c r="CR353" s="70"/>
      <c r="CS353" s="70" t="s">
        <v>670</v>
      </c>
      <c r="CT353" s="70">
        <v>65</v>
      </c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</row>
    <row r="354" spans="54:108" ht="16.5" x14ac:dyDescent="0.2">
      <c r="BB354" s="70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70">
        <v>350</v>
      </c>
      <c r="CG354" s="70">
        <v>4</v>
      </c>
      <c r="CH354" s="70" t="s">
        <v>460</v>
      </c>
      <c r="CI354" s="70">
        <v>50</v>
      </c>
      <c r="CJ354" s="70"/>
      <c r="CK354" s="70"/>
      <c r="CL354" s="70"/>
      <c r="CM354" s="70" t="s">
        <v>669</v>
      </c>
      <c r="CN354" s="70">
        <v>19800</v>
      </c>
      <c r="CO354" s="70" t="s">
        <v>670</v>
      </c>
      <c r="CP354" s="70">
        <v>65</v>
      </c>
      <c r="CQ354" s="70" t="s">
        <v>506</v>
      </c>
      <c r="CR354" s="70">
        <v>2</v>
      </c>
      <c r="CS354" s="70" t="s">
        <v>670</v>
      </c>
      <c r="CT354" s="70">
        <v>70</v>
      </c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</row>
    <row r="355" spans="54:108" ht="16.5" x14ac:dyDescent="0.2">
      <c r="BB355" s="70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70">
        <v>351</v>
      </c>
      <c r="CG355" s="70">
        <v>4</v>
      </c>
      <c r="CH355" s="70" t="s">
        <v>460</v>
      </c>
      <c r="CI355" s="70">
        <v>51</v>
      </c>
      <c r="CJ355" s="70"/>
      <c r="CK355" s="70"/>
      <c r="CL355" s="70"/>
      <c r="CM355" s="70" t="s">
        <v>669</v>
      </c>
      <c r="CN355" s="70">
        <v>19800</v>
      </c>
      <c r="CO355" s="70" t="s">
        <v>670</v>
      </c>
      <c r="CP355" s="70">
        <v>70</v>
      </c>
      <c r="CQ355" s="70"/>
      <c r="CR355" s="70"/>
      <c r="CS355" s="70" t="s">
        <v>670</v>
      </c>
      <c r="CT355" s="70">
        <v>70</v>
      </c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</row>
    <row r="356" spans="54:108" ht="16.5" x14ac:dyDescent="0.2">
      <c r="BB356" s="70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70">
        <v>352</v>
      </c>
      <c r="CG356" s="70">
        <v>4</v>
      </c>
      <c r="CH356" s="70" t="s">
        <v>460</v>
      </c>
      <c r="CI356" s="70">
        <v>52</v>
      </c>
      <c r="CJ356" s="70"/>
      <c r="CK356" s="70"/>
      <c r="CL356" s="70"/>
      <c r="CM356" s="70" t="s">
        <v>669</v>
      </c>
      <c r="CN356" s="70">
        <v>19800</v>
      </c>
      <c r="CO356" s="70" t="s">
        <v>670</v>
      </c>
      <c r="CP356" s="70">
        <v>70</v>
      </c>
      <c r="CQ356" s="70"/>
      <c r="CR356" s="70"/>
      <c r="CS356" s="70" t="s">
        <v>670</v>
      </c>
      <c r="CT356" s="70">
        <v>70</v>
      </c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</row>
    <row r="357" spans="54:108" ht="16.5" x14ac:dyDescent="0.2">
      <c r="BB357" s="70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70">
        <v>353</v>
      </c>
      <c r="CG357" s="70">
        <v>4</v>
      </c>
      <c r="CH357" s="70" t="s">
        <v>460</v>
      </c>
      <c r="CI357" s="70">
        <v>53</v>
      </c>
      <c r="CJ357" s="70"/>
      <c r="CK357" s="70"/>
      <c r="CL357" s="70"/>
      <c r="CM357" s="70" t="s">
        <v>669</v>
      </c>
      <c r="CN357" s="70">
        <v>19800</v>
      </c>
      <c r="CO357" s="70" t="s">
        <v>670</v>
      </c>
      <c r="CP357" s="70">
        <v>70</v>
      </c>
      <c r="CQ357" s="70"/>
      <c r="CR357" s="70"/>
      <c r="CS357" s="70" t="s">
        <v>670</v>
      </c>
      <c r="CT357" s="70">
        <v>70</v>
      </c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</row>
    <row r="358" spans="54:108" ht="16.5" x14ac:dyDescent="0.2">
      <c r="BB358" s="70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70">
        <v>354</v>
      </c>
      <c r="CG358" s="70">
        <v>4</v>
      </c>
      <c r="CH358" s="70" t="s">
        <v>460</v>
      </c>
      <c r="CI358" s="70">
        <v>54</v>
      </c>
      <c r="CJ358" s="70"/>
      <c r="CK358" s="70"/>
      <c r="CL358" s="70"/>
      <c r="CM358" s="70" t="s">
        <v>669</v>
      </c>
      <c r="CN358" s="70">
        <v>19800</v>
      </c>
      <c r="CO358" s="70" t="s">
        <v>670</v>
      </c>
      <c r="CP358" s="70">
        <v>70</v>
      </c>
      <c r="CQ358" s="70"/>
      <c r="CR358" s="70"/>
      <c r="CS358" s="70" t="s">
        <v>670</v>
      </c>
      <c r="CT358" s="70">
        <v>70</v>
      </c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</row>
    <row r="359" spans="54:108" ht="16.5" x14ac:dyDescent="0.2">
      <c r="BB359" s="70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70">
        <v>355</v>
      </c>
      <c r="CG359" s="70">
        <v>4</v>
      </c>
      <c r="CH359" s="70" t="s">
        <v>460</v>
      </c>
      <c r="CI359" s="70">
        <v>55</v>
      </c>
      <c r="CJ359" s="70"/>
      <c r="CK359" s="70"/>
      <c r="CL359" s="70"/>
      <c r="CM359" s="70" t="s">
        <v>669</v>
      </c>
      <c r="CN359" s="70">
        <v>19800</v>
      </c>
      <c r="CO359" s="70" t="s">
        <v>670</v>
      </c>
      <c r="CP359" s="70">
        <v>70</v>
      </c>
      <c r="CQ359" s="70" t="s">
        <v>501</v>
      </c>
      <c r="CR359" s="70">
        <v>2</v>
      </c>
      <c r="CS359" s="70" t="s">
        <v>670</v>
      </c>
      <c r="CT359" s="70">
        <v>75</v>
      </c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</row>
    <row r="360" spans="54:108" ht="16.5" x14ac:dyDescent="0.2">
      <c r="BB360" s="70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70">
        <v>356</v>
      </c>
      <c r="CG360" s="70">
        <v>4</v>
      </c>
      <c r="CH360" s="70" t="s">
        <v>460</v>
      </c>
      <c r="CI360" s="70">
        <v>56</v>
      </c>
      <c r="CJ360" s="70"/>
      <c r="CK360" s="70"/>
      <c r="CL360" s="70"/>
      <c r="CM360" s="70" t="s">
        <v>669</v>
      </c>
      <c r="CN360" s="70">
        <v>19800</v>
      </c>
      <c r="CO360" s="70" t="s">
        <v>670</v>
      </c>
      <c r="CP360" s="70">
        <v>75</v>
      </c>
      <c r="CQ360" s="70"/>
      <c r="CR360" s="70"/>
      <c r="CS360" s="70" t="s">
        <v>670</v>
      </c>
      <c r="CT360" s="70">
        <v>75</v>
      </c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</row>
    <row r="361" spans="54:108" ht="16.5" x14ac:dyDescent="0.2">
      <c r="BB361" s="70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70">
        <v>357</v>
      </c>
      <c r="CG361" s="70">
        <v>4</v>
      </c>
      <c r="CH361" s="70" t="s">
        <v>460</v>
      </c>
      <c r="CI361" s="70">
        <v>57</v>
      </c>
      <c r="CJ361" s="70"/>
      <c r="CK361" s="70"/>
      <c r="CL361" s="70"/>
      <c r="CM361" s="70" t="s">
        <v>669</v>
      </c>
      <c r="CN361" s="70">
        <v>19800</v>
      </c>
      <c r="CO361" s="70" t="s">
        <v>670</v>
      </c>
      <c r="CP361" s="70">
        <v>75</v>
      </c>
      <c r="CQ361" s="70"/>
      <c r="CR361" s="70"/>
      <c r="CS361" s="70" t="s">
        <v>670</v>
      </c>
      <c r="CT361" s="70">
        <v>75</v>
      </c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</row>
    <row r="362" spans="54:108" ht="16.5" x14ac:dyDescent="0.2">
      <c r="BB362" s="70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70">
        <v>358</v>
      </c>
      <c r="CG362" s="70">
        <v>4</v>
      </c>
      <c r="CH362" s="70" t="s">
        <v>460</v>
      </c>
      <c r="CI362" s="70">
        <v>58</v>
      </c>
      <c r="CJ362" s="70"/>
      <c r="CK362" s="70"/>
      <c r="CL362" s="70"/>
      <c r="CM362" s="70" t="s">
        <v>669</v>
      </c>
      <c r="CN362" s="70">
        <v>19800</v>
      </c>
      <c r="CO362" s="70" t="s">
        <v>670</v>
      </c>
      <c r="CP362" s="70">
        <v>75</v>
      </c>
      <c r="CQ362" s="70"/>
      <c r="CR362" s="70"/>
      <c r="CS362" s="70" t="s">
        <v>670</v>
      </c>
      <c r="CT362" s="70">
        <v>75</v>
      </c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</row>
    <row r="363" spans="54:108" ht="16.5" x14ac:dyDescent="0.2">
      <c r="BB363" s="70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70">
        <v>359</v>
      </c>
      <c r="CG363" s="70">
        <v>4</v>
      </c>
      <c r="CH363" s="70" t="s">
        <v>460</v>
      </c>
      <c r="CI363" s="70">
        <v>59</v>
      </c>
      <c r="CJ363" s="70"/>
      <c r="CK363" s="70"/>
      <c r="CL363" s="70"/>
      <c r="CM363" s="70" t="s">
        <v>669</v>
      </c>
      <c r="CN363" s="70">
        <v>19800</v>
      </c>
      <c r="CO363" s="70" t="s">
        <v>670</v>
      </c>
      <c r="CP363" s="70">
        <v>75</v>
      </c>
      <c r="CQ363" s="70"/>
      <c r="CR363" s="70"/>
      <c r="CS363" s="70" t="s">
        <v>670</v>
      </c>
      <c r="CT363" s="70">
        <v>75</v>
      </c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</row>
    <row r="364" spans="54:108" ht="16.5" x14ac:dyDescent="0.2">
      <c r="BB364" s="70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70">
        <v>360</v>
      </c>
      <c r="CG364" s="70">
        <v>4</v>
      </c>
      <c r="CH364" s="70" t="s">
        <v>460</v>
      </c>
      <c r="CI364" s="70">
        <v>60</v>
      </c>
      <c r="CJ364" s="70"/>
      <c r="CK364" s="70"/>
      <c r="CL364" s="70"/>
      <c r="CM364" s="70" t="s">
        <v>669</v>
      </c>
      <c r="CN364" s="70">
        <v>23400</v>
      </c>
      <c r="CO364" s="70" t="s">
        <v>670</v>
      </c>
      <c r="CP364" s="70">
        <v>75</v>
      </c>
      <c r="CQ364" s="70" t="s">
        <v>502</v>
      </c>
      <c r="CR364" s="70">
        <v>2</v>
      </c>
      <c r="CS364" s="70" t="s">
        <v>670</v>
      </c>
      <c r="CT364" s="70">
        <v>80</v>
      </c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</row>
    <row r="365" spans="54:108" ht="16.5" x14ac:dyDescent="0.2">
      <c r="BB365" s="70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70">
        <v>361</v>
      </c>
      <c r="CG365" s="70">
        <v>4</v>
      </c>
      <c r="CH365" s="70" t="s">
        <v>460</v>
      </c>
      <c r="CI365" s="70">
        <v>61</v>
      </c>
      <c r="CJ365" s="70"/>
      <c r="CK365" s="70"/>
      <c r="CL365" s="70"/>
      <c r="CM365" s="70" t="s">
        <v>669</v>
      </c>
      <c r="CN365" s="70">
        <v>23400</v>
      </c>
      <c r="CO365" s="70" t="s">
        <v>670</v>
      </c>
      <c r="CP365" s="70">
        <v>80</v>
      </c>
      <c r="CQ365" s="70"/>
      <c r="CR365" s="70"/>
      <c r="CS365" s="70" t="s">
        <v>670</v>
      </c>
      <c r="CT365" s="70">
        <v>80</v>
      </c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</row>
    <row r="366" spans="54:108" ht="16.5" x14ac:dyDescent="0.2">
      <c r="BB366" s="70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70">
        <v>362</v>
      </c>
      <c r="CG366" s="70">
        <v>4</v>
      </c>
      <c r="CH366" s="70" t="s">
        <v>460</v>
      </c>
      <c r="CI366" s="70">
        <v>62</v>
      </c>
      <c r="CJ366" s="70"/>
      <c r="CK366" s="70"/>
      <c r="CL366" s="70"/>
      <c r="CM366" s="70" t="s">
        <v>669</v>
      </c>
      <c r="CN366" s="70">
        <v>23400</v>
      </c>
      <c r="CO366" s="70" t="s">
        <v>670</v>
      </c>
      <c r="CP366" s="70">
        <v>80</v>
      </c>
      <c r="CQ366" s="70"/>
      <c r="CR366" s="70"/>
      <c r="CS366" s="70" t="s">
        <v>670</v>
      </c>
      <c r="CT366" s="70">
        <v>80</v>
      </c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</row>
    <row r="367" spans="54:108" ht="16.5" x14ac:dyDescent="0.2">
      <c r="BB367" s="70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70">
        <v>363</v>
      </c>
      <c r="CG367" s="70">
        <v>4</v>
      </c>
      <c r="CH367" s="70" t="s">
        <v>460</v>
      </c>
      <c r="CI367" s="70">
        <v>63</v>
      </c>
      <c r="CJ367" s="70"/>
      <c r="CK367" s="70"/>
      <c r="CL367" s="70"/>
      <c r="CM367" s="70" t="s">
        <v>669</v>
      </c>
      <c r="CN367" s="70">
        <v>23400</v>
      </c>
      <c r="CO367" s="70" t="s">
        <v>670</v>
      </c>
      <c r="CP367" s="70">
        <v>80</v>
      </c>
      <c r="CQ367" s="70"/>
      <c r="CR367" s="70"/>
      <c r="CS367" s="70" t="s">
        <v>670</v>
      </c>
      <c r="CT367" s="70">
        <v>80</v>
      </c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</row>
    <row r="368" spans="54:108" ht="16.5" x14ac:dyDescent="0.2">
      <c r="BB368" s="70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70">
        <v>364</v>
      </c>
      <c r="CG368" s="70">
        <v>4</v>
      </c>
      <c r="CH368" s="70" t="s">
        <v>460</v>
      </c>
      <c r="CI368" s="70">
        <v>64</v>
      </c>
      <c r="CJ368" s="70"/>
      <c r="CK368" s="70"/>
      <c r="CL368" s="70"/>
      <c r="CM368" s="70" t="s">
        <v>669</v>
      </c>
      <c r="CN368" s="70">
        <v>23400</v>
      </c>
      <c r="CO368" s="70" t="s">
        <v>670</v>
      </c>
      <c r="CP368" s="70">
        <v>80</v>
      </c>
      <c r="CQ368" s="70"/>
      <c r="CR368" s="70"/>
      <c r="CS368" s="70" t="s">
        <v>670</v>
      </c>
      <c r="CT368" s="70">
        <v>80</v>
      </c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</row>
    <row r="369" spans="54:108" ht="16.5" x14ac:dyDescent="0.2">
      <c r="BB369" s="70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70">
        <v>365</v>
      </c>
      <c r="CG369" s="70">
        <v>4</v>
      </c>
      <c r="CH369" s="70" t="s">
        <v>460</v>
      </c>
      <c r="CI369" s="70">
        <v>65</v>
      </c>
      <c r="CJ369" s="70"/>
      <c r="CK369" s="70"/>
      <c r="CL369" s="70"/>
      <c r="CM369" s="70" t="s">
        <v>669</v>
      </c>
      <c r="CN369" s="70">
        <v>23400</v>
      </c>
      <c r="CO369" s="70" t="s">
        <v>670</v>
      </c>
      <c r="CP369" s="70">
        <v>80</v>
      </c>
      <c r="CQ369" s="70" t="s">
        <v>505</v>
      </c>
      <c r="CR369" s="70">
        <v>2</v>
      </c>
      <c r="CS369" s="70" t="s">
        <v>670</v>
      </c>
      <c r="CT369" s="70">
        <v>85</v>
      </c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</row>
    <row r="370" spans="54:108" ht="16.5" x14ac:dyDescent="0.2">
      <c r="BB370" s="70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70">
        <v>366</v>
      </c>
      <c r="CG370" s="70">
        <v>4</v>
      </c>
      <c r="CH370" s="70" t="s">
        <v>460</v>
      </c>
      <c r="CI370" s="70">
        <v>66</v>
      </c>
      <c r="CJ370" s="70"/>
      <c r="CK370" s="70"/>
      <c r="CL370" s="70"/>
      <c r="CM370" s="70" t="s">
        <v>669</v>
      </c>
      <c r="CN370" s="70">
        <v>23400</v>
      </c>
      <c r="CO370" s="70" t="s">
        <v>670</v>
      </c>
      <c r="CP370" s="70">
        <v>85</v>
      </c>
      <c r="CQ370" s="70"/>
      <c r="CR370" s="70"/>
      <c r="CS370" s="70" t="s">
        <v>670</v>
      </c>
      <c r="CT370" s="70">
        <v>85</v>
      </c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</row>
    <row r="371" spans="54:108" ht="16.5" x14ac:dyDescent="0.2">
      <c r="BB371" s="70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70">
        <v>367</v>
      </c>
      <c r="CG371" s="70">
        <v>4</v>
      </c>
      <c r="CH371" s="70" t="s">
        <v>460</v>
      </c>
      <c r="CI371" s="70">
        <v>67</v>
      </c>
      <c r="CJ371" s="70"/>
      <c r="CK371" s="70"/>
      <c r="CL371" s="70"/>
      <c r="CM371" s="70" t="s">
        <v>669</v>
      </c>
      <c r="CN371" s="70">
        <v>23400</v>
      </c>
      <c r="CO371" s="70" t="s">
        <v>670</v>
      </c>
      <c r="CP371" s="70">
        <v>85</v>
      </c>
      <c r="CQ371" s="70"/>
      <c r="CR371" s="70"/>
      <c r="CS371" s="70" t="s">
        <v>670</v>
      </c>
      <c r="CT371" s="70">
        <v>85</v>
      </c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</row>
    <row r="372" spans="54:108" ht="16.5" x14ac:dyDescent="0.2">
      <c r="BB372" s="70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70">
        <v>368</v>
      </c>
      <c r="CG372" s="70">
        <v>4</v>
      </c>
      <c r="CH372" s="70" t="s">
        <v>460</v>
      </c>
      <c r="CI372" s="70">
        <v>68</v>
      </c>
      <c r="CJ372" s="70"/>
      <c r="CK372" s="70"/>
      <c r="CL372" s="70"/>
      <c r="CM372" s="70" t="s">
        <v>669</v>
      </c>
      <c r="CN372" s="70">
        <v>23400</v>
      </c>
      <c r="CO372" s="70" t="s">
        <v>670</v>
      </c>
      <c r="CP372" s="70">
        <v>85</v>
      </c>
      <c r="CQ372" s="70"/>
      <c r="CR372" s="70"/>
      <c r="CS372" s="70" t="s">
        <v>670</v>
      </c>
      <c r="CT372" s="70">
        <v>85</v>
      </c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</row>
    <row r="373" spans="54:108" ht="16.5" x14ac:dyDescent="0.2">
      <c r="BB373" s="70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70">
        <v>369</v>
      </c>
      <c r="CG373" s="70">
        <v>4</v>
      </c>
      <c r="CH373" s="70" t="s">
        <v>460</v>
      </c>
      <c r="CI373" s="70">
        <v>69</v>
      </c>
      <c r="CJ373" s="70"/>
      <c r="CK373" s="70"/>
      <c r="CL373" s="70"/>
      <c r="CM373" s="70" t="s">
        <v>669</v>
      </c>
      <c r="CN373" s="70">
        <v>23400</v>
      </c>
      <c r="CO373" s="70" t="s">
        <v>670</v>
      </c>
      <c r="CP373" s="70">
        <v>85</v>
      </c>
      <c r="CQ373" s="70"/>
      <c r="CR373" s="70"/>
      <c r="CS373" s="70" t="s">
        <v>670</v>
      </c>
      <c r="CT373" s="70">
        <v>85</v>
      </c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</row>
    <row r="374" spans="54:108" ht="16.5" x14ac:dyDescent="0.2">
      <c r="BB374" s="70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70">
        <v>370</v>
      </c>
      <c r="CG374" s="70">
        <v>4</v>
      </c>
      <c r="CH374" s="70" t="s">
        <v>460</v>
      </c>
      <c r="CI374" s="70">
        <v>70</v>
      </c>
      <c r="CJ374" s="70"/>
      <c r="CK374" s="70"/>
      <c r="CL374" s="70"/>
      <c r="CM374" s="70" t="s">
        <v>669</v>
      </c>
      <c r="CN374" s="70">
        <v>23400</v>
      </c>
      <c r="CO374" s="70" t="s">
        <v>670</v>
      </c>
      <c r="CP374" s="70">
        <v>85</v>
      </c>
      <c r="CQ374" s="70" t="s">
        <v>506</v>
      </c>
      <c r="CR374" s="70">
        <v>2</v>
      </c>
      <c r="CS374" s="70" t="s">
        <v>670</v>
      </c>
      <c r="CT374" s="70">
        <v>90</v>
      </c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</row>
    <row r="375" spans="54:108" ht="16.5" x14ac:dyDescent="0.2">
      <c r="BB375" s="70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70">
        <v>371</v>
      </c>
      <c r="CG375" s="70">
        <v>4</v>
      </c>
      <c r="CH375" s="70" t="s">
        <v>460</v>
      </c>
      <c r="CI375" s="70">
        <v>71</v>
      </c>
      <c r="CJ375" s="70"/>
      <c r="CK375" s="70"/>
      <c r="CL375" s="70"/>
      <c r="CM375" s="70" t="s">
        <v>669</v>
      </c>
      <c r="CN375" s="70">
        <v>23400</v>
      </c>
      <c r="CO375" s="70" t="s">
        <v>670</v>
      </c>
      <c r="CP375" s="70">
        <v>90</v>
      </c>
      <c r="CQ375" s="70"/>
      <c r="CR375" s="70"/>
      <c r="CS375" s="70" t="s">
        <v>670</v>
      </c>
      <c r="CT375" s="70">
        <v>90</v>
      </c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</row>
    <row r="376" spans="54:108" ht="16.5" x14ac:dyDescent="0.2">
      <c r="BB376" s="70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70">
        <v>372</v>
      </c>
      <c r="CG376" s="70">
        <v>4</v>
      </c>
      <c r="CH376" s="70" t="s">
        <v>460</v>
      </c>
      <c r="CI376" s="70">
        <v>72</v>
      </c>
      <c r="CJ376" s="70"/>
      <c r="CK376" s="70"/>
      <c r="CL376" s="70"/>
      <c r="CM376" s="70" t="s">
        <v>669</v>
      </c>
      <c r="CN376" s="70">
        <v>23400</v>
      </c>
      <c r="CO376" s="70" t="s">
        <v>670</v>
      </c>
      <c r="CP376" s="70">
        <v>90</v>
      </c>
      <c r="CQ376" s="70"/>
      <c r="CR376" s="70"/>
      <c r="CS376" s="70" t="s">
        <v>670</v>
      </c>
      <c r="CT376" s="70">
        <v>90</v>
      </c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</row>
    <row r="377" spans="54:108" ht="16.5" x14ac:dyDescent="0.2">
      <c r="BB377" s="70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70">
        <v>373</v>
      </c>
      <c r="CG377" s="70">
        <v>4</v>
      </c>
      <c r="CH377" s="70" t="s">
        <v>460</v>
      </c>
      <c r="CI377" s="70">
        <v>73</v>
      </c>
      <c r="CJ377" s="70"/>
      <c r="CK377" s="70"/>
      <c r="CL377" s="70"/>
      <c r="CM377" s="70" t="s">
        <v>669</v>
      </c>
      <c r="CN377" s="70">
        <v>23400</v>
      </c>
      <c r="CO377" s="70" t="s">
        <v>670</v>
      </c>
      <c r="CP377" s="70">
        <v>90</v>
      </c>
      <c r="CQ377" s="70"/>
      <c r="CR377" s="70"/>
      <c r="CS377" s="70" t="s">
        <v>670</v>
      </c>
      <c r="CT377" s="70">
        <v>90</v>
      </c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</row>
    <row r="378" spans="54:108" ht="16.5" x14ac:dyDescent="0.2">
      <c r="BB378" s="70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70">
        <v>374</v>
      </c>
      <c r="CG378" s="70">
        <v>4</v>
      </c>
      <c r="CH378" s="70" t="s">
        <v>460</v>
      </c>
      <c r="CI378" s="70">
        <v>74</v>
      </c>
      <c r="CJ378" s="70"/>
      <c r="CK378" s="70"/>
      <c r="CL378" s="70"/>
      <c r="CM378" s="70" t="s">
        <v>669</v>
      </c>
      <c r="CN378" s="70">
        <v>23400</v>
      </c>
      <c r="CO378" s="70" t="s">
        <v>670</v>
      </c>
      <c r="CP378" s="70">
        <v>90</v>
      </c>
      <c r="CQ378" s="70"/>
      <c r="CR378" s="70"/>
      <c r="CS378" s="70" t="s">
        <v>670</v>
      </c>
      <c r="CT378" s="70">
        <v>90</v>
      </c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</row>
    <row r="379" spans="54:108" ht="16.5" x14ac:dyDescent="0.2">
      <c r="BB379" s="70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70">
        <v>375</v>
      </c>
      <c r="CG379" s="70">
        <v>4</v>
      </c>
      <c r="CH379" s="70" t="s">
        <v>460</v>
      </c>
      <c r="CI379" s="70">
        <v>75</v>
      </c>
      <c r="CJ379" s="70"/>
      <c r="CK379" s="70"/>
      <c r="CL379" s="70"/>
      <c r="CM379" s="70" t="s">
        <v>669</v>
      </c>
      <c r="CN379" s="70">
        <v>23400</v>
      </c>
      <c r="CO379" s="70" t="s">
        <v>670</v>
      </c>
      <c r="CP379" s="70">
        <v>90</v>
      </c>
      <c r="CQ379" s="70" t="s">
        <v>501</v>
      </c>
      <c r="CR379" s="70">
        <v>2</v>
      </c>
      <c r="CS379" s="70" t="s">
        <v>670</v>
      </c>
      <c r="CT379" s="70">
        <v>95</v>
      </c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</row>
    <row r="380" spans="54:108" ht="16.5" x14ac:dyDescent="0.2">
      <c r="BB380" s="70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70">
        <v>376</v>
      </c>
      <c r="CG380" s="70">
        <v>4</v>
      </c>
      <c r="CH380" s="70" t="s">
        <v>460</v>
      </c>
      <c r="CI380" s="70">
        <v>76</v>
      </c>
      <c r="CJ380" s="70"/>
      <c r="CK380" s="70"/>
      <c r="CL380" s="70"/>
      <c r="CM380" s="70" t="s">
        <v>669</v>
      </c>
      <c r="CN380" s="70">
        <v>23400</v>
      </c>
      <c r="CO380" s="70" t="s">
        <v>670</v>
      </c>
      <c r="CP380" s="70">
        <v>95</v>
      </c>
      <c r="CQ380" s="70"/>
      <c r="CR380" s="70"/>
      <c r="CS380" s="70" t="s">
        <v>670</v>
      </c>
      <c r="CT380" s="70">
        <v>95</v>
      </c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</row>
    <row r="381" spans="54:108" ht="16.5" x14ac:dyDescent="0.2">
      <c r="BB381" s="70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70">
        <v>377</v>
      </c>
      <c r="CG381" s="70">
        <v>4</v>
      </c>
      <c r="CH381" s="70" t="s">
        <v>460</v>
      </c>
      <c r="CI381" s="70">
        <v>77</v>
      </c>
      <c r="CJ381" s="70"/>
      <c r="CK381" s="70"/>
      <c r="CL381" s="70"/>
      <c r="CM381" s="70" t="s">
        <v>669</v>
      </c>
      <c r="CN381" s="70">
        <v>23400</v>
      </c>
      <c r="CO381" s="70" t="s">
        <v>670</v>
      </c>
      <c r="CP381" s="70">
        <v>95</v>
      </c>
      <c r="CQ381" s="70"/>
      <c r="CR381" s="70"/>
      <c r="CS381" s="70" t="s">
        <v>670</v>
      </c>
      <c r="CT381" s="70">
        <v>95</v>
      </c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</row>
    <row r="382" spans="54:108" ht="16.5" x14ac:dyDescent="0.2">
      <c r="BB382" s="70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70">
        <v>378</v>
      </c>
      <c r="CG382" s="70">
        <v>4</v>
      </c>
      <c r="CH382" s="70" t="s">
        <v>460</v>
      </c>
      <c r="CI382" s="70">
        <v>78</v>
      </c>
      <c r="CJ382" s="70"/>
      <c r="CK382" s="70"/>
      <c r="CL382" s="70"/>
      <c r="CM382" s="70" t="s">
        <v>669</v>
      </c>
      <c r="CN382" s="70">
        <v>23400</v>
      </c>
      <c r="CO382" s="70" t="s">
        <v>670</v>
      </c>
      <c r="CP382" s="70">
        <v>95</v>
      </c>
      <c r="CQ382" s="70"/>
      <c r="CR382" s="70"/>
      <c r="CS382" s="70" t="s">
        <v>670</v>
      </c>
      <c r="CT382" s="70">
        <v>95</v>
      </c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</row>
    <row r="383" spans="54:108" ht="16.5" x14ac:dyDescent="0.2">
      <c r="BB383" s="70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70">
        <v>379</v>
      </c>
      <c r="CG383" s="70">
        <v>4</v>
      </c>
      <c r="CH383" s="70" t="s">
        <v>460</v>
      </c>
      <c r="CI383" s="70">
        <v>79</v>
      </c>
      <c r="CJ383" s="70"/>
      <c r="CK383" s="70"/>
      <c r="CL383" s="70"/>
      <c r="CM383" s="70" t="s">
        <v>669</v>
      </c>
      <c r="CN383" s="70">
        <v>23400</v>
      </c>
      <c r="CO383" s="70" t="s">
        <v>670</v>
      </c>
      <c r="CP383" s="70">
        <v>95</v>
      </c>
      <c r="CQ383" s="70"/>
      <c r="CR383" s="70"/>
      <c r="CS383" s="70" t="s">
        <v>670</v>
      </c>
      <c r="CT383" s="70">
        <v>95</v>
      </c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</row>
    <row r="384" spans="54:108" ht="16.5" x14ac:dyDescent="0.2">
      <c r="BB384" s="70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70">
        <v>380</v>
      </c>
      <c r="CG384" s="70">
        <v>4</v>
      </c>
      <c r="CH384" s="70" t="s">
        <v>460</v>
      </c>
      <c r="CI384" s="70">
        <v>80</v>
      </c>
      <c r="CJ384" s="70"/>
      <c r="CK384" s="70"/>
      <c r="CL384" s="70"/>
      <c r="CM384" s="70" t="s">
        <v>669</v>
      </c>
      <c r="CN384" s="70">
        <v>27000</v>
      </c>
      <c r="CO384" s="70" t="s">
        <v>670</v>
      </c>
      <c r="CP384" s="70">
        <v>95</v>
      </c>
      <c r="CQ384" s="70" t="s">
        <v>502</v>
      </c>
      <c r="CR384" s="70">
        <v>2</v>
      </c>
      <c r="CS384" s="70" t="s">
        <v>670</v>
      </c>
      <c r="CT384" s="70">
        <v>100</v>
      </c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</row>
    <row r="385" spans="54:108" ht="16.5" x14ac:dyDescent="0.2">
      <c r="BB385" s="70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70">
        <v>381</v>
      </c>
      <c r="CG385" s="70">
        <v>4</v>
      </c>
      <c r="CH385" s="70" t="s">
        <v>460</v>
      </c>
      <c r="CI385" s="70">
        <v>81</v>
      </c>
      <c r="CJ385" s="70"/>
      <c r="CK385" s="70"/>
      <c r="CL385" s="70"/>
      <c r="CM385" s="70" t="s">
        <v>669</v>
      </c>
      <c r="CN385" s="70">
        <v>27000</v>
      </c>
      <c r="CO385" s="70" t="s">
        <v>670</v>
      </c>
      <c r="CP385" s="70">
        <v>100</v>
      </c>
      <c r="CQ385" s="70"/>
      <c r="CR385" s="70"/>
      <c r="CS385" s="70" t="s">
        <v>670</v>
      </c>
      <c r="CT385" s="70">
        <v>100</v>
      </c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</row>
    <row r="386" spans="54:108" ht="16.5" x14ac:dyDescent="0.2">
      <c r="BB386" s="70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70">
        <v>382</v>
      </c>
      <c r="CG386" s="70">
        <v>4</v>
      </c>
      <c r="CH386" s="70" t="s">
        <v>460</v>
      </c>
      <c r="CI386" s="70">
        <v>82</v>
      </c>
      <c r="CJ386" s="70"/>
      <c r="CK386" s="70"/>
      <c r="CL386" s="70"/>
      <c r="CM386" s="70" t="s">
        <v>669</v>
      </c>
      <c r="CN386" s="70">
        <v>27000</v>
      </c>
      <c r="CO386" s="70" t="s">
        <v>670</v>
      </c>
      <c r="CP386" s="70">
        <v>100</v>
      </c>
      <c r="CQ386" s="70"/>
      <c r="CR386" s="70"/>
      <c r="CS386" s="70" t="s">
        <v>670</v>
      </c>
      <c r="CT386" s="70">
        <v>100</v>
      </c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</row>
    <row r="387" spans="54:108" ht="16.5" x14ac:dyDescent="0.2">
      <c r="BB387" s="70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70">
        <v>383</v>
      </c>
      <c r="CG387" s="70">
        <v>4</v>
      </c>
      <c r="CH387" s="70" t="s">
        <v>460</v>
      </c>
      <c r="CI387" s="70">
        <v>83</v>
      </c>
      <c r="CJ387" s="70"/>
      <c r="CK387" s="70"/>
      <c r="CL387" s="70"/>
      <c r="CM387" s="70" t="s">
        <v>669</v>
      </c>
      <c r="CN387" s="70">
        <v>27000</v>
      </c>
      <c r="CO387" s="70" t="s">
        <v>670</v>
      </c>
      <c r="CP387" s="70">
        <v>100</v>
      </c>
      <c r="CQ387" s="70"/>
      <c r="CR387" s="70"/>
      <c r="CS387" s="70" t="s">
        <v>670</v>
      </c>
      <c r="CT387" s="70">
        <v>100</v>
      </c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</row>
    <row r="388" spans="54:108" ht="16.5" x14ac:dyDescent="0.2">
      <c r="BB388" s="70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70">
        <v>384</v>
      </c>
      <c r="CG388" s="70">
        <v>4</v>
      </c>
      <c r="CH388" s="70" t="s">
        <v>460</v>
      </c>
      <c r="CI388" s="70">
        <v>84</v>
      </c>
      <c r="CJ388" s="70"/>
      <c r="CK388" s="70"/>
      <c r="CL388" s="70"/>
      <c r="CM388" s="70" t="s">
        <v>669</v>
      </c>
      <c r="CN388" s="70">
        <v>27000</v>
      </c>
      <c r="CO388" s="70" t="s">
        <v>670</v>
      </c>
      <c r="CP388" s="70">
        <v>100</v>
      </c>
      <c r="CQ388" s="70"/>
      <c r="CR388" s="70"/>
      <c r="CS388" s="70" t="s">
        <v>670</v>
      </c>
      <c r="CT388" s="70">
        <v>100</v>
      </c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</row>
    <row r="389" spans="54:108" ht="16.5" x14ac:dyDescent="0.2">
      <c r="BB389" s="70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70">
        <v>385</v>
      </c>
      <c r="CG389" s="70">
        <v>4</v>
      </c>
      <c r="CH389" s="70" t="s">
        <v>460</v>
      </c>
      <c r="CI389" s="70">
        <v>85</v>
      </c>
      <c r="CJ389" s="70"/>
      <c r="CK389" s="70"/>
      <c r="CL389" s="70"/>
      <c r="CM389" s="70" t="s">
        <v>669</v>
      </c>
      <c r="CN389" s="70">
        <v>27000</v>
      </c>
      <c r="CO389" s="70" t="s">
        <v>670</v>
      </c>
      <c r="CP389" s="70">
        <v>100</v>
      </c>
      <c r="CQ389" s="70" t="s">
        <v>505</v>
      </c>
      <c r="CR389" s="70">
        <v>2</v>
      </c>
      <c r="CS389" s="70" t="s">
        <v>670</v>
      </c>
      <c r="CT389" s="70">
        <v>105</v>
      </c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</row>
    <row r="390" spans="54:108" ht="16.5" x14ac:dyDescent="0.2">
      <c r="BB390" s="70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70">
        <v>386</v>
      </c>
      <c r="CG390" s="70">
        <v>4</v>
      </c>
      <c r="CH390" s="70" t="s">
        <v>460</v>
      </c>
      <c r="CI390" s="70">
        <v>86</v>
      </c>
      <c r="CJ390" s="70"/>
      <c r="CK390" s="70"/>
      <c r="CL390" s="70"/>
      <c r="CM390" s="70" t="s">
        <v>669</v>
      </c>
      <c r="CN390" s="70">
        <v>27000</v>
      </c>
      <c r="CO390" s="70" t="s">
        <v>670</v>
      </c>
      <c r="CP390" s="70">
        <v>105</v>
      </c>
      <c r="CQ390" s="70"/>
      <c r="CR390" s="70"/>
      <c r="CS390" s="70" t="s">
        <v>670</v>
      </c>
      <c r="CT390" s="70">
        <v>105</v>
      </c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</row>
    <row r="391" spans="54:108" ht="16.5" x14ac:dyDescent="0.2">
      <c r="BB391" s="70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70">
        <v>387</v>
      </c>
      <c r="CG391" s="70">
        <v>4</v>
      </c>
      <c r="CH391" s="70" t="s">
        <v>460</v>
      </c>
      <c r="CI391" s="70">
        <v>87</v>
      </c>
      <c r="CJ391" s="70"/>
      <c r="CK391" s="70"/>
      <c r="CL391" s="70"/>
      <c r="CM391" s="70" t="s">
        <v>669</v>
      </c>
      <c r="CN391" s="70">
        <v>27000</v>
      </c>
      <c r="CO391" s="70" t="s">
        <v>670</v>
      </c>
      <c r="CP391" s="70">
        <v>105</v>
      </c>
      <c r="CQ391" s="70"/>
      <c r="CR391" s="70"/>
      <c r="CS391" s="70" t="s">
        <v>670</v>
      </c>
      <c r="CT391" s="70">
        <v>105</v>
      </c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</row>
    <row r="392" spans="54:108" ht="16.5" x14ac:dyDescent="0.2">
      <c r="BB392" s="70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70">
        <v>388</v>
      </c>
      <c r="CG392" s="70">
        <v>4</v>
      </c>
      <c r="CH392" s="70" t="s">
        <v>460</v>
      </c>
      <c r="CI392" s="70">
        <v>88</v>
      </c>
      <c r="CJ392" s="70"/>
      <c r="CK392" s="70"/>
      <c r="CL392" s="70"/>
      <c r="CM392" s="70" t="s">
        <v>669</v>
      </c>
      <c r="CN392" s="70">
        <v>27000</v>
      </c>
      <c r="CO392" s="70" t="s">
        <v>670</v>
      </c>
      <c r="CP392" s="70">
        <v>105</v>
      </c>
      <c r="CQ392" s="70"/>
      <c r="CR392" s="70"/>
      <c r="CS392" s="70" t="s">
        <v>670</v>
      </c>
      <c r="CT392" s="70">
        <v>105</v>
      </c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</row>
    <row r="393" spans="54:108" ht="16.5" x14ac:dyDescent="0.2">
      <c r="BB393" s="70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70">
        <v>389</v>
      </c>
      <c r="CG393" s="70">
        <v>4</v>
      </c>
      <c r="CH393" s="70" t="s">
        <v>460</v>
      </c>
      <c r="CI393" s="70">
        <v>89</v>
      </c>
      <c r="CJ393" s="70"/>
      <c r="CK393" s="70"/>
      <c r="CL393" s="70"/>
      <c r="CM393" s="70" t="s">
        <v>669</v>
      </c>
      <c r="CN393" s="70">
        <v>27000</v>
      </c>
      <c r="CO393" s="70" t="s">
        <v>670</v>
      </c>
      <c r="CP393" s="70">
        <v>105</v>
      </c>
      <c r="CQ393" s="70"/>
      <c r="CR393" s="70"/>
      <c r="CS393" s="70" t="s">
        <v>670</v>
      </c>
      <c r="CT393" s="70">
        <v>105</v>
      </c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</row>
    <row r="394" spans="54:108" ht="16.5" x14ac:dyDescent="0.2">
      <c r="BB394" s="70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70">
        <v>390</v>
      </c>
      <c r="CG394" s="70">
        <v>4</v>
      </c>
      <c r="CH394" s="70" t="s">
        <v>460</v>
      </c>
      <c r="CI394" s="70">
        <v>90</v>
      </c>
      <c r="CJ394" s="70"/>
      <c r="CK394" s="70"/>
      <c r="CL394" s="70"/>
      <c r="CM394" s="70" t="s">
        <v>669</v>
      </c>
      <c r="CN394" s="70">
        <v>31500</v>
      </c>
      <c r="CO394" s="70" t="s">
        <v>670</v>
      </c>
      <c r="CP394" s="70">
        <v>105</v>
      </c>
      <c r="CQ394" s="70" t="s">
        <v>506</v>
      </c>
      <c r="CR394" s="70">
        <v>2</v>
      </c>
      <c r="CS394" s="70" t="s">
        <v>670</v>
      </c>
      <c r="CT394" s="70">
        <v>110</v>
      </c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</row>
    <row r="395" spans="54:108" ht="16.5" x14ac:dyDescent="0.2">
      <c r="BB395" s="70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70">
        <v>391</v>
      </c>
      <c r="CG395" s="70">
        <v>4</v>
      </c>
      <c r="CH395" s="70" t="s">
        <v>460</v>
      </c>
      <c r="CI395" s="70">
        <v>91</v>
      </c>
      <c r="CJ395" s="70"/>
      <c r="CK395" s="70"/>
      <c r="CL395" s="70"/>
      <c r="CM395" s="70" t="s">
        <v>669</v>
      </c>
      <c r="CN395" s="70">
        <v>31500</v>
      </c>
      <c r="CO395" s="70" t="s">
        <v>670</v>
      </c>
      <c r="CP395" s="70">
        <v>110</v>
      </c>
      <c r="CQ395" s="70"/>
      <c r="CR395" s="70"/>
      <c r="CS395" s="70" t="s">
        <v>670</v>
      </c>
      <c r="CT395" s="70">
        <v>110</v>
      </c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</row>
    <row r="396" spans="54:108" ht="16.5" x14ac:dyDescent="0.2">
      <c r="BB396" s="70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70">
        <v>392</v>
      </c>
      <c r="CG396" s="70">
        <v>4</v>
      </c>
      <c r="CH396" s="70" t="s">
        <v>460</v>
      </c>
      <c r="CI396" s="70">
        <v>92</v>
      </c>
      <c r="CJ396" s="70"/>
      <c r="CK396" s="70"/>
      <c r="CL396" s="70"/>
      <c r="CM396" s="70" t="s">
        <v>669</v>
      </c>
      <c r="CN396" s="70">
        <v>31500</v>
      </c>
      <c r="CO396" s="70" t="s">
        <v>670</v>
      </c>
      <c r="CP396" s="70">
        <v>110</v>
      </c>
      <c r="CQ396" s="70"/>
      <c r="CR396" s="70"/>
      <c r="CS396" s="70" t="s">
        <v>670</v>
      </c>
      <c r="CT396" s="70">
        <v>110</v>
      </c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</row>
    <row r="397" spans="54:108" ht="16.5" x14ac:dyDescent="0.2">
      <c r="BB397" s="70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70">
        <v>393</v>
      </c>
      <c r="CG397" s="70">
        <v>4</v>
      </c>
      <c r="CH397" s="70" t="s">
        <v>460</v>
      </c>
      <c r="CI397" s="70">
        <v>93</v>
      </c>
      <c r="CJ397" s="70"/>
      <c r="CK397" s="70"/>
      <c r="CL397" s="70"/>
      <c r="CM397" s="70" t="s">
        <v>669</v>
      </c>
      <c r="CN397" s="70">
        <v>31500</v>
      </c>
      <c r="CO397" s="70" t="s">
        <v>670</v>
      </c>
      <c r="CP397" s="70">
        <v>110</v>
      </c>
      <c r="CQ397" s="70"/>
      <c r="CR397" s="70"/>
      <c r="CS397" s="70" t="s">
        <v>670</v>
      </c>
      <c r="CT397" s="70">
        <v>110</v>
      </c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</row>
    <row r="398" spans="54:108" ht="16.5" x14ac:dyDescent="0.2">
      <c r="BB398" s="70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70">
        <v>394</v>
      </c>
      <c r="CG398" s="70">
        <v>4</v>
      </c>
      <c r="CH398" s="70" t="s">
        <v>460</v>
      </c>
      <c r="CI398" s="70">
        <v>94</v>
      </c>
      <c r="CJ398" s="70"/>
      <c r="CK398" s="70"/>
      <c r="CL398" s="70"/>
      <c r="CM398" s="70" t="s">
        <v>669</v>
      </c>
      <c r="CN398" s="70">
        <v>31500</v>
      </c>
      <c r="CO398" s="70" t="s">
        <v>670</v>
      </c>
      <c r="CP398" s="70">
        <v>110</v>
      </c>
      <c r="CQ398" s="70"/>
      <c r="CR398" s="70"/>
      <c r="CS398" s="70" t="s">
        <v>670</v>
      </c>
      <c r="CT398" s="70">
        <v>110</v>
      </c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</row>
    <row r="399" spans="54:108" ht="16.5" x14ac:dyDescent="0.2">
      <c r="BB399" s="70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70">
        <v>395</v>
      </c>
      <c r="CG399" s="70">
        <v>4</v>
      </c>
      <c r="CH399" s="70" t="s">
        <v>460</v>
      </c>
      <c r="CI399" s="70">
        <v>95</v>
      </c>
      <c r="CJ399" s="70"/>
      <c r="CK399" s="70"/>
      <c r="CL399" s="70"/>
      <c r="CM399" s="70" t="s">
        <v>669</v>
      </c>
      <c r="CN399" s="70">
        <v>31500</v>
      </c>
      <c r="CO399" s="70" t="s">
        <v>670</v>
      </c>
      <c r="CP399" s="70">
        <v>110</v>
      </c>
      <c r="CQ399" s="70" t="s">
        <v>501</v>
      </c>
      <c r="CR399" s="70">
        <v>3</v>
      </c>
      <c r="CS399" s="70" t="s">
        <v>670</v>
      </c>
      <c r="CT399" s="70">
        <v>115</v>
      </c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</row>
    <row r="400" spans="54:108" ht="16.5" x14ac:dyDescent="0.2">
      <c r="BB400" s="70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70">
        <v>396</v>
      </c>
      <c r="CG400" s="70">
        <v>4</v>
      </c>
      <c r="CH400" s="70" t="s">
        <v>460</v>
      </c>
      <c r="CI400" s="70">
        <v>96</v>
      </c>
      <c r="CJ400" s="70"/>
      <c r="CK400" s="70"/>
      <c r="CL400" s="70"/>
      <c r="CM400" s="70" t="s">
        <v>669</v>
      </c>
      <c r="CN400" s="70">
        <v>36000</v>
      </c>
      <c r="CO400" s="70" t="s">
        <v>670</v>
      </c>
      <c r="CP400" s="70">
        <v>115</v>
      </c>
      <c r="CQ400" s="70"/>
      <c r="CR400" s="70"/>
      <c r="CS400" s="70" t="s">
        <v>670</v>
      </c>
      <c r="CT400" s="70">
        <v>115</v>
      </c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</row>
    <row r="401" spans="54:108" ht="16.5" x14ac:dyDescent="0.2">
      <c r="BB401" s="70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70">
        <v>397</v>
      </c>
      <c r="CG401" s="70">
        <v>4</v>
      </c>
      <c r="CH401" s="70" t="s">
        <v>460</v>
      </c>
      <c r="CI401" s="70">
        <v>97</v>
      </c>
      <c r="CJ401" s="70"/>
      <c r="CK401" s="70"/>
      <c r="CL401" s="70"/>
      <c r="CM401" s="70" t="s">
        <v>669</v>
      </c>
      <c r="CN401" s="70">
        <v>36000</v>
      </c>
      <c r="CO401" s="70" t="s">
        <v>670</v>
      </c>
      <c r="CP401" s="70">
        <v>115</v>
      </c>
      <c r="CQ401" s="70"/>
      <c r="CR401" s="70"/>
      <c r="CS401" s="70" t="s">
        <v>670</v>
      </c>
      <c r="CT401" s="70">
        <v>115</v>
      </c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</row>
    <row r="402" spans="54:108" ht="16.5" x14ac:dyDescent="0.2">
      <c r="BB402" s="70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70">
        <v>398</v>
      </c>
      <c r="CG402" s="70">
        <v>4</v>
      </c>
      <c r="CH402" s="70" t="s">
        <v>460</v>
      </c>
      <c r="CI402" s="70">
        <v>98</v>
      </c>
      <c r="CJ402" s="70"/>
      <c r="CK402" s="70"/>
      <c r="CL402" s="70"/>
      <c r="CM402" s="70" t="s">
        <v>669</v>
      </c>
      <c r="CN402" s="70">
        <v>36000</v>
      </c>
      <c r="CO402" s="70" t="s">
        <v>670</v>
      </c>
      <c r="CP402" s="70">
        <v>115</v>
      </c>
      <c r="CQ402" s="70"/>
      <c r="CR402" s="70"/>
      <c r="CS402" s="70" t="s">
        <v>670</v>
      </c>
      <c r="CT402" s="70">
        <v>115</v>
      </c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</row>
    <row r="403" spans="54:108" ht="16.5" x14ac:dyDescent="0.2">
      <c r="BB403" s="70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70">
        <v>399</v>
      </c>
      <c r="CG403" s="70">
        <v>4</v>
      </c>
      <c r="CH403" s="70" t="s">
        <v>460</v>
      </c>
      <c r="CI403" s="70">
        <v>99</v>
      </c>
      <c r="CJ403" s="70"/>
      <c r="CK403" s="70"/>
      <c r="CL403" s="70"/>
      <c r="CM403" s="70" t="s">
        <v>669</v>
      </c>
      <c r="CN403" s="70">
        <v>36000</v>
      </c>
      <c r="CO403" s="70" t="s">
        <v>670</v>
      </c>
      <c r="CP403" s="70">
        <v>115</v>
      </c>
      <c r="CQ403" s="70"/>
      <c r="CR403" s="70"/>
      <c r="CS403" s="70" t="s">
        <v>670</v>
      </c>
      <c r="CT403" s="70">
        <v>115</v>
      </c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</row>
    <row r="404" spans="54:108" ht="16.5" x14ac:dyDescent="0.2">
      <c r="BB404" s="70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70">
        <v>400</v>
      </c>
      <c r="CG404" s="70">
        <v>4</v>
      </c>
      <c r="CH404" s="70" t="s">
        <v>460</v>
      </c>
      <c r="CI404" s="70">
        <v>100</v>
      </c>
      <c r="CJ404" s="70"/>
      <c r="CK404" s="70"/>
      <c r="CL404" s="70"/>
      <c r="CM404" s="70" t="s">
        <v>669</v>
      </c>
      <c r="CN404" s="70">
        <v>36000</v>
      </c>
      <c r="CO404" s="70" t="s">
        <v>670</v>
      </c>
      <c r="CP404" s="70">
        <v>115</v>
      </c>
      <c r="CQ404" s="70" t="s">
        <v>505</v>
      </c>
      <c r="CR404" s="70">
        <v>3</v>
      </c>
      <c r="CS404" s="70" t="s">
        <v>670</v>
      </c>
      <c r="CT404" s="70">
        <v>120</v>
      </c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</row>
    <row r="405" spans="54:108" ht="16.5" x14ac:dyDescent="0.2">
      <c r="BB405" s="70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70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70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70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70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70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70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70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70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70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70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70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70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70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70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70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70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70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70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70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70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70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70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70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70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70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70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70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70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70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70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70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70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70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70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70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70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70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70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70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70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70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70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70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70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70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70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70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70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70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70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70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70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70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70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70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70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70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70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70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70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70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70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70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70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70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70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70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70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70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70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70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70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70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70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70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70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70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70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70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70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70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70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70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70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70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70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70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70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70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70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70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70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70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70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70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70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70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70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70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70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I69" sqref="I69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价值概述!C65</f>
        <v>2.5</v>
      </c>
      <c r="P2">
        <f>价值概述!C66</f>
        <v>5</v>
      </c>
      <c r="Q2">
        <f>价值概述!C67</f>
        <v>20</v>
      </c>
    </row>
    <row r="3" spans="1:32" ht="20.25" x14ac:dyDescent="0.2">
      <c r="A3" s="97" t="s">
        <v>388</v>
      </c>
      <c r="B3" s="97"/>
      <c r="C3" s="97"/>
      <c r="D3" s="97"/>
      <c r="E3" s="97"/>
      <c r="F3" s="97"/>
      <c r="G3" s="97"/>
      <c r="H3" s="97"/>
      <c r="I3" s="97"/>
      <c r="J3" s="97"/>
      <c r="K3" s="97"/>
      <c r="M3" s="98" t="s">
        <v>389</v>
      </c>
      <c r="N3" s="98"/>
      <c r="O3" s="98"/>
      <c r="P3" s="98"/>
      <c r="Q3" s="98"/>
      <c r="R3" s="98"/>
      <c r="S3" s="16"/>
      <c r="T3" s="16"/>
    </row>
    <row r="4" spans="1:32" ht="17.25" x14ac:dyDescent="0.2">
      <c r="A4" s="12" t="s">
        <v>360</v>
      </c>
      <c r="B4" s="12" t="s">
        <v>365</v>
      </c>
      <c r="C4" s="12" t="s">
        <v>366</v>
      </c>
      <c r="D4" s="12" t="s">
        <v>364</v>
      </c>
      <c r="E4" s="12" t="s">
        <v>361</v>
      </c>
      <c r="F4" s="12" t="s">
        <v>362</v>
      </c>
      <c r="G4" s="12" t="s">
        <v>363</v>
      </c>
      <c r="H4" s="12" t="s">
        <v>368</v>
      </c>
      <c r="I4" s="12" t="s">
        <v>369</v>
      </c>
      <c r="J4" s="12" t="s">
        <v>370</v>
      </c>
      <c r="K4" s="12" t="s">
        <v>371</v>
      </c>
      <c r="M4" s="12" t="s">
        <v>360</v>
      </c>
      <c r="N4" s="12" t="s">
        <v>361</v>
      </c>
      <c r="O4" s="12" t="s">
        <v>368</v>
      </c>
      <c r="P4" s="12" t="s">
        <v>369</v>
      </c>
      <c r="Q4" s="12" t="s">
        <v>370</v>
      </c>
      <c r="R4" s="12" t="s">
        <v>371</v>
      </c>
      <c r="S4" s="16"/>
      <c r="T4" s="16"/>
      <c r="V4" s="12" t="s">
        <v>368</v>
      </c>
      <c r="W4" s="12" t="s">
        <v>369</v>
      </c>
      <c r="X4" s="12" t="s">
        <v>370</v>
      </c>
      <c r="Z4" s="12" t="s">
        <v>390</v>
      </c>
      <c r="AA4" s="12" t="s">
        <v>391</v>
      </c>
      <c r="AB4" s="12" t="s">
        <v>392</v>
      </c>
      <c r="AC4" s="12" t="s">
        <v>393</v>
      </c>
      <c r="AD4" s="12" t="s">
        <v>398</v>
      </c>
      <c r="AE4" s="12" t="s">
        <v>400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706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72" t="s">
        <v>707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si="1"/>
        <v>7500</v>
      </c>
      <c r="O6" s="15">
        <f t="shared" si="2"/>
        <v>20</v>
      </c>
      <c r="P6" s="15">
        <f t="shared" si="2"/>
        <v>0</v>
      </c>
      <c r="Q6" s="15">
        <f t="shared" si="2"/>
        <v>0</v>
      </c>
      <c r="R6" s="15">
        <f t="shared" si="2"/>
        <v>2</v>
      </c>
      <c r="S6" s="16"/>
      <c r="T6" s="16"/>
      <c r="Z6" s="15" t="str">
        <f>金币总产!A24</f>
        <v>1~40</v>
      </c>
      <c r="AA6" s="15">
        <f>金币总产!O24</f>
        <v>571860</v>
      </c>
      <c r="AB6" s="45">
        <v>10</v>
      </c>
      <c r="AC6" s="45">
        <v>3</v>
      </c>
      <c r="AD6" s="15">
        <f>ROUND(AA6/AC6,0)</f>
        <v>190620</v>
      </c>
      <c r="AE6" s="15">
        <f>SUMIFS($AH$27:$AH$76,$M$27:$M$76,"&lt;="&amp;AB6)</f>
        <v>176680</v>
      </c>
      <c r="AF6">
        <f>AD6/AE6</f>
        <v>1.07889970568259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72" t="s">
        <v>709</v>
      </c>
      <c r="G7" s="72" t="s">
        <v>710</v>
      </c>
      <c r="H7" s="45">
        <v>15</v>
      </c>
      <c r="I7" s="45"/>
      <c r="J7" s="45"/>
      <c r="K7" s="45">
        <v>1</v>
      </c>
      <c r="M7" s="45">
        <v>6</v>
      </c>
      <c r="N7" s="15">
        <f t="shared" si="1"/>
        <v>9600</v>
      </c>
      <c r="O7" s="15">
        <f t="shared" si="2"/>
        <v>45</v>
      </c>
      <c r="P7" s="15">
        <f t="shared" si="2"/>
        <v>0</v>
      </c>
      <c r="Q7" s="15">
        <f t="shared" si="2"/>
        <v>0</v>
      </c>
      <c r="R7" s="15">
        <f t="shared" si="2"/>
        <v>3</v>
      </c>
      <c r="S7" s="16"/>
      <c r="T7" s="16"/>
      <c r="Z7" s="15" t="str">
        <f>金币总产!A25</f>
        <v>40~80</v>
      </c>
      <c r="AA7" s="15">
        <f>金币总产!O25</f>
        <v>4525900</v>
      </c>
      <c r="AB7" s="45">
        <v>20</v>
      </c>
      <c r="AC7" s="45">
        <v>4</v>
      </c>
      <c r="AD7" s="15">
        <f t="shared" ref="AD7:AD10" si="3">ROUND(AA7/AC7,0)</f>
        <v>1131475</v>
      </c>
      <c r="AE7" s="15">
        <f>SUMIFS($AH$27:$AH$76,$M$27:$M$76,"&lt;="&amp;AB7)</f>
        <v>1146609</v>
      </c>
      <c r="AF7">
        <f t="shared" ref="AF7:AF10" si="4">AD7/AE7</f>
        <v>0.98680108040317149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72" t="s">
        <v>708</v>
      </c>
      <c r="G8" s="72" t="s">
        <v>710</v>
      </c>
      <c r="H8" s="45">
        <v>20</v>
      </c>
      <c r="I8" s="45"/>
      <c r="J8" s="45"/>
      <c r="K8" s="45">
        <v>1</v>
      </c>
      <c r="M8" s="45">
        <v>7</v>
      </c>
      <c r="N8" s="15">
        <f t="shared" si="1"/>
        <v>12000</v>
      </c>
      <c r="O8" s="15">
        <f t="shared" si="2"/>
        <v>80</v>
      </c>
      <c r="P8" s="15">
        <f t="shared" si="2"/>
        <v>0</v>
      </c>
      <c r="Q8" s="15">
        <f t="shared" si="2"/>
        <v>0</v>
      </c>
      <c r="R8" s="15">
        <f t="shared" si="2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72" t="s">
        <v>708</v>
      </c>
      <c r="G9" s="72" t="s">
        <v>711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1"/>
        <v>15000</v>
      </c>
      <c r="O9" s="15">
        <f t="shared" si="2"/>
        <v>100</v>
      </c>
      <c r="P9" s="15">
        <f t="shared" si="2"/>
        <v>15</v>
      </c>
      <c r="Q9" s="15">
        <f t="shared" si="2"/>
        <v>0</v>
      </c>
      <c r="R9" s="15">
        <f t="shared" si="2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33" x14ac:dyDescent="0.2">
      <c r="A10" s="50">
        <v>9</v>
      </c>
      <c r="B10" s="112">
        <f>SUMIFS(节奏总表!$R$4:$R$18,节奏总表!$I$4:$I$18,"="&amp;世界BOSS专属武器!A10)</f>
        <v>3.75</v>
      </c>
      <c r="C10" s="112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72" t="s">
        <v>713</v>
      </c>
      <c r="G10" s="45" t="s">
        <v>712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1"/>
        <v>18000</v>
      </c>
      <c r="O10" s="15">
        <f t="shared" si="2"/>
        <v>150</v>
      </c>
      <c r="P10" s="15">
        <f t="shared" si="2"/>
        <v>37.5</v>
      </c>
      <c r="Q10" s="15">
        <f t="shared" si="2"/>
        <v>0</v>
      </c>
      <c r="R10" s="15">
        <f t="shared" si="2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33" x14ac:dyDescent="0.2">
      <c r="A11" s="50">
        <v>9</v>
      </c>
      <c r="B11" s="113"/>
      <c r="C11" s="113"/>
      <c r="D11" s="45">
        <v>150</v>
      </c>
      <c r="E11" s="15">
        <f>INDEX(章节关卡!$E$5:$E$20,世界BOSS专属武器!A11)*世界BOSS专属武器!D11</f>
        <v>9000</v>
      </c>
      <c r="F11" s="72" t="s">
        <v>714</v>
      </c>
      <c r="G11" s="72" t="s">
        <v>712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1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33" x14ac:dyDescent="0.2">
      <c r="A12" s="50">
        <v>9</v>
      </c>
      <c r="B12" s="114"/>
      <c r="C12" s="114"/>
      <c r="D12" s="45">
        <v>150</v>
      </c>
      <c r="E12" s="15">
        <f>INDEX(章节关卡!$E$5:$E$20,世界BOSS专属武器!A12)*世界BOSS专属武器!D12</f>
        <v>9000</v>
      </c>
      <c r="F12" s="72" t="s">
        <v>714</v>
      </c>
      <c r="G12" s="72" t="s">
        <v>712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1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33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72" t="s">
        <v>715</v>
      </c>
      <c r="G13" s="72" t="s">
        <v>712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112">
        <f>SUMIFS(节奏总表!$R$4:$R$18,节奏总表!$I$4:$I$18,"="&amp;世界BOSS专属武器!A14)</f>
        <v>10</v>
      </c>
      <c r="C14" s="112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72" t="s">
        <v>715</v>
      </c>
      <c r="G14" s="72" t="s">
        <v>716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1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13"/>
      <c r="C15" s="113"/>
      <c r="D15" s="45">
        <v>150</v>
      </c>
      <c r="E15" s="15">
        <f>INDEX(章节关卡!$E$5:$E$20,世界BOSS专属武器!A15)*世界BOSS专属武器!D15</f>
        <v>13500</v>
      </c>
      <c r="F15" s="72" t="s">
        <v>715</v>
      </c>
      <c r="G15" s="72" t="s">
        <v>717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1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14"/>
      <c r="C16" s="114"/>
      <c r="D16" s="45">
        <v>150</v>
      </c>
      <c r="E16" s="15">
        <f>INDEX(章节关卡!$E$5:$E$20,世界BOSS专属武器!A16)*世界BOSS专属武器!D16</f>
        <v>13500</v>
      </c>
      <c r="F16" s="72" t="s">
        <v>715</v>
      </c>
      <c r="G16" s="72" t="s">
        <v>718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1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72" t="s">
        <v>715</v>
      </c>
      <c r="G17" s="72" t="s">
        <v>719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72" t="s">
        <v>715</v>
      </c>
      <c r="G18" s="72" t="s">
        <v>719</v>
      </c>
      <c r="H18" s="45"/>
      <c r="I18" s="45">
        <v>5</v>
      </c>
      <c r="J18" s="45">
        <v>5</v>
      </c>
      <c r="K18" s="45">
        <v>2.5</v>
      </c>
      <c r="M18" s="44" t="s">
        <v>372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72" t="s">
        <v>715</v>
      </c>
      <c r="G19" s="72" t="s">
        <v>719</v>
      </c>
      <c r="H19" s="45"/>
      <c r="I19" s="45">
        <v>5</v>
      </c>
      <c r="J19" s="45">
        <v>7</v>
      </c>
      <c r="K19" s="45">
        <v>2.5</v>
      </c>
      <c r="M19" s="44" t="s">
        <v>373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72" t="s">
        <v>715</v>
      </c>
      <c r="G20" s="72" t="s">
        <v>719</v>
      </c>
      <c r="H20" s="45"/>
      <c r="I20" s="45">
        <v>5</v>
      </c>
      <c r="J20" s="45">
        <v>10</v>
      </c>
      <c r="K20" s="45">
        <v>2.5</v>
      </c>
      <c r="M20" s="44" t="s">
        <v>374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0.14523809523809522</v>
      </c>
    </row>
    <row r="23" spans="1:52" ht="17.25" x14ac:dyDescent="0.2">
      <c r="B23" s="12" t="s">
        <v>721</v>
      </c>
      <c r="C23" s="12" t="s">
        <v>722</v>
      </c>
      <c r="D23" s="12" t="s">
        <v>723</v>
      </c>
      <c r="E23" s="12" t="s">
        <v>724</v>
      </c>
      <c r="F23" s="12" t="s">
        <v>725</v>
      </c>
      <c r="G23" s="12" t="s">
        <v>726</v>
      </c>
      <c r="H23" s="12" t="s">
        <v>727</v>
      </c>
      <c r="AI23" s="15">
        <f>SUM(AI27:AI76)</f>
        <v>1430.6399006000697</v>
      </c>
    </row>
    <row r="24" spans="1:52" ht="16.5" x14ac:dyDescent="0.2">
      <c r="A24" s="99" t="s">
        <v>720</v>
      </c>
      <c r="B24" s="73" t="s">
        <v>739</v>
      </c>
      <c r="C24" s="73">
        <v>1</v>
      </c>
      <c r="D24" s="73">
        <f>INDEX(神器!$M$4:$M$7,世界BOSS专属武器!C24)</f>
        <v>40</v>
      </c>
      <c r="E24" s="73">
        <f>1/D24</f>
        <v>2.5000000000000001E-2</v>
      </c>
      <c r="F24" s="37">
        <f>INT(E24/E$22*10000)</f>
        <v>1721</v>
      </c>
      <c r="G24" s="73">
        <v>1</v>
      </c>
      <c r="H24" s="73">
        <v>1</v>
      </c>
      <c r="M24" t="s">
        <v>375</v>
      </c>
      <c r="AH24" s="48" t="s">
        <v>401</v>
      </c>
      <c r="AI24" s="15">
        <f>SUM(AI27:AI76)*价值概述!C65*O18</f>
        <v>2682.4498136251309</v>
      </c>
      <c r="AJ24" s="15">
        <f>SUM(AJ27:AJ76)*价值概述!C66*P18</f>
        <v>4116.666666666667</v>
      </c>
      <c r="AK24" s="15">
        <f>SUM(AK27:AK76)*价值概述!C67*Q18</f>
        <v>11000</v>
      </c>
    </row>
    <row r="25" spans="1:52" ht="20.25" x14ac:dyDescent="0.2">
      <c r="A25" s="99"/>
      <c r="B25" s="73" t="s">
        <v>619</v>
      </c>
      <c r="C25" s="73">
        <v>1</v>
      </c>
      <c r="D25" s="73">
        <f>INDEX(神器!$M$4:$M$7,世界BOSS专属武器!C25)</f>
        <v>40</v>
      </c>
      <c r="E25" s="73">
        <f t="shared" ref="E25:E31" si="9">1/D25</f>
        <v>2.5000000000000001E-2</v>
      </c>
      <c r="F25" s="37">
        <f t="shared" ref="F25:F30" si="10">INT(E25/E$22*10000)</f>
        <v>1721</v>
      </c>
      <c r="G25" s="73">
        <v>1</v>
      </c>
      <c r="H25" s="73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380</v>
      </c>
      <c r="AI25" s="47"/>
      <c r="AJ25" s="47"/>
      <c r="AK25" s="47"/>
    </row>
    <row r="26" spans="1:52" ht="17.25" x14ac:dyDescent="0.2">
      <c r="A26" s="99"/>
      <c r="B26" s="73" t="s">
        <v>620</v>
      </c>
      <c r="C26" s="73">
        <v>2</v>
      </c>
      <c r="D26" s="73">
        <f>INDEX(神器!$M$4:$M$7,世界BOSS专属武器!C26)</f>
        <v>120</v>
      </c>
      <c r="E26" s="73">
        <f t="shared" si="9"/>
        <v>8.3333333333333332E-3</v>
      </c>
      <c r="F26" s="37">
        <f t="shared" si="10"/>
        <v>573</v>
      </c>
      <c r="G26" s="73">
        <v>1</v>
      </c>
      <c r="H26" s="73">
        <v>1</v>
      </c>
      <c r="M26" s="12" t="s">
        <v>376</v>
      </c>
      <c r="N26" s="12" t="s">
        <v>382</v>
      </c>
      <c r="O26" s="12" t="s">
        <v>383</v>
      </c>
      <c r="P26" s="12" t="s">
        <v>384</v>
      </c>
      <c r="Q26" s="12" t="s">
        <v>385</v>
      </c>
      <c r="R26" s="12" t="s">
        <v>386</v>
      </c>
      <c r="S26" s="12" t="s">
        <v>387</v>
      </c>
      <c r="T26" s="12" t="s">
        <v>377</v>
      </c>
      <c r="U26" s="12" t="s">
        <v>381</v>
      </c>
      <c r="V26" s="12" t="s">
        <v>378</v>
      </c>
      <c r="W26" s="12" t="s">
        <v>419</v>
      </c>
      <c r="X26" s="12" t="s">
        <v>420</v>
      </c>
      <c r="Y26" s="12" t="s">
        <v>424</v>
      </c>
      <c r="Z26" s="12" t="s">
        <v>425</v>
      </c>
      <c r="AA26" s="12" t="s">
        <v>368</v>
      </c>
      <c r="AB26" s="12" t="s">
        <v>368</v>
      </c>
      <c r="AC26" s="12" t="s">
        <v>369</v>
      </c>
      <c r="AD26" s="12" t="s">
        <v>369</v>
      </c>
      <c r="AE26" s="12" t="s">
        <v>370</v>
      </c>
      <c r="AF26" s="12" t="s">
        <v>370</v>
      </c>
      <c r="AG26" s="12" t="s">
        <v>379</v>
      </c>
      <c r="AH26" s="12" t="s">
        <v>399</v>
      </c>
      <c r="AI26" s="12" t="s">
        <v>368</v>
      </c>
      <c r="AJ26" s="12" t="s">
        <v>369</v>
      </c>
      <c r="AK26" s="12" t="s">
        <v>370</v>
      </c>
      <c r="AL26" s="12" t="s">
        <v>426</v>
      </c>
      <c r="AN26">
        <f>SUM(AN27:AN76)</f>
        <v>150</v>
      </c>
      <c r="AS26" s="12" t="s">
        <v>427</v>
      </c>
      <c r="AT26" s="12" t="s">
        <v>433</v>
      </c>
      <c r="AU26" s="12" t="s">
        <v>434</v>
      </c>
      <c r="AV26" s="12" t="s">
        <v>428</v>
      </c>
      <c r="AW26" s="12" t="s">
        <v>429</v>
      </c>
      <c r="AX26" s="12" t="s">
        <v>430</v>
      </c>
      <c r="AY26" s="12" t="s">
        <v>431</v>
      </c>
      <c r="AZ26" s="12" t="s">
        <v>432</v>
      </c>
    </row>
    <row r="27" spans="1:52" ht="16.5" x14ac:dyDescent="0.2">
      <c r="A27" s="99"/>
      <c r="B27" s="73" t="s">
        <v>621</v>
      </c>
      <c r="C27" s="73">
        <v>1</v>
      </c>
      <c r="D27" s="73">
        <f>INDEX(神器!$M$4:$M$7,世界BOSS专属武器!C27)</f>
        <v>40</v>
      </c>
      <c r="E27" s="73">
        <f t="shared" si="9"/>
        <v>2.5000000000000001E-2</v>
      </c>
      <c r="F27" s="37">
        <f t="shared" si="10"/>
        <v>1721</v>
      </c>
      <c r="G27" s="73">
        <v>1</v>
      </c>
      <c r="H27" s="73">
        <v>1</v>
      </c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421</v>
      </c>
      <c r="X27" s="49"/>
      <c r="Y27" s="49">
        <v>2</v>
      </c>
      <c r="Z27" s="49"/>
      <c r="AA27" s="49">
        <f t="shared" ref="AA27:AA55" si="11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INT(AI27*价值概述!$B$65*$O$18+AJ27*价值概述!$B$66*$P$18+AK27*价值概述!$B$67*$Q$18)</f>
        <v>1875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9">
        <v>6.7000000000000002E-3</v>
      </c>
      <c r="AN27">
        <v>1</v>
      </c>
      <c r="AO27">
        <f>SUM(AN$27:AN27)</f>
        <v>1</v>
      </c>
      <c r="AS27" s="52"/>
      <c r="AT27" s="52"/>
      <c r="AU27" s="52"/>
      <c r="AV27" s="52"/>
      <c r="AW27" s="52"/>
      <c r="AX27" s="52"/>
      <c r="AY27" s="52"/>
      <c r="AZ27" s="52"/>
    </row>
    <row r="28" spans="1:52" ht="16.5" x14ac:dyDescent="0.2">
      <c r="A28" s="99"/>
      <c r="B28" s="73" t="s">
        <v>622</v>
      </c>
      <c r="C28" s="73">
        <v>1</v>
      </c>
      <c r="D28" s="73">
        <f>INDEX(神器!$M$4:$M$7,世界BOSS专属武器!C28)</f>
        <v>40</v>
      </c>
      <c r="E28" s="73">
        <f t="shared" si="9"/>
        <v>2.5000000000000001E-2</v>
      </c>
      <c r="F28" s="37">
        <f t="shared" si="10"/>
        <v>1721</v>
      </c>
      <c r="G28" s="73">
        <v>1</v>
      </c>
      <c r="H28" s="73">
        <v>1</v>
      </c>
      <c r="M28" s="45">
        <v>2</v>
      </c>
      <c r="N28" s="45">
        <v>2</v>
      </c>
      <c r="O28" s="45">
        <f t="shared" ref="O28:O55" si="15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421</v>
      </c>
      <c r="X28" s="49"/>
      <c r="Y28" s="49">
        <v>2</v>
      </c>
      <c r="Z28" s="49"/>
      <c r="AA28" s="49">
        <f t="shared" si="11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INT(AI28*价值概述!$B$65*$O$18+AJ28*价值概述!$B$66*$P$18+AK28*价值概述!$B$67*$Q$18)</f>
        <v>3750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9">
        <v>1.3299999999999999E-2</v>
      </c>
      <c r="AN28">
        <v>1</v>
      </c>
      <c r="AO28">
        <f>SUM(AN$27:AN28)</f>
        <v>2</v>
      </c>
      <c r="AS28" s="52"/>
      <c r="AT28" s="52"/>
      <c r="AU28" s="52"/>
      <c r="AV28" s="52"/>
      <c r="AW28" s="52"/>
      <c r="AX28" s="52"/>
      <c r="AY28" s="52"/>
      <c r="AZ28" s="52"/>
    </row>
    <row r="29" spans="1:52" ht="16.5" x14ac:dyDescent="0.2">
      <c r="A29" s="99"/>
      <c r="B29" s="73" t="s">
        <v>623</v>
      </c>
      <c r="C29" s="73">
        <v>1</v>
      </c>
      <c r="D29" s="73">
        <f>INDEX(神器!$M$4:$M$7,世界BOSS专属武器!C29)</f>
        <v>40</v>
      </c>
      <c r="E29" s="73">
        <f t="shared" si="9"/>
        <v>2.5000000000000001E-2</v>
      </c>
      <c r="F29" s="37">
        <f t="shared" si="10"/>
        <v>1721</v>
      </c>
      <c r="G29" s="73">
        <v>1</v>
      </c>
      <c r="H29" s="73">
        <v>1</v>
      </c>
      <c r="M29" s="45">
        <v>3</v>
      </c>
      <c r="N29" s="45">
        <v>2.5</v>
      </c>
      <c r="O29" s="45">
        <f t="shared" si="15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421</v>
      </c>
      <c r="X29" s="49"/>
      <c r="Y29" s="49">
        <v>2</v>
      </c>
      <c r="Z29" s="49"/>
      <c r="AA29" s="49">
        <f t="shared" si="11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INT(AI29*价值概述!$B$65*$O$18+AJ29*价值概述!$B$66*$P$18+AK29*价值概述!$B$67*$Q$18)</f>
        <v>7812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9">
        <v>0.02</v>
      </c>
      <c r="AN29">
        <v>1</v>
      </c>
      <c r="AO29">
        <f>SUM(AN$27:AN29)</f>
        <v>3</v>
      </c>
      <c r="AS29" s="52"/>
      <c r="AT29" s="52"/>
      <c r="AU29" s="52"/>
      <c r="AV29" s="52"/>
      <c r="AW29" s="52"/>
      <c r="AX29" s="52"/>
      <c r="AY29" s="52"/>
      <c r="AZ29" s="52"/>
    </row>
    <row r="30" spans="1:52" ht="16.5" x14ac:dyDescent="0.2">
      <c r="A30" s="99"/>
      <c r="B30" s="73" t="s">
        <v>624</v>
      </c>
      <c r="C30" s="73">
        <v>2</v>
      </c>
      <c r="D30" s="73">
        <f>INDEX(神器!$M$4:$M$7,世界BOSS专属武器!C30)</f>
        <v>120</v>
      </c>
      <c r="E30" s="73">
        <f t="shared" si="9"/>
        <v>8.3333333333333332E-3</v>
      </c>
      <c r="F30" s="37">
        <f t="shared" si="10"/>
        <v>573</v>
      </c>
      <c r="G30" s="73">
        <v>1</v>
      </c>
      <c r="H30" s="73">
        <v>1</v>
      </c>
      <c r="M30" s="45">
        <v>4</v>
      </c>
      <c r="N30" s="45">
        <v>3</v>
      </c>
      <c r="O30" s="45">
        <f t="shared" si="15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421</v>
      </c>
      <c r="X30" s="49"/>
      <c r="Y30" s="49">
        <v>2</v>
      </c>
      <c r="Z30" s="49"/>
      <c r="AA30" s="49">
        <f t="shared" si="11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INT(AI30*价值概述!$B$65*$O$18+AJ30*价值概述!$B$66*$P$18+AK30*价值概述!$B$67*$Q$18)</f>
        <v>12228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9">
        <v>2.6700000000000002E-2</v>
      </c>
      <c r="AN30">
        <v>1</v>
      </c>
      <c r="AO30">
        <f>SUM(AN$27:AN30)</f>
        <v>4</v>
      </c>
      <c r="AS30" s="52"/>
      <c r="AT30" s="52"/>
      <c r="AU30" s="52"/>
      <c r="AV30" s="52"/>
      <c r="AW30" s="52"/>
      <c r="AX30" s="52"/>
      <c r="AY30" s="52"/>
      <c r="AZ30" s="52"/>
    </row>
    <row r="31" spans="1:52" ht="16.5" x14ac:dyDescent="0.2">
      <c r="A31" s="99"/>
      <c r="B31" s="73" t="s">
        <v>625</v>
      </c>
      <c r="C31" s="73">
        <v>3</v>
      </c>
      <c r="D31" s="73">
        <f>INDEX(神器!$M$4:$M$7,世界BOSS专属武器!C31)</f>
        <v>280</v>
      </c>
      <c r="E31" s="73">
        <f t="shared" si="9"/>
        <v>3.5714285714285713E-3</v>
      </c>
      <c r="F31" s="37">
        <f>10000-SUM(F24:F30)</f>
        <v>249</v>
      </c>
      <c r="G31" s="73">
        <v>1</v>
      </c>
      <c r="H31" s="73">
        <v>1</v>
      </c>
      <c r="M31" s="45">
        <v>5</v>
      </c>
      <c r="N31" s="45">
        <v>5</v>
      </c>
      <c r="O31" s="45">
        <f t="shared" si="15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421</v>
      </c>
      <c r="X31" s="49"/>
      <c r="Y31" s="49">
        <v>2</v>
      </c>
      <c r="Z31" s="49"/>
      <c r="AA31" s="49">
        <f t="shared" si="11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INT(AI31*价值概述!$B$65*$O$18+AJ31*价值概述!$B$66*$P$18+AK31*价值概述!$B$67*$Q$18)</f>
        <v>17045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E32" s="16"/>
      <c r="M32" s="45">
        <v>6</v>
      </c>
      <c r="N32" s="45">
        <v>5.5</v>
      </c>
      <c r="O32" s="45">
        <f t="shared" si="15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421</v>
      </c>
      <c r="X32" s="49"/>
      <c r="Y32" s="49">
        <v>2</v>
      </c>
      <c r="Z32" s="49"/>
      <c r="AA32" s="49">
        <f t="shared" si="11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INT(AI32*价值概述!$B$65*$O$18+AJ32*价值概述!$B$66*$P$18+AK32*价值概述!$B$67*$Q$18)</f>
        <v>22321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9">
        <v>0.04</v>
      </c>
      <c r="AN32">
        <v>1</v>
      </c>
      <c r="AO32">
        <f>SUM(AN$27:AN32)</f>
        <v>6</v>
      </c>
    </row>
    <row r="33" spans="1:41" ht="16.5" customHeight="1" x14ac:dyDescent="0.2">
      <c r="E33" s="58">
        <f>SUM(E34:E59)</f>
        <v>0.29666666666666663</v>
      </c>
      <c r="M33" s="45">
        <v>7</v>
      </c>
      <c r="N33" s="45">
        <v>6</v>
      </c>
      <c r="O33" s="45">
        <f t="shared" si="15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421</v>
      </c>
      <c r="X33" s="49"/>
      <c r="Y33" s="49">
        <v>2</v>
      </c>
      <c r="Z33" s="49"/>
      <c r="AA33" s="49">
        <f t="shared" si="11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INT(AI33*价值概述!$B$65*$O$18+AJ33*价值概述!$B$66*$P$18+AK33*价值概述!$B$67*$Q$18)</f>
        <v>23437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9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99" t="s">
        <v>728</v>
      </c>
      <c r="B34" s="73" t="s">
        <v>618</v>
      </c>
      <c r="C34" s="73">
        <v>1</v>
      </c>
      <c r="D34" s="73">
        <f>INDEX(神器!$M$4:$M$7,世界BOSS专属武器!C34)</f>
        <v>40</v>
      </c>
      <c r="E34" s="73">
        <f>1/D34</f>
        <v>2.5000000000000001E-2</v>
      </c>
      <c r="F34" s="73">
        <f>ROUND(E34/E$33*10000,0)</f>
        <v>843</v>
      </c>
      <c r="G34" s="73">
        <v>1</v>
      </c>
      <c r="H34" s="73">
        <v>2</v>
      </c>
      <c r="M34" s="45">
        <v>8</v>
      </c>
      <c r="N34" s="45">
        <v>6.5</v>
      </c>
      <c r="O34" s="45">
        <f t="shared" si="15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421</v>
      </c>
      <c r="X34" s="49"/>
      <c r="Y34" s="49">
        <v>2</v>
      </c>
      <c r="Z34" s="49"/>
      <c r="AA34" s="49">
        <f t="shared" si="11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INT(AI34*价值概述!$B$65*$O$18+AJ34*价值概述!$B$66*$P$18+AK34*价值概述!$B$67*$Q$18)</f>
        <v>24671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9">
        <v>5.33E-2</v>
      </c>
      <c r="AN34">
        <v>1</v>
      </c>
      <c r="AO34">
        <f>SUM(AN$27:AN34)</f>
        <v>8</v>
      </c>
    </row>
    <row r="35" spans="1:41" ht="16.5" x14ac:dyDescent="0.2">
      <c r="A35" s="99"/>
      <c r="B35" s="73" t="s">
        <v>619</v>
      </c>
      <c r="C35" s="73">
        <v>1</v>
      </c>
      <c r="D35" s="73">
        <f>INDEX(神器!$M$4:$M$7,世界BOSS专属武器!C35)</f>
        <v>40</v>
      </c>
      <c r="E35" s="73">
        <f t="shared" ref="E35:E59" si="16">1/D35</f>
        <v>2.5000000000000001E-2</v>
      </c>
      <c r="F35" s="73">
        <f t="shared" ref="F35:F58" si="17">ROUND(E35/E$33*10000,0)</f>
        <v>843</v>
      </c>
      <c r="G35" s="73">
        <v>1</v>
      </c>
      <c r="H35" s="73">
        <v>2</v>
      </c>
      <c r="M35" s="45">
        <v>9</v>
      </c>
      <c r="N35" s="45">
        <v>7</v>
      </c>
      <c r="O35" s="45">
        <f t="shared" si="15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421</v>
      </c>
      <c r="X35" s="49"/>
      <c r="Y35" s="49">
        <v>2</v>
      </c>
      <c r="Z35" s="49"/>
      <c r="AA35" s="49">
        <f t="shared" si="11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INT(AI35*价值概述!$B$65*$O$18+AJ35*价值概述!$B$66*$P$18+AK35*价值概述!$B$67*$Q$18)</f>
        <v>26041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9">
        <v>0.06</v>
      </c>
      <c r="AN35">
        <v>1</v>
      </c>
      <c r="AO35">
        <f>SUM(AN$27:AN35)</f>
        <v>9</v>
      </c>
    </row>
    <row r="36" spans="1:41" ht="16.5" x14ac:dyDescent="0.2">
      <c r="A36" s="99"/>
      <c r="B36" s="73" t="s">
        <v>620</v>
      </c>
      <c r="C36" s="73">
        <v>2</v>
      </c>
      <c r="D36" s="73">
        <f>INDEX(神器!$M$4:$M$7,世界BOSS专属武器!C36)</f>
        <v>120</v>
      </c>
      <c r="E36" s="73">
        <f t="shared" si="16"/>
        <v>8.3333333333333332E-3</v>
      </c>
      <c r="F36" s="73">
        <f t="shared" si="17"/>
        <v>281</v>
      </c>
      <c r="G36" s="73">
        <v>1</v>
      </c>
      <c r="H36" s="73">
        <v>2</v>
      </c>
      <c r="M36" s="45">
        <v>10</v>
      </c>
      <c r="N36" s="45">
        <v>15</v>
      </c>
      <c r="O36" s="45">
        <f t="shared" si="15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421</v>
      </c>
      <c r="X36" s="49"/>
      <c r="Y36" s="49">
        <v>2</v>
      </c>
      <c r="Z36" s="49"/>
      <c r="AA36" s="49">
        <f t="shared" si="11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INT(AI36*价值概述!$B$65*$O$18+AJ36*价值概述!$B$66*$P$18+AK36*价值概述!$B$67*$Q$18)</f>
        <v>37500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9">
        <v>6.6699999999999995E-2</v>
      </c>
      <c r="AN36">
        <v>1</v>
      </c>
      <c r="AO36">
        <f>SUM(AN$27:AN36)</f>
        <v>10</v>
      </c>
    </row>
    <row r="37" spans="1:41" ht="16.5" x14ac:dyDescent="0.2">
      <c r="A37" s="99"/>
      <c r="B37" s="73" t="s">
        <v>621</v>
      </c>
      <c r="C37" s="73">
        <v>1</v>
      </c>
      <c r="D37" s="73">
        <f>INDEX(神器!$M$4:$M$7,世界BOSS专属武器!C37)</f>
        <v>40</v>
      </c>
      <c r="E37" s="73">
        <f t="shared" si="16"/>
        <v>2.5000000000000001E-2</v>
      </c>
      <c r="F37" s="73">
        <f t="shared" si="17"/>
        <v>843</v>
      </c>
      <c r="G37" s="73">
        <v>1</v>
      </c>
      <c r="H37" s="73">
        <v>2</v>
      </c>
      <c r="M37" s="45">
        <v>11</v>
      </c>
      <c r="N37" s="45">
        <f>N36*1.15</f>
        <v>17.25</v>
      </c>
      <c r="O37" s="45">
        <f t="shared" si="15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421</v>
      </c>
      <c r="X37" s="49"/>
      <c r="Y37" s="49">
        <v>2</v>
      </c>
      <c r="Z37" s="49"/>
      <c r="AA37" s="49">
        <f t="shared" si="11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INT(AI37*价值概述!$B$65*$O$18+AJ37*价值概述!$B$66*$P$18+AK37*价值概述!$B$67*$Q$18)</f>
        <v>39772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9">
        <v>0.08</v>
      </c>
      <c r="AN37">
        <v>2</v>
      </c>
      <c r="AO37">
        <f>SUM(AN$27:AN37)</f>
        <v>12</v>
      </c>
    </row>
    <row r="38" spans="1:41" ht="16.5" x14ac:dyDescent="0.2">
      <c r="A38" s="99"/>
      <c r="B38" s="73" t="s">
        <v>622</v>
      </c>
      <c r="C38" s="73">
        <v>1</v>
      </c>
      <c r="D38" s="73">
        <f>INDEX(神器!$M$4:$M$7,世界BOSS专属武器!C38)</f>
        <v>40</v>
      </c>
      <c r="E38" s="73">
        <f t="shared" si="16"/>
        <v>2.5000000000000001E-2</v>
      </c>
      <c r="F38" s="73">
        <f t="shared" si="17"/>
        <v>843</v>
      </c>
      <c r="G38" s="73">
        <v>1</v>
      </c>
      <c r="H38" s="73">
        <v>2</v>
      </c>
      <c r="M38" s="45">
        <v>12</v>
      </c>
      <c r="N38" s="45">
        <f t="shared" ref="N38:N45" si="18">N37*1.15</f>
        <v>19.837499999999999</v>
      </c>
      <c r="O38" s="45">
        <f t="shared" si="15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421</v>
      </c>
      <c r="X38" s="49"/>
      <c r="Y38" s="49">
        <v>2</v>
      </c>
      <c r="Z38" s="49"/>
      <c r="AA38" s="49">
        <f t="shared" si="11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INT(AI38*价值概述!$B$65*$O$18+AJ38*价值概述!$B$66*$P$18+AK38*价值概述!$B$67*$Q$18)</f>
        <v>42338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9">
        <v>9.3299999999999994E-2</v>
      </c>
      <c r="AN38">
        <v>2</v>
      </c>
      <c r="AO38">
        <f>SUM(AN$27:AN38)</f>
        <v>14</v>
      </c>
    </row>
    <row r="39" spans="1:41" ht="16.5" x14ac:dyDescent="0.2">
      <c r="A39" s="99"/>
      <c r="B39" s="73" t="s">
        <v>623</v>
      </c>
      <c r="C39" s="73">
        <v>1</v>
      </c>
      <c r="D39" s="73">
        <f>INDEX(神器!$M$4:$M$7,世界BOSS专属武器!C39)</f>
        <v>40</v>
      </c>
      <c r="E39" s="73">
        <f t="shared" si="16"/>
        <v>2.5000000000000001E-2</v>
      </c>
      <c r="F39" s="73">
        <f t="shared" si="17"/>
        <v>843</v>
      </c>
      <c r="G39" s="73">
        <v>1</v>
      </c>
      <c r="H39" s="73">
        <v>2</v>
      </c>
      <c r="M39" s="45">
        <v>13</v>
      </c>
      <c r="N39" s="45">
        <f t="shared" si="18"/>
        <v>22.813124999999996</v>
      </c>
      <c r="O39" s="45">
        <f t="shared" si="15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421</v>
      </c>
      <c r="X39" s="49"/>
      <c r="Y39" s="49">
        <v>2</v>
      </c>
      <c r="Z39" s="49"/>
      <c r="AA39" s="49">
        <f t="shared" si="11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INT(AI39*价值概述!$B$65*$O$18+AJ39*价值概述!$B$66*$P$18+AK39*价值概述!$B$67*$Q$18)</f>
        <v>45258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9">
        <v>0.1067</v>
      </c>
      <c r="AN39">
        <v>2</v>
      </c>
      <c r="AO39">
        <f>SUM(AN$27:AN39)</f>
        <v>16</v>
      </c>
    </row>
    <row r="40" spans="1:41" ht="16.5" x14ac:dyDescent="0.2">
      <c r="A40" s="99"/>
      <c r="B40" s="73" t="s">
        <v>624</v>
      </c>
      <c r="C40" s="73">
        <v>2</v>
      </c>
      <c r="D40" s="73">
        <f>INDEX(神器!$M$4:$M$7,世界BOSS专属武器!C40)</f>
        <v>120</v>
      </c>
      <c r="E40" s="73">
        <f t="shared" si="16"/>
        <v>8.3333333333333332E-3</v>
      </c>
      <c r="F40" s="73">
        <f t="shared" si="17"/>
        <v>281</v>
      </c>
      <c r="G40" s="73">
        <v>1</v>
      </c>
      <c r="H40" s="73">
        <v>2</v>
      </c>
      <c r="M40" s="45">
        <v>14</v>
      </c>
      <c r="N40" s="45">
        <f t="shared" si="18"/>
        <v>26.235093749999994</v>
      </c>
      <c r="O40" s="45">
        <f t="shared" si="15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421</v>
      </c>
      <c r="X40" s="49"/>
      <c r="Y40" s="49">
        <v>2</v>
      </c>
      <c r="Z40" s="49"/>
      <c r="AA40" s="49">
        <f t="shared" si="11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INT(AI40*价值概述!$B$65*$O$18+AJ40*价值概述!$B$66*$P$18+AK40*价值概述!$B$67*$Q$18)</f>
        <v>48611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9">
        <v>0.12</v>
      </c>
      <c r="AN40">
        <v>2</v>
      </c>
      <c r="AO40">
        <f>SUM(AN$27:AN40)</f>
        <v>18</v>
      </c>
    </row>
    <row r="41" spans="1:41" ht="16.5" x14ac:dyDescent="0.2">
      <c r="A41" s="99"/>
      <c r="B41" s="73" t="s">
        <v>625</v>
      </c>
      <c r="C41" s="73">
        <v>3</v>
      </c>
      <c r="D41" s="73">
        <f>INDEX(神器!$M$4:$M$7,世界BOSS专属武器!C41)</f>
        <v>280</v>
      </c>
      <c r="E41" s="73">
        <f t="shared" si="16"/>
        <v>3.5714285714285713E-3</v>
      </c>
      <c r="F41" s="73">
        <f t="shared" si="17"/>
        <v>120</v>
      </c>
      <c r="G41" s="73">
        <v>1</v>
      </c>
      <c r="H41" s="73">
        <v>1</v>
      </c>
      <c r="M41" s="45">
        <v>15</v>
      </c>
      <c r="N41" s="45">
        <f t="shared" si="18"/>
        <v>30.17035781249999</v>
      </c>
      <c r="O41" s="45">
        <f t="shared" si="15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421</v>
      </c>
      <c r="X41" s="49"/>
      <c r="Y41" s="49">
        <v>2</v>
      </c>
      <c r="Z41" s="49"/>
      <c r="AA41" s="49">
        <f t="shared" si="11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INT(AI41*价值概述!$B$65*$O$18+AJ41*价值概述!$B$66*$P$18+AK41*价值概述!$B$67*$Q$18)</f>
        <v>75000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9">
        <v>0.1333</v>
      </c>
      <c r="AN41">
        <v>2</v>
      </c>
      <c r="AO41">
        <f>SUM(AN$27:AN41)</f>
        <v>20</v>
      </c>
    </row>
    <row r="42" spans="1:41" ht="16.5" x14ac:dyDescent="0.2">
      <c r="A42" s="99"/>
      <c r="B42" s="73" t="s">
        <v>626</v>
      </c>
      <c r="C42" s="73">
        <v>1</v>
      </c>
      <c r="D42" s="73">
        <f>INDEX(神器!$M$4:$M$7,世界BOSS专属武器!C42)</f>
        <v>40</v>
      </c>
      <c r="E42" s="73">
        <f t="shared" si="16"/>
        <v>2.5000000000000001E-2</v>
      </c>
      <c r="F42" s="73">
        <f t="shared" si="17"/>
        <v>843</v>
      </c>
      <c r="G42" s="73">
        <v>1</v>
      </c>
      <c r="H42" s="73">
        <v>2</v>
      </c>
      <c r="M42" s="45">
        <v>16</v>
      </c>
      <c r="N42" s="45">
        <f t="shared" si="18"/>
        <v>34.695911484374989</v>
      </c>
      <c r="O42" s="45">
        <f t="shared" si="15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421</v>
      </c>
      <c r="X42" s="49"/>
      <c r="Y42" s="49">
        <v>2</v>
      </c>
      <c r="Z42" s="49"/>
      <c r="AA42" s="49">
        <f t="shared" si="11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INT(AI42*价值概述!$B$65*$O$18+AJ42*价值概述!$B$66*$P$18+AK42*价值概述!$B$67*$Q$18)</f>
        <v>81521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9">
        <v>0.1467</v>
      </c>
      <c r="AN42">
        <v>2</v>
      </c>
      <c r="AO42">
        <f>SUM(AN$27:AN42)</f>
        <v>22</v>
      </c>
    </row>
    <row r="43" spans="1:41" ht="16.5" x14ac:dyDescent="0.2">
      <c r="A43" s="99"/>
      <c r="B43" s="73" t="s">
        <v>627</v>
      </c>
      <c r="C43" s="73">
        <v>2</v>
      </c>
      <c r="D43" s="73">
        <f>INDEX(神器!$M$4:$M$7,世界BOSS专属武器!C43)</f>
        <v>120</v>
      </c>
      <c r="E43" s="73">
        <f t="shared" si="16"/>
        <v>8.3333333333333332E-3</v>
      </c>
      <c r="F43" s="73">
        <f t="shared" si="17"/>
        <v>281</v>
      </c>
      <c r="G43" s="73">
        <v>1</v>
      </c>
      <c r="H43" s="73">
        <v>2</v>
      </c>
      <c r="M43" s="45">
        <v>17</v>
      </c>
      <c r="N43" s="45">
        <f t="shared" si="18"/>
        <v>39.900298207031234</v>
      </c>
      <c r="O43" s="45">
        <f t="shared" si="15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421</v>
      </c>
      <c r="X43" s="49"/>
      <c r="Y43" s="49">
        <v>2</v>
      </c>
      <c r="Z43" s="49"/>
      <c r="AA43" s="49">
        <f t="shared" si="11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INT(AI43*价值概述!$B$65*$O$18+AJ43*价值概述!$B$66*$P$18+AK43*价值概述!$B$67*$Q$18)</f>
        <v>89285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9">
        <v>0.16</v>
      </c>
      <c r="AN43">
        <v>2</v>
      </c>
      <c r="AO43">
        <f>SUM(AN$27:AN43)</f>
        <v>24</v>
      </c>
    </row>
    <row r="44" spans="1:41" ht="16.5" x14ac:dyDescent="0.2">
      <c r="A44" s="99"/>
      <c r="B44" s="73" t="s">
        <v>628</v>
      </c>
      <c r="C44" s="73">
        <v>2</v>
      </c>
      <c r="D44" s="73">
        <f>INDEX(神器!$M$4:$M$7,世界BOSS专属武器!C44)</f>
        <v>120</v>
      </c>
      <c r="E44" s="73">
        <f t="shared" si="16"/>
        <v>8.3333333333333332E-3</v>
      </c>
      <c r="F44" s="73">
        <f t="shared" si="17"/>
        <v>281</v>
      </c>
      <c r="G44" s="73">
        <v>1</v>
      </c>
      <c r="H44" s="73">
        <v>2</v>
      </c>
      <c r="M44" s="45">
        <v>18</v>
      </c>
      <c r="N44" s="45">
        <f t="shared" si="18"/>
        <v>45.885342938085913</v>
      </c>
      <c r="O44" s="45">
        <f t="shared" si="15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421</v>
      </c>
      <c r="X44" s="49"/>
      <c r="Y44" s="49">
        <v>2</v>
      </c>
      <c r="Z44" s="49"/>
      <c r="AA44" s="49">
        <f t="shared" si="11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INT(AI44*价值概述!$B$65*$O$18+AJ44*价值概述!$B$66*$P$18+AK44*价值概述!$B$67*$Q$18)</f>
        <v>98684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9">
        <v>0.17330000000000001</v>
      </c>
      <c r="AN44">
        <v>2</v>
      </c>
      <c r="AO44">
        <f>SUM(AN$27:AN44)</f>
        <v>26</v>
      </c>
    </row>
    <row r="45" spans="1:41" ht="16.5" x14ac:dyDescent="0.2">
      <c r="A45" s="99"/>
      <c r="B45" s="73" t="s">
        <v>629</v>
      </c>
      <c r="C45" s="73">
        <v>3</v>
      </c>
      <c r="D45" s="73">
        <f>INDEX(神器!$M$4:$M$7,世界BOSS专属武器!C45)</f>
        <v>280</v>
      </c>
      <c r="E45" s="73">
        <f t="shared" si="16"/>
        <v>3.5714285714285713E-3</v>
      </c>
      <c r="F45" s="73">
        <f t="shared" si="17"/>
        <v>120</v>
      </c>
      <c r="G45" s="73">
        <v>1</v>
      </c>
      <c r="H45" s="73">
        <v>2</v>
      </c>
      <c r="M45" s="45">
        <v>19</v>
      </c>
      <c r="N45" s="45">
        <f t="shared" si="18"/>
        <v>52.768144378798794</v>
      </c>
      <c r="O45" s="45">
        <f t="shared" si="15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421</v>
      </c>
      <c r="X45" s="49"/>
      <c r="Y45" s="49">
        <v>2</v>
      </c>
      <c r="Z45" s="49"/>
      <c r="AA45" s="49">
        <f t="shared" si="11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INT(AI45*价值概述!$B$65*$O$18+AJ45*价值概述!$B$66*$P$18+AK45*价值概述!$B$67*$Q$18)</f>
        <v>110294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9">
        <v>0.1867</v>
      </c>
      <c r="AN45">
        <v>2</v>
      </c>
      <c r="AO45">
        <f>SUM(AN$27:AN45)</f>
        <v>28</v>
      </c>
    </row>
    <row r="46" spans="1:41" ht="16.5" x14ac:dyDescent="0.2">
      <c r="A46" s="99"/>
      <c r="B46" s="73" t="s">
        <v>630</v>
      </c>
      <c r="C46" s="73">
        <v>3</v>
      </c>
      <c r="D46" s="73">
        <f>INDEX(神器!$M$4:$M$7,世界BOSS专属武器!C46)</f>
        <v>280</v>
      </c>
      <c r="E46" s="73">
        <f t="shared" si="16"/>
        <v>3.5714285714285713E-3</v>
      </c>
      <c r="F46" s="73">
        <f t="shared" si="17"/>
        <v>120</v>
      </c>
      <c r="G46" s="73">
        <v>1</v>
      </c>
      <c r="H46" s="73">
        <v>2</v>
      </c>
      <c r="M46" s="45">
        <v>20</v>
      </c>
      <c r="N46" s="45">
        <v>85</v>
      </c>
      <c r="O46" s="45">
        <f t="shared" si="15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421</v>
      </c>
      <c r="X46" s="49" t="s">
        <v>422</v>
      </c>
      <c r="Y46" s="49">
        <v>2</v>
      </c>
      <c r="Z46" s="49">
        <v>4</v>
      </c>
      <c r="AA46" s="49">
        <f t="shared" si="11"/>
        <v>15</v>
      </c>
      <c r="AB46" s="49">
        <v>15</v>
      </c>
      <c r="AC46" s="49">
        <f t="shared" ref="AC46:AC65" si="19">ROUND(Q46*T46,1)</f>
        <v>7.3</v>
      </c>
      <c r="AD46" s="49">
        <v>7</v>
      </c>
      <c r="AE46" s="49"/>
      <c r="AF46" s="49"/>
      <c r="AG46" s="49">
        <v>15</v>
      </c>
      <c r="AH46" s="15">
        <f>INT(AI46*价值概述!$B$65*$O$18+AJ46*价值概述!$B$66*$P$18+AK46*价值概述!$B$67*$Q$18)</f>
        <v>339166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9">
        <v>0.2</v>
      </c>
      <c r="AN46">
        <v>2</v>
      </c>
      <c r="AO46">
        <f>SUM(AN$27:AN46)</f>
        <v>30</v>
      </c>
    </row>
    <row r="47" spans="1:41" ht="16.5" x14ac:dyDescent="0.2">
      <c r="A47" s="99"/>
      <c r="B47" s="73" t="s">
        <v>631</v>
      </c>
      <c r="C47" s="73">
        <v>4</v>
      </c>
      <c r="D47" s="73">
        <f>INDEX(神器!$M$4:$M$7,世界BOSS专属武器!C47)</f>
        <v>600</v>
      </c>
      <c r="E47" s="73">
        <f t="shared" si="16"/>
        <v>1.6666666666666668E-3</v>
      </c>
      <c r="F47" s="73">
        <f t="shared" si="17"/>
        <v>56</v>
      </c>
      <c r="G47" s="73">
        <v>1</v>
      </c>
      <c r="H47" s="73">
        <v>1</v>
      </c>
      <c r="M47" s="45">
        <v>21</v>
      </c>
      <c r="N47" s="45">
        <v>85</v>
      </c>
      <c r="O47" s="45">
        <f t="shared" si="15"/>
        <v>100.17</v>
      </c>
      <c r="P47" s="45">
        <v>10</v>
      </c>
      <c r="Q47" s="45">
        <f t="shared" ref="Q47:Q65" si="20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421</v>
      </c>
      <c r="X47" s="49" t="s">
        <v>422</v>
      </c>
      <c r="Y47" s="49">
        <v>2</v>
      </c>
      <c r="Z47" s="49">
        <v>4</v>
      </c>
      <c r="AA47" s="49">
        <f t="shared" si="11"/>
        <v>15</v>
      </c>
      <c r="AB47" s="49">
        <v>15</v>
      </c>
      <c r="AC47" s="49">
        <f t="shared" si="19"/>
        <v>7.3</v>
      </c>
      <c r="AD47" s="49">
        <v>7</v>
      </c>
      <c r="AE47" s="49"/>
      <c r="AF47" s="49"/>
      <c r="AG47" s="49">
        <v>15</v>
      </c>
      <c r="AH47" s="15">
        <f>INT(AI47*价值概述!$B$65*$O$18+AJ47*价值概述!$B$66*$P$18+AK47*价值概述!$B$67*$Q$18)</f>
        <v>339166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9">
        <v>0.22</v>
      </c>
      <c r="AN47">
        <v>3</v>
      </c>
      <c r="AO47">
        <f>SUM(AN$27:AN47)</f>
        <v>33</v>
      </c>
    </row>
    <row r="48" spans="1:41" ht="16.5" x14ac:dyDescent="0.2">
      <c r="A48" s="99"/>
      <c r="B48" s="73" t="s">
        <v>632</v>
      </c>
      <c r="C48" s="73">
        <v>1</v>
      </c>
      <c r="D48" s="73">
        <f>INDEX(神器!$M$4:$M$7,世界BOSS专属武器!C48)</f>
        <v>40</v>
      </c>
      <c r="E48" s="73">
        <f t="shared" si="16"/>
        <v>2.5000000000000001E-2</v>
      </c>
      <c r="F48" s="73">
        <f t="shared" si="17"/>
        <v>843</v>
      </c>
      <c r="G48" s="73">
        <v>1</v>
      </c>
      <c r="H48" s="73">
        <v>2</v>
      </c>
      <c r="M48" s="45">
        <v>22</v>
      </c>
      <c r="N48" s="45">
        <v>85</v>
      </c>
      <c r="O48" s="45">
        <f t="shared" si="15"/>
        <v>100.17</v>
      </c>
      <c r="P48" s="45">
        <v>10</v>
      </c>
      <c r="Q48" s="45">
        <f t="shared" si="20"/>
        <v>48.64</v>
      </c>
      <c r="R48" s="45"/>
      <c r="S48" s="45"/>
      <c r="T48" s="45">
        <v>0.15</v>
      </c>
      <c r="U48" s="45"/>
      <c r="V48" s="49">
        <v>5000</v>
      </c>
      <c r="W48" s="49" t="s">
        <v>421</v>
      </c>
      <c r="X48" s="49" t="s">
        <v>422</v>
      </c>
      <c r="Y48" s="49">
        <v>2</v>
      </c>
      <c r="Z48" s="49">
        <v>4</v>
      </c>
      <c r="AA48" s="49">
        <f t="shared" si="11"/>
        <v>15</v>
      </c>
      <c r="AB48" s="49">
        <v>15</v>
      </c>
      <c r="AC48" s="49">
        <f t="shared" si="19"/>
        <v>7.3</v>
      </c>
      <c r="AD48" s="49">
        <v>7</v>
      </c>
      <c r="AE48" s="49"/>
      <c r="AF48" s="49"/>
      <c r="AG48" s="49">
        <v>15</v>
      </c>
      <c r="AH48" s="15">
        <f>INT(AI48*价值概述!$B$65*$O$18+AJ48*价值概述!$B$66*$P$18+AK48*价值概述!$B$67*$Q$18)</f>
        <v>339166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9">
        <v>0.24</v>
      </c>
      <c r="AN48">
        <v>3</v>
      </c>
      <c r="AO48">
        <f>SUM(AN$27:AN48)</f>
        <v>36</v>
      </c>
    </row>
    <row r="49" spans="1:41" ht="16.5" x14ac:dyDescent="0.2">
      <c r="A49" s="99"/>
      <c r="B49" s="73" t="s">
        <v>633</v>
      </c>
      <c r="C49" s="73">
        <v>2</v>
      </c>
      <c r="D49" s="73">
        <f>INDEX(神器!$M$4:$M$7,世界BOSS专属武器!C49)</f>
        <v>120</v>
      </c>
      <c r="E49" s="73">
        <f t="shared" si="16"/>
        <v>8.3333333333333332E-3</v>
      </c>
      <c r="F49" s="73">
        <f t="shared" si="17"/>
        <v>281</v>
      </c>
      <c r="G49" s="73">
        <v>1</v>
      </c>
      <c r="H49" s="73">
        <v>2</v>
      </c>
      <c r="M49" s="45">
        <v>23</v>
      </c>
      <c r="N49" s="45">
        <v>85</v>
      </c>
      <c r="O49" s="45">
        <f t="shared" si="15"/>
        <v>100.17</v>
      </c>
      <c r="P49" s="45">
        <v>10</v>
      </c>
      <c r="Q49" s="45">
        <f t="shared" si="20"/>
        <v>48.64</v>
      </c>
      <c r="R49" s="45"/>
      <c r="S49" s="45"/>
      <c r="T49" s="45">
        <v>0.15</v>
      </c>
      <c r="U49" s="45"/>
      <c r="V49" s="49">
        <v>5000</v>
      </c>
      <c r="W49" s="49" t="s">
        <v>421</v>
      </c>
      <c r="X49" s="49" t="s">
        <v>422</v>
      </c>
      <c r="Y49" s="49">
        <v>2</v>
      </c>
      <c r="Z49" s="49">
        <v>4</v>
      </c>
      <c r="AA49" s="49">
        <f t="shared" si="11"/>
        <v>15</v>
      </c>
      <c r="AB49" s="49">
        <v>15</v>
      </c>
      <c r="AC49" s="49">
        <f t="shared" si="19"/>
        <v>7.3</v>
      </c>
      <c r="AD49" s="49">
        <v>7</v>
      </c>
      <c r="AE49" s="49"/>
      <c r="AF49" s="49"/>
      <c r="AG49" s="49">
        <v>18</v>
      </c>
      <c r="AH49" s="15">
        <f>INT(AI49*价值概述!$B$65*$O$18+AJ49*价值概述!$B$66*$P$18+AK49*价值概述!$B$67*$Q$18)</f>
        <v>339166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9">
        <v>0.26</v>
      </c>
      <c r="AN49">
        <v>3</v>
      </c>
      <c r="AO49">
        <f>SUM(AN$27:AN49)</f>
        <v>39</v>
      </c>
    </row>
    <row r="50" spans="1:41" ht="16.5" x14ac:dyDescent="0.2">
      <c r="A50" s="99"/>
      <c r="B50" s="73" t="s">
        <v>634</v>
      </c>
      <c r="C50" s="73">
        <v>2</v>
      </c>
      <c r="D50" s="73">
        <f>INDEX(神器!$M$4:$M$7,世界BOSS专属武器!C50)</f>
        <v>120</v>
      </c>
      <c r="E50" s="73">
        <f t="shared" si="16"/>
        <v>8.3333333333333332E-3</v>
      </c>
      <c r="F50" s="73">
        <f t="shared" si="17"/>
        <v>281</v>
      </c>
      <c r="G50" s="73">
        <v>1</v>
      </c>
      <c r="H50" s="73">
        <v>2</v>
      </c>
      <c r="M50" s="45">
        <v>24</v>
      </c>
      <c r="N50" s="45">
        <v>85</v>
      </c>
      <c r="O50" s="45">
        <f t="shared" si="15"/>
        <v>100.17</v>
      </c>
      <c r="P50" s="45">
        <v>10</v>
      </c>
      <c r="Q50" s="45">
        <f t="shared" si="20"/>
        <v>48.64</v>
      </c>
      <c r="R50" s="45"/>
      <c r="S50" s="45"/>
      <c r="T50" s="45">
        <v>0.15</v>
      </c>
      <c r="U50" s="45"/>
      <c r="V50" s="49">
        <v>5000</v>
      </c>
      <c r="W50" s="49" t="s">
        <v>421</v>
      </c>
      <c r="X50" s="49" t="s">
        <v>422</v>
      </c>
      <c r="Y50" s="49">
        <v>2</v>
      </c>
      <c r="Z50" s="49">
        <v>4</v>
      </c>
      <c r="AA50" s="49">
        <f t="shared" si="11"/>
        <v>15</v>
      </c>
      <c r="AB50" s="49">
        <v>15</v>
      </c>
      <c r="AC50" s="49">
        <f t="shared" si="19"/>
        <v>7.3</v>
      </c>
      <c r="AD50" s="49">
        <v>7</v>
      </c>
      <c r="AE50" s="49"/>
      <c r="AF50" s="49"/>
      <c r="AG50" s="49">
        <v>18</v>
      </c>
      <c r="AH50" s="15">
        <f>INT(AI50*价值概述!$B$65*$O$18+AJ50*价值概述!$B$66*$P$18+AK50*价值概述!$B$67*$Q$18)</f>
        <v>339166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9">
        <v>0.28000000000000003</v>
      </c>
      <c r="AN50">
        <v>3</v>
      </c>
      <c r="AO50">
        <f>SUM(AN$27:AN50)</f>
        <v>42</v>
      </c>
    </row>
    <row r="51" spans="1:41" ht="16.5" x14ac:dyDescent="0.2">
      <c r="A51" s="99"/>
      <c r="B51" s="73" t="s">
        <v>635</v>
      </c>
      <c r="C51" s="73">
        <v>3</v>
      </c>
      <c r="D51" s="73">
        <f>INDEX(神器!$M$4:$M$7,世界BOSS专属武器!C51)</f>
        <v>280</v>
      </c>
      <c r="E51" s="73">
        <f t="shared" si="16"/>
        <v>3.5714285714285713E-3</v>
      </c>
      <c r="F51" s="73">
        <f t="shared" si="17"/>
        <v>120</v>
      </c>
      <c r="G51" s="73">
        <v>1</v>
      </c>
      <c r="H51" s="73">
        <v>2</v>
      </c>
      <c r="M51" s="45">
        <v>25</v>
      </c>
      <c r="N51" s="45">
        <v>85</v>
      </c>
      <c r="O51" s="45">
        <f t="shared" si="15"/>
        <v>100.17</v>
      </c>
      <c r="P51" s="45">
        <v>10</v>
      </c>
      <c r="Q51" s="45">
        <f t="shared" si="20"/>
        <v>48.64</v>
      </c>
      <c r="R51" s="45"/>
      <c r="S51" s="45"/>
      <c r="T51" s="45">
        <v>0.15</v>
      </c>
      <c r="U51" s="45"/>
      <c r="V51" s="49">
        <v>5000</v>
      </c>
      <c r="W51" s="49" t="s">
        <v>421</v>
      </c>
      <c r="X51" s="49" t="s">
        <v>422</v>
      </c>
      <c r="Y51" s="49">
        <v>2</v>
      </c>
      <c r="Z51" s="49">
        <v>4</v>
      </c>
      <c r="AA51" s="49">
        <f t="shared" si="11"/>
        <v>15</v>
      </c>
      <c r="AB51" s="49">
        <v>15</v>
      </c>
      <c r="AC51" s="49">
        <f t="shared" si="19"/>
        <v>7.3</v>
      </c>
      <c r="AD51" s="49">
        <v>7</v>
      </c>
      <c r="AE51" s="49"/>
      <c r="AF51" s="49"/>
      <c r="AG51" s="49">
        <v>18</v>
      </c>
      <c r="AH51" s="15">
        <f>INT(AI51*价值概述!$B$65*$O$18+AJ51*价值概述!$B$66*$P$18+AK51*价值概述!$B$67*$Q$18)</f>
        <v>339166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9">
        <v>0.3</v>
      </c>
      <c r="AN51">
        <v>3</v>
      </c>
      <c r="AO51">
        <f>SUM(AN$27:AN51)</f>
        <v>45</v>
      </c>
    </row>
    <row r="52" spans="1:41" ht="16.5" x14ac:dyDescent="0.2">
      <c r="A52" s="99"/>
      <c r="B52" s="73" t="s">
        <v>636</v>
      </c>
      <c r="C52" s="73">
        <v>3</v>
      </c>
      <c r="D52" s="73">
        <f>INDEX(神器!$M$4:$M$7,世界BOSS专属武器!C52)</f>
        <v>280</v>
      </c>
      <c r="E52" s="73">
        <f t="shared" si="16"/>
        <v>3.5714285714285713E-3</v>
      </c>
      <c r="F52" s="73">
        <f t="shared" si="17"/>
        <v>120</v>
      </c>
      <c r="G52" s="73">
        <v>1</v>
      </c>
      <c r="H52" s="73">
        <v>2</v>
      </c>
      <c r="M52" s="45">
        <v>26</v>
      </c>
      <c r="N52" s="45">
        <v>85</v>
      </c>
      <c r="O52" s="45">
        <f t="shared" si="15"/>
        <v>100.17</v>
      </c>
      <c r="P52" s="45">
        <v>10</v>
      </c>
      <c r="Q52" s="45">
        <f t="shared" si="20"/>
        <v>48.64</v>
      </c>
      <c r="R52" s="45"/>
      <c r="S52" s="45"/>
      <c r="T52" s="45">
        <v>0.15</v>
      </c>
      <c r="U52" s="45"/>
      <c r="V52" s="49">
        <v>5000</v>
      </c>
      <c r="W52" s="49" t="s">
        <v>421</v>
      </c>
      <c r="X52" s="49" t="s">
        <v>422</v>
      </c>
      <c r="Y52" s="49">
        <v>2</v>
      </c>
      <c r="Z52" s="49">
        <v>4</v>
      </c>
      <c r="AA52" s="49">
        <f t="shared" si="11"/>
        <v>15</v>
      </c>
      <c r="AB52" s="49">
        <v>15</v>
      </c>
      <c r="AC52" s="49">
        <f t="shared" si="19"/>
        <v>7.3</v>
      </c>
      <c r="AD52" s="49">
        <v>7</v>
      </c>
      <c r="AE52" s="49"/>
      <c r="AF52" s="49"/>
      <c r="AG52" s="49">
        <v>21</v>
      </c>
      <c r="AH52" s="15">
        <f>INT(AI52*价值概述!$B$65*$O$18+AJ52*价值概述!$B$66*$P$18+AK52*价值概述!$B$67*$Q$18)</f>
        <v>339166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9">
        <v>0.32</v>
      </c>
      <c r="AN52">
        <v>3</v>
      </c>
      <c r="AO52">
        <f>SUM(AN$27:AN52)</f>
        <v>48</v>
      </c>
    </row>
    <row r="53" spans="1:41" ht="16.5" x14ac:dyDescent="0.2">
      <c r="A53" s="99"/>
      <c r="B53" s="73" t="s">
        <v>637</v>
      </c>
      <c r="C53" s="73">
        <v>4</v>
      </c>
      <c r="D53" s="73">
        <f>INDEX(神器!$M$4:$M$7,世界BOSS专属武器!C53)</f>
        <v>600</v>
      </c>
      <c r="E53" s="73">
        <f t="shared" si="16"/>
        <v>1.6666666666666668E-3</v>
      </c>
      <c r="F53" s="73">
        <f t="shared" si="17"/>
        <v>56</v>
      </c>
      <c r="G53" s="73">
        <v>1</v>
      </c>
      <c r="H53" s="73">
        <v>1</v>
      </c>
      <c r="M53" s="45">
        <v>27</v>
      </c>
      <c r="N53" s="45">
        <v>85</v>
      </c>
      <c r="O53" s="45">
        <f t="shared" si="15"/>
        <v>100.17</v>
      </c>
      <c r="P53" s="45">
        <v>10</v>
      </c>
      <c r="Q53" s="45">
        <f t="shared" si="20"/>
        <v>48.64</v>
      </c>
      <c r="R53" s="45"/>
      <c r="S53" s="45"/>
      <c r="T53" s="45">
        <v>0.15</v>
      </c>
      <c r="U53" s="45"/>
      <c r="V53" s="49">
        <v>5000</v>
      </c>
      <c r="W53" s="49" t="s">
        <v>421</v>
      </c>
      <c r="X53" s="49" t="s">
        <v>422</v>
      </c>
      <c r="Y53" s="49">
        <v>2</v>
      </c>
      <c r="Z53" s="49">
        <v>4</v>
      </c>
      <c r="AA53" s="49">
        <f t="shared" si="11"/>
        <v>15</v>
      </c>
      <c r="AB53" s="49">
        <v>15</v>
      </c>
      <c r="AC53" s="49">
        <f t="shared" si="19"/>
        <v>7.3</v>
      </c>
      <c r="AD53" s="49">
        <v>7</v>
      </c>
      <c r="AE53" s="49"/>
      <c r="AF53" s="49"/>
      <c r="AG53" s="49">
        <v>22</v>
      </c>
      <c r="AH53" s="15">
        <f>INT(AI53*价值概述!$B$65*$O$18+AJ53*价值概述!$B$66*$P$18+AK53*价值概述!$B$67*$Q$18)</f>
        <v>339166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9">
        <v>0.34</v>
      </c>
      <c r="AN53">
        <v>3</v>
      </c>
      <c r="AO53">
        <f>SUM(AN$27:AN53)</f>
        <v>51</v>
      </c>
    </row>
    <row r="54" spans="1:41" ht="16.5" x14ac:dyDescent="0.2">
      <c r="A54" s="99"/>
      <c r="B54" s="73" t="s">
        <v>638</v>
      </c>
      <c r="C54" s="73">
        <v>1</v>
      </c>
      <c r="D54" s="73">
        <f>INDEX(神器!$M$4:$M$7,世界BOSS专属武器!C54)</f>
        <v>40</v>
      </c>
      <c r="E54" s="73">
        <f t="shared" si="16"/>
        <v>2.5000000000000001E-2</v>
      </c>
      <c r="F54" s="73">
        <f t="shared" si="17"/>
        <v>843</v>
      </c>
      <c r="G54" s="73">
        <v>1</v>
      </c>
      <c r="H54" s="73">
        <v>2</v>
      </c>
      <c r="M54" s="45">
        <v>28</v>
      </c>
      <c r="N54" s="45">
        <v>85</v>
      </c>
      <c r="O54" s="45">
        <f t="shared" si="15"/>
        <v>100.17</v>
      </c>
      <c r="P54" s="45">
        <v>10</v>
      </c>
      <c r="Q54" s="45">
        <f t="shared" si="20"/>
        <v>48.64</v>
      </c>
      <c r="R54" s="45"/>
      <c r="S54" s="45"/>
      <c r="T54" s="45">
        <v>0.15</v>
      </c>
      <c r="U54" s="45"/>
      <c r="V54" s="49">
        <v>5000</v>
      </c>
      <c r="W54" s="49" t="s">
        <v>421</v>
      </c>
      <c r="X54" s="49" t="s">
        <v>422</v>
      </c>
      <c r="Y54" s="49">
        <v>2</v>
      </c>
      <c r="Z54" s="49">
        <v>4</v>
      </c>
      <c r="AA54" s="49">
        <f t="shared" si="11"/>
        <v>15</v>
      </c>
      <c r="AB54" s="49">
        <v>15</v>
      </c>
      <c r="AC54" s="49">
        <f t="shared" si="19"/>
        <v>7.3</v>
      </c>
      <c r="AD54" s="49">
        <v>7</v>
      </c>
      <c r="AE54" s="49"/>
      <c r="AF54" s="49"/>
      <c r="AG54" s="49">
        <v>23</v>
      </c>
      <c r="AH54" s="15">
        <f>INT(AI54*价值概述!$B$65*$O$18+AJ54*价值概述!$B$66*$P$18+AK54*价值概述!$B$67*$Q$18)</f>
        <v>339166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9">
        <v>0.36</v>
      </c>
      <c r="AN54">
        <v>3</v>
      </c>
      <c r="AO54">
        <f>SUM(AN$27:AN54)</f>
        <v>54</v>
      </c>
    </row>
    <row r="55" spans="1:41" ht="16.5" x14ac:dyDescent="0.2">
      <c r="A55" s="99"/>
      <c r="B55" s="73" t="s">
        <v>639</v>
      </c>
      <c r="C55" s="73">
        <v>2</v>
      </c>
      <c r="D55" s="73">
        <f>INDEX(神器!$M$4:$M$7,世界BOSS专属武器!C55)</f>
        <v>120</v>
      </c>
      <c r="E55" s="73">
        <f t="shared" si="16"/>
        <v>8.3333333333333332E-3</v>
      </c>
      <c r="F55" s="73">
        <f t="shared" si="17"/>
        <v>281</v>
      </c>
      <c r="G55" s="73">
        <v>1</v>
      </c>
      <c r="H55" s="73">
        <v>2</v>
      </c>
      <c r="M55" s="45">
        <v>29</v>
      </c>
      <c r="N55" s="45">
        <v>85</v>
      </c>
      <c r="O55" s="45">
        <f t="shared" si="15"/>
        <v>100.17</v>
      </c>
      <c r="P55" s="45">
        <v>10</v>
      </c>
      <c r="Q55" s="45">
        <f t="shared" si="20"/>
        <v>48.64</v>
      </c>
      <c r="R55" s="45"/>
      <c r="S55" s="45"/>
      <c r="T55" s="45">
        <v>0.15</v>
      </c>
      <c r="U55" s="45"/>
      <c r="V55" s="49">
        <v>5000</v>
      </c>
      <c r="W55" s="49" t="s">
        <v>421</v>
      </c>
      <c r="X55" s="49" t="s">
        <v>422</v>
      </c>
      <c r="Y55" s="49">
        <v>2</v>
      </c>
      <c r="Z55" s="49">
        <v>4</v>
      </c>
      <c r="AA55" s="49">
        <f t="shared" si="11"/>
        <v>15</v>
      </c>
      <c r="AB55" s="49">
        <v>15</v>
      </c>
      <c r="AC55" s="49">
        <f t="shared" si="19"/>
        <v>7.3</v>
      </c>
      <c r="AD55" s="49">
        <v>7</v>
      </c>
      <c r="AE55" s="49"/>
      <c r="AF55" s="49"/>
      <c r="AG55" s="49">
        <v>25</v>
      </c>
      <c r="AH55" s="15">
        <f>INT(AI55*价值概述!$B$65*$O$18+AJ55*价值概述!$B$66*$P$18+AK55*价值概述!$B$67*$Q$18)</f>
        <v>339166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9">
        <v>0.38</v>
      </c>
      <c r="AN55">
        <v>3</v>
      </c>
      <c r="AO55">
        <f>SUM(AN$27:AN55)</f>
        <v>57</v>
      </c>
    </row>
    <row r="56" spans="1:41" ht="16.5" x14ac:dyDescent="0.2">
      <c r="A56" s="99"/>
      <c r="B56" s="73" t="s">
        <v>640</v>
      </c>
      <c r="C56" s="73">
        <v>2</v>
      </c>
      <c r="D56" s="73">
        <f>INDEX(神器!$M$4:$M$7,世界BOSS专属武器!C56)</f>
        <v>120</v>
      </c>
      <c r="E56" s="73">
        <f t="shared" si="16"/>
        <v>8.3333333333333332E-3</v>
      </c>
      <c r="F56" s="73">
        <f t="shared" si="17"/>
        <v>281</v>
      </c>
      <c r="G56" s="73">
        <v>1</v>
      </c>
      <c r="H56" s="73">
        <v>2</v>
      </c>
      <c r="M56" s="45">
        <v>30</v>
      </c>
      <c r="N56" s="45"/>
      <c r="O56" s="45"/>
      <c r="P56" s="45">
        <v>15</v>
      </c>
      <c r="Q56" s="45">
        <f t="shared" si="20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422</v>
      </c>
      <c r="X56" s="49" t="s">
        <v>423</v>
      </c>
      <c r="Y56" s="49">
        <v>4</v>
      </c>
      <c r="Z56" s="49">
        <v>6</v>
      </c>
      <c r="AA56" s="49"/>
      <c r="AB56" s="49"/>
      <c r="AC56" s="49">
        <f t="shared" si="19"/>
        <v>7.3</v>
      </c>
      <c r="AD56" s="49">
        <v>8</v>
      </c>
      <c r="AE56" s="49">
        <f t="shared" ref="AE56:AE76" si="21">ROUND(S56*T56,1)</f>
        <v>3.3</v>
      </c>
      <c r="AF56" s="49">
        <v>3</v>
      </c>
      <c r="AG56" s="49">
        <v>30</v>
      </c>
      <c r="AH56" s="15">
        <f>INT(AI56*价值概述!$B$65*$O$18+AJ56*价值概述!$B$66*$P$18+AK56*价值概述!$B$67*$Q$18)</f>
        <v>560000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9">
        <v>0.4</v>
      </c>
      <c r="AN56">
        <v>3</v>
      </c>
      <c r="AO56">
        <f>SUM(AN$27:AN56)</f>
        <v>60</v>
      </c>
    </row>
    <row r="57" spans="1:41" ht="16.5" x14ac:dyDescent="0.2">
      <c r="A57" s="99"/>
      <c r="B57" s="73" t="s">
        <v>641</v>
      </c>
      <c r="C57" s="73">
        <v>3</v>
      </c>
      <c r="D57" s="73">
        <f>INDEX(神器!$M$4:$M$7,世界BOSS专属武器!C57)</f>
        <v>280</v>
      </c>
      <c r="E57" s="73">
        <f t="shared" si="16"/>
        <v>3.5714285714285713E-3</v>
      </c>
      <c r="F57" s="73">
        <f t="shared" si="17"/>
        <v>120</v>
      </c>
      <c r="G57" s="73">
        <v>1</v>
      </c>
      <c r="H57" s="73">
        <v>2</v>
      </c>
      <c r="M57" s="45">
        <v>31</v>
      </c>
      <c r="N57" s="45"/>
      <c r="O57" s="45"/>
      <c r="P57" s="45">
        <v>15</v>
      </c>
      <c r="Q57" s="45">
        <f t="shared" si="20"/>
        <v>72.959999999999994</v>
      </c>
      <c r="R57" s="45">
        <v>10</v>
      </c>
      <c r="S57" s="45">
        <f t="shared" ref="S57:S76" si="22">ROUND(R57/R$25*Q$20,2)</f>
        <v>32.67</v>
      </c>
      <c r="T57" s="45">
        <v>0.1</v>
      </c>
      <c r="U57" s="45"/>
      <c r="V57" s="49">
        <v>10000</v>
      </c>
      <c r="W57" s="49" t="s">
        <v>422</v>
      </c>
      <c r="X57" s="49" t="s">
        <v>423</v>
      </c>
      <c r="Y57" s="49">
        <v>4</v>
      </c>
      <c r="Z57" s="49">
        <v>6</v>
      </c>
      <c r="AA57" s="49"/>
      <c r="AB57" s="49"/>
      <c r="AC57" s="49">
        <f t="shared" si="19"/>
        <v>7.3</v>
      </c>
      <c r="AD57" s="49">
        <v>8</v>
      </c>
      <c r="AE57" s="49">
        <f t="shared" si="21"/>
        <v>3.3</v>
      </c>
      <c r="AF57" s="49">
        <v>3</v>
      </c>
      <c r="AG57" s="49">
        <v>30</v>
      </c>
      <c r="AH57" s="15">
        <f>INT(AI57*价值概述!$B$65*$O$18+AJ57*价值概述!$B$66*$P$18+AK57*价值概述!$B$67*$Q$18)</f>
        <v>560000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9">
        <v>0.42670000000000002</v>
      </c>
      <c r="AN57">
        <v>4</v>
      </c>
      <c r="AO57">
        <f>SUM(AN$27:AN57)</f>
        <v>64</v>
      </c>
    </row>
    <row r="58" spans="1:41" ht="16.5" x14ac:dyDescent="0.2">
      <c r="A58" s="99"/>
      <c r="B58" s="73" t="s">
        <v>642</v>
      </c>
      <c r="C58" s="73">
        <v>3</v>
      </c>
      <c r="D58" s="73">
        <f>INDEX(神器!$M$4:$M$7,世界BOSS专属武器!C58)</f>
        <v>280</v>
      </c>
      <c r="E58" s="73">
        <f t="shared" si="16"/>
        <v>3.5714285714285713E-3</v>
      </c>
      <c r="F58" s="73">
        <f t="shared" si="17"/>
        <v>120</v>
      </c>
      <c r="G58" s="73">
        <v>1</v>
      </c>
      <c r="H58" s="73">
        <v>2</v>
      </c>
      <c r="M58" s="45">
        <v>32</v>
      </c>
      <c r="N58" s="45"/>
      <c r="O58" s="45"/>
      <c r="P58" s="45">
        <v>15</v>
      </c>
      <c r="Q58" s="45">
        <f t="shared" si="20"/>
        <v>72.959999999999994</v>
      </c>
      <c r="R58" s="45">
        <v>10</v>
      </c>
      <c r="S58" s="45">
        <f t="shared" si="22"/>
        <v>32.67</v>
      </c>
      <c r="T58" s="45">
        <v>0.1</v>
      </c>
      <c r="U58" s="45"/>
      <c r="V58" s="49">
        <v>10000</v>
      </c>
      <c r="W58" s="49" t="s">
        <v>422</v>
      </c>
      <c r="X58" s="49" t="s">
        <v>423</v>
      </c>
      <c r="Y58" s="49">
        <v>4</v>
      </c>
      <c r="Z58" s="49">
        <v>6</v>
      </c>
      <c r="AA58" s="49"/>
      <c r="AB58" s="49"/>
      <c r="AC58" s="49">
        <f t="shared" si="19"/>
        <v>7.3</v>
      </c>
      <c r="AD58" s="49">
        <v>8</v>
      </c>
      <c r="AE58" s="49">
        <f t="shared" si="21"/>
        <v>3.3</v>
      </c>
      <c r="AF58" s="49">
        <v>3</v>
      </c>
      <c r="AG58" s="49">
        <v>30</v>
      </c>
      <c r="AH58" s="15">
        <f>INT(AI58*价值概述!$B$65*$O$18+AJ58*价值概述!$B$66*$P$18+AK58*价值概述!$B$67*$Q$18)</f>
        <v>560000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9">
        <v>0.45329999999999998</v>
      </c>
      <c r="AN58">
        <v>4</v>
      </c>
      <c r="AO58">
        <f>SUM(AN$27:AN58)</f>
        <v>68</v>
      </c>
    </row>
    <row r="59" spans="1:41" ht="16.5" x14ac:dyDescent="0.2">
      <c r="A59" s="99"/>
      <c r="B59" s="73" t="s">
        <v>643</v>
      </c>
      <c r="C59" s="73">
        <v>4</v>
      </c>
      <c r="D59" s="73">
        <f>INDEX(神器!$M$4:$M$7,世界BOSS专属武器!C59)</f>
        <v>600</v>
      </c>
      <c r="E59" s="73">
        <f t="shared" si="16"/>
        <v>1.6666666666666668E-3</v>
      </c>
      <c r="F59" s="73">
        <f>10000-SUM(F34:F58)</f>
        <v>56</v>
      </c>
      <c r="G59" s="73">
        <v>1</v>
      </c>
      <c r="H59" s="73">
        <v>1</v>
      </c>
      <c r="M59" s="45">
        <v>33</v>
      </c>
      <c r="N59" s="45"/>
      <c r="O59" s="45"/>
      <c r="P59" s="45">
        <v>15</v>
      </c>
      <c r="Q59" s="45">
        <f t="shared" si="20"/>
        <v>72.959999999999994</v>
      </c>
      <c r="R59" s="45">
        <v>10</v>
      </c>
      <c r="S59" s="45">
        <f t="shared" si="22"/>
        <v>32.67</v>
      </c>
      <c r="T59" s="45">
        <v>0.1</v>
      </c>
      <c r="U59" s="45"/>
      <c r="V59" s="49">
        <v>10000</v>
      </c>
      <c r="W59" s="49" t="s">
        <v>422</v>
      </c>
      <c r="X59" s="49" t="s">
        <v>423</v>
      </c>
      <c r="Y59" s="49">
        <v>4</v>
      </c>
      <c r="Z59" s="49">
        <v>6</v>
      </c>
      <c r="AA59" s="49"/>
      <c r="AB59" s="49"/>
      <c r="AC59" s="49">
        <f t="shared" si="19"/>
        <v>7.3</v>
      </c>
      <c r="AD59" s="49">
        <v>8</v>
      </c>
      <c r="AE59" s="49">
        <f t="shared" si="21"/>
        <v>3.3</v>
      </c>
      <c r="AF59" s="49">
        <v>3</v>
      </c>
      <c r="AG59" s="49">
        <v>30</v>
      </c>
      <c r="AH59" s="15">
        <f>INT(AI59*价值概述!$B$65*$O$18+AJ59*价值概述!$B$66*$P$18+AK59*价值概述!$B$67*$Q$18)</f>
        <v>560000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9">
        <v>0.48</v>
      </c>
      <c r="AN59">
        <v>4</v>
      </c>
      <c r="AO59">
        <f>SUM(AN$27:AN59)</f>
        <v>72</v>
      </c>
    </row>
    <row r="60" spans="1:41" ht="16.5" x14ac:dyDescent="0.2">
      <c r="M60" s="45">
        <v>34</v>
      </c>
      <c r="N60" s="45"/>
      <c r="O60" s="45"/>
      <c r="P60" s="45">
        <v>15</v>
      </c>
      <c r="Q60" s="45">
        <f t="shared" si="20"/>
        <v>72.959999999999994</v>
      </c>
      <c r="R60" s="45">
        <v>10</v>
      </c>
      <c r="S60" s="45">
        <f t="shared" si="22"/>
        <v>32.67</v>
      </c>
      <c r="T60" s="45">
        <v>0.1</v>
      </c>
      <c r="U60" s="45"/>
      <c r="V60" s="49">
        <v>10000</v>
      </c>
      <c r="W60" s="49" t="s">
        <v>422</v>
      </c>
      <c r="X60" s="49" t="s">
        <v>423</v>
      </c>
      <c r="Y60" s="49">
        <v>4</v>
      </c>
      <c r="Z60" s="49">
        <v>6</v>
      </c>
      <c r="AA60" s="49"/>
      <c r="AB60" s="49"/>
      <c r="AC60" s="49">
        <f t="shared" si="19"/>
        <v>7.3</v>
      </c>
      <c r="AD60" s="49">
        <v>8</v>
      </c>
      <c r="AE60" s="49">
        <f t="shared" si="21"/>
        <v>3.3</v>
      </c>
      <c r="AF60" s="49">
        <v>3</v>
      </c>
      <c r="AG60" s="49">
        <v>30</v>
      </c>
      <c r="AH60" s="15">
        <f>INT(AI60*价值概述!$B$65*$O$18+AJ60*价值概述!$B$66*$P$18+AK60*价值概述!$B$67*$Q$18)</f>
        <v>560000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9">
        <v>0.50670000000000004</v>
      </c>
      <c r="AN60">
        <v>4</v>
      </c>
      <c r="AO60">
        <f>SUM(AN$27:AN60)</f>
        <v>76</v>
      </c>
    </row>
    <row r="61" spans="1:41" ht="16.5" x14ac:dyDescent="0.2">
      <c r="E61" s="58">
        <f>SUM(E62:E103)</f>
        <v>0.33571428571428563</v>
      </c>
      <c r="M61" s="45">
        <v>35</v>
      </c>
      <c r="N61" s="45"/>
      <c r="O61" s="45"/>
      <c r="P61" s="45">
        <v>15</v>
      </c>
      <c r="Q61" s="45">
        <f t="shared" si="20"/>
        <v>72.959999999999994</v>
      </c>
      <c r="R61" s="45">
        <v>10</v>
      </c>
      <c r="S61" s="45">
        <f t="shared" si="22"/>
        <v>32.67</v>
      </c>
      <c r="T61" s="45">
        <v>0.1</v>
      </c>
      <c r="U61" s="45"/>
      <c r="V61" s="49">
        <v>10000</v>
      </c>
      <c r="W61" s="49" t="s">
        <v>422</v>
      </c>
      <c r="X61" s="49" t="s">
        <v>423</v>
      </c>
      <c r="Y61" s="49">
        <v>4</v>
      </c>
      <c r="Z61" s="49">
        <v>6</v>
      </c>
      <c r="AA61" s="49"/>
      <c r="AB61" s="49"/>
      <c r="AC61" s="49">
        <f t="shared" si="19"/>
        <v>7.3</v>
      </c>
      <c r="AD61" s="49">
        <v>8</v>
      </c>
      <c r="AE61" s="49">
        <f t="shared" si="21"/>
        <v>3.3</v>
      </c>
      <c r="AF61" s="49">
        <v>3</v>
      </c>
      <c r="AG61" s="49">
        <v>30</v>
      </c>
      <c r="AH61" s="15">
        <f>INT(AI61*价值概述!$B$65*$O$18+AJ61*价值概述!$B$66*$P$18+AK61*价值概述!$B$67*$Q$18)</f>
        <v>560000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9">
        <v>0.5333</v>
      </c>
      <c r="AN61">
        <v>4</v>
      </c>
      <c r="AO61">
        <f>SUM(AN$27:AN61)</f>
        <v>80</v>
      </c>
    </row>
    <row r="62" spans="1:41" ht="16.5" x14ac:dyDescent="0.2">
      <c r="A62" s="115" t="s">
        <v>729</v>
      </c>
      <c r="B62" s="73" t="s">
        <v>618</v>
      </c>
      <c r="C62" s="73">
        <v>1</v>
      </c>
      <c r="D62" s="73">
        <f>INDEX(神器!$M$4:$M$7,世界BOSS专属武器!C62)</f>
        <v>40</v>
      </c>
      <c r="E62" s="73">
        <f>1/D62</f>
        <v>2.5000000000000001E-2</v>
      </c>
      <c r="F62" s="73">
        <f>ROUND(E62/E$61*10000,0)</f>
        <v>745</v>
      </c>
      <c r="G62" s="73">
        <v>2</v>
      </c>
      <c r="H62" s="73">
        <v>4</v>
      </c>
      <c r="M62" s="45">
        <v>36</v>
      </c>
      <c r="N62" s="45"/>
      <c r="O62" s="45"/>
      <c r="P62" s="45">
        <v>15</v>
      </c>
      <c r="Q62" s="45">
        <f t="shared" si="20"/>
        <v>72.959999999999994</v>
      </c>
      <c r="R62" s="45">
        <v>10</v>
      </c>
      <c r="S62" s="45">
        <f t="shared" si="22"/>
        <v>32.67</v>
      </c>
      <c r="T62" s="45">
        <v>0.1</v>
      </c>
      <c r="U62" s="45"/>
      <c r="V62" s="49">
        <v>10000</v>
      </c>
      <c r="W62" s="49" t="s">
        <v>422</v>
      </c>
      <c r="X62" s="49" t="s">
        <v>423</v>
      </c>
      <c r="Y62" s="49">
        <v>4</v>
      </c>
      <c r="Z62" s="49">
        <v>6</v>
      </c>
      <c r="AA62" s="49"/>
      <c r="AB62" s="49"/>
      <c r="AC62" s="49">
        <f t="shared" si="19"/>
        <v>7.3</v>
      </c>
      <c r="AD62" s="49">
        <v>8</v>
      </c>
      <c r="AE62" s="49">
        <f t="shared" si="21"/>
        <v>3.3</v>
      </c>
      <c r="AF62" s="49">
        <v>3</v>
      </c>
      <c r="AG62" s="49">
        <v>30</v>
      </c>
      <c r="AH62" s="15">
        <f>INT(AI62*价值概述!$B$65*$O$18+AJ62*价值概述!$B$66*$P$18+AK62*价值概述!$B$67*$Q$18)</f>
        <v>560000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9">
        <v>0.56000000000000005</v>
      </c>
      <c r="AN62">
        <v>4</v>
      </c>
      <c r="AO62">
        <f>SUM(AN$27:AN62)</f>
        <v>84</v>
      </c>
    </row>
    <row r="63" spans="1:41" ht="16.5" x14ac:dyDescent="0.2">
      <c r="A63" s="115"/>
      <c r="B63" s="73" t="s">
        <v>619</v>
      </c>
      <c r="C63" s="73">
        <v>1</v>
      </c>
      <c r="D63" s="73">
        <f>INDEX(神器!$M$4:$M$7,世界BOSS专属武器!C63)</f>
        <v>40</v>
      </c>
      <c r="E63" s="73">
        <f t="shared" ref="E63:E87" si="26">1/D63</f>
        <v>2.5000000000000001E-2</v>
      </c>
      <c r="F63" s="73">
        <f t="shared" ref="F63:F102" si="27">ROUND(E63/E$61*10000,0)</f>
        <v>745</v>
      </c>
      <c r="G63" s="74">
        <v>2</v>
      </c>
      <c r="H63" s="74">
        <v>4</v>
      </c>
      <c r="M63" s="45">
        <v>37</v>
      </c>
      <c r="N63" s="45"/>
      <c r="O63" s="45"/>
      <c r="P63" s="45">
        <v>15</v>
      </c>
      <c r="Q63" s="45">
        <f t="shared" si="20"/>
        <v>72.959999999999994</v>
      </c>
      <c r="R63" s="45">
        <v>10</v>
      </c>
      <c r="S63" s="45">
        <f t="shared" si="22"/>
        <v>32.67</v>
      </c>
      <c r="T63" s="45">
        <v>0.1</v>
      </c>
      <c r="U63" s="45"/>
      <c r="V63" s="49">
        <v>10000</v>
      </c>
      <c r="W63" s="49" t="s">
        <v>422</v>
      </c>
      <c r="X63" s="49" t="s">
        <v>423</v>
      </c>
      <c r="Y63" s="49">
        <v>4</v>
      </c>
      <c r="Z63" s="49">
        <v>6</v>
      </c>
      <c r="AA63" s="49"/>
      <c r="AB63" s="49"/>
      <c r="AC63" s="49">
        <f t="shared" si="19"/>
        <v>7.3</v>
      </c>
      <c r="AD63" s="49">
        <v>8</v>
      </c>
      <c r="AE63" s="49">
        <f t="shared" si="21"/>
        <v>3.3</v>
      </c>
      <c r="AF63" s="49">
        <v>3</v>
      </c>
      <c r="AG63" s="49">
        <v>30</v>
      </c>
      <c r="AH63" s="15">
        <f>INT(AI63*价值概述!$B$65*$O$18+AJ63*价值概述!$B$66*$P$18+AK63*价值概述!$B$67*$Q$18)</f>
        <v>560000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9">
        <v>0.5867</v>
      </c>
      <c r="AN63">
        <v>4</v>
      </c>
      <c r="AO63">
        <f>SUM(AN$27:AN63)</f>
        <v>88</v>
      </c>
    </row>
    <row r="64" spans="1:41" ht="16.5" x14ac:dyDescent="0.2">
      <c r="A64" s="115"/>
      <c r="B64" s="73" t="s">
        <v>620</v>
      </c>
      <c r="C64" s="73">
        <v>2</v>
      </c>
      <c r="D64" s="73">
        <f>INDEX(神器!$M$4:$M$7,世界BOSS专属武器!C64)</f>
        <v>120</v>
      </c>
      <c r="E64" s="73">
        <f t="shared" si="26"/>
        <v>8.3333333333333332E-3</v>
      </c>
      <c r="F64" s="73">
        <f t="shared" si="27"/>
        <v>248</v>
      </c>
      <c r="G64" s="74">
        <v>2</v>
      </c>
      <c r="H64" s="74">
        <v>4</v>
      </c>
      <c r="M64" s="45">
        <v>38</v>
      </c>
      <c r="N64" s="45"/>
      <c r="O64" s="45"/>
      <c r="P64" s="45">
        <v>15</v>
      </c>
      <c r="Q64" s="45">
        <f t="shared" si="20"/>
        <v>72.959999999999994</v>
      </c>
      <c r="R64" s="45">
        <v>10</v>
      </c>
      <c r="S64" s="45">
        <f t="shared" si="22"/>
        <v>32.67</v>
      </c>
      <c r="T64" s="45">
        <v>0.1</v>
      </c>
      <c r="U64" s="45"/>
      <c r="V64" s="49">
        <v>10000</v>
      </c>
      <c r="W64" s="49" t="s">
        <v>422</v>
      </c>
      <c r="X64" s="49" t="s">
        <v>423</v>
      </c>
      <c r="Y64" s="49">
        <v>4</v>
      </c>
      <c r="Z64" s="49">
        <v>6</v>
      </c>
      <c r="AA64" s="49"/>
      <c r="AB64" s="49"/>
      <c r="AC64" s="49">
        <f t="shared" si="19"/>
        <v>7.3</v>
      </c>
      <c r="AD64" s="49">
        <v>8</v>
      </c>
      <c r="AE64" s="49">
        <f t="shared" si="21"/>
        <v>3.3</v>
      </c>
      <c r="AF64" s="49">
        <v>3</v>
      </c>
      <c r="AG64" s="49">
        <v>30</v>
      </c>
      <c r="AH64" s="15">
        <f>INT(AI64*价值概述!$B$65*$O$18+AJ64*价值概述!$B$66*$P$18+AK64*价值概述!$B$67*$Q$18)</f>
        <v>560000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9">
        <v>0.61329999999999996</v>
      </c>
      <c r="AN64">
        <v>4</v>
      </c>
      <c r="AO64">
        <f>SUM(AN$27:AN64)</f>
        <v>92</v>
      </c>
    </row>
    <row r="65" spans="1:41" ht="16.5" x14ac:dyDescent="0.2">
      <c r="A65" s="115"/>
      <c r="B65" s="73" t="s">
        <v>621</v>
      </c>
      <c r="C65" s="73">
        <v>1</v>
      </c>
      <c r="D65" s="73">
        <f>INDEX(神器!$M$4:$M$7,世界BOSS专属武器!C65)</f>
        <v>40</v>
      </c>
      <c r="E65" s="73">
        <f t="shared" si="26"/>
        <v>2.5000000000000001E-2</v>
      </c>
      <c r="F65" s="73">
        <f t="shared" si="27"/>
        <v>745</v>
      </c>
      <c r="G65" s="74">
        <v>2</v>
      </c>
      <c r="H65" s="74">
        <v>4</v>
      </c>
      <c r="M65" s="45">
        <v>39</v>
      </c>
      <c r="N65" s="45"/>
      <c r="O65" s="45"/>
      <c r="P65" s="45">
        <v>15</v>
      </c>
      <c r="Q65" s="45">
        <f t="shared" si="20"/>
        <v>72.959999999999994</v>
      </c>
      <c r="R65" s="45">
        <v>10</v>
      </c>
      <c r="S65" s="45">
        <f t="shared" si="22"/>
        <v>32.67</v>
      </c>
      <c r="T65" s="45">
        <v>0.1</v>
      </c>
      <c r="U65" s="45"/>
      <c r="V65" s="49">
        <v>10000</v>
      </c>
      <c r="W65" s="49" t="s">
        <v>422</v>
      </c>
      <c r="X65" s="49" t="s">
        <v>423</v>
      </c>
      <c r="Y65" s="49">
        <v>4</v>
      </c>
      <c r="Z65" s="49">
        <v>6</v>
      </c>
      <c r="AA65" s="49"/>
      <c r="AB65" s="49"/>
      <c r="AC65" s="49">
        <f t="shared" si="19"/>
        <v>7.3</v>
      </c>
      <c r="AD65" s="49">
        <v>8</v>
      </c>
      <c r="AE65" s="49">
        <f t="shared" si="21"/>
        <v>3.3</v>
      </c>
      <c r="AF65" s="49">
        <v>3</v>
      </c>
      <c r="AG65" s="49">
        <v>30</v>
      </c>
      <c r="AH65" s="15">
        <f>INT(AI65*价值概述!$B$65*$O$18+AJ65*价值概述!$B$66*$P$18+AK65*价值概述!$B$67*$Q$18)</f>
        <v>560000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9">
        <v>0.64</v>
      </c>
      <c r="AN65">
        <v>4</v>
      </c>
      <c r="AO65">
        <f>SUM(AN$27:AN65)</f>
        <v>96</v>
      </c>
    </row>
    <row r="66" spans="1:41" ht="16.5" x14ac:dyDescent="0.2">
      <c r="A66" s="115"/>
      <c r="B66" s="73" t="s">
        <v>622</v>
      </c>
      <c r="C66" s="73">
        <v>1</v>
      </c>
      <c r="D66" s="73">
        <f>INDEX(神器!$M$4:$M$7,世界BOSS专属武器!C66)</f>
        <v>40</v>
      </c>
      <c r="E66" s="73">
        <f t="shared" si="26"/>
        <v>2.5000000000000001E-2</v>
      </c>
      <c r="F66" s="73">
        <f t="shared" si="27"/>
        <v>745</v>
      </c>
      <c r="G66" s="74">
        <v>2</v>
      </c>
      <c r="H66" s="74">
        <v>4</v>
      </c>
      <c r="M66" s="45">
        <v>40</v>
      </c>
      <c r="N66" s="45"/>
      <c r="O66" s="45"/>
      <c r="P66" s="45"/>
      <c r="Q66" s="45"/>
      <c r="R66" s="45">
        <v>11</v>
      </c>
      <c r="S66" s="45">
        <f t="shared" si="22"/>
        <v>35.94</v>
      </c>
      <c r="T66" s="49">
        <v>0.1</v>
      </c>
      <c r="U66" s="45"/>
      <c r="V66" s="49">
        <v>20000</v>
      </c>
      <c r="W66" s="49" t="s">
        <v>423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21"/>
        <v>3.6</v>
      </c>
      <c r="AF66" s="49">
        <v>5</v>
      </c>
      <c r="AG66" s="49">
        <v>35</v>
      </c>
      <c r="AH66" s="15">
        <f>INT(AI66*价值概述!$B$65*$O$18+AJ66*价值概述!$B$66*$P$18+AK66*价值概述!$B$67*$Q$18)</f>
        <v>500000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9">
        <v>0.66669999999999996</v>
      </c>
      <c r="AN66">
        <v>4</v>
      </c>
      <c r="AO66">
        <f>SUM(AN$27:AN66)</f>
        <v>100</v>
      </c>
    </row>
    <row r="67" spans="1:41" ht="16.5" x14ac:dyDescent="0.2">
      <c r="A67" s="115"/>
      <c r="B67" s="73" t="s">
        <v>623</v>
      </c>
      <c r="C67" s="73">
        <v>1</v>
      </c>
      <c r="D67" s="73">
        <f>INDEX(神器!$M$4:$M$7,世界BOSS专属武器!C67)</f>
        <v>40</v>
      </c>
      <c r="E67" s="73">
        <f t="shared" si="26"/>
        <v>2.5000000000000001E-2</v>
      </c>
      <c r="F67" s="73">
        <f t="shared" si="27"/>
        <v>745</v>
      </c>
      <c r="G67" s="74">
        <v>2</v>
      </c>
      <c r="H67" s="74">
        <v>4</v>
      </c>
      <c r="M67" s="45">
        <v>41</v>
      </c>
      <c r="N67" s="45"/>
      <c r="O67" s="45"/>
      <c r="P67" s="45"/>
      <c r="Q67" s="45"/>
      <c r="R67" s="45">
        <v>12</v>
      </c>
      <c r="S67" s="45">
        <f t="shared" si="22"/>
        <v>39.21</v>
      </c>
      <c r="T67" s="49">
        <v>0.1</v>
      </c>
      <c r="U67" s="45"/>
      <c r="V67" s="49">
        <v>20000</v>
      </c>
      <c r="W67" s="49" t="s">
        <v>423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21"/>
        <v>3.9</v>
      </c>
      <c r="AF67" s="49">
        <v>5</v>
      </c>
      <c r="AG67" s="49">
        <v>40</v>
      </c>
      <c r="AH67" s="15">
        <f>INT(AI67*价值概述!$B$65*$O$18+AJ67*价值概述!$B$66*$P$18+AK67*价值概述!$B$67*$Q$18)</f>
        <v>500000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9">
        <v>0.7</v>
      </c>
      <c r="AN67">
        <v>5</v>
      </c>
      <c r="AO67">
        <f>SUM(AN$27:AN67)</f>
        <v>105</v>
      </c>
    </row>
    <row r="68" spans="1:41" ht="16.5" x14ac:dyDescent="0.2">
      <c r="A68" s="115"/>
      <c r="B68" s="73" t="s">
        <v>624</v>
      </c>
      <c r="C68" s="73">
        <v>2</v>
      </c>
      <c r="D68" s="73">
        <f>INDEX(神器!$M$4:$M$7,世界BOSS专属武器!C68)</f>
        <v>120</v>
      </c>
      <c r="E68" s="73">
        <f t="shared" si="26"/>
        <v>8.3333333333333332E-3</v>
      </c>
      <c r="F68" s="73">
        <f t="shared" si="27"/>
        <v>248</v>
      </c>
      <c r="G68" s="74">
        <v>2</v>
      </c>
      <c r="H68" s="74">
        <v>4</v>
      </c>
      <c r="M68" s="45">
        <v>42</v>
      </c>
      <c r="N68" s="45"/>
      <c r="O68" s="45"/>
      <c r="P68" s="45"/>
      <c r="Q68" s="45"/>
      <c r="R68" s="45">
        <v>13</v>
      </c>
      <c r="S68" s="45">
        <f t="shared" si="22"/>
        <v>42.47</v>
      </c>
      <c r="T68" s="49">
        <v>0.1</v>
      </c>
      <c r="U68" s="45"/>
      <c r="V68" s="49">
        <v>20000</v>
      </c>
      <c r="W68" s="49" t="s">
        <v>423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21"/>
        <v>4.2</v>
      </c>
      <c r="AF68" s="49">
        <v>5</v>
      </c>
      <c r="AG68" s="49">
        <v>45</v>
      </c>
      <c r="AH68" s="15">
        <f>INT(AI68*价值概述!$B$65*$O$18+AJ68*价值概述!$B$66*$P$18+AK68*价值概述!$B$67*$Q$18)</f>
        <v>500000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9">
        <v>0.73329999999999995</v>
      </c>
      <c r="AN68">
        <v>5</v>
      </c>
      <c r="AO68">
        <f>SUM(AN$27:AN68)</f>
        <v>110</v>
      </c>
    </row>
    <row r="69" spans="1:41" ht="16.5" x14ac:dyDescent="0.2">
      <c r="A69" s="115"/>
      <c r="B69" s="73" t="s">
        <v>625</v>
      </c>
      <c r="C69" s="73">
        <v>3</v>
      </c>
      <c r="D69" s="73">
        <f>INDEX(神器!$M$4:$M$7,世界BOSS专属武器!C69)</f>
        <v>280</v>
      </c>
      <c r="E69" s="73">
        <f t="shared" si="26"/>
        <v>3.5714285714285713E-3</v>
      </c>
      <c r="F69" s="73">
        <f t="shared" si="27"/>
        <v>106</v>
      </c>
      <c r="G69" s="73">
        <v>1</v>
      </c>
      <c r="H69" s="73">
        <v>2</v>
      </c>
      <c r="M69" s="45">
        <v>43</v>
      </c>
      <c r="N69" s="45"/>
      <c r="O69" s="45"/>
      <c r="P69" s="45"/>
      <c r="Q69" s="45"/>
      <c r="R69" s="45">
        <v>14</v>
      </c>
      <c r="S69" s="45">
        <f t="shared" si="22"/>
        <v>45.74</v>
      </c>
      <c r="T69" s="49">
        <v>0.1</v>
      </c>
      <c r="U69" s="45"/>
      <c r="V69" s="49">
        <v>20000</v>
      </c>
      <c r="W69" s="49" t="s">
        <v>423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21"/>
        <v>4.5999999999999996</v>
      </c>
      <c r="AF69" s="49">
        <v>5</v>
      </c>
      <c r="AG69" s="49">
        <v>50</v>
      </c>
      <c r="AH69" s="15">
        <f>INT(AI69*价值概述!$B$65*$O$18+AJ69*价值概述!$B$66*$P$18+AK69*价值概述!$B$67*$Q$18)</f>
        <v>500000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9">
        <v>0.76670000000000005</v>
      </c>
      <c r="AN69">
        <v>5</v>
      </c>
      <c r="AO69">
        <f>SUM(AN$27:AN69)</f>
        <v>115</v>
      </c>
    </row>
    <row r="70" spans="1:41" ht="16.5" x14ac:dyDescent="0.2">
      <c r="A70" s="115"/>
      <c r="B70" s="73" t="s">
        <v>626</v>
      </c>
      <c r="C70" s="73">
        <v>1</v>
      </c>
      <c r="D70" s="73">
        <f>INDEX(神器!$M$4:$M$7,世界BOSS专属武器!C70)</f>
        <v>40</v>
      </c>
      <c r="E70" s="73">
        <f t="shared" si="26"/>
        <v>2.5000000000000001E-2</v>
      </c>
      <c r="F70" s="73">
        <f t="shared" si="27"/>
        <v>745</v>
      </c>
      <c r="G70" s="73">
        <v>2</v>
      </c>
      <c r="H70" s="73">
        <v>4</v>
      </c>
      <c r="M70" s="45">
        <v>44</v>
      </c>
      <c r="N70" s="45"/>
      <c r="O70" s="45"/>
      <c r="P70" s="45"/>
      <c r="Q70" s="45"/>
      <c r="R70" s="45">
        <v>15</v>
      </c>
      <c r="S70" s="45">
        <f t="shared" si="22"/>
        <v>49.01</v>
      </c>
      <c r="T70" s="49">
        <v>0.1</v>
      </c>
      <c r="U70" s="45"/>
      <c r="V70" s="49">
        <v>20000</v>
      </c>
      <c r="W70" s="49" t="s">
        <v>423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21"/>
        <v>4.9000000000000004</v>
      </c>
      <c r="AF70" s="49">
        <v>5</v>
      </c>
      <c r="AG70" s="49">
        <v>55</v>
      </c>
      <c r="AH70" s="15">
        <f>INT(AI70*价值概述!$B$65*$O$18+AJ70*价值概述!$B$66*$P$18+AK70*价值概述!$B$67*$Q$18)</f>
        <v>500000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9">
        <v>0.8</v>
      </c>
      <c r="AN70">
        <v>5</v>
      </c>
      <c r="AO70">
        <f>SUM(AN$27:AN70)</f>
        <v>120</v>
      </c>
    </row>
    <row r="71" spans="1:41" ht="16.5" x14ac:dyDescent="0.2">
      <c r="A71" s="115"/>
      <c r="B71" s="73" t="s">
        <v>627</v>
      </c>
      <c r="C71" s="73">
        <v>2</v>
      </c>
      <c r="D71" s="73">
        <f>INDEX(神器!$M$4:$M$7,世界BOSS专属武器!C71)</f>
        <v>120</v>
      </c>
      <c r="E71" s="73">
        <f t="shared" si="26"/>
        <v>8.3333333333333332E-3</v>
      </c>
      <c r="F71" s="73">
        <f t="shared" si="27"/>
        <v>248</v>
      </c>
      <c r="G71" s="73">
        <v>2</v>
      </c>
      <c r="H71" s="73">
        <v>4</v>
      </c>
      <c r="M71" s="45">
        <v>45</v>
      </c>
      <c r="N71" s="45"/>
      <c r="O71" s="45"/>
      <c r="P71" s="45"/>
      <c r="Q71" s="45"/>
      <c r="R71" s="45">
        <v>16</v>
      </c>
      <c r="S71" s="45">
        <f t="shared" si="22"/>
        <v>52.27</v>
      </c>
      <c r="T71" s="49">
        <v>0.1</v>
      </c>
      <c r="U71" s="45"/>
      <c r="V71" s="49">
        <v>20000</v>
      </c>
      <c r="W71" s="49" t="s">
        <v>423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21"/>
        <v>5.2</v>
      </c>
      <c r="AF71" s="49">
        <v>6</v>
      </c>
      <c r="AG71" s="49">
        <v>60</v>
      </c>
      <c r="AH71" s="15">
        <f>INT(AI71*价值概述!$B$65*$O$18+AJ71*价值概述!$B$66*$P$18+AK71*价值概述!$B$67*$Q$18)</f>
        <v>600000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9">
        <v>0.83330000000000004</v>
      </c>
      <c r="AN71">
        <v>5</v>
      </c>
      <c r="AO71">
        <f>SUM(AN$27:AN71)</f>
        <v>125</v>
      </c>
    </row>
    <row r="72" spans="1:41" ht="16.5" x14ac:dyDescent="0.2">
      <c r="A72" s="115"/>
      <c r="B72" s="73" t="s">
        <v>628</v>
      </c>
      <c r="C72" s="73">
        <v>2</v>
      </c>
      <c r="D72" s="73">
        <f>INDEX(神器!$M$4:$M$7,世界BOSS专属武器!C72)</f>
        <v>120</v>
      </c>
      <c r="E72" s="73">
        <f t="shared" si="26"/>
        <v>8.3333333333333332E-3</v>
      </c>
      <c r="F72" s="73">
        <f t="shared" si="27"/>
        <v>248</v>
      </c>
      <c r="G72" s="74">
        <v>2</v>
      </c>
      <c r="H72" s="74">
        <v>4</v>
      </c>
      <c r="M72" s="45">
        <v>46</v>
      </c>
      <c r="N72" s="45"/>
      <c r="O72" s="45"/>
      <c r="P72" s="45"/>
      <c r="Q72" s="45"/>
      <c r="R72" s="45">
        <v>17</v>
      </c>
      <c r="S72" s="45">
        <f t="shared" si="22"/>
        <v>55.54</v>
      </c>
      <c r="T72" s="49">
        <v>0.1</v>
      </c>
      <c r="U72" s="45"/>
      <c r="V72" s="49">
        <v>20000</v>
      </c>
      <c r="W72" s="49" t="s">
        <v>423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21"/>
        <v>5.6</v>
      </c>
      <c r="AF72" s="49">
        <v>7</v>
      </c>
      <c r="AG72" s="49">
        <v>70</v>
      </c>
      <c r="AH72" s="15">
        <f>INT(AI72*价值概述!$B$65*$O$18+AJ72*价值概述!$B$66*$P$18+AK72*价值概述!$B$67*$Q$18)</f>
        <v>700000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9">
        <v>0.86670000000000003</v>
      </c>
      <c r="AN72">
        <v>5</v>
      </c>
      <c r="AO72">
        <f>SUM(AN$27:AN72)</f>
        <v>130</v>
      </c>
    </row>
    <row r="73" spans="1:41" ht="16.5" x14ac:dyDescent="0.2">
      <c r="A73" s="115"/>
      <c r="B73" s="73" t="s">
        <v>629</v>
      </c>
      <c r="C73" s="73">
        <v>3</v>
      </c>
      <c r="D73" s="73">
        <f>INDEX(神器!$M$4:$M$7,世界BOSS专属武器!C73)</f>
        <v>280</v>
      </c>
      <c r="E73" s="73">
        <f t="shared" si="26"/>
        <v>3.5714285714285713E-3</v>
      </c>
      <c r="F73" s="73">
        <f t="shared" si="27"/>
        <v>106</v>
      </c>
      <c r="G73" s="74">
        <v>1</v>
      </c>
      <c r="H73" s="74">
        <v>2</v>
      </c>
      <c r="M73" s="45">
        <v>47</v>
      </c>
      <c r="N73" s="45"/>
      <c r="O73" s="45"/>
      <c r="P73" s="45"/>
      <c r="Q73" s="45"/>
      <c r="R73" s="45">
        <v>18</v>
      </c>
      <c r="S73" s="45">
        <f t="shared" si="22"/>
        <v>58.81</v>
      </c>
      <c r="T73" s="49">
        <v>0.1</v>
      </c>
      <c r="U73" s="45"/>
      <c r="V73" s="49">
        <v>20000</v>
      </c>
      <c r="W73" s="49" t="s">
        <v>423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21"/>
        <v>5.9</v>
      </c>
      <c r="AF73" s="49">
        <v>8</v>
      </c>
      <c r="AG73" s="49">
        <v>80</v>
      </c>
      <c r="AH73" s="15">
        <f>INT(AI73*价值概述!$B$65*$O$18+AJ73*价值概述!$B$66*$P$18+AK73*价值概述!$B$67*$Q$18)</f>
        <v>800000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9">
        <v>0.9</v>
      </c>
      <c r="AN73">
        <v>5</v>
      </c>
      <c r="AO73">
        <f>SUM(AN$27:AN73)</f>
        <v>135</v>
      </c>
    </row>
    <row r="74" spans="1:41" ht="16.5" x14ac:dyDescent="0.2">
      <c r="A74" s="115"/>
      <c r="B74" s="73" t="s">
        <v>630</v>
      </c>
      <c r="C74" s="73">
        <v>3</v>
      </c>
      <c r="D74" s="73">
        <f>INDEX(神器!$M$4:$M$7,世界BOSS专属武器!C74)</f>
        <v>280</v>
      </c>
      <c r="E74" s="73">
        <f t="shared" si="26"/>
        <v>3.5714285714285713E-3</v>
      </c>
      <c r="F74" s="73">
        <f t="shared" si="27"/>
        <v>106</v>
      </c>
      <c r="G74" s="74">
        <v>1</v>
      </c>
      <c r="H74" s="74">
        <v>2</v>
      </c>
      <c r="M74" s="45">
        <v>48</v>
      </c>
      <c r="N74" s="45"/>
      <c r="O74" s="45"/>
      <c r="P74" s="45"/>
      <c r="Q74" s="45"/>
      <c r="R74" s="45">
        <v>19</v>
      </c>
      <c r="S74" s="45">
        <f t="shared" si="22"/>
        <v>62.08</v>
      </c>
      <c r="T74" s="49">
        <v>0.1</v>
      </c>
      <c r="U74" s="45"/>
      <c r="V74" s="49">
        <v>20000</v>
      </c>
      <c r="W74" s="49" t="s">
        <v>423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21"/>
        <v>6.2</v>
      </c>
      <c r="AF74" s="49">
        <v>9</v>
      </c>
      <c r="AG74" s="49">
        <v>100</v>
      </c>
      <c r="AH74" s="15">
        <f>INT(AI74*价值概述!$B$65*$O$18+AJ74*价值概述!$B$66*$P$18+AK74*价值概述!$B$67*$Q$18)</f>
        <v>900000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9">
        <v>0.93330000000000002</v>
      </c>
      <c r="AN74">
        <v>5</v>
      </c>
      <c r="AO74">
        <f>SUM(AN$27:AN74)</f>
        <v>140</v>
      </c>
    </row>
    <row r="75" spans="1:41" ht="16.5" x14ac:dyDescent="0.2">
      <c r="A75" s="115"/>
      <c r="B75" s="73" t="s">
        <v>631</v>
      </c>
      <c r="C75" s="73">
        <v>4</v>
      </c>
      <c r="D75" s="73">
        <f>INDEX(神器!$M$4:$M$7,世界BOSS专属武器!C75)</f>
        <v>600</v>
      </c>
      <c r="E75" s="73">
        <f t="shared" si="26"/>
        <v>1.6666666666666668E-3</v>
      </c>
      <c r="F75" s="73">
        <f t="shared" si="27"/>
        <v>50</v>
      </c>
      <c r="G75" s="73">
        <v>1</v>
      </c>
      <c r="H75" s="73">
        <v>1</v>
      </c>
      <c r="M75" s="45">
        <v>49</v>
      </c>
      <c r="N75" s="45"/>
      <c r="O75" s="45"/>
      <c r="P75" s="45"/>
      <c r="Q75" s="45"/>
      <c r="R75" s="45">
        <v>20</v>
      </c>
      <c r="S75" s="45">
        <f t="shared" si="22"/>
        <v>65.34</v>
      </c>
      <c r="T75" s="49">
        <v>0.1</v>
      </c>
      <c r="U75" s="45"/>
      <c r="V75" s="49">
        <v>20000</v>
      </c>
      <c r="W75" s="49" t="s">
        <v>423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21"/>
        <v>6.5</v>
      </c>
      <c r="AF75" s="49">
        <v>10</v>
      </c>
      <c r="AG75" s="49">
        <v>120</v>
      </c>
      <c r="AH75" s="15">
        <f>INT(AI75*价值概述!$B$65*$O$18+AJ75*价值概述!$B$66*$P$18+AK75*价值概述!$B$67*$Q$18)</f>
        <v>1000000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9">
        <v>0.9667</v>
      </c>
      <c r="AN75">
        <v>5</v>
      </c>
      <c r="AO75">
        <f>SUM(AN$27:AN75)</f>
        <v>145</v>
      </c>
    </row>
    <row r="76" spans="1:41" ht="16.5" x14ac:dyDescent="0.2">
      <c r="A76" s="115"/>
      <c r="B76" s="73" t="s">
        <v>632</v>
      </c>
      <c r="C76" s="73">
        <v>1</v>
      </c>
      <c r="D76" s="73">
        <f>INDEX(神器!$M$4:$M$7,世界BOSS专属武器!C76)</f>
        <v>40</v>
      </c>
      <c r="E76" s="73">
        <f t="shared" si="26"/>
        <v>2.5000000000000001E-2</v>
      </c>
      <c r="F76" s="73">
        <f t="shared" si="27"/>
        <v>745</v>
      </c>
      <c r="G76" s="73">
        <v>2</v>
      </c>
      <c r="H76" s="73">
        <v>4</v>
      </c>
      <c r="M76" s="45">
        <v>50</v>
      </c>
      <c r="N76" s="45"/>
      <c r="O76" s="45"/>
      <c r="P76" s="45"/>
      <c r="Q76" s="45"/>
      <c r="R76" s="45">
        <v>22</v>
      </c>
      <c r="S76" s="45">
        <f t="shared" si="22"/>
        <v>71.88</v>
      </c>
      <c r="T76" s="49">
        <v>0.1</v>
      </c>
      <c r="U76" s="45"/>
      <c r="V76" s="49">
        <v>20000</v>
      </c>
      <c r="W76" s="49" t="s">
        <v>423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21"/>
        <v>7.2</v>
      </c>
      <c r="AF76" s="49">
        <v>15</v>
      </c>
      <c r="AG76" s="49">
        <v>150</v>
      </c>
      <c r="AH76" s="15">
        <f>INT(AI76*价值概述!$B$65*$O$18+AJ76*价值概述!$B$66*$P$18+AK76*价值概述!$B$67*$Q$18)</f>
        <v>1500000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9">
        <v>1</v>
      </c>
      <c r="AN76">
        <v>5</v>
      </c>
      <c r="AO76">
        <f>SUM(AN$27:AN76)</f>
        <v>150</v>
      </c>
    </row>
    <row r="77" spans="1:41" ht="16.5" x14ac:dyDescent="0.2">
      <c r="A77" s="115"/>
      <c r="B77" s="73" t="s">
        <v>633</v>
      </c>
      <c r="C77" s="73">
        <v>2</v>
      </c>
      <c r="D77" s="73">
        <f>INDEX(神器!$M$4:$M$7,世界BOSS专属武器!C77)</f>
        <v>120</v>
      </c>
      <c r="E77" s="73">
        <f t="shared" si="26"/>
        <v>8.3333333333333332E-3</v>
      </c>
      <c r="F77" s="73">
        <f t="shared" si="27"/>
        <v>248</v>
      </c>
      <c r="G77" s="74">
        <v>2</v>
      </c>
      <c r="H77" s="74">
        <v>4</v>
      </c>
    </row>
    <row r="78" spans="1:41" ht="16.5" x14ac:dyDescent="0.2">
      <c r="A78" s="115"/>
      <c r="B78" s="73" t="s">
        <v>634</v>
      </c>
      <c r="C78" s="73">
        <v>2</v>
      </c>
      <c r="D78" s="73">
        <f>INDEX(神器!$M$4:$M$7,世界BOSS专属武器!C78)</f>
        <v>120</v>
      </c>
      <c r="E78" s="73">
        <f t="shared" si="26"/>
        <v>8.3333333333333332E-3</v>
      </c>
      <c r="F78" s="73">
        <f t="shared" si="27"/>
        <v>248</v>
      </c>
      <c r="G78" s="74">
        <v>2</v>
      </c>
      <c r="H78" s="74">
        <v>4</v>
      </c>
    </row>
    <row r="79" spans="1:41" ht="17.25" x14ac:dyDescent="0.2">
      <c r="A79" s="115"/>
      <c r="B79" s="73" t="s">
        <v>635</v>
      </c>
      <c r="C79" s="73">
        <v>3</v>
      </c>
      <c r="D79" s="73">
        <f>INDEX(神器!$M$4:$M$7,世界BOSS专属武器!C79)</f>
        <v>280</v>
      </c>
      <c r="E79" s="73">
        <f t="shared" si="26"/>
        <v>3.5714285714285713E-3</v>
      </c>
      <c r="F79" s="73">
        <f t="shared" si="27"/>
        <v>106</v>
      </c>
      <c r="G79" s="74">
        <v>1</v>
      </c>
      <c r="H79" s="74">
        <v>2</v>
      </c>
      <c r="M79" s="12" t="s">
        <v>402</v>
      </c>
      <c r="N79" s="12" t="s">
        <v>406</v>
      </c>
      <c r="O79" s="12" t="s">
        <v>404</v>
      </c>
      <c r="P79" s="12" t="s">
        <v>407</v>
      </c>
      <c r="Q79" s="12" t="s">
        <v>405</v>
      </c>
      <c r="R79" s="12" t="s">
        <v>409</v>
      </c>
      <c r="S79" s="12" t="s">
        <v>410</v>
      </c>
      <c r="T79" s="12" t="s">
        <v>411</v>
      </c>
      <c r="U79" s="12" t="s">
        <v>412</v>
      </c>
      <c r="V79" s="12" t="s">
        <v>413</v>
      </c>
      <c r="W79" s="12" t="s">
        <v>414</v>
      </c>
      <c r="X79" s="12" t="s">
        <v>415</v>
      </c>
      <c r="Y79" s="12" t="s">
        <v>416</v>
      </c>
      <c r="Z79" s="12" t="s">
        <v>417</v>
      </c>
      <c r="AA79" s="12" t="s">
        <v>418</v>
      </c>
    </row>
    <row r="80" spans="1:41" ht="16.5" x14ac:dyDescent="0.2">
      <c r="A80" s="115"/>
      <c r="B80" s="73" t="s">
        <v>636</v>
      </c>
      <c r="C80" s="73">
        <v>3</v>
      </c>
      <c r="D80" s="73">
        <f>INDEX(神器!$M$4:$M$7,世界BOSS专属武器!C80)</f>
        <v>280</v>
      </c>
      <c r="E80" s="73">
        <f t="shared" si="26"/>
        <v>3.5714285714285713E-3</v>
      </c>
      <c r="F80" s="73">
        <f t="shared" si="27"/>
        <v>106</v>
      </c>
      <c r="G80" s="74">
        <v>1</v>
      </c>
      <c r="H80" s="74">
        <v>2</v>
      </c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408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15"/>
      <c r="B81" s="73" t="s">
        <v>637</v>
      </c>
      <c r="C81" s="73">
        <v>4</v>
      </c>
      <c r="D81" s="73">
        <f>INDEX(神器!$M$4:$M$7,世界BOSS专属武器!C81)</f>
        <v>600</v>
      </c>
      <c r="E81" s="73">
        <f t="shared" si="26"/>
        <v>1.6666666666666668E-3</v>
      </c>
      <c r="F81" s="73">
        <f t="shared" si="27"/>
        <v>50</v>
      </c>
      <c r="G81" s="73">
        <v>1</v>
      </c>
      <c r="H81" s="73">
        <v>1</v>
      </c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9" t="s">
        <v>408</v>
      </c>
      <c r="Q81" s="15">
        <f t="shared" ref="Q81:Q144" si="29">MOD(M81-1,51)</f>
        <v>1</v>
      </c>
      <c r="R81" s="49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15"/>
      <c r="B82" s="73" t="s">
        <v>638</v>
      </c>
      <c r="C82" s="73">
        <v>1</v>
      </c>
      <c r="D82" s="73">
        <f>INDEX(神器!$M$4:$M$7,世界BOSS专属武器!C82)</f>
        <v>40</v>
      </c>
      <c r="E82" s="73">
        <f t="shared" si="26"/>
        <v>2.5000000000000001E-2</v>
      </c>
      <c r="F82" s="73">
        <f t="shared" si="27"/>
        <v>745</v>
      </c>
      <c r="G82" s="73">
        <v>2</v>
      </c>
      <c r="H82" s="73">
        <v>4</v>
      </c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9" t="s">
        <v>408</v>
      </c>
      <c r="Q82" s="15">
        <f t="shared" si="29"/>
        <v>2</v>
      </c>
      <c r="R82" s="49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15"/>
      <c r="B83" s="73" t="s">
        <v>639</v>
      </c>
      <c r="C83" s="73">
        <v>2</v>
      </c>
      <c r="D83" s="73">
        <f>INDEX(神器!$M$4:$M$7,世界BOSS专属武器!C83)</f>
        <v>120</v>
      </c>
      <c r="E83" s="73">
        <f t="shared" si="26"/>
        <v>8.3333333333333332E-3</v>
      </c>
      <c r="F83" s="73">
        <f t="shared" si="27"/>
        <v>248</v>
      </c>
      <c r="G83" s="73">
        <v>2</v>
      </c>
      <c r="H83" s="73">
        <v>4</v>
      </c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9" t="s">
        <v>408</v>
      </c>
      <c r="Q83" s="15">
        <f t="shared" si="29"/>
        <v>3</v>
      </c>
      <c r="R83" s="49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15"/>
      <c r="B84" s="73" t="s">
        <v>640</v>
      </c>
      <c r="C84" s="73">
        <v>2</v>
      </c>
      <c r="D84" s="73">
        <f>INDEX(神器!$M$4:$M$7,世界BOSS专属武器!C84)</f>
        <v>120</v>
      </c>
      <c r="E84" s="73">
        <f t="shared" si="26"/>
        <v>8.3333333333333332E-3</v>
      </c>
      <c r="F84" s="73">
        <f t="shared" si="27"/>
        <v>248</v>
      </c>
      <c r="G84" s="74">
        <v>2</v>
      </c>
      <c r="H84" s="74">
        <v>4</v>
      </c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9" t="s">
        <v>408</v>
      </c>
      <c r="Q84" s="15">
        <f t="shared" si="29"/>
        <v>4</v>
      </c>
      <c r="R84" s="49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15"/>
      <c r="B85" s="73" t="s">
        <v>641</v>
      </c>
      <c r="C85" s="73">
        <v>3</v>
      </c>
      <c r="D85" s="73">
        <f>INDEX(神器!$M$4:$M$7,世界BOSS专属武器!C85)</f>
        <v>280</v>
      </c>
      <c r="E85" s="73">
        <f t="shared" si="26"/>
        <v>3.5714285714285713E-3</v>
      </c>
      <c r="F85" s="73">
        <f t="shared" si="27"/>
        <v>106</v>
      </c>
      <c r="G85" s="74">
        <v>1</v>
      </c>
      <c r="H85" s="74">
        <v>2</v>
      </c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9" t="s">
        <v>408</v>
      </c>
      <c r="Q85" s="15">
        <f t="shared" si="29"/>
        <v>5</v>
      </c>
      <c r="R85" s="49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15"/>
      <c r="B86" s="73" t="s">
        <v>642</v>
      </c>
      <c r="C86" s="73">
        <v>3</v>
      </c>
      <c r="D86" s="73">
        <f>INDEX(神器!$M$4:$M$7,世界BOSS专属武器!C86)</f>
        <v>280</v>
      </c>
      <c r="E86" s="73">
        <f t="shared" si="26"/>
        <v>3.5714285714285713E-3</v>
      </c>
      <c r="F86" s="73">
        <f t="shared" si="27"/>
        <v>106</v>
      </c>
      <c r="G86" s="74">
        <v>1</v>
      </c>
      <c r="H86" s="74">
        <v>2</v>
      </c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9" t="s">
        <v>408</v>
      </c>
      <c r="Q86" s="15">
        <f t="shared" si="29"/>
        <v>6</v>
      </c>
      <c r="R86" s="49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15"/>
      <c r="B87" s="73" t="s">
        <v>643</v>
      </c>
      <c r="C87" s="73">
        <v>4</v>
      </c>
      <c r="D87" s="73">
        <f>INDEX(神器!$M$4:$M$7,世界BOSS专属武器!C87)</f>
        <v>600</v>
      </c>
      <c r="E87" s="73">
        <f t="shared" si="26"/>
        <v>1.6666666666666668E-3</v>
      </c>
      <c r="F87" s="73">
        <f t="shared" si="27"/>
        <v>50</v>
      </c>
      <c r="G87" s="73">
        <v>1</v>
      </c>
      <c r="H87" s="73">
        <v>1</v>
      </c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9" t="s">
        <v>408</v>
      </c>
      <c r="Q87" s="15">
        <f t="shared" si="29"/>
        <v>7</v>
      </c>
      <c r="R87" s="49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15"/>
      <c r="B88" s="73" t="s">
        <v>644</v>
      </c>
      <c r="C88" s="73">
        <v>2</v>
      </c>
      <c r="D88" s="73">
        <f>INDEX(神器!$M$4:$M$7,世界BOSS专属武器!C88)</f>
        <v>120</v>
      </c>
      <c r="E88" s="73">
        <f>1/D88/2</f>
        <v>4.1666666666666666E-3</v>
      </c>
      <c r="F88" s="73">
        <f t="shared" si="27"/>
        <v>124</v>
      </c>
      <c r="G88" s="73">
        <v>1</v>
      </c>
      <c r="H88" s="73">
        <v>3</v>
      </c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9" t="s">
        <v>408</v>
      </c>
      <c r="Q88" s="15">
        <f t="shared" si="29"/>
        <v>8</v>
      </c>
      <c r="R88" s="49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15"/>
      <c r="B89" s="73" t="s">
        <v>645</v>
      </c>
      <c r="C89" s="73">
        <v>2</v>
      </c>
      <c r="D89" s="73">
        <f>INDEX(神器!$M$4:$M$7,世界BOSS专属武器!C89)</f>
        <v>120</v>
      </c>
      <c r="E89" s="73">
        <f t="shared" ref="E89:E103" si="40">1/D89/2</f>
        <v>4.1666666666666666E-3</v>
      </c>
      <c r="F89" s="73">
        <f t="shared" si="27"/>
        <v>124</v>
      </c>
      <c r="G89" s="74">
        <v>1</v>
      </c>
      <c r="H89" s="74">
        <v>3</v>
      </c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9" t="s">
        <v>408</v>
      </c>
      <c r="Q89" s="15">
        <f t="shared" si="29"/>
        <v>9</v>
      </c>
      <c r="R89" s="49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15"/>
      <c r="B90" s="73" t="s">
        <v>646</v>
      </c>
      <c r="C90" s="73">
        <v>2</v>
      </c>
      <c r="D90" s="73">
        <f>INDEX(神器!$M$4:$M$7,世界BOSS专属武器!C90)</f>
        <v>120</v>
      </c>
      <c r="E90" s="73">
        <f t="shared" si="40"/>
        <v>4.1666666666666666E-3</v>
      </c>
      <c r="F90" s="73">
        <f t="shared" si="27"/>
        <v>124</v>
      </c>
      <c r="G90" s="74">
        <v>1</v>
      </c>
      <c r="H90" s="74">
        <v>3</v>
      </c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9" t="s">
        <v>408</v>
      </c>
      <c r="Q90" s="15">
        <f t="shared" si="29"/>
        <v>10</v>
      </c>
      <c r="R90" s="49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15"/>
      <c r="B91" s="73" t="s">
        <v>647</v>
      </c>
      <c r="C91" s="73">
        <v>3</v>
      </c>
      <c r="D91" s="73">
        <f>INDEX(神器!$M$4:$M$7,世界BOSS专属武器!C91)</f>
        <v>280</v>
      </c>
      <c r="E91" s="73">
        <f t="shared" si="40"/>
        <v>1.7857142857142857E-3</v>
      </c>
      <c r="F91" s="73">
        <f t="shared" si="27"/>
        <v>53</v>
      </c>
      <c r="G91" s="73">
        <v>1</v>
      </c>
      <c r="H91" s="73">
        <v>2</v>
      </c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9" t="s">
        <v>408</v>
      </c>
      <c r="Q91" s="15">
        <f t="shared" si="29"/>
        <v>11</v>
      </c>
      <c r="R91" s="49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15"/>
      <c r="B92" s="73" t="s">
        <v>648</v>
      </c>
      <c r="C92" s="73">
        <v>3</v>
      </c>
      <c r="D92" s="73">
        <f>INDEX(神器!$M$4:$M$7,世界BOSS专属武器!C92)</f>
        <v>280</v>
      </c>
      <c r="E92" s="73">
        <f t="shared" si="40"/>
        <v>1.7857142857142857E-3</v>
      </c>
      <c r="F92" s="73">
        <f t="shared" si="27"/>
        <v>53</v>
      </c>
      <c r="G92" s="74">
        <v>1</v>
      </c>
      <c r="H92" s="74">
        <v>2</v>
      </c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9" t="s">
        <v>408</v>
      </c>
      <c r="Q92" s="15">
        <f t="shared" si="29"/>
        <v>12</v>
      </c>
      <c r="R92" s="49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15"/>
      <c r="B93" s="73" t="s">
        <v>649</v>
      </c>
      <c r="C93" s="73">
        <v>3</v>
      </c>
      <c r="D93" s="73">
        <f>INDEX(神器!$M$4:$M$7,世界BOSS专属武器!C93)</f>
        <v>280</v>
      </c>
      <c r="E93" s="73">
        <f t="shared" si="40"/>
        <v>1.7857142857142857E-3</v>
      </c>
      <c r="F93" s="73">
        <f t="shared" si="27"/>
        <v>53</v>
      </c>
      <c r="G93" s="74">
        <v>1</v>
      </c>
      <c r="H93" s="74">
        <v>2</v>
      </c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9" t="s">
        <v>408</v>
      </c>
      <c r="Q93" s="15">
        <f t="shared" si="29"/>
        <v>13</v>
      </c>
      <c r="R93" s="49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15"/>
      <c r="B94" s="73" t="s">
        <v>650</v>
      </c>
      <c r="C94" s="73">
        <v>4</v>
      </c>
      <c r="D94" s="73">
        <f>INDEX(神器!$M$4:$M$7,世界BOSS专属武器!C94)</f>
        <v>600</v>
      </c>
      <c r="E94" s="73">
        <f t="shared" si="40"/>
        <v>8.3333333333333339E-4</v>
      </c>
      <c r="F94" s="73">
        <f t="shared" si="27"/>
        <v>25</v>
      </c>
      <c r="G94" s="73">
        <v>1</v>
      </c>
      <c r="H94" s="73">
        <v>1</v>
      </c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9" t="s">
        <v>408</v>
      </c>
      <c r="Q94" s="15">
        <f t="shared" si="29"/>
        <v>14</v>
      </c>
      <c r="R94" s="49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15"/>
      <c r="B95" s="73" t="s">
        <v>651</v>
      </c>
      <c r="C95" s="73">
        <v>4</v>
      </c>
      <c r="D95" s="73">
        <f>INDEX(神器!$M$4:$M$7,世界BOSS专属武器!C95)</f>
        <v>600</v>
      </c>
      <c r="E95" s="73">
        <f t="shared" si="40"/>
        <v>8.3333333333333339E-4</v>
      </c>
      <c r="F95" s="73">
        <f t="shared" si="27"/>
        <v>25</v>
      </c>
      <c r="G95" s="74">
        <v>1</v>
      </c>
      <c r="H95" s="74">
        <v>1</v>
      </c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9" t="s">
        <v>408</v>
      </c>
      <c r="Q95" s="15">
        <f t="shared" si="29"/>
        <v>15</v>
      </c>
      <c r="R95" s="49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15"/>
      <c r="B96" s="73" t="s">
        <v>652</v>
      </c>
      <c r="C96" s="73">
        <v>2</v>
      </c>
      <c r="D96" s="73">
        <f>INDEX(神器!$M$4:$M$7,世界BOSS专属武器!C96)</f>
        <v>120</v>
      </c>
      <c r="E96" s="73">
        <f t="shared" si="40"/>
        <v>4.1666666666666666E-3</v>
      </c>
      <c r="F96" s="73">
        <f t="shared" si="27"/>
        <v>124</v>
      </c>
      <c r="G96" s="73">
        <v>1</v>
      </c>
      <c r="H96" s="73">
        <v>3</v>
      </c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9" t="s">
        <v>408</v>
      </c>
      <c r="Q96" s="15">
        <f t="shared" si="29"/>
        <v>16</v>
      </c>
      <c r="R96" s="49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15"/>
      <c r="B97" s="73" t="s">
        <v>653</v>
      </c>
      <c r="C97" s="73">
        <v>2</v>
      </c>
      <c r="D97" s="73">
        <f>INDEX(神器!$M$4:$M$7,世界BOSS专属武器!C97)</f>
        <v>120</v>
      </c>
      <c r="E97" s="73">
        <f t="shared" si="40"/>
        <v>4.1666666666666666E-3</v>
      </c>
      <c r="F97" s="73">
        <f t="shared" si="27"/>
        <v>124</v>
      </c>
      <c r="G97" s="74">
        <v>1</v>
      </c>
      <c r="H97" s="74">
        <v>3</v>
      </c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9" t="s">
        <v>408</v>
      </c>
      <c r="Q97" s="15">
        <f t="shared" si="29"/>
        <v>17</v>
      </c>
      <c r="R97" s="49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15"/>
      <c r="B98" s="73" t="s">
        <v>654</v>
      </c>
      <c r="C98" s="73">
        <v>2</v>
      </c>
      <c r="D98" s="73">
        <f>INDEX(神器!$M$4:$M$7,世界BOSS专属武器!C98)</f>
        <v>120</v>
      </c>
      <c r="E98" s="73">
        <f t="shared" si="40"/>
        <v>4.1666666666666666E-3</v>
      </c>
      <c r="F98" s="73">
        <f t="shared" si="27"/>
        <v>124</v>
      </c>
      <c r="G98" s="74">
        <v>1</v>
      </c>
      <c r="H98" s="74">
        <v>3</v>
      </c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9" t="s">
        <v>408</v>
      </c>
      <c r="Q98" s="15">
        <f t="shared" si="29"/>
        <v>18</v>
      </c>
      <c r="R98" s="49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15"/>
      <c r="B99" s="73" t="s">
        <v>655</v>
      </c>
      <c r="C99" s="73">
        <v>3</v>
      </c>
      <c r="D99" s="73">
        <f>INDEX(神器!$M$4:$M$7,世界BOSS专属武器!C99)</f>
        <v>280</v>
      </c>
      <c r="E99" s="73">
        <f t="shared" si="40"/>
        <v>1.7857142857142857E-3</v>
      </c>
      <c r="F99" s="73">
        <f t="shared" si="27"/>
        <v>53</v>
      </c>
      <c r="G99" s="73">
        <v>1</v>
      </c>
      <c r="H99" s="73">
        <v>2</v>
      </c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9" t="s">
        <v>408</v>
      </c>
      <c r="Q99" s="15">
        <f t="shared" si="29"/>
        <v>19</v>
      </c>
      <c r="R99" s="49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15"/>
      <c r="B100" s="73" t="s">
        <v>656</v>
      </c>
      <c r="C100" s="73">
        <v>3</v>
      </c>
      <c r="D100" s="73">
        <f>INDEX(神器!$M$4:$M$7,世界BOSS专属武器!C100)</f>
        <v>280</v>
      </c>
      <c r="E100" s="73">
        <f t="shared" si="40"/>
        <v>1.7857142857142857E-3</v>
      </c>
      <c r="F100" s="73">
        <f t="shared" si="27"/>
        <v>53</v>
      </c>
      <c r="G100" s="74">
        <v>1</v>
      </c>
      <c r="H100" s="74">
        <v>2</v>
      </c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9" t="s">
        <v>408</v>
      </c>
      <c r="Q100" s="15">
        <f t="shared" si="29"/>
        <v>20</v>
      </c>
      <c r="R100" s="49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15"/>
      <c r="B101" s="73" t="s">
        <v>657</v>
      </c>
      <c r="C101" s="73">
        <v>3</v>
      </c>
      <c r="D101" s="73">
        <f>INDEX(神器!$M$4:$M$7,世界BOSS专属武器!C101)</f>
        <v>280</v>
      </c>
      <c r="E101" s="73">
        <f t="shared" si="40"/>
        <v>1.7857142857142857E-3</v>
      </c>
      <c r="F101" s="73">
        <f t="shared" si="27"/>
        <v>53</v>
      </c>
      <c r="G101" s="74">
        <v>1</v>
      </c>
      <c r="H101" s="74">
        <v>2</v>
      </c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9" t="s">
        <v>408</v>
      </c>
      <c r="Q101" s="15">
        <f t="shared" si="29"/>
        <v>21</v>
      </c>
      <c r="R101" s="49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15"/>
      <c r="B102" s="73" t="s">
        <v>658</v>
      </c>
      <c r="C102" s="73">
        <v>4</v>
      </c>
      <c r="D102" s="73">
        <f>INDEX(神器!$M$4:$M$7,世界BOSS专属武器!C102)</f>
        <v>600</v>
      </c>
      <c r="E102" s="73">
        <f t="shared" si="40"/>
        <v>8.3333333333333339E-4</v>
      </c>
      <c r="F102" s="73">
        <f t="shared" si="27"/>
        <v>25</v>
      </c>
      <c r="G102" s="73">
        <v>1</v>
      </c>
      <c r="H102" s="73">
        <v>1</v>
      </c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9" t="s">
        <v>408</v>
      </c>
      <c r="Q102" s="15">
        <f t="shared" si="29"/>
        <v>22</v>
      </c>
      <c r="R102" s="49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15"/>
      <c r="B103" s="73" t="s">
        <v>659</v>
      </c>
      <c r="C103" s="73">
        <v>4</v>
      </c>
      <c r="D103" s="73">
        <f>INDEX(神器!$M$4:$M$7,世界BOSS专属武器!C103)</f>
        <v>600</v>
      </c>
      <c r="E103" s="73">
        <f t="shared" si="40"/>
        <v>8.3333333333333339E-4</v>
      </c>
      <c r="F103" s="73">
        <f>10000-SUM(F62:F102)</f>
        <v>27</v>
      </c>
      <c r="G103" s="74">
        <v>1</v>
      </c>
      <c r="H103" s="74">
        <v>1</v>
      </c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9" t="s">
        <v>408</v>
      </c>
      <c r="Q103" s="15">
        <f t="shared" si="29"/>
        <v>23</v>
      </c>
      <c r="R103" s="49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9" t="s">
        <v>408</v>
      </c>
      <c r="Q104" s="15">
        <f t="shared" si="29"/>
        <v>24</v>
      </c>
      <c r="R104" s="49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E105" s="58">
        <f>SUM(E106:E139)</f>
        <v>0.19047619047619047</v>
      </c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9" t="s">
        <v>408</v>
      </c>
      <c r="Q105" s="15">
        <f t="shared" si="29"/>
        <v>25</v>
      </c>
      <c r="R105" s="49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A106" s="115" t="s">
        <v>730</v>
      </c>
      <c r="B106" s="74" t="s">
        <v>626</v>
      </c>
      <c r="C106" s="74">
        <v>1</v>
      </c>
      <c r="D106" s="74">
        <f>INDEX(神器!$M$4:$M$7,世界BOSS专属武器!C106)</f>
        <v>40</v>
      </c>
      <c r="E106" s="74">
        <f t="shared" ref="E106:E123" si="41">1/D106</f>
        <v>2.5000000000000001E-2</v>
      </c>
      <c r="F106" s="74">
        <f>ROUND(E106/E$105*10000,0)</f>
        <v>1313</v>
      </c>
      <c r="G106" s="74">
        <v>2</v>
      </c>
      <c r="H106" s="74">
        <v>4</v>
      </c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9" t="s">
        <v>408</v>
      </c>
      <c r="Q106" s="15">
        <f t="shared" si="29"/>
        <v>26</v>
      </c>
      <c r="R106" s="49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A107" s="115"/>
      <c r="B107" s="74" t="s">
        <v>627</v>
      </c>
      <c r="C107" s="74">
        <v>2</v>
      </c>
      <c r="D107" s="74">
        <f>INDEX(神器!$M$4:$M$7,世界BOSS专属武器!C107)</f>
        <v>120</v>
      </c>
      <c r="E107" s="74">
        <f t="shared" si="41"/>
        <v>8.3333333333333332E-3</v>
      </c>
      <c r="F107" s="74">
        <f t="shared" ref="F107:F138" si="42">ROUND(E107/E$105*10000,0)</f>
        <v>438</v>
      </c>
      <c r="G107" s="74">
        <v>2</v>
      </c>
      <c r="H107" s="74">
        <v>4</v>
      </c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9" t="s">
        <v>408</v>
      </c>
      <c r="Q107" s="15">
        <f t="shared" si="29"/>
        <v>27</v>
      </c>
      <c r="R107" s="49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A108" s="115"/>
      <c r="B108" s="74" t="s">
        <v>628</v>
      </c>
      <c r="C108" s="74">
        <v>2</v>
      </c>
      <c r="D108" s="74">
        <f>INDEX(神器!$M$4:$M$7,世界BOSS专属武器!C108)</f>
        <v>120</v>
      </c>
      <c r="E108" s="74">
        <f t="shared" si="41"/>
        <v>8.3333333333333332E-3</v>
      </c>
      <c r="F108" s="74">
        <f t="shared" si="42"/>
        <v>438</v>
      </c>
      <c r="G108" s="74">
        <v>2</v>
      </c>
      <c r="H108" s="74">
        <v>4</v>
      </c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9" t="s">
        <v>408</v>
      </c>
      <c r="Q108" s="15">
        <f t="shared" si="29"/>
        <v>28</v>
      </c>
      <c r="R108" s="49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A109" s="115"/>
      <c r="B109" s="74" t="s">
        <v>629</v>
      </c>
      <c r="C109" s="74">
        <v>3</v>
      </c>
      <c r="D109" s="74">
        <f>INDEX(神器!$M$4:$M$7,世界BOSS专属武器!C109)</f>
        <v>280</v>
      </c>
      <c r="E109" s="74">
        <f t="shared" si="41"/>
        <v>3.5714285714285713E-3</v>
      </c>
      <c r="F109" s="74">
        <f t="shared" si="42"/>
        <v>188</v>
      </c>
      <c r="G109" s="74">
        <v>1</v>
      </c>
      <c r="H109" s="74">
        <v>2</v>
      </c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9" t="s">
        <v>408</v>
      </c>
      <c r="Q109" s="15">
        <f t="shared" si="29"/>
        <v>29</v>
      </c>
      <c r="R109" s="49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A110" s="115"/>
      <c r="B110" s="74" t="s">
        <v>630</v>
      </c>
      <c r="C110" s="74">
        <v>3</v>
      </c>
      <c r="D110" s="74">
        <f>INDEX(神器!$M$4:$M$7,世界BOSS专属武器!C110)</f>
        <v>280</v>
      </c>
      <c r="E110" s="74">
        <f t="shared" si="41"/>
        <v>3.5714285714285713E-3</v>
      </c>
      <c r="F110" s="74">
        <f t="shared" si="42"/>
        <v>188</v>
      </c>
      <c r="G110" s="74">
        <v>1</v>
      </c>
      <c r="H110" s="74">
        <v>2</v>
      </c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9" t="s">
        <v>408</v>
      </c>
      <c r="Q110" s="15">
        <f t="shared" si="29"/>
        <v>30</v>
      </c>
      <c r="R110" s="49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A111" s="115"/>
      <c r="B111" s="74" t="s">
        <v>631</v>
      </c>
      <c r="C111" s="74">
        <v>4</v>
      </c>
      <c r="D111" s="74">
        <f>INDEX(神器!$M$4:$M$7,世界BOSS专属武器!C111)</f>
        <v>600</v>
      </c>
      <c r="E111" s="74">
        <f t="shared" si="41"/>
        <v>1.6666666666666668E-3</v>
      </c>
      <c r="F111" s="74">
        <f t="shared" si="42"/>
        <v>88</v>
      </c>
      <c r="G111" s="74">
        <v>1</v>
      </c>
      <c r="H111" s="74">
        <v>1</v>
      </c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9" t="s">
        <v>408</v>
      </c>
      <c r="Q111" s="15">
        <f t="shared" si="29"/>
        <v>31</v>
      </c>
      <c r="R111" s="49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A112" s="115"/>
      <c r="B112" s="74" t="s">
        <v>632</v>
      </c>
      <c r="C112" s="74">
        <v>1</v>
      </c>
      <c r="D112" s="74">
        <f>INDEX(神器!$M$4:$M$7,世界BOSS专属武器!C112)</f>
        <v>40</v>
      </c>
      <c r="E112" s="74">
        <f t="shared" si="41"/>
        <v>2.5000000000000001E-2</v>
      </c>
      <c r="F112" s="74">
        <f t="shared" si="42"/>
        <v>1313</v>
      </c>
      <c r="G112" s="74">
        <v>2</v>
      </c>
      <c r="H112" s="74">
        <v>4</v>
      </c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9" t="s">
        <v>408</v>
      </c>
      <c r="Q112" s="15">
        <f t="shared" si="29"/>
        <v>32</v>
      </c>
      <c r="R112" s="49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:27" ht="16.5" x14ac:dyDescent="0.2">
      <c r="A113" s="115"/>
      <c r="B113" s="74" t="s">
        <v>633</v>
      </c>
      <c r="C113" s="74">
        <v>2</v>
      </c>
      <c r="D113" s="74">
        <f>INDEX(神器!$M$4:$M$7,世界BOSS专属武器!C113)</f>
        <v>120</v>
      </c>
      <c r="E113" s="74">
        <f t="shared" si="41"/>
        <v>8.3333333333333332E-3</v>
      </c>
      <c r="F113" s="74">
        <f t="shared" si="42"/>
        <v>438</v>
      </c>
      <c r="G113" s="74">
        <v>2</v>
      </c>
      <c r="H113" s="74">
        <v>4</v>
      </c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9" t="s">
        <v>408</v>
      </c>
      <c r="Q113" s="15">
        <f t="shared" si="29"/>
        <v>33</v>
      </c>
      <c r="R113" s="49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:27" ht="16.5" x14ac:dyDescent="0.2">
      <c r="A114" s="115"/>
      <c r="B114" s="74" t="s">
        <v>634</v>
      </c>
      <c r="C114" s="74">
        <v>2</v>
      </c>
      <c r="D114" s="74">
        <f>INDEX(神器!$M$4:$M$7,世界BOSS专属武器!C114)</f>
        <v>120</v>
      </c>
      <c r="E114" s="74">
        <f t="shared" si="41"/>
        <v>8.3333333333333332E-3</v>
      </c>
      <c r="F114" s="74">
        <f t="shared" si="42"/>
        <v>438</v>
      </c>
      <c r="G114" s="74">
        <v>2</v>
      </c>
      <c r="H114" s="74">
        <v>4</v>
      </c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9" t="s">
        <v>408</v>
      </c>
      <c r="Q114" s="15">
        <f t="shared" si="29"/>
        <v>34</v>
      </c>
      <c r="R114" s="49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:27" ht="16.5" x14ac:dyDescent="0.2">
      <c r="A115" s="115"/>
      <c r="B115" s="74" t="s">
        <v>635</v>
      </c>
      <c r="C115" s="74">
        <v>3</v>
      </c>
      <c r="D115" s="74">
        <f>INDEX(神器!$M$4:$M$7,世界BOSS专属武器!C115)</f>
        <v>280</v>
      </c>
      <c r="E115" s="74">
        <f t="shared" si="41"/>
        <v>3.5714285714285713E-3</v>
      </c>
      <c r="F115" s="74">
        <f t="shared" si="42"/>
        <v>188</v>
      </c>
      <c r="G115" s="74">
        <v>1</v>
      </c>
      <c r="H115" s="74">
        <v>2</v>
      </c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9" t="s">
        <v>408</v>
      </c>
      <c r="Q115" s="15">
        <f t="shared" si="29"/>
        <v>35</v>
      </c>
      <c r="R115" s="49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:27" ht="16.5" x14ac:dyDescent="0.2">
      <c r="A116" s="115"/>
      <c r="B116" s="74" t="s">
        <v>636</v>
      </c>
      <c r="C116" s="74">
        <v>3</v>
      </c>
      <c r="D116" s="74">
        <f>INDEX(神器!$M$4:$M$7,世界BOSS专属武器!C116)</f>
        <v>280</v>
      </c>
      <c r="E116" s="74">
        <f t="shared" si="41"/>
        <v>3.5714285714285713E-3</v>
      </c>
      <c r="F116" s="74">
        <f t="shared" si="42"/>
        <v>188</v>
      </c>
      <c r="G116" s="74">
        <v>1</v>
      </c>
      <c r="H116" s="74">
        <v>2</v>
      </c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9" t="s">
        <v>408</v>
      </c>
      <c r="Q116" s="15">
        <f t="shared" si="29"/>
        <v>36</v>
      </c>
      <c r="R116" s="49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:27" ht="16.5" x14ac:dyDescent="0.2">
      <c r="A117" s="115"/>
      <c r="B117" s="74" t="s">
        <v>637</v>
      </c>
      <c r="C117" s="74">
        <v>4</v>
      </c>
      <c r="D117" s="74">
        <f>INDEX(神器!$M$4:$M$7,世界BOSS专属武器!C117)</f>
        <v>600</v>
      </c>
      <c r="E117" s="74">
        <f t="shared" si="41"/>
        <v>1.6666666666666668E-3</v>
      </c>
      <c r="F117" s="74">
        <f t="shared" si="42"/>
        <v>88</v>
      </c>
      <c r="G117" s="74">
        <v>1</v>
      </c>
      <c r="H117" s="74">
        <v>1</v>
      </c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9" t="s">
        <v>408</v>
      </c>
      <c r="Q117" s="15">
        <f t="shared" si="29"/>
        <v>37</v>
      </c>
      <c r="R117" s="49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:27" ht="16.5" x14ac:dyDescent="0.2">
      <c r="A118" s="115"/>
      <c r="B118" s="74" t="s">
        <v>638</v>
      </c>
      <c r="C118" s="74">
        <v>1</v>
      </c>
      <c r="D118" s="74">
        <f>INDEX(神器!$M$4:$M$7,世界BOSS专属武器!C118)</f>
        <v>40</v>
      </c>
      <c r="E118" s="74">
        <f t="shared" si="41"/>
        <v>2.5000000000000001E-2</v>
      </c>
      <c r="F118" s="74">
        <f t="shared" si="42"/>
        <v>1313</v>
      </c>
      <c r="G118" s="74">
        <v>2</v>
      </c>
      <c r="H118" s="74">
        <v>4</v>
      </c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9" t="s">
        <v>408</v>
      </c>
      <c r="Q118" s="15">
        <f t="shared" si="29"/>
        <v>38</v>
      </c>
      <c r="R118" s="49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:27" ht="16.5" x14ac:dyDescent="0.2">
      <c r="A119" s="115"/>
      <c r="B119" s="74" t="s">
        <v>639</v>
      </c>
      <c r="C119" s="74">
        <v>2</v>
      </c>
      <c r="D119" s="74">
        <f>INDEX(神器!$M$4:$M$7,世界BOSS专属武器!C119)</f>
        <v>120</v>
      </c>
      <c r="E119" s="74">
        <f t="shared" si="41"/>
        <v>8.3333333333333332E-3</v>
      </c>
      <c r="F119" s="74">
        <f t="shared" si="42"/>
        <v>438</v>
      </c>
      <c r="G119" s="74">
        <v>2</v>
      </c>
      <c r="H119" s="74">
        <v>4</v>
      </c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9" t="s">
        <v>408</v>
      </c>
      <c r="Q119" s="15">
        <f t="shared" si="29"/>
        <v>39</v>
      </c>
      <c r="R119" s="49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:27" ht="16.5" x14ac:dyDescent="0.2">
      <c r="A120" s="115"/>
      <c r="B120" s="74" t="s">
        <v>640</v>
      </c>
      <c r="C120" s="74">
        <v>2</v>
      </c>
      <c r="D120" s="74">
        <f>INDEX(神器!$M$4:$M$7,世界BOSS专属武器!C120)</f>
        <v>120</v>
      </c>
      <c r="E120" s="74">
        <f t="shared" si="41"/>
        <v>8.3333333333333332E-3</v>
      </c>
      <c r="F120" s="74">
        <f t="shared" si="42"/>
        <v>438</v>
      </c>
      <c r="G120" s="74">
        <v>2</v>
      </c>
      <c r="H120" s="74">
        <v>4</v>
      </c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9" t="s">
        <v>408</v>
      </c>
      <c r="Q120" s="15">
        <f t="shared" si="29"/>
        <v>40</v>
      </c>
      <c r="R120" s="49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:27" ht="16.5" x14ac:dyDescent="0.2">
      <c r="A121" s="115"/>
      <c r="B121" s="74" t="s">
        <v>641</v>
      </c>
      <c r="C121" s="74">
        <v>3</v>
      </c>
      <c r="D121" s="74">
        <f>INDEX(神器!$M$4:$M$7,世界BOSS专属武器!C121)</f>
        <v>280</v>
      </c>
      <c r="E121" s="74">
        <f t="shared" si="41"/>
        <v>3.5714285714285713E-3</v>
      </c>
      <c r="F121" s="74">
        <f t="shared" si="42"/>
        <v>188</v>
      </c>
      <c r="G121" s="74">
        <v>1</v>
      </c>
      <c r="H121" s="74">
        <v>2</v>
      </c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9" t="s">
        <v>408</v>
      </c>
      <c r="Q121" s="15">
        <f t="shared" si="29"/>
        <v>41</v>
      </c>
      <c r="R121" s="49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:27" ht="16.5" x14ac:dyDescent="0.2">
      <c r="A122" s="115"/>
      <c r="B122" s="74" t="s">
        <v>642</v>
      </c>
      <c r="C122" s="74">
        <v>3</v>
      </c>
      <c r="D122" s="74">
        <f>INDEX(神器!$M$4:$M$7,世界BOSS专属武器!C122)</f>
        <v>280</v>
      </c>
      <c r="E122" s="74">
        <f t="shared" si="41"/>
        <v>3.5714285714285713E-3</v>
      </c>
      <c r="F122" s="74">
        <f t="shared" si="42"/>
        <v>188</v>
      </c>
      <c r="G122" s="74">
        <v>1</v>
      </c>
      <c r="H122" s="74">
        <v>2</v>
      </c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9" t="s">
        <v>408</v>
      </c>
      <c r="Q122" s="15">
        <f t="shared" si="29"/>
        <v>42</v>
      </c>
      <c r="R122" s="49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:27" ht="16.5" x14ac:dyDescent="0.2">
      <c r="A123" s="115"/>
      <c r="B123" s="74" t="s">
        <v>643</v>
      </c>
      <c r="C123" s="74">
        <v>4</v>
      </c>
      <c r="D123" s="74">
        <f>INDEX(神器!$M$4:$M$7,世界BOSS专属武器!C123)</f>
        <v>600</v>
      </c>
      <c r="E123" s="74">
        <f t="shared" si="41"/>
        <v>1.6666666666666668E-3</v>
      </c>
      <c r="F123" s="74">
        <f t="shared" si="42"/>
        <v>88</v>
      </c>
      <c r="G123" s="74">
        <v>1</v>
      </c>
      <c r="H123" s="74">
        <v>1</v>
      </c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9" t="s">
        <v>408</v>
      </c>
      <c r="Q123" s="15">
        <f t="shared" si="29"/>
        <v>43</v>
      </c>
      <c r="R123" s="49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:27" ht="16.5" x14ac:dyDescent="0.2">
      <c r="A124" s="115"/>
      <c r="B124" s="74" t="s">
        <v>644</v>
      </c>
      <c r="C124" s="74">
        <v>2</v>
      </c>
      <c r="D124" s="74">
        <f>INDEX(神器!$M$4:$M$7,世界BOSS专属武器!C124)</f>
        <v>120</v>
      </c>
      <c r="E124" s="74">
        <f>1/D124/2</f>
        <v>4.1666666666666666E-3</v>
      </c>
      <c r="F124" s="74">
        <f t="shared" si="42"/>
        <v>219</v>
      </c>
      <c r="G124" s="74">
        <v>1</v>
      </c>
      <c r="H124" s="74">
        <v>3</v>
      </c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9" t="s">
        <v>408</v>
      </c>
      <c r="Q124" s="15">
        <f t="shared" si="29"/>
        <v>44</v>
      </c>
      <c r="R124" s="49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:27" ht="16.5" x14ac:dyDescent="0.2">
      <c r="A125" s="115"/>
      <c r="B125" s="74" t="s">
        <v>645</v>
      </c>
      <c r="C125" s="74">
        <v>2</v>
      </c>
      <c r="D125" s="74">
        <f>INDEX(神器!$M$4:$M$7,世界BOSS专属武器!C125)</f>
        <v>120</v>
      </c>
      <c r="E125" s="74">
        <f t="shared" ref="E125:E139" si="43">1/D125/2</f>
        <v>4.1666666666666666E-3</v>
      </c>
      <c r="F125" s="74">
        <f t="shared" si="42"/>
        <v>219</v>
      </c>
      <c r="G125" s="74">
        <v>2</v>
      </c>
      <c r="H125" s="74">
        <v>4</v>
      </c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9" t="s">
        <v>408</v>
      </c>
      <c r="Q125" s="15">
        <f t="shared" si="29"/>
        <v>45</v>
      </c>
      <c r="R125" s="49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:27" ht="16.5" x14ac:dyDescent="0.2">
      <c r="A126" s="115"/>
      <c r="B126" s="74" t="s">
        <v>646</v>
      </c>
      <c r="C126" s="74">
        <v>2</v>
      </c>
      <c r="D126" s="74">
        <f>INDEX(神器!$M$4:$M$7,世界BOSS专属武器!C126)</f>
        <v>120</v>
      </c>
      <c r="E126" s="74">
        <f t="shared" si="43"/>
        <v>4.1666666666666666E-3</v>
      </c>
      <c r="F126" s="74">
        <f t="shared" si="42"/>
        <v>219</v>
      </c>
      <c r="G126" s="74">
        <v>2</v>
      </c>
      <c r="H126" s="74">
        <v>4</v>
      </c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9" t="s">
        <v>408</v>
      </c>
      <c r="Q126" s="15">
        <f t="shared" si="29"/>
        <v>46</v>
      </c>
      <c r="R126" s="49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:27" ht="16.5" x14ac:dyDescent="0.2">
      <c r="A127" s="115"/>
      <c r="B127" s="74" t="s">
        <v>647</v>
      </c>
      <c r="C127" s="74">
        <v>3</v>
      </c>
      <c r="D127" s="74">
        <f>INDEX(神器!$M$4:$M$7,世界BOSS专属武器!C127)</f>
        <v>280</v>
      </c>
      <c r="E127" s="74">
        <f t="shared" si="43"/>
        <v>1.7857142857142857E-3</v>
      </c>
      <c r="F127" s="74">
        <f t="shared" si="42"/>
        <v>94</v>
      </c>
      <c r="G127" s="74">
        <v>1</v>
      </c>
      <c r="H127" s="74">
        <v>2</v>
      </c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9" t="s">
        <v>408</v>
      </c>
      <c r="Q127" s="15">
        <f t="shared" si="29"/>
        <v>47</v>
      </c>
      <c r="R127" s="49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:27" ht="16.5" x14ac:dyDescent="0.2">
      <c r="A128" s="115"/>
      <c r="B128" s="74" t="s">
        <v>648</v>
      </c>
      <c r="C128" s="74">
        <v>3</v>
      </c>
      <c r="D128" s="74">
        <f>INDEX(神器!$M$4:$M$7,世界BOSS专属武器!C128)</f>
        <v>280</v>
      </c>
      <c r="E128" s="74">
        <f t="shared" si="43"/>
        <v>1.7857142857142857E-3</v>
      </c>
      <c r="F128" s="74">
        <f t="shared" si="42"/>
        <v>94</v>
      </c>
      <c r="G128" s="74">
        <v>1</v>
      </c>
      <c r="H128" s="74">
        <v>2</v>
      </c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9" t="s">
        <v>408</v>
      </c>
      <c r="Q128" s="15">
        <f t="shared" si="29"/>
        <v>48</v>
      </c>
      <c r="R128" s="49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:27" ht="16.5" x14ac:dyDescent="0.2">
      <c r="A129" s="115"/>
      <c r="B129" s="74" t="s">
        <v>649</v>
      </c>
      <c r="C129" s="74">
        <v>3</v>
      </c>
      <c r="D129" s="74">
        <f>INDEX(神器!$M$4:$M$7,世界BOSS专属武器!C129)</f>
        <v>280</v>
      </c>
      <c r="E129" s="74">
        <f t="shared" si="43"/>
        <v>1.7857142857142857E-3</v>
      </c>
      <c r="F129" s="74">
        <f t="shared" si="42"/>
        <v>94</v>
      </c>
      <c r="G129" s="74">
        <v>1</v>
      </c>
      <c r="H129" s="74">
        <v>2</v>
      </c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9" t="s">
        <v>408</v>
      </c>
      <c r="Q129" s="15">
        <f t="shared" si="29"/>
        <v>49</v>
      </c>
      <c r="R129" s="49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:27" ht="16.5" x14ac:dyDescent="0.2">
      <c r="A130" s="115"/>
      <c r="B130" s="74" t="s">
        <v>650</v>
      </c>
      <c r="C130" s="74">
        <v>4</v>
      </c>
      <c r="D130" s="74">
        <f>INDEX(神器!$M$4:$M$7,世界BOSS专属武器!C130)</f>
        <v>600</v>
      </c>
      <c r="E130" s="74">
        <f t="shared" si="43"/>
        <v>8.3333333333333339E-4</v>
      </c>
      <c r="F130" s="74">
        <f t="shared" si="42"/>
        <v>44</v>
      </c>
      <c r="G130" s="74">
        <v>1</v>
      </c>
      <c r="H130" s="74">
        <v>1</v>
      </c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9" t="s">
        <v>408</v>
      </c>
      <c r="Q130" s="15">
        <f t="shared" si="29"/>
        <v>50</v>
      </c>
      <c r="R130" s="49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:27" ht="16.5" x14ac:dyDescent="0.2">
      <c r="A131" s="115"/>
      <c r="B131" s="74" t="s">
        <v>651</v>
      </c>
      <c r="C131" s="74">
        <v>4</v>
      </c>
      <c r="D131" s="74">
        <f>INDEX(神器!$M$4:$M$7,世界BOSS专属武器!C131)</f>
        <v>600</v>
      </c>
      <c r="E131" s="74">
        <f t="shared" si="43"/>
        <v>8.3333333333333339E-4</v>
      </c>
      <c r="F131" s="74">
        <f t="shared" si="42"/>
        <v>44</v>
      </c>
      <c r="G131" s="74">
        <v>1</v>
      </c>
      <c r="H131" s="74">
        <v>1</v>
      </c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9" t="s">
        <v>408</v>
      </c>
      <c r="Q131" s="15">
        <f t="shared" si="29"/>
        <v>0</v>
      </c>
      <c r="R131" s="49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:27" ht="16.5" x14ac:dyDescent="0.2">
      <c r="A132" s="115"/>
      <c r="B132" s="74" t="s">
        <v>652</v>
      </c>
      <c r="C132" s="74">
        <v>2</v>
      </c>
      <c r="D132" s="74">
        <f>INDEX(神器!$M$4:$M$7,世界BOSS专属武器!C132)</f>
        <v>120</v>
      </c>
      <c r="E132" s="74">
        <f t="shared" si="43"/>
        <v>4.1666666666666666E-3</v>
      </c>
      <c r="F132" s="74">
        <f t="shared" si="42"/>
        <v>219</v>
      </c>
      <c r="G132" s="74">
        <v>2</v>
      </c>
      <c r="H132" s="74">
        <v>4</v>
      </c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9" t="s">
        <v>408</v>
      </c>
      <c r="Q132" s="15">
        <f t="shared" si="29"/>
        <v>1</v>
      </c>
      <c r="R132" s="49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:27" ht="16.5" x14ac:dyDescent="0.2">
      <c r="A133" s="115"/>
      <c r="B133" s="74" t="s">
        <v>653</v>
      </c>
      <c r="C133" s="74">
        <v>2</v>
      </c>
      <c r="D133" s="74">
        <f>INDEX(神器!$M$4:$M$7,世界BOSS专属武器!C133)</f>
        <v>120</v>
      </c>
      <c r="E133" s="74">
        <f t="shared" si="43"/>
        <v>4.1666666666666666E-3</v>
      </c>
      <c r="F133" s="74">
        <f t="shared" si="42"/>
        <v>219</v>
      </c>
      <c r="G133" s="74">
        <v>2</v>
      </c>
      <c r="H133" s="74">
        <v>4</v>
      </c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9" t="s">
        <v>408</v>
      </c>
      <c r="Q133" s="15">
        <f t="shared" si="29"/>
        <v>2</v>
      </c>
      <c r="R133" s="49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:27" ht="16.5" x14ac:dyDescent="0.2">
      <c r="A134" s="115"/>
      <c r="B134" s="74" t="s">
        <v>654</v>
      </c>
      <c r="C134" s="74">
        <v>2</v>
      </c>
      <c r="D134" s="74">
        <f>INDEX(神器!$M$4:$M$7,世界BOSS专属武器!C134)</f>
        <v>120</v>
      </c>
      <c r="E134" s="74">
        <f t="shared" si="43"/>
        <v>4.1666666666666666E-3</v>
      </c>
      <c r="F134" s="74">
        <f t="shared" si="42"/>
        <v>219</v>
      </c>
      <c r="G134" s="74">
        <v>2</v>
      </c>
      <c r="H134" s="74">
        <v>4</v>
      </c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9" t="s">
        <v>408</v>
      </c>
      <c r="Q134" s="15">
        <f t="shared" si="29"/>
        <v>3</v>
      </c>
      <c r="R134" s="49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:27" ht="16.5" x14ac:dyDescent="0.2">
      <c r="A135" s="115"/>
      <c r="B135" s="74" t="s">
        <v>655</v>
      </c>
      <c r="C135" s="74">
        <v>3</v>
      </c>
      <c r="D135" s="74">
        <f>INDEX(神器!$M$4:$M$7,世界BOSS专属武器!C135)</f>
        <v>280</v>
      </c>
      <c r="E135" s="74">
        <f t="shared" si="43"/>
        <v>1.7857142857142857E-3</v>
      </c>
      <c r="F135" s="74">
        <f t="shared" si="42"/>
        <v>94</v>
      </c>
      <c r="G135" s="74">
        <v>1</v>
      </c>
      <c r="H135" s="74">
        <v>2</v>
      </c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9" t="s">
        <v>408</v>
      </c>
      <c r="Q135" s="15">
        <f t="shared" si="29"/>
        <v>4</v>
      </c>
      <c r="R135" s="49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:27" ht="16.5" x14ac:dyDescent="0.2">
      <c r="A136" s="115"/>
      <c r="B136" s="74" t="s">
        <v>656</v>
      </c>
      <c r="C136" s="74">
        <v>3</v>
      </c>
      <c r="D136" s="74">
        <f>INDEX(神器!$M$4:$M$7,世界BOSS专属武器!C136)</f>
        <v>280</v>
      </c>
      <c r="E136" s="74">
        <f t="shared" si="43"/>
        <v>1.7857142857142857E-3</v>
      </c>
      <c r="F136" s="74">
        <f t="shared" si="42"/>
        <v>94</v>
      </c>
      <c r="G136" s="74">
        <v>1</v>
      </c>
      <c r="H136" s="74">
        <v>2</v>
      </c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9" t="s">
        <v>408</v>
      </c>
      <c r="Q136" s="15">
        <f t="shared" si="29"/>
        <v>5</v>
      </c>
      <c r="R136" s="49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:27" ht="16.5" x14ac:dyDescent="0.2">
      <c r="A137" s="115"/>
      <c r="B137" s="74" t="s">
        <v>657</v>
      </c>
      <c r="C137" s="74">
        <v>3</v>
      </c>
      <c r="D137" s="74">
        <f>INDEX(神器!$M$4:$M$7,世界BOSS专属武器!C137)</f>
        <v>280</v>
      </c>
      <c r="E137" s="74">
        <f t="shared" si="43"/>
        <v>1.7857142857142857E-3</v>
      </c>
      <c r="F137" s="74">
        <f t="shared" si="42"/>
        <v>94</v>
      </c>
      <c r="G137" s="74">
        <v>1</v>
      </c>
      <c r="H137" s="74">
        <v>2</v>
      </c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9" t="s">
        <v>408</v>
      </c>
      <c r="Q137" s="15">
        <f t="shared" si="29"/>
        <v>6</v>
      </c>
      <c r="R137" s="49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:27" ht="16.5" x14ac:dyDescent="0.2">
      <c r="A138" s="115"/>
      <c r="B138" s="74" t="s">
        <v>658</v>
      </c>
      <c r="C138" s="74">
        <v>4</v>
      </c>
      <c r="D138" s="74">
        <f>INDEX(神器!$M$4:$M$7,世界BOSS专属武器!C138)</f>
        <v>600</v>
      </c>
      <c r="E138" s="74">
        <f t="shared" si="43"/>
        <v>8.3333333333333339E-4</v>
      </c>
      <c r="F138" s="74">
        <f t="shared" si="42"/>
        <v>44</v>
      </c>
      <c r="G138" s="74">
        <v>1</v>
      </c>
      <c r="H138" s="74">
        <v>1</v>
      </c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9" t="s">
        <v>408</v>
      </c>
      <c r="Q138" s="15">
        <f t="shared" si="29"/>
        <v>7</v>
      </c>
      <c r="R138" s="49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:27" ht="16.5" x14ac:dyDescent="0.2">
      <c r="A139" s="115"/>
      <c r="B139" s="74" t="s">
        <v>659</v>
      </c>
      <c r="C139" s="74">
        <v>4</v>
      </c>
      <c r="D139" s="74">
        <f>INDEX(神器!$M$4:$M$7,世界BOSS专属武器!C139)</f>
        <v>600</v>
      </c>
      <c r="E139" s="74">
        <f t="shared" si="43"/>
        <v>8.3333333333333339E-4</v>
      </c>
      <c r="F139" s="74">
        <f>10000-SUM(F106:F138)</f>
        <v>31</v>
      </c>
      <c r="G139" s="74">
        <v>1</v>
      </c>
      <c r="H139" s="74">
        <v>1</v>
      </c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9" t="s">
        <v>408</v>
      </c>
      <c r="Q139" s="15">
        <f t="shared" si="29"/>
        <v>8</v>
      </c>
      <c r="R139" s="49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9" t="s">
        <v>408</v>
      </c>
      <c r="Q140" s="15">
        <f t="shared" si="29"/>
        <v>9</v>
      </c>
      <c r="R140" s="49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:27" ht="16.5" x14ac:dyDescent="0.2">
      <c r="E141" s="58">
        <f>SUM(E142:E175)</f>
        <v>0.22952380952380946</v>
      </c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9" t="s">
        <v>408</v>
      </c>
      <c r="Q141" s="15">
        <f t="shared" si="29"/>
        <v>10</v>
      </c>
      <c r="R141" s="49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:27" ht="16.5" x14ac:dyDescent="0.2">
      <c r="A142" s="115" t="s">
        <v>731</v>
      </c>
      <c r="B142" s="74" t="s">
        <v>626</v>
      </c>
      <c r="C142" s="74">
        <v>1</v>
      </c>
      <c r="D142" s="74">
        <f>INDEX(神器!$M$4:$M$7,世界BOSS专属武器!C142)</f>
        <v>40</v>
      </c>
      <c r="E142" s="74">
        <f t="shared" ref="E142:E175" si="44">1/D142</f>
        <v>2.5000000000000001E-2</v>
      </c>
      <c r="F142" s="74">
        <f>ROUND(E142/E$141*10000,0)</f>
        <v>1089</v>
      </c>
      <c r="G142" s="74">
        <v>2</v>
      </c>
      <c r="H142" s="74">
        <v>4</v>
      </c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9" t="s">
        <v>408</v>
      </c>
      <c r="Q142" s="15">
        <f t="shared" si="29"/>
        <v>11</v>
      </c>
      <c r="R142" s="49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:27" ht="16.5" x14ac:dyDescent="0.2">
      <c r="A143" s="115"/>
      <c r="B143" s="74" t="s">
        <v>627</v>
      </c>
      <c r="C143" s="74">
        <v>2</v>
      </c>
      <c r="D143" s="74">
        <f>INDEX(神器!$M$4:$M$7,世界BOSS专属武器!C143)</f>
        <v>120</v>
      </c>
      <c r="E143" s="74">
        <f t="shared" si="44"/>
        <v>8.3333333333333332E-3</v>
      </c>
      <c r="F143" s="74">
        <f t="shared" ref="F143:F174" si="45">ROUND(E143/E$141*10000,0)</f>
        <v>363</v>
      </c>
      <c r="G143" s="74">
        <v>2</v>
      </c>
      <c r="H143" s="74">
        <v>4</v>
      </c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9" t="s">
        <v>408</v>
      </c>
      <c r="Q143" s="15">
        <f t="shared" si="29"/>
        <v>12</v>
      </c>
      <c r="R143" s="49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:27" ht="16.5" x14ac:dyDescent="0.2">
      <c r="A144" s="115"/>
      <c r="B144" s="74" t="s">
        <v>628</v>
      </c>
      <c r="C144" s="74">
        <v>2</v>
      </c>
      <c r="D144" s="74">
        <f>INDEX(神器!$M$4:$M$7,世界BOSS专属武器!C144)</f>
        <v>120</v>
      </c>
      <c r="E144" s="74">
        <f t="shared" si="44"/>
        <v>8.3333333333333332E-3</v>
      </c>
      <c r="F144" s="74">
        <f t="shared" si="45"/>
        <v>363</v>
      </c>
      <c r="G144" s="74">
        <v>2</v>
      </c>
      <c r="H144" s="74">
        <v>4</v>
      </c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9" t="s">
        <v>408</v>
      </c>
      <c r="Q144" s="15">
        <f t="shared" si="29"/>
        <v>13</v>
      </c>
      <c r="R144" s="49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:27" ht="16.5" x14ac:dyDescent="0.2">
      <c r="A145" s="115"/>
      <c r="B145" s="74" t="s">
        <v>629</v>
      </c>
      <c r="C145" s="74">
        <v>3</v>
      </c>
      <c r="D145" s="74">
        <f>INDEX(神器!$M$4:$M$7,世界BOSS专属武器!C145)</f>
        <v>280</v>
      </c>
      <c r="E145" s="74">
        <f t="shared" si="44"/>
        <v>3.5714285714285713E-3</v>
      </c>
      <c r="F145" s="74">
        <f t="shared" si="45"/>
        <v>156</v>
      </c>
      <c r="G145" s="74">
        <v>1</v>
      </c>
      <c r="H145" s="74">
        <v>2</v>
      </c>
      <c r="M145" s="15">
        <v>66</v>
      </c>
      <c r="N145" s="15">
        <f t="shared" ref="N145:N208" si="46">INT((M145-1)/51)+1</f>
        <v>2</v>
      </c>
      <c r="O145" s="15">
        <f>INDEX(卡牌消耗!$H$13:$H$33,世界BOSS专属武器!N145)</f>
        <v>1501002</v>
      </c>
      <c r="P145" s="49" t="s">
        <v>408</v>
      </c>
      <c r="Q145" s="15">
        <f t="shared" ref="Q145:Q208" si="47">MOD(M145-1,51)</f>
        <v>14</v>
      </c>
      <c r="R145" s="49" t="str">
        <f t="shared" ref="R145:R208" si="48">IF(Q145&gt;0,"金币","[x]")</f>
        <v>金币</v>
      </c>
      <c r="S145" s="15">
        <f t="shared" ref="S145:S208" si="49">IF(Q145&gt;0,INDEX($V$27:$V$76,Q145),"[x]")</f>
        <v>1000</v>
      </c>
      <c r="T145" s="15" t="str">
        <f t="shared" ref="T145:T208" si="50">IF(Q145&gt;0,INDEX($W$27:$W$76,Q145),"[x]")</f>
        <v>低级专属强化石</v>
      </c>
      <c r="U145" s="15">
        <f t="shared" ref="U145:U208" si="51">IF(Q145&gt;0,INDEX($AA$27:$AF$76,Q145,INDEX($Y$27:$Y$76,Q145)),"[x]")</f>
        <v>7</v>
      </c>
      <c r="V145" s="15" t="str">
        <f t="shared" ref="V145:V208" si="52">IF(AND(Q145&gt;=20,Q145&lt;40),INDEX($X$27:$X$76,Q145),"[x]")</f>
        <v>[x]</v>
      </c>
      <c r="W145" s="15" t="str">
        <f t="shared" ref="W145:W208" si="53">IF(AND(Q145&gt;=20,Q145&lt;40),INDEX($AA$27:$AF$76,Q145,INDEX($Z$27:$Z$76,Q145)),"[x]")</f>
        <v>[x]</v>
      </c>
      <c r="X145" s="15">
        <f t="shared" ref="X145:X208" si="54">IF(Q145&gt;0,INDEX($T$27:$T$76,Q145),"[x]")</f>
        <v>0.27</v>
      </c>
      <c r="Y145" s="15">
        <f t="shared" ref="Y145:Y208" si="55">IF(Q145&gt;0,1,"[x]")</f>
        <v>1</v>
      </c>
      <c r="Z145" s="15">
        <f t="shared" ref="Z145:Z208" si="56">IF(Q145&gt;0,INDEX($AG$27:$AG$76,Q145),"[x]")</f>
        <v>7</v>
      </c>
      <c r="AA145" s="15">
        <f t="shared" ref="AA145:AA208" si="57">IF(Q145&gt;0,INDEX($AL$27:$AL$76,Q145),"[x]")</f>
        <v>0.12</v>
      </c>
    </row>
    <row r="146" spans="1:27" ht="16.5" x14ac:dyDescent="0.2">
      <c r="A146" s="115"/>
      <c r="B146" s="74" t="s">
        <v>630</v>
      </c>
      <c r="C146" s="74">
        <v>3</v>
      </c>
      <c r="D146" s="74">
        <f>INDEX(神器!$M$4:$M$7,世界BOSS专属武器!C146)</f>
        <v>280</v>
      </c>
      <c r="E146" s="74">
        <f t="shared" si="44"/>
        <v>3.5714285714285713E-3</v>
      </c>
      <c r="F146" s="74">
        <f t="shared" si="45"/>
        <v>156</v>
      </c>
      <c r="G146" s="74">
        <v>1</v>
      </c>
      <c r="H146" s="74">
        <v>2</v>
      </c>
      <c r="M146" s="15">
        <v>67</v>
      </c>
      <c r="N146" s="15">
        <f t="shared" si="46"/>
        <v>2</v>
      </c>
      <c r="O146" s="15">
        <f>INDEX(卡牌消耗!$H$13:$H$33,世界BOSS专属武器!N146)</f>
        <v>1501002</v>
      </c>
      <c r="P146" s="49" t="s">
        <v>408</v>
      </c>
      <c r="Q146" s="15">
        <f t="shared" si="47"/>
        <v>15</v>
      </c>
      <c r="R146" s="49" t="str">
        <f t="shared" si="48"/>
        <v>金币</v>
      </c>
      <c r="S146" s="15">
        <f t="shared" si="49"/>
        <v>1000</v>
      </c>
      <c r="T146" s="15" t="str">
        <f t="shared" si="50"/>
        <v>低级专属强化石</v>
      </c>
      <c r="U146" s="15">
        <f t="shared" si="51"/>
        <v>10</v>
      </c>
      <c r="V146" s="15" t="str">
        <f t="shared" si="52"/>
        <v>[x]</v>
      </c>
      <c r="W146" s="15" t="str">
        <f t="shared" si="53"/>
        <v>[x]</v>
      </c>
      <c r="X146" s="15">
        <f t="shared" si="54"/>
        <v>0.25</v>
      </c>
      <c r="Y146" s="15">
        <f t="shared" si="55"/>
        <v>1</v>
      </c>
      <c r="Z146" s="15">
        <f t="shared" si="56"/>
        <v>8</v>
      </c>
      <c r="AA146" s="15">
        <f t="shared" si="57"/>
        <v>0.1333</v>
      </c>
    </row>
    <row r="147" spans="1:27" ht="16.5" x14ac:dyDescent="0.2">
      <c r="A147" s="115"/>
      <c r="B147" s="74" t="s">
        <v>631</v>
      </c>
      <c r="C147" s="74">
        <v>4</v>
      </c>
      <c r="D147" s="74">
        <f>INDEX(神器!$M$4:$M$7,世界BOSS专属武器!C147)</f>
        <v>600</v>
      </c>
      <c r="E147" s="74">
        <f t="shared" si="44"/>
        <v>1.6666666666666668E-3</v>
      </c>
      <c r="F147" s="74">
        <f t="shared" si="45"/>
        <v>73</v>
      </c>
      <c r="G147" s="74">
        <v>1</v>
      </c>
      <c r="H147" s="74">
        <v>1</v>
      </c>
      <c r="M147" s="15">
        <v>68</v>
      </c>
      <c r="N147" s="15">
        <f t="shared" si="46"/>
        <v>2</v>
      </c>
      <c r="O147" s="15">
        <f>INDEX(卡牌消耗!$H$13:$H$33,世界BOSS专属武器!N147)</f>
        <v>1501002</v>
      </c>
      <c r="P147" s="49" t="s">
        <v>408</v>
      </c>
      <c r="Q147" s="15">
        <f t="shared" si="47"/>
        <v>16</v>
      </c>
      <c r="R147" s="49" t="str">
        <f t="shared" si="48"/>
        <v>金币</v>
      </c>
      <c r="S147" s="15">
        <f t="shared" si="49"/>
        <v>1000</v>
      </c>
      <c r="T147" s="15" t="str">
        <f t="shared" si="50"/>
        <v>低级专属强化石</v>
      </c>
      <c r="U147" s="15">
        <f t="shared" si="51"/>
        <v>10</v>
      </c>
      <c r="V147" s="15" t="str">
        <f t="shared" si="52"/>
        <v>[x]</v>
      </c>
      <c r="W147" s="15" t="str">
        <f t="shared" si="53"/>
        <v>[x]</v>
      </c>
      <c r="X147" s="15">
        <f t="shared" si="54"/>
        <v>0.23</v>
      </c>
      <c r="Y147" s="15">
        <f t="shared" si="55"/>
        <v>1</v>
      </c>
      <c r="Z147" s="15">
        <f t="shared" si="56"/>
        <v>9</v>
      </c>
      <c r="AA147" s="15">
        <f t="shared" si="57"/>
        <v>0.1467</v>
      </c>
    </row>
    <row r="148" spans="1:27" ht="16.5" x14ac:dyDescent="0.2">
      <c r="A148" s="115"/>
      <c r="B148" s="74" t="s">
        <v>632</v>
      </c>
      <c r="C148" s="74">
        <v>1</v>
      </c>
      <c r="D148" s="74">
        <f>INDEX(神器!$M$4:$M$7,世界BOSS专属武器!C148)</f>
        <v>40</v>
      </c>
      <c r="E148" s="74">
        <f t="shared" si="44"/>
        <v>2.5000000000000001E-2</v>
      </c>
      <c r="F148" s="74">
        <f t="shared" si="45"/>
        <v>1089</v>
      </c>
      <c r="G148" s="74">
        <v>2</v>
      </c>
      <c r="H148" s="74">
        <v>4</v>
      </c>
      <c r="M148" s="15">
        <v>69</v>
      </c>
      <c r="N148" s="15">
        <f t="shared" si="46"/>
        <v>2</v>
      </c>
      <c r="O148" s="15">
        <f>INDEX(卡牌消耗!$H$13:$H$33,世界BOSS专属武器!N148)</f>
        <v>1501002</v>
      </c>
      <c r="P148" s="49" t="s">
        <v>408</v>
      </c>
      <c r="Q148" s="15">
        <f t="shared" si="47"/>
        <v>17</v>
      </c>
      <c r="R148" s="49" t="str">
        <f t="shared" si="48"/>
        <v>金币</v>
      </c>
      <c r="S148" s="15">
        <f t="shared" si="49"/>
        <v>1000</v>
      </c>
      <c r="T148" s="15" t="str">
        <f t="shared" si="50"/>
        <v>低级专属强化石</v>
      </c>
      <c r="U148" s="15">
        <f t="shared" si="51"/>
        <v>10</v>
      </c>
      <c r="V148" s="15" t="str">
        <f t="shared" si="52"/>
        <v>[x]</v>
      </c>
      <c r="W148" s="15" t="str">
        <f t="shared" si="53"/>
        <v>[x]</v>
      </c>
      <c r="X148" s="15">
        <f t="shared" si="54"/>
        <v>0.21</v>
      </c>
      <c r="Y148" s="15">
        <f t="shared" si="55"/>
        <v>1</v>
      </c>
      <c r="Z148" s="15">
        <f t="shared" si="56"/>
        <v>10</v>
      </c>
      <c r="AA148" s="15">
        <f t="shared" si="57"/>
        <v>0.16</v>
      </c>
    </row>
    <row r="149" spans="1:27" ht="16.5" x14ac:dyDescent="0.2">
      <c r="A149" s="115"/>
      <c r="B149" s="74" t="s">
        <v>633</v>
      </c>
      <c r="C149" s="74">
        <v>2</v>
      </c>
      <c r="D149" s="74">
        <f>INDEX(神器!$M$4:$M$7,世界BOSS专属武器!C149)</f>
        <v>120</v>
      </c>
      <c r="E149" s="74">
        <f t="shared" si="44"/>
        <v>8.3333333333333332E-3</v>
      </c>
      <c r="F149" s="74">
        <f t="shared" si="45"/>
        <v>363</v>
      </c>
      <c r="G149" s="74">
        <v>2</v>
      </c>
      <c r="H149" s="74">
        <v>4</v>
      </c>
      <c r="M149" s="15">
        <v>70</v>
      </c>
      <c r="N149" s="15">
        <f t="shared" si="46"/>
        <v>2</v>
      </c>
      <c r="O149" s="15">
        <f>INDEX(卡牌消耗!$H$13:$H$33,世界BOSS专属武器!N149)</f>
        <v>1501002</v>
      </c>
      <c r="P149" s="49" t="s">
        <v>408</v>
      </c>
      <c r="Q149" s="15">
        <f t="shared" si="47"/>
        <v>18</v>
      </c>
      <c r="R149" s="49" t="str">
        <f t="shared" si="48"/>
        <v>金币</v>
      </c>
      <c r="S149" s="15">
        <f t="shared" si="49"/>
        <v>1000</v>
      </c>
      <c r="T149" s="15" t="str">
        <f t="shared" si="50"/>
        <v>低级专属强化石</v>
      </c>
      <c r="U149" s="15">
        <f t="shared" si="51"/>
        <v>10</v>
      </c>
      <c r="V149" s="15" t="str">
        <f t="shared" si="52"/>
        <v>[x]</v>
      </c>
      <c r="W149" s="15" t="str">
        <f t="shared" si="53"/>
        <v>[x]</v>
      </c>
      <c r="X149" s="15">
        <f t="shared" si="54"/>
        <v>0.19</v>
      </c>
      <c r="Y149" s="15">
        <f t="shared" si="55"/>
        <v>1</v>
      </c>
      <c r="Z149" s="15">
        <f t="shared" si="56"/>
        <v>11</v>
      </c>
      <c r="AA149" s="15">
        <f t="shared" si="57"/>
        <v>0.17330000000000001</v>
      </c>
    </row>
    <row r="150" spans="1:27" ht="16.5" x14ac:dyDescent="0.2">
      <c r="A150" s="115"/>
      <c r="B150" s="74" t="s">
        <v>634</v>
      </c>
      <c r="C150" s="74">
        <v>2</v>
      </c>
      <c r="D150" s="74">
        <f>INDEX(神器!$M$4:$M$7,世界BOSS专属武器!C150)</f>
        <v>120</v>
      </c>
      <c r="E150" s="74">
        <f t="shared" si="44"/>
        <v>8.3333333333333332E-3</v>
      </c>
      <c r="F150" s="74">
        <f t="shared" si="45"/>
        <v>363</v>
      </c>
      <c r="G150" s="74">
        <v>2</v>
      </c>
      <c r="H150" s="74">
        <v>4</v>
      </c>
      <c r="M150" s="15">
        <v>71</v>
      </c>
      <c r="N150" s="15">
        <f t="shared" si="46"/>
        <v>2</v>
      </c>
      <c r="O150" s="15">
        <f>INDEX(卡牌消耗!$H$13:$H$33,世界BOSS专属武器!N150)</f>
        <v>1501002</v>
      </c>
      <c r="P150" s="49" t="s">
        <v>408</v>
      </c>
      <c r="Q150" s="15">
        <f t="shared" si="47"/>
        <v>19</v>
      </c>
      <c r="R150" s="49" t="str">
        <f t="shared" si="48"/>
        <v>金币</v>
      </c>
      <c r="S150" s="15">
        <f t="shared" si="49"/>
        <v>1000</v>
      </c>
      <c r="T150" s="15" t="str">
        <f t="shared" si="50"/>
        <v>低级专属强化石</v>
      </c>
      <c r="U150" s="15">
        <f t="shared" si="51"/>
        <v>10</v>
      </c>
      <c r="V150" s="15" t="str">
        <f t="shared" si="52"/>
        <v>[x]</v>
      </c>
      <c r="W150" s="15" t="str">
        <f t="shared" si="53"/>
        <v>[x]</v>
      </c>
      <c r="X150" s="15">
        <f t="shared" si="54"/>
        <v>0.17</v>
      </c>
      <c r="Y150" s="15">
        <f t="shared" si="55"/>
        <v>1</v>
      </c>
      <c r="Z150" s="15">
        <f t="shared" si="56"/>
        <v>12</v>
      </c>
      <c r="AA150" s="15">
        <f t="shared" si="57"/>
        <v>0.1867</v>
      </c>
    </row>
    <row r="151" spans="1:27" ht="16.5" x14ac:dyDescent="0.2">
      <c r="A151" s="115"/>
      <c r="B151" s="74" t="s">
        <v>635</v>
      </c>
      <c r="C151" s="74">
        <v>3</v>
      </c>
      <c r="D151" s="74">
        <f>INDEX(神器!$M$4:$M$7,世界BOSS专属武器!C151)</f>
        <v>280</v>
      </c>
      <c r="E151" s="74">
        <f t="shared" si="44"/>
        <v>3.5714285714285713E-3</v>
      </c>
      <c r="F151" s="74">
        <f t="shared" si="45"/>
        <v>156</v>
      </c>
      <c r="G151" s="74">
        <v>1</v>
      </c>
      <c r="H151" s="74">
        <v>2</v>
      </c>
      <c r="M151" s="15">
        <v>72</v>
      </c>
      <c r="N151" s="15">
        <f t="shared" si="46"/>
        <v>2</v>
      </c>
      <c r="O151" s="15">
        <f>INDEX(卡牌消耗!$H$13:$H$33,世界BOSS专属武器!N151)</f>
        <v>1501002</v>
      </c>
      <c r="P151" s="49" t="s">
        <v>408</v>
      </c>
      <c r="Q151" s="15">
        <f t="shared" si="47"/>
        <v>20</v>
      </c>
      <c r="R151" s="49" t="str">
        <f t="shared" si="48"/>
        <v>金币</v>
      </c>
      <c r="S151" s="15">
        <f t="shared" si="49"/>
        <v>5000</v>
      </c>
      <c r="T151" s="15" t="str">
        <f t="shared" si="50"/>
        <v>低级专属强化石</v>
      </c>
      <c r="U151" s="15">
        <f t="shared" si="51"/>
        <v>15</v>
      </c>
      <c r="V151" s="15" t="str">
        <f t="shared" si="52"/>
        <v>中级专属强化石</v>
      </c>
      <c r="W151" s="15">
        <f t="shared" si="53"/>
        <v>7</v>
      </c>
      <c r="X151" s="15">
        <f t="shared" si="54"/>
        <v>0.15</v>
      </c>
      <c r="Y151" s="15">
        <f t="shared" si="55"/>
        <v>1</v>
      </c>
      <c r="Z151" s="15">
        <f t="shared" si="56"/>
        <v>15</v>
      </c>
      <c r="AA151" s="15">
        <f t="shared" si="57"/>
        <v>0.2</v>
      </c>
    </row>
    <row r="152" spans="1:27" ht="16.5" x14ac:dyDescent="0.2">
      <c r="A152" s="115"/>
      <c r="B152" s="74" t="s">
        <v>636</v>
      </c>
      <c r="C152" s="74">
        <v>3</v>
      </c>
      <c r="D152" s="74">
        <f>INDEX(神器!$M$4:$M$7,世界BOSS专属武器!C152)</f>
        <v>280</v>
      </c>
      <c r="E152" s="74">
        <f t="shared" si="44"/>
        <v>3.5714285714285713E-3</v>
      </c>
      <c r="F152" s="74">
        <f t="shared" si="45"/>
        <v>156</v>
      </c>
      <c r="G152" s="74">
        <v>1</v>
      </c>
      <c r="H152" s="74">
        <v>2</v>
      </c>
      <c r="M152" s="15">
        <v>73</v>
      </c>
      <c r="N152" s="15">
        <f t="shared" si="46"/>
        <v>2</v>
      </c>
      <c r="O152" s="15">
        <f>INDEX(卡牌消耗!$H$13:$H$33,世界BOSS专属武器!N152)</f>
        <v>1501002</v>
      </c>
      <c r="P152" s="49" t="s">
        <v>408</v>
      </c>
      <c r="Q152" s="15">
        <f t="shared" si="47"/>
        <v>21</v>
      </c>
      <c r="R152" s="49" t="str">
        <f t="shared" si="48"/>
        <v>金币</v>
      </c>
      <c r="S152" s="15">
        <f t="shared" si="49"/>
        <v>5000</v>
      </c>
      <c r="T152" s="15" t="str">
        <f t="shared" si="50"/>
        <v>低级专属强化石</v>
      </c>
      <c r="U152" s="15">
        <f t="shared" si="51"/>
        <v>15</v>
      </c>
      <c r="V152" s="15" t="str">
        <f t="shared" si="52"/>
        <v>中级专属强化石</v>
      </c>
      <c r="W152" s="15">
        <f t="shared" si="53"/>
        <v>7</v>
      </c>
      <c r="X152" s="15">
        <f t="shared" si="54"/>
        <v>0.15</v>
      </c>
      <c r="Y152" s="15">
        <f t="shared" si="55"/>
        <v>1</v>
      </c>
      <c r="Z152" s="15">
        <f t="shared" si="56"/>
        <v>15</v>
      </c>
      <c r="AA152" s="15">
        <f t="shared" si="57"/>
        <v>0.22</v>
      </c>
    </row>
    <row r="153" spans="1:27" ht="16.5" x14ac:dyDescent="0.2">
      <c r="A153" s="115"/>
      <c r="B153" s="74" t="s">
        <v>637</v>
      </c>
      <c r="C153" s="74">
        <v>4</v>
      </c>
      <c r="D153" s="74">
        <f>INDEX(神器!$M$4:$M$7,世界BOSS专属武器!C153)</f>
        <v>600</v>
      </c>
      <c r="E153" s="74">
        <f t="shared" si="44"/>
        <v>1.6666666666666668E-3</v>
      </c>
      <c r="F153" s="74">
        <f t="shared" si="45"/>
        <v>73</v>
      </c>
      <c r="G153" s="74">
        <v>1</v>
      </c>
      <c r="H153" s="74">
        <v>1</v>
      </c>
      <c r="M153" s="15">
        <v>74</v>
      </c>
      <c r="N153" s="15">
        <f t="shared" si="46"/>
        <v>2</v>
      </c>
      <c r="O153" s="15">
        <f>INDEX(卡牌消耗!$H$13:$H$33,世界BOSS专属武器!N153)</f>
        <v>1501002</v>
      </c>
      <c r="P153" s="49" t="s">
        <v>408</v>
      </c>
      <c r="Q153" s="15">
        <f t="shared" si="47"/>
        <v>22</v>
      </c>
      <c r="R153" s="49" t="str">
        <f t="shared" si="48"/>
        <v>金币</v>
      </c>
      <c r="S153" s="15">
        <f t="shared" si="49"/>
        <v>5000</v>
      </c>
      <c r="T153" s="15" t="str">
        <f t="shared" si="50"/>
        <v>低级专属强化石</v>
      </c>
      <c r="U153" s="15">
        <f t="shared" si="51"/>
        <v>15</v>
      </c>
      <c r="V153" s="15" t="str">
        <f t="shared" si="52"/>
        <v>中级专属强化石</v>
      </c>
      <c r="W153" s="15">
        <f t="shared" si="53"/>
        <v>7</v>
      </c>
      <c r="X153" s="15">
        <f t="shared" si="54"/>
        <v>0.15</v>
      </c>
      <c r="Y153" s="15">
        <f t="shared" si="55"/>
        <v>1</v>
      </c>
      <c r="Z153" s="15">
        <f t="shared" si="56"/>
        <v>15</v>
      </c>
      <c r="AA153" s="15">
        <f t="shared" si="57"/>
        <v>0.24</v>
      </c>
    </row>
    <row r="154" spans="1:27" ht="16.5" x14ac:dyDescent="0.2">
      <c r="A154" s="115"/>
      <c r="B154" s="74" t="s">
        <v>638</v>
      </c>
      <c r="C154" s="74">
        <v>1</v>
      </c>
      <c r="D154" s="74">
        <f>INDEX(神器!$M$4:$M$7,世界BOSS专属武器!C154)</f>
        <v>40</v>
      </c>
      <c r="E154" s="74">
        <f t="shared" si="44"/>
        <v>2.5000000000000001E-2</v>
      </c>
      <c r="F154" s="74">
        <f t="shared" si="45"/>
        <v>1089</v>
      </c>
      <c r="G154" s="74">
        <v>2</v>
      </c>
      <c r="H154" s="74">
        <v>4</v>
      </c>
      <c r="M154" s="15">
        <v>75</v>
      </c>
      <c r="N154" s="15">
        <f t="shared" si="46"/>
        <v>2</v>
      </c>
      <c r="O154" s="15">
        <f>INDEX(卡牌消耗!$H$13:$H$33,世界BOSS专属武器!N154)</f>
        <v>1501002</v>
      </c>
      <c r="P154" s="49" t="s">
        <v>408</v>
      </c>
      <c r="Q154" s="15">
        <f t="shared" si="47"/>
        <v>23</v>
      </c>
      <c r="R154" s="49" t="str">
        <f t="shared" si="48"/>
        <v>金币</v>
      </c>
      <c r="S154" s="15">
        <f t="shared" si="49"/>
        <v>5000</v>
      </c>
      <c r="T154" s="15" t="str">
        <f t="shared" si="50"/>
        <v>低级专属强化石</v>
      </c>
      <c r="U154" s="15">
        <f t="shared" si="51"/>
        <v>15</v>
      </c>
      <c r="V154" s="15" t="str">
        <f t="shared" si="52"/>
        <v>中级专属强化石</v>
      </c>
      <c r="W154" s="15">
        <f t="shared" si="53"/>
        <v>7</v>
      </c>
      <c r="X154" s="15">
        <f t="shared" si="54"/>
        <v>0.15</v>
      </c>
      <c r="Y154" s="15">
        <f t="shared" si="55"/>
        <v>1</v>
      </c>
      <c r="Z154" s="15">
        <f t="shared" si="56"/>
        <v>18</v>
      </c>
      <c r="AA154" s="15">
        <f t="shared" si="57"/>
        <v>0.26</v>
      </c>
    </row>
    <row r="155" spans="1:27" ht="16.5" x14ac:dyDescent="0.2">
      <c r="A155" s="115"/>
      <c r="B155" s="74" t="s">
        <v>639</v>
      </c>
      <c r="C155" s="74">
        <v>2</v>
      </c>
      <c r="D155" s="74">
        <f>INDEX(神器!$M$4:$M$7,世界BOSS专属武器!C155)</f>
        <v>120</v>
      </c>
      <c r="E155" s="74">
        <f t="shared" si="44"/>
        <v>8.3333333333333332E-3</v>
      </c>
      <c r="F155" s="74">
        <f t="shared" si="45"/>
        <v>363</v>
      </c>
      <c r="G155" s="74">
        <v>2</v>
      </c>
      <c r="H155" s="74">
        <v>4</v>
      </c>
      <c r="M155" s="15">
        <v>76</v>
      </c>
      <c r="N155" s="15">
        <f t="shared" si="46"/>
        <v>2</v>
      </c>
      <c r="O155" s="15">
        <f>INDEX(卡牌消耗!$H$13:$H$33,世界BOSS专属武器!N155)</f>
        <v>1501002</v>
      </c>
      <c r="P155" s="49" t="s">
        <v>408</v>
      </c>
      <c r="Q155" s="15">
        <f t="shared" si="47"/>
        <v>24</v>
      </c>
      <c r="R155" s="49" t="str">
        <f t="shared" si="48"/>
        <v>金币</v>
      </c>
      <c r="S155" s="15">
        <f t="shared" si="49"/>
        <v>5000</v>
      </c>
      <c r="T155" s="15" t="str">
        <f t="shared" si="50"/>
        <v>低级专属强化石</v>
      </c>
      <c r="U155" s="15">
        <f t="shared" si="51"/>
        <v>15</v>
      </c>
      <c r="V155" s="15" t="str">
        <f t="shared" si="52"/>
        <v>中级专属强化石</v>
      </c>
      <c r="W155" s="15">
        <f t="shared" si="53"/>
        <v>7</v>
      </c>
      <c r="X155" s="15">
        <f t="shared" si="54"/>
        <v>0.15</v>
      </c>
      <c r="Y155" s="15">
        <f t="shared" si="55"/>
        <v>1</v>
      </c>
      <c r="Z155" s="15">
        <f t="shared" si="56"/>
        <v>18</v>
      </c>
      <c r="AA155" s="15">
        <f t="shared" si="57"/>
        <v>0.28000000000000003</v>
      </c>
    </row>
    <row r="156" spans="1:27" ht="16.5" x14ac:dyDescent="0.2">
      <c r="A156" s="115"/>
      <c r="B156" s="74" t="s">
        <v>640</v>
      </c>
      <c r="C156" s="74">
        <v>2</v>
      </c>
      <c r="D156" s="74">
        <f>INDEX(神器!$M$4:$M$7,世界BOSS专属武器!C156)</f>
        <v>120</v>
      </c>
      <c r="E156" s="74">
        <f t="shared" si="44"/>
        <v>8.3333333333333332E-3</v>
      </c>
      <c r="F156" s="74">
        <f t="shared" si="45"/>
        <v>363</v>
      </c>
      <c r="G156" s="74">
        <v>2</v>
      </c>
      <c r="H156" s="74">
        <v>4</v>
      </c>
      <c r="M156" s="15">
        <v>77</v>
      </c>
      <c r="N156" s="15">
        <f t="shared" si="46"/>
        <v>2</v>
      </c>
      <c r="O156" s="15">
        <f>INDEX(卡牌消耗!$H$13:$H$33,世界BOSS专属武器!N156)</f>
        <v>1501002</v>
      </c>
      <c r="P156" s="49" t="s">
        <v>408</v>
      </c>
      <c r="Q156" s="15">
        <f t="shared" si="47"/>
        <v>25</v>
      </c>
      <c r="R156" s="49" t="str">
        <f t="shared" si="48"/>
        <v>金币</v>
      </c>
      <c r="S156" s="15">
        <f t="shared" si="49"/>
        <v>5000</v>
      </c>
      <c r="T156" s="15" t="str">
        <f t="shared" si="50"/>
        <v>低级专属强化石</v>
      </c>
      <c r="U156" s="15">
        <f t="shared" si="51"/>
        <v>15</v>
      </c>
      <c r="V156" s="15" t="str">
        <f t="shared" si="52"/>
        <v>中级专属强化石</v>
      </c>
      <c r="W156" s="15">
        <f t="shared" si="53"/>
        <v>7</v>
      </c>
      <c r="X156" s="15">
        <f t="shared" si="54"/>
        <v>0.15</v>
      </c>
      <c r="Y156" s="15">
        <f t="shared" si="55"/>
        <v>1</v>
      </c>
      <c r="Z156" s="15">
        <f t="shared" si="56"/>
        <v>18</v>
      </c>
      <c r="AA156" s="15">
        <f t="shared" si="57"/>
        <v>0.3</v>
      </c>
    </row>
    <row r="157" spans="1:27" ht="16.5" x14ac:dyDescent="0.2">
      <c r="A157" s="115"/>
      <c r="B157" s="74" t="s">
        <v>641</v>
      </c>
      <c r="C157" s="74">
        <v>3</v>
      </c>
      <c r="D157" s="74">
        <f>INDEX(神器!$M$4:$M$7,世界BOSS专属武器!C157)</f>
        <v>280</v>
      </c>
      <c r="E157" s="74">
        <f t="shared" si="44"/>
        <v>3.5714285714285713E-3</v>
      </c>
      <c r="F157" s="74">
        <f t="shared" si="45"/>
        <v>156</v>
      </c>
      <c r="G157" s="74">
        <v>1</v>
      </c>
      <c r="H157" s="74">
        <v>2</v>
      </c>
      <c r="M157" s="15">
        <v>78</v>
      </c>
      <c r="N157" s="15">
        <f t="shared" si="46"/>
        <v>2</v>
      </c>
      <c r="O157" s="15">
        <f>INDEX(卡牌消耗!$H$13:$H$33,世界BOSS专属武器!N157)</f>
        <v>1501002</v>
      </c>
      <c r="P157" s="49" t="s">
        <v>408</v>
      </c>
      <c r="Q157" s="15">
        <f t="shared" si="47"/>
        <v>26</v>
      </c>
      <c r="R157" s="49" t="str">
        <f t="shared" si="48"/>
        <v>金币</v>
      </c>
      <c r="S157" s="15">
        <f t="shared" si="49"/>
        <v>5000</v>
      </c>
      <c r="T157" s="15" t="str">
        <f t="shared" si="50"/>
        <v>低级专属强化石</v>
      </c>
      <c r="U157" s="15">
        <f t="shared" si="51"/>
        <v>15</v>
      </c>
      <c r="V157" s="15" t="str">
        <f t="shared" si="52"/>
        <v>中级专属强化石</v>
      </c>
      <c r="W157" s="15">
        <f t="shared" si="53"/>
        <v>7</v>
      </c>
      <c r="X157" s="15">
        <f t="shared" si="54"/>
        <v>0.15</v>
      </c>
      <c r="Y157" s="15">
        <f t="shared" si="55"/>
        <v>1</v>
      </c>
      <c r="Z157" s="15">
        <f t="shared" si="56"/>
        <v>21</v>
      </c>
      <c r="AA157" s="15">
        <f t="shared" si="57"/>
        <v>0.32</v>
      </c>
    </row>
    <row r="158" spans="1:27" ht="16.5" x14ac:dyDescent="0.2">
      <c r="A158" s="115"/>
      <c r="B158" s="74" t="s">
        <v>642</v>
      </c>
      <c r="C158" s="74">
        <v>3</v>
      </c>
      <c r="D158" s="74">
        <f>INDEX(神器!$M$4:$M$7,世界BOSS专属武器!C158)</f>
        <v>280</v>
      </c>
      <c r="E158" s="74">
        <f t="shared" si="44"/>
        <v>3.5714285714285713E-3</v>
      </c>
      <c r="F158" s="74">
        <f t="shared" si="45"/>
        <v>156</v>
      </c>
      <c r="G158" s="74">
        <v>1</v>
      </c>
      <c r="H158" s="74">
        <v>2</v>
      </c>
      <c r="M158" s="15">
        <v>79</v>
      </c>
      <c r="N158" s="15">
        <f t="shared" si="46"/>
        <v>2</v>
      </c>
      <c r="O158" s="15">
        <f>INDEX(卡牌消耗!$H$13:$H$33,世界BOSS专属武器!N158)</f>
        <v>1501002</v>
      </c>
      <c r="P158" s="49" t="s">
        <v>408</v>
      </c>
      <c r="Q158" s="15">
        <f t="shared" si="47"/>
        <v>27</v>
      </c>
      <c r="R158" s="49" t="str">
        <f t="shared" si="48"/>
        <v>金币</v>
      </c>
      <c r="S158" s="15">
        <f t="shared" si="49"/>
        <v>5000</v>
      </c>
      <c r="T158" s="15" t="str">
        <f t="shared" si="50"/>
        <v>低级专属强化石</v>
      </c>
      <c r="U158" s="15">
        <f t="shared" si="51"/>
        <v>15</v>
      </c>
      <c r="V158" s="15" t="str">
        <f t="shared" si="52"/>
        <v>中级专属强化石</v>
      </c>
      <c r="W158" s="15">
        <f t="shared" si="53"/>
        <v>7</v>
      </c>
      <c r="X158" s="15">
        <f t="shared" si="54"/>
        <v>0.15</v>
      </c>
      <c r="Y158" s="15">
        <f t="shared" si="55"/>
        <v>1</v>
      </c>
      <c r="Z158" s="15">
        <f t="shared" si="56"/>
        <v>22</v>
      </c>
      <c r="AA158" s="15">
        <f t="shared" si="57"/>
        <v>0.34</v>
      </c>
    </row>
    <row r="159" spans="1:27" ht="16.5" x14ac:dyDescent="0.2">
      <c r="A159" s="115"/>
      <c r="B159" s="74" t="s">
        <v>643</v>
      </c>
      <c r="C159" s="74">
        <v>4</v>
      </c>
      <c r="D159" s="74">
        <f>INDEX(神器!$M$4:$M$7,世界BOSS专属武器!C159)</f>
        <v>600</v>
      </c>
      <c r="E159" s="74">
        <f t="shared" si="44"/>
        <v>1.6666666666666668E-3</v>
      </c>
      <c r="F159" s="74">
        <f t="shared" si="45"/>
        <v>73</v>
      </c>
      <c r="G159" s="74">
        <v>1</v>
      </c>
      <c r="H159" s="74">
        <v>1</v>
      </c>
      <c r="M159" s="15">
        <v>80</v>
      </c>
      <c r="N159" s="15">
        <f t="shared" si="46"/>
        <v>2</v>
      </c>
      <c r="O159" s="15">
        <f>INDEX(卡牌消耗!$H$13:$H$33,世界BOSS专属武器!N159)</f>
        <v>1501002</v>
      </c>
      <c r="P159" s="49" t="s">
        <v>408</v>
      </c>
      <c r="Q159" s="15">
        <f t="shared" si="47"/>
        <v>28</v>
      </c>
      <c r="R159" s="49" t="str">
        <f t="shared" si="48"/>
        <v>金币</v>
      </c>
      <c r="S159" s="15">
        <f t="shared" si="49"/>
        <v>5000</v>
      </c>
      <c r="T159" s="15" t="str">
        <f t="shared" si="50"/>
        <v>低级专属强化石</v>
      </c>
      <c r="U159" s="15">
        <f t="shared" si="51"/>
        <v>15</v>
      </c>
      <c r="V159" s="15" t="str">
        <f t="shared" si="52"/>
        <v>中级专属强化石</v>
      </c>
      <c r="W159" s="15">
        <f t="shared" si="53"/>
        <v>7</v>
      </c>
      <c r="X159" s="15">
        <f t="shared" si="54"/>
        <v>0.15</v>
      </c>
      <c r="Y159" s="15">
        <f t="shared" si="55"/>
        <v>1</v>
      </c>
      <c r="Z159" s="15">
        <f t="shared" si="56"/>
        <v>23</v>
      </c>
      <c r="AA159" s="15">
        <f t="shared" si="57"/>
        <v>0.36</v>
      </c>
    </row>
    <row r="160" spans="1:27" ht="16.5" x14ac:dyDescent="0.2">
      <c r="A160" s="115"/>
      <c r="B160" s="74" t="s">
        <v>644</v>
      </c>
      <c r="C160" s="74">
        <v>2</v>
      </c>
      <c r="D160" s="74">
        <f>INDEX(神器!$M$4:$M$7,世界BOSS专属武器!C160)</f>
        <v>120</v>
      </c>
      <c r="E160" s="74">
        <f t="shared" si="44"/>
        <v>8.3333333333333332E-3</v>
      </c>
      <c r="F160" s="74">
        <f t="shared" si="45"/>
        <v>363</v>
      </c>
      <c r="G160" s="74">
        <v>2</v>
      </c>
      <c r="H160" s="74">
        <v>4</v>
      </c>
      <c r="M160" s="15">
        <v>81</v>
      </c>
      <c r="N160" s="15">
        <f t="shared" si="46"/>
        <v>2</v>
      </c>
      <c r="O160" s="15">
        <f>INDEX(卡牌消耗!$H$13:$H$33,世界BOSS专属武器!N160)</f>
        <v>1501002</v>
      </c>
      <c r="P160" s="49" t="s">
        <v>408</v>
      </c>
      <c r="Q160" s="15">
        <f t="shared" si="47"/>
        <v>29</v>
      </c>
      <c r="R160" s="49" t="str">
        <f t="shared" si="48"/>
        <v>金币</v>
      </c>
      <c r="S160" s="15">
        <f t="shared" si="49"/>
        <v>5000</v>
      </c>
      <c r="T160" s="15" t="str">
        <f t="shared" si="50"/>
        <v>低级专属强化石</v>
      </c>
      <c r="U160" s="15">
        <f t="shared" si="51"/>
        <v>15</v>
      </c>
      <c r="V160" s="15" t="str">
        <f t="shared" si="52"/>
        <v>中级专属强化石</v>
      </c>
      <c r="W160" s="15">
        <f t="shared" si="53"/>
        <v>7</v>
      </c>
      <c r="X160" s="15">
        <f t="shared" si="54"/>
        <v>0.15</v>
      </c>
      <c r="Y160" s="15">
        <f t="shared" si="55"/>
        <v>1</v>
      </c>
      <c r="Z160" s="15">
        <f t="shared" si="56"/>
        <v>25</v>
      </c>
      <c r="AA160" s="15">
        <f t="shared" si="57"/>
        <v>0.38</v>
      </c>
    </row>
    <row r="161" spans="1:27" ht="16.5" x14ac:dyDescent="0.2">
      <c r="A161" s="115"/>
      <c r="B161" s="74" t="s">
        <v>645</v>
      </c>
      <c r="C161" s="74">
        <v>2</v>
      </c>
      <c r="D161" s="74">
        <f>INDEX(神器!$M$4:$M$7,世界BOSS专属武器!C161)</f>
        <v>120</v>
      </c>
      <c r="E161" s="74">
        <f t="shared" si="44"/>
        <v>8.3333333333333332E-3</v>
      </c>
      <c r="F161" s="74">
        <f t="shared" si="45"/>
        <v>363</v>
      </c>
      <c r="G161" s="74">
        <v>2</v>
      </c>
      <c r="H161" s="74">
        <v>4</v>
      </c>
      <c r="M161" s="15">
        <v>82</v>
      </c>
      <c r="N161" s="15">
        <f t="shared" si="46"/>
        <v>2</v>
      </c>
      <c r="O161" s="15">
        <f>INDEX(卡牌消耗!$H$13:$H$33,世界BOSS专属武器!N161)</f>
        <v>1501002</v>
      </c>
      <c r="P161" s="49" t="s">
        <v>408</v>
      </c>
      <c r="Q161" s="15">
        <f t="shared" si="47"/>
        <v>30</v>
      </c>
      <c r="R161" s="49" t="str">
        <f t="shared" si="48"/>
        <v>金币</v>
      </c>
      <c r="S161" s="15">
        <f t="shared" si="49"/>
        <v>10000</v>
      </c>
      <c r="T161" s="15" t="str">
        <f t="shared" si="50"/>
        <v>中级专属强化石</v>
      </c>
      <c r="U161" s="15">
        <f t="shared" si="51"/>
        <v>8</v>
      </c>
      <c r="V161" s="15" t="str">
        <f t="shared" si="52"/>
        <v>高级专属强化石</v>
      </c>
      <c r="W161" s="15">
        <f t="shared" si="53"/>
        <v>3</v>
      </c>
      <c r="X161" s="15">
        <f t="shared" si="54"/>
        <v>0.1</v>
      </c>
      <c r="Y161" s="15">
        <f t="shared" si="55"/>
        <v>1</v>
      </c>
      <c r="Z161" s="15">
        <f t="shared" si="56"/>
        <v>30</v>
      </c>
      <c r="AA161" s="15">
        <f t="shared" si="57"/>
        <v>0.4</v>
      </c>
    </row>
    <row r="162" spans="1:27" ht="16.5" x14ac:dyDescent="0.2">
      <c r="A162" s="115"/>
      <c r="B162" s="74" t="s">
        <v>646</v>
      </c>
      <c r="C162" s="74">
        <v>2</v>
      </c>
      <c r="D162" s="74">
        <f>INDEX(神器!$M$4:$M$7,世界BOSS专属武器!C162)</f>
        <v>120</v>
      </c>
      <c r="E162" s="74">
        <f t="shared" si="44"/>
        <v>8.3333333333333332E-3</v>
      </c>
      <c r="F162" s="74">
        <f t="shared" si="45"/>
        <v>363</v>
      </c>
      <c r="G162" s="74">
        <v>2</v>
      </c>
      <c r="H162" s="74">
        <v>4</v>
      </c>
      <c r="M162" s="15">
        <v>83</v>
      </c>
      <c r="N162" s="15">
        <f t="shared" si="46"/>
        <v>2</v>
      </c>
      <c r="O162" s="15">
        <f>INDEX(卡牌消耗!$H$13:$H$33,世界BOSS专属武器!N162)</f>
        <v>1501002</v>
      </c>
      <c r="P162" s="49" t="s">
        <v>408</v>
      </c>
      <c r="Q162" s="15">
        <f t="shared" si="47"/>
        <v>31</v>
      </c>
      <c r="R162" s="49" t="str">
        <f t="shared" si="48"/>
        <v>金币</v>
      </c>
      <c r="S162" s="15">
        <f t="shared" si="49"/>
        <v>10000</v>
      </c>
      <c r="T162" s="15" t="str">
        <f t="shared" si="50"/>
        <v>中级专属强化石</v>
      </c>
      <c r="U162" s="15">
        <f t="shared" si="51"/>
        <v>8</v>
      </c>
      <c r="V162" s="15" t="str">
        <f t="shared" si="52"/>
        <v>高级专属强化石</v>
      </c>
      <c r="W162" s="15">
        <f t="shared" si="53"/>
        <v>3</v>
      </c>
      <c r="X162" s="15">
        <f t="shared" si="54"/>
        <v>0.1</v>
      </c>
      <c r="Y162" s="15">
        <f t="shared" si="55"/>
        <v>1</v>
      </c>
      <c r="Z162" s="15">
        <f t="shared" si="56"/>
        <v>30</v>
      </c>
      <c r="AA162" s="15">
        <f t="shared" si="57"/>
        <v>0.42670000000000002</v>
      </c>
    </row>
    <row r="163" spans="1:27" ht="16.5" x14ac:dyDescent="0.2">
      <c r="A163" s="115"/>
      <c r="B163" s="74" t="s">
        <v>647</v>
      </c>
      <c r="C163" s="74">
        <v>3</v>
      </c>
      <c r="D163" s="74">
        <f>INDEX(神器!$M$4:$M$7,世界BOSS专属武器!C163)</f>
        <v>280</v>
      </c>
      <c r="E163" s="74">
        <f t="shared" si="44"/>
        <v>3.5714285714285713E-3</v>
      </c>
      <c r="F163" s="74">
        <f t="shared" si="45"/>
        <v>156</v>
      </c>
      <c r="G163" s="74">
        <v>1</v>
      </c>
      <c r="H163" s="74">
        <v>2</v>
      </c>
      <c r="M163" s="15">
        <v>84</v>
      </c>
      <c r="N163" s="15">
        <f t="shared" si="46"/>
        <v>2</v>
      </c>
      <c r="O163" s="15">
        <f>INDEX(卡牌消耗!$H$13:$H$33,世界BOSS专属武器!N163)</f>
        <v>1501002</v>
      </c>
      <c r="P163" s="49" t="s">
        <v>408</v>
      </c>
      <c r="Q163" s="15">
        <f t="shared" si="47"/>
        <v>32</v>
      </c>
      <c r="R163" s="49" t="str">
        <f t="shared" si="48"/>
        <v>金币</v>
      </c>
      <c r="S163" s="15">
        <f t="shared" si="49"/>
        <v>10000</v>
      </c>
      <c r="T163" s="15" t="str">
        <f t="shared" si="50"/>
        <v>中级专属强化石</v>
      </c>
      <c r="U163" s="15">
        <f t="shared" si="51"/>
        <v>8</v>
      </c>
      <c r="V163" s="15" t="str">
        <f t="shared" si="52"/>
        <v>高级专属强化石</v>
      </c>
      <c r="W163" s="15">
        <f t="shared" si="53"/>
        <v>3</v>
      </c>
      <c r="X163" s="15">
        <f t="shared" si="54"/>
        <v>0.1</v>
      </c>
      <c r="Y163" s="15">
        <f t="shared" si="55"/>
        <v>1</v>
      </c>
      <c r="Z163" s="15">
        <f t="shared" si="56"/>
        <v>30</v>
      </c>
      <c r="AA163" s="15">
        <f t="shared" si="57"/>
        <v>0.45329999999999998</v>
      </c>
    </row>
    <row r="164" spans="1:27" ht="16.5" x14ac:dyDescent="0.2">
      <c r="A164" s="115"/>
      <c r="B164" s="74" t="s">
        <v>648</v>
      </c>
      <c r="C164" s="74">
        <v>3</v>
      </c>
      <c r="D164" s="74">
        <f>INDEX(神器!$M$4:$M$7,世界BOSS专属武器!C164)</f>
        <v>280</v>
      </c>
      <c r="E164" s="74">
        <f t="shared" si="44"/>
        <v>3.5714285714285713E-3</v>
      </c>
      <c r="F164" s="74">
        <f t="shared" si="45"/>
        <v>156</v>
      </c>
      <c r="G164" s="74">
        <v>1</v>
      </c>
      <c r="H164" s="74">
        <v>2</v>
      </c>
      <c r="M164" s="15">
        <v>85</v>
      </c>
      <c r="N164" s="15">
        <f t="shared" si="46"/>
        <v>2</v>
      </c>
      <c r="O164" s="15">
        <f>INDEX(卡牌消耗!$H$13:$H$33,世界BOSS专属武器!N164)</f>
        <v>1501002</v>
      </c>
      <c r="P164" s="49" t="s">
        <v>408</v>
      </c>
      <c r="Q164" s="15">
        <f t="shared" si="47"/>
        <v>33</v>
      </c>
      <c r="R164" s="49" t="str">
        <f t="shared" si="48"/>
        <v>金币</v>
      </c>
      <c r="S164" s="15">
        <f t="shared" si="49"/>
        <v>10000</v>
      </c>
      <c r="T164" s="15" t="str">
        <f t="shared" si="50"/>
        <v>中级专属强化石</v>
      </c>
      <c r="U164" s="15">
        <f t="shared" si="51"/>
        <v>8</v>
      </c>
      <c r="V164" s="15" t="str">
        <f t="shared" si="52"/>
        <v>高级专属强化石</v>
      </c>
      <c r="W164" s="15">
        <f t="shared" si="53"/>
        <v>3</v>
      </c>
      <c r="X164" s="15">
        <f t="shared" si="54"/>
        <v>0.1</v>
      </c>
      <c r="Y164" s="15">
        <f t="shared" si="55"/>
        <v>1</v>
      </c>
      <c r="Z164" s="15">
        <f t="shared" si="56"/>
        <v>30</v>
      </c>
      <c r="AA164" s="15">
        <f t="shared" si="57"/>
        <v>0.48</v>
      </c>
    </row>
    <row r="165" spans="1:27" ht="16.5" x14ac:dyDescent="0.2">
      <c r="A165" s="115"/>
      <c r="B165" s="74" t="s">
        <v>649</v>
      </c>
      <c r="C165" s="74">
        <v>3</v>
      </c>
      <c r="D165" s="74">
        <f>INDEX(神器!$M$4:$M$7,世界BOSS专属武器!C165)</f>
        <v>280</v>
      </c>
      <c r="E165" s="74">
        <f t="shared" si="44"/>
        <v>3.5714285714285713E-3</v>
      </c>
      <c r="F165" s="74">
        <f t="shared" si="45"/>
        <v>156</v>
      </c>
      <c r="G165" s="74">
        <v>1</v>
      </c>
      <c r="H165" s="74">
        <v>2</v>
      </c>
      <c r="M165" s="15">
        <v>86</v>
      </c>
      <c r="N165" s="15">
        <f t="shared" si="46"/>
        <v>2</v>
      </c>
      <c r="O165" s="15">
        <f>INDEX(卡牌消耗!$H$13:$H$33,世界BOSS专属武器!N165)</f>
        <v>1501002</v>
      </c>
      <c r="P165" s="49" t="s">
        <v>408</v>
      </c>
      <c r="Q165" s="15">
        <f t="shared" si="47"/>
        <v>34</v>
      </c>
      <c r="R165" s="49" t="str">
        <f t="shared" si="48"/>
        <v>金币</v>
      </c>
      <c r="S165" s="15">
        <f t="shared" si="49"/>
        <v>10000</v>
      </c>
      <c r="T165" s="15" t="str">
        <f t="shared" si="50"/>
        <v>中级专属强化石</v>
      </c>
      <c r="U165" s="15">
        <f t="shared" si="51"/>
        <v>8</v>
      </c>
      <c r="V165" s="15" t="str">
        <f t="shared" si="52"/>
        <v>高级专属强化石</v>
      </c>
      <c r="W165" s="15">
        <f t="shared" si="53"/>
        <v>3</v>
      </c>
      <c r="X165" s="15">
        <f t="shared" si="54"/>
        <v>0.1</v>
      </c>
      <c r="Y165" s="15">
        <f t="shared" si="55"/>
        <v>1</v>
      </c>
      <c r="Z165" s="15">
        <f t="shared" si="56"/>
        <v>30</v>
      </c>
      <c r="AA165" s="15">
        <f t="shared" si="57"/>
        <v>0.50670000000000004</v>
      </c>
    </row>
    <row r="166" spans="1:27" ht="16.5" x14ac:dyDescent="0.2">
      <c r="A166" s="115"/>
      <c r="B166" s="74" t="s">
        <v>650</v>
      </c>
      <c r="C166" s="74">
        <v>4</v>
      </c>
      <c r="D166" s="74">
        <f>INDEX(神器!$M$4:$M$7,世界BOSS专属武器!C166)</f>
        <v>600</v>
      </c>
      <c r="E166" s="74">
        <f t="shared" si="44"/>
        <v>1.6666666666666668E-3</v>
      </c>
      <c r="F166" s="74">
        <f t="shared" si="45"/>
        <v>73</v>
      </c>
      <c r="G166" s="74">
        <v>1</v>
      </c>
      <c r="H166" s="74">
        <v>1</v>
      </c>
      <c r="M166" s="15">
        <v>87</v>
      </c>
      <c r="N166" s="15">
        <f t="shared" si="46"/>
        <v>2</v>
      </c>
      <c r="O166" s="15">
        <f>INDEX(卡牌消耗!$H$13:$H$33,世界BOSS专属武器!N166)</f>
        <v>1501002</v>
      </c>
      <c r="P166" s="49" t="s">
        <v>408</v>
      </c>
      <c r="Q166" s="15">
        <f t="shared" si="47"/>
        <v>35</v>
      </c>
      <c r="R166" s="49" t="str">
        <f t="shared" si="48"/>
        <v>金币</v>
      </c>
      <c r="S166" s="15">
        <f t="shared" si="49"/>
        <v>10000</v>
      </c>
      <c r="T166" s="15" t="str">
        <f t="shared" si="50"/>
        <v>中级专属强化石</v>
      </c>
      <c r="U166" s="15">
        <f t="shared" si="51"/>
        <v>8</v>
      </c>
      <c r="V166" s="15" t="str">
        <f t="shared" si="52"/>
        <v>高级专属强化石</v>
      </c>
      <c r="W166" s="15">
        <f t="shared" si="53"/>
        <v>3</v>
      </c>
      <c r="X166" s="15">
        <f t="shared" si="54"/>
        <v>0.1</v>
      </c>
      <c r="Y166" s="15">
        <f t="shared" si="55"/>
        <v>1</v>
      </c>
      <c r="Z166" s="15">
        <f t="shared" si="56"/>
        <v>30</v>
      </c>
      <c r="AA166" s="15">
        <f t="shared" si="57"/>
        <v>0.5333</v>
      </c>
    </row>
    <row r="167" spans="1:27" ht="16.5" x14ac:dyDescent="0.2">
      <c r="A167" s="115"/>
      <c r="B167" s="74" t="s">
        <v>651</v>
      </c>
      <c r="C167" s="74">
        <v>4</v>
      </c>
      <c r="D167" s="74">
        <f>INDEX(神器!$M$4:$M$7,世界BOSS专属武器!C167)</f>
        <v>600</v>
      </c>
      <c r="E167" s="74">
        <f t="shared" si="44"/>
        <v>1.6666666666666668E-3</v>
      </c>
      <c r="F167" s="74">
        <f t="shared" si="45"/>
        <v>73</v>
      </c>
      <c r="G167" s="74">
        <v>1</v>
      </c>
      <c r="H167" s="74">
        <v>1</v>
      </c>
      <c r="M167" s="15">
        <v>88</v>
      </c>
      <c r="N167" s="15">
        <f t="shared" si="46"/>
        <v>2</v>
      </c>
      <c r="O167" s="15">
        <f>INDEX(卡牌消耗!$H$13:$H$33,世界BOSS专属武器!N167)</f>
        <v>1501002</v>
      </c>
      <c r="P167" s="49" t="s">
        <v>408</v>
      </c>
      <c r="Q167" s="15">
        <f t="shared" si="47"/>
        <v>36</v>
      </c>
      <c r="R167" s="49" t="str">
        <f t="shared" si="48"/>
        <v>金币</v>
      </c>
      <c r="S167" s="15">
        <f t="shared" si="49"/>
        <v>10000</v>
      </c>
      <c r="T167" s="15" t="str">
        <f t="shared" si="50"/>
        <v>中级专属强化石</v>
      </c>
      <c r="U167" s="15">
        <f t="shared" si="51"/>
        <v>8</v>
      </c>
      <c r="V167" s="15" t="str">
        <f t="shared" si="52"/>
        <v>高级专属强化石</v>
      </c>
      <c r="W167" s="15">
        <f t="shared" si="53"/>
        <v>3</v>
      </c>
      <c r="X167" s="15">
        <f t="shared" si="54"/>
        <v>0.1</v>
      </c>
      <c r="Y167" s="15">
        <f t="shared" si="55"/>
        <v>1</v>
      </c>
      <c r="Z167" s="15">
        <f t="shared" si="56"/>
        <v>30</v>
      </c>
      <c r="AA167" s="15">
        <f t="shared" si="57"/>
        <v>0.56000000000000005</v>
      </c>
    </row>
    <row r="168" spans="1:27" ht="16.5" x14ac:dyDescent="0.2">
      <c r="A168" s="115"/>
      <c r="B168" s="74" t="s">
        <v>652</v>
      </c>
      <c r="C168" s="74">
        <v>2</v>
      </c>
      <c r="D168" s="74">
        <f>INDEX(神器!$M$4:$M$7,世界BOSS专属武器!C168)</f>
        <v>120</v>
      </c>
      <c r="E168" s="74">
        <f t="shared" si="44"/>
        <v>8.3333333333333332E-3</v>
      </c>
      <c r="F168" s="74">
        <f t="shared" si="45"/>
        <v>363</v>
      </c>
      <c r="G168" s="74">
        <v>2</v>
      </c>
      <c r="H168" s="74">
        <v>4</v>
      </c>
      <c r="M168" s="15">
        <v>89</v>
      </c>
      <c r="N168" s="15">
        <f t="shared" si="46"/>
        <v>2</v>
      </c>
      <c r="O168" s="15">
        <f>INDEX(卡牌消耗!$H$13:$H$33,世界BOSS专属武器!N168)</f>
        <v>1501002</v>
      </c>
      <c r="P168" s="49" t="s">
        <v>408</v>
      </c>
      <c r="Q168" s="15">
        <f t="shared" si="47"/>
        <v>37</v>
      </c>
      <c r="R168" s="49" t="str">
        <f t="shared" si="48"/>
        <v>金币</v>
      </c>
      <c r="S168" s="15">
        <f t="shared" si="49"/>
        <v>10000</v>
      </c>
      <c r="T168" s="15" t="str">
        <f t="shared" si="50"/>
        <v>中级专属强化石</v>
      </c>
      <c r="U168" s="15">
        <f t="shared" si="51"/>
        <v>8</v>
      </c>
      <c r="V168" s="15" t="str">
        <f t="shared" si="52"/>
        <v>高级专属强化石</v>
      </c>
      <c r="W168" s="15">
        <f t="shared" si="53"/>
        <v>3</v>
      </c>
      <c r="X168" s="15">
        <f t="shared" si="54"/>
        <v>0.1</v>
      </c>
      <c r="Y168" s="15">
        <f t="shared" si="55"/>
        <v>1</v>
      </c>
      <c r="Z168" s="15">
        <f t="shared" si="56"/>
        <v>30</v>
      </c>
      <c r="AA168" s="15">
        <f t="shared" si="57"/>
        <v>0.5867</v>
      </c>
    </row>
    <row r="169" spans="1:27" ht="16.5" x14ac:dyDescent="0.2">
      <c r="A169" s="115"/>
      <c r="B169" s="74" t="s">
        <v>653</v>
      </c>
      <c r="C169" s="74">
        <v>2</v>
      </c>
      <c r="D169" s="74">
        <f>INDEX(神器!$M$4:$M$7,世界BOSS专属武器!C169)</f>
        <v>120</v>
      </c>
      <c r="E169" s="74">
        <f t="shared" si="44"/>
        <v>8.3333333333333332E-3</v>
      </c>
      <c r="F169" s="74">
        <f t="shared" si="45"/>
        <v>363</v>
      </c>
      <c r="G169" s="74">
        <v>2</v>
      </c>
      <c r="H169" s="74">
        <v>4</v>
      </c>
      <c r="M169" s="15">
        <v>90</v>
      </c>
      <c r="N169" s="15">
        <f t="shared" si="46"/>
        <v>2</v>
      </c>
      <c r="O169" s="15">
        <f>INDEX(卡牌消耗!$H$13:$H$33,世界BOSS专属武器!N169)</f>
        <v>1501002</v>
      </c>
      <c r="P169" s="49" t="s">
        <v>408</v>
      </c>
      <c r="Q169" s="15">
        <f t="shared" si="47"/>
        <v>38</v>
      </c>
      <c r="R169" s="49" t="str">
        <f t="shared" si="48"/>
        <v>金币</v>
      </c>
      <c r="S169" s="15">
        <f t="shared" si="49"/>
        <v>10000</v>
      </c>
      <c r="T169" s="15" t="str">
        <f t="shared" si="50"/>
        <v>中级专属强化石</v>
      </c>
      <c r="U169" s="15">
        <f t="shared" si="51"/>
        <v>8</v>
      </c>
      <c r="V169" s="15" t="str">
        <f t="shared" si="52"/>
        <v>高级专属强化石</v>
      </c>
      <c r="W169" s="15">
        <f t="shared" si="53"/>
        <v>3</v>
      </c>
      <c r="X169" s="15">
        <f t="shared" si="54"/>
        <v>0.1</v>
      </c>
      <c r="Y169" s="15">
        <f t="shared" si="55"/>
        <v>1</v>
      </c>
      <c r="Z169" s="15">
        <f t="shared" si="56"/>
        <v>30</v>
      </c>
      <c r="AA169" s="15">
        <f t="shared" si="57"/>
        <v>0.61329999999999996</v>
      </c>
    </row>
    <row r="170" spans="1:27" ht="16.5" x14ac:dyDescent="0.2">
      <c r="A170" s="115"/>
      <c r="B170" s="74" t="s">
        <v>654</v>
      </c>
      <c r="C170" s="74">
        <v>2</v>
      </c>
      <c r="D170" s="74">
        <f>INDEX(神器!$M$4:$M$7,世界BOSS专属武器!C170)</f>
        <v>120</v>
      </c>
      <c r="E170" s="74">
        <f t="shared" si="44"/>
        <v>8.3333333333333332E-3</v>
      </c>
      <c r="F170" s="74">
        <f t="shared" si="45"/>
        <v>363</v>
      </c>
      <c r="G170" s="74">
        <v>2</v>
      </c>
      <c r="H170" s="74">
        <v>4</v>
      </c>
      <c r="M170" s="15">
        <v>91</v>
      </c>
      <c r="N170" s="15">
        <f t="shared" si="46"/>
        <v>2</v>
      </c>
      <c r="O170" s="15">
        <f>INDEX(卡牌消耗!$H$13:$H$33,世界BOSS专属武器!N170)</f>
        <v>1501002</v>
      </c>
      <c r="P170" s="49" t="s">
        <v>408</v>
      </c>
      <c r="Q170" s="15">
        <f t="shared" si="47"/>
        <v>39</v>
      </c>
      <c r="R170" s="49" t="str">
        <f t="shared" si="48"/>
        <v>金币</v>
      </c>
      <c r="S170" s="15">
        <f t="shared" si="49"/>
        <v>10000</v>
      </c>
      <c r="T170" s="15" t="str">
        <f t="shared" si="50"/>
        <v>中级专属强化石</v>
      </c>
      <c r="U170" s="15">
        <f t="shared" si="51"/>
        <v>8</v>
      </c>
      <c r="V170" s="15" t="str">
        <f t="shared" si="52"/>
        <v>高级专属强化石</v>
      </c>
      <c r="W170" s="15">
        <f t="shared" si="53"/>
        <v>3</v>
      </c>
      <c r="X170" s="15">
        <f t="shared" si="54"/>
        <v>0.1</v>
      </c>
      <c r="Y170" s="15">
        <f t="shared" si="55"/>
        <v>1</v>
      </c>
      <c r="Z170" s="15">
        <f t="shared" si="56"/>
        <v>30</v>
      </c>
      <c r="AA170" s="15">
        <f t="shared" si="57"/>
        <v>0.64</v>
      </c>
    </row>
    <row r="171" spans="1:27" ht="16.5" x14ac:dyDescent="0.2">
      <c r="A171" s="115"/>
      <c r="B171" s="74" t="s">
        <v>655</v>
      </c>
      <c r="C171" s="74">
        <v>3</v>
      </c>
      <c r="D171" s="74">
        <f>INDEX(神器!$M$4:$M$7,世界BOSS专属武器!C171)</f>
        <v>280</v>
      </c>
      <c r="E171" s="74">
        <f t="shared" si="44"/>
        <v>3.5714285714285713E-3</v>
      </c>
      <c r="F171" s="74">
        <f t="shared" si="45"/>
        <v>156</v>
      </c>
      <c r="G171" s="74">
        <v>1</v>
      </c>
      <c r="H171" s="74">
        <v>2</v>
      </c>
      <c r="M171" s="15">
        <v>92</v>
      </c>
      <c r="N171" s="15">
        <f t="shared" si="46"/>
        <v>2</v>
      </c>
      <c r="O171" s="15">
        <f>INDEX(卡牌消耗!$H$13:$H$33,世界BOSS专属武器!N171)</f>
        <v>1501002</v>
      </c>
      <c r="P171" s="49" t="s">
        <v>408</v>
      </c>
      <c r="Q171" s="15">
        <f t="shared" si="47"/>
        <v>40</v>
      </c>
      <c r="R171" s="49" t="str">
        <f t="shared" si="48"/>
        <v>金币</v>
      </c>
      <c r="S171" s="15">
        <f t="shared" si="49"/>
        <v>20000</v>
      </c>
      <c r="T171" s="15" t="str">
        <f t="shared" si="50"/>
        <v>高级专属强化石</v>
      </c>
      <c r="U171" s="15">
        <f t="shared" si="51"/>
        <v>5</v>
      </c>
      <c r="V171" s="15" t="str">
        <f t="shared" si="52"/>
        <v>[x]</v>
      </c>
      <c r="W171" s="15" t="str">
        <f t="shared" si="53"/>
        <v>[x]</v>
      </c>
      <c r="X171" s="15">
        <f t="shared" si="54"/>
        <v>0.1</v>
      </c>
      <c r="Y171" s="15">
        <f t="shared" si="55"/>
        <v>1</v>
      </c>
      <c r="Z171" s="15">
        <f t="shared" si="56"/>
        <v>35</v>
      </c>
      <c r="AA171" s="15">
        <f t="shared" si="57"/>
        <v>0.66669999999999996</v>
      </c>
    </row>
    <row r="172" spans="1:27" ht="16.5" x14ac:dyDescent="0.2">
      <c r="A172" s="115"/>
      <c r="B172" s="74" t="s">
        <v>656</v>
      </c>
      <c r="C172" s="74">
        <v>3</v>
      </c>
      <c r="D172" s="74">
        <f>INDEX(神器!$M$4:$M$7,世界BOSS专属武器!C172)</f>
        <v>280</v>
      </c>
      <c r="E172" s="74">
        <f t="shared" si="44"/>
        <v>3.5714285714285713E-3</v>
      </c>
      <c r="F172" s="74">
        <f t="shared" si="45"/>
        <v>156</v>
      </c>
      <c r="G172" s="74">
        <v>1</v>
      </c>
      <c r="H172" s="74">
        <v>2</v>
      </c>
      <c r="M172" s="15">
        <v>93</v>
      </c>
      <c r="N172" s="15">
        <f t="shared" si="46"/>
        <v>2</v>
      </c>
      <c r="O172" s="15">
        <f>INDEX(卡牌消耗!$H$13:$H$33,世界BOSS专属武器!N172)</f>
        <v>1501002</v>
      </c>
      <c r="P172" s="49" t="s">
        <v>408</v>
      </c>
      <c r="Q172" s="15">
        <f t="shared" si="47"/>
        <v>41</v>
      </c>
      <c r="R172" s="49" t="str">
        <f t="shared" si="48"/>
        <v>金币</v>
      </c>
      <c r="S172" s="15">
        <f t="shared" si="49"/>
        <v>20000</v>
      </c>
      <c r="T172" s="15" t="str">
        <f t="shared" si="50"/>
        <v>高级专属强化石</v>
      </c>
      <c r="U172" s="15">
        <f t="shared" si="51"/>
        <v>5</v>
      </c>
      <c r="V172" s="15" t="str">
        <f t="shared" si="52"/>
        <v>[x]</v>
      </c>
      <c r="W172" s="15" t="str">
        <f t="shared" si="53"/>
        <v>[x]</v>
      </c>
      <c r="X172" s="15">
        <f t="shared" si="54"/>
        <v>0.1</v>
      </c>
      <c r="Y172" s="15">
        <f t="shared" si="55"/>
        <v>1</v>
      </c>
      <c r="Z172" s="15">
        <f t="shared" si="56"/>
        <v>40</v>
      </c>
      <c r="AA172" s="15">
        <f t="shared" si="57"/>
        <v>0.7</v>
      </c>
    </row>
    <row r="173" spans="1:27" ht="16.5" x14ac:dyDescent="0.2">
      <c r="A173" s="115"/>
      <c r="B173" s="74" t="s">
        <v>657</v>
      </c>
      <c r="C173" s="74">
        <v>3</v>
      </c>
      <c r="D173" s="74">
        <f>INDEX(神器!$M$4:$M$7,世界BOSS专属武器!C173)</f>
        <v>280</v>
      </c>
      <c r="E173" s="74">
        <f t="shared" si="44"/>
        <v>3.5714285714285713E-3</v>
      </c>
      <c r="F173" s="74">
        <f t="shared" si="45"/>
        <v>156</v>
      </c>
      <c r="G173" s="74">
        <v>1</v>
      </c>
      <c r="H173" s="74">
        <v>2</v>
      </c>
      <c r="M173" s="15">
        <v>94</v>
      </c>
      <c r="N173" s="15">
        <f t="shared" si="46"/>
        <v>2</v>
      </c>
      <c r="O173" s="15">
        <f>INDEX(卡牌消耗!$H$13:$H$33,世界BOSS专属武器!N173)</f>
        <v>1501002</v>
      </c>
      <c r="P173" s="49" t="s">
        <v>408</v>
      </c>
      <c r="Q173" s="15">
        <f t="shared" si="47"/>
        <v>42</v>
      </c>
      <c r="R173" s="49" t="str">
        <f t="shared" si="48"/>
        <v>金币</v>
      </c>
      <c r="S173" s="15">
        <f t="shared" si="49"/>
        <v>20000</v>
      </c>
      <c r="T173" s="15" t="str">
        <f t="shared" si="50"/>
        <v>高级专属强化石</v>
      </c>
      <c r="U173" s="15">
        <f t="shared" si="51"/>
        <v>5</v>
      </c>
      <c r="V173" s="15" t="str">
        <f t="shared" si="52"/>
        <v>[x]</v>
      </c>
      <c r="W173" s="15" t="str">
        <f t="shared" si="53"/>
        <v>[x]</v>
      </c>
      <c r="X173" s="15">
        <f t="shared" si="54"/>
        <v>0.1</v>
      </c>
      <c r="Y173" s="15">
        <f t="shared" si="55"/>
        <v>1</v>
      </c>
      <c r="Z173" s="15">
        <f t="shared" si="56"/>
        <v>45</v>
      </c>
      <c r="AA173" s="15">
        <f t="shared" si="57"/>
        <v>0.73329999999999995</v>
      </c>
    </row>
    <row r="174" spans="1:27" ht="16.5" x14ac:dyDescent="0.2">
      <c r="A174" s="115"/>
      <c r="B174" s="74" t="s">
        <v>658</v>
      </c>
      <c r="C174" s="74">
        <v>4</v>
      </c>
      <c r="D174" s="74">
        <f>INDEX(神器!$M$4:$M$7,世界BOSS专属武器!C174)</f>
        <v>600</v>
      </c>
      <c r="E174" s="74">
        <f t="shared" si="44"/>
        <v>1.6666666666666668E-3</v>
      </c>
      <c r="F174" s="74">
        <f t="shared" si="45"/>
        <v>73</v>
      </c>
      <c r="G174" s="74">
        <v>1</v>
      </c>
      <c r="H174" s="74">
        <v>1</v>
      </c>
      <c r="M174" s="15">
        <v>95</v>
      </c>
      <c r="N174" s="15">
        <f t="shared" si="46"/>
        <v>2</v>
      </c>
      <c r="O174" s="15">
        <f>INDEX(卡牌消耗!$H$13:$H$33,世界BOSS专属武器!N174)</f>
        <v>1501002</v>
      </c>
      <c r="P174" s="49" t="s">
        <v>408</v>
      </c>
      <c r="Q174" s="15">
        <f t="shared" si="47"/>
        <v>43</v>
      </c>
      <c r="R174" s="49" t="str">
        <f t="shared" si="48"/>
        <v>金币</v>
      </c>
      <c r="S174" s="15">
        <f t="shared" si="49"/>
        <v>20000</v>
      </c>
      <c r="T174" s="15" t="str">
        <f t="shared" si="50"/>
        <v>高级专属强化石</v>
      </c>
      <c r="U174" s="15">
        <f t="shared" si="51"/>
        <v>5</v>
      </c>
      <c r="V174" s="15" t="str">
        <f t="shared" si="52"/>
        <v>[x]</v>
      </c>
      <c r="W174" s="15" t="str">
        <f t="shared" si="53"/>
        <v>[x]</v>
      </c>
      <c r="X174" s="15">
        <f t="shared" si="54"/>
        <v>0.1</v>
      </c>
      <c r="Y174" s="15">
        <f t="shared" si="55"/>
        <v>1</v>
      </c>
      <c r="Z174" s="15">
        <f t="shared" si="56"/>
        <v>50</v>
      </c>
      <c r="AA174" s="15">
        <f t="shared" si="57"/>
        <v>0.76670000000000005</v>
      </c>
    </row>
    <row r="175" spans="1:27" ht="16.5" x14ac:dyDescent="0.2">
      <c r="A175" s="115"/>
      <c r="B175" s="74" t="s">
        <v>659</v>
      </c>
      <c r="C175" s="74">
        <v>4</v>
      </c>
      <c r="D175" s="74">
        <f>INDEX(神器!$M$4:$M$7,世界BOSS专属武器!C175)</f>
        <v>600</v>
      </c>
      <c r="E175" s="74">
        <f t="shared" si="44"/>
        <v>1.6666666666666668E-3</v>
      </c>
      <c r="F175" s="74">
        <f>10000-SUM(F142:F174)</f>
        <v>67</v>
      </c>
      <c r="G175" s="74">
        <v>1</v>
      </c>
      <c r="H175" s="74">
        <v>1</v>
      </c>
      <c r="M175" s="15">
        <v>96</v>
      </c>
      <c r="N175" s="15">
        <f t="shared" si="46"/>
        <v>2</v>
      </c>
      <c r="O175" s="15">
        <f>INDEX(卡牌消耗!$H$13:$H$33,世界BOSS专属武器!N175)</f>
        <v>1501002</v>
      </c>
      <c r="P175" s="49" t="s">
        <v>408</v>
      </c>
      <c r="Q175" s="15">
        <f t="shared" si="47"/>
        <v>44</v>
      </c>
      <c r="R175" s="49" t="str">
        <f t="shared" si="48"/>
        <v>金币</v>
      </c>
      <c r="S175" s="15">
        <f t="shared" si="49"/>
        <v>20000</v>
      </c>
      <c r="T175" s="15" t="str">
        <f t="shared" si="50"/>
        <v>高级专属强化石</v>
      </c>
      <c r="U175" s="15">
        <f t="shared" si="51"/>
        <v>5</v>
      </c>
      <c r="V175" s="15" t="str">
        <f t="shared" si="52"/>
        <v>[x]</v>
      </c>
      <c r="W175" s="15" t="str">
        <f t="shared" si="53"/>
        <v>[x]</v>
      </c>
      <c r="X175" s="15">
        <f t="shared" si="54"/>
        <v>0.1</v>
      </c>
      <c r="Y175" s="15">
        <f t="shared" si="55"/>
        <v>1</v>
      </c>
      <c r="Z175" s="15">
        <f t="shared" si="56"/>
        <v>55</v>
      </c>
      <c r="AA175" s="15">
        <f t="shared" si="57"/>
        <v>0.8</v>
      </c>
    </row>
    <row r="176" spans="1:27" ht="16.5" x14ac:dyDescent="0.2">
      <c r="M176" s="15">
        <v>97</v>
      </c>
      <c r="N176" s="15">
        <f t="shared" si="46"/>
        <v>2</v>
      </c>
      <c r="O176" s="15">
        <f>INDEX(卡牌消耗!$H$13:$H$33,世界BOSS专属武器!N176)</f>
        <v>1501002</v>
      </c>
      <c r="P176" s="49" t="s">
        <v>408</v>
      </c>
      <c r="Q176" s="15">
        <f t="shared" si="47"/>
        <v>45</v>
      </c>
      <c r="R176" s="49" t="str">
        <f t="shared" si="48"/>
        <v>金币</v>
      </c>
      <c r="S176" s="15">
        <f t="shared" si="49"/>
        <v>20000</v>
      </c>
      <c r="T176" s="15" t="str">
        <f t="shared" si="50"/>
        <v>高级专属强化石</v>
      </c>
      <c r="U176" s="15">
        <f t="shared" si="51"/>
        <v>6</v>
      </c>
      <c r="V176" s="15" t="str">
        <f t="shared" si="52"/>
        <v>[x]</v>
      </c>
      <c r="W176" s="15" t="str">
        <f t="shared" si="53"/>
        <v>[x]</v>
      </c>
      <c r="X176" s="15">
        <f t="shared" si="54"/>
        <v>0.1</v>
      </c>
      <c r="Y176" s="15">
        <f t="shared" si="55"/>
        <v>1</v>
      </c>
      <c r="Z176" s="15">
        <f t="shared" si="56"/>
        <v>60</v>
      </c>
      <c r="AA176" s="15">
        <f t="shared" si="57"/>
        <v>0.83330000000000004</v>
      </c>
    </row>
    <row r="177" spans="1:27" ht="16.5" x14ac:dyDescent="0.2">
      <c r="E177" s="58">
        <f>SUM(E178:E211)</f>
        <v>0.22952380952380946</v>
      </c>
      <c r="M177" s="15">
        <v>98</v>
      </c>
      <c r="N177" s="15">
        <f t="shared" si="46"/>
        <v>2</v>
      </c>
      <c r="O177" s="15">
        <f>INDEX(卡牌消耗!$H$13:$H$33,世界BOSS专属武器!N177)</f>
        <v>1501002</v>
      </c>
      <c r="P177" s="49" t="s">
        <v>408</v>
      </c>
      <c r="Q177" s="15">
        <f t="shared" si="47"/>
        <v>46</v>
      </c>
      <c r="R177" s="49" t="str">
        <f t="shared" si="48"/>
        <v>金币</v>
      </c>
      <c r="S177" s="15">
        <f t="shared" si="49"/>
        <v>20000</v>
      </c>
      <c r="T177" s="15" t="str">
        <f t="shared" si="50"/>
        <v>高级专属强化石</v>
      </c>
      <c r="U177" s="15">
        <f t="shared" si="51"/>
        <v>7</v>
      </c>
      <c r="V177" s="15" t="str">
        <f t="shared" si="52"/>
        <v>[x]</v>
      </c>
      <c r="W177" s="15" t="str">
        <f t="shared" si="53"/>
        <v>[x]</v>
      </c>
      <c r="X177" s="15">
        <f t="shared" si="54"/>
        <v>0.1</v>
      </c>
      <c r="Y177" s="15">
        <f t="shared" si="55"/>
        <v>1</v>
      </c>
      <c r="Z177" s="15">
        <f t="shared" si="56"/>
        <v>70</v>
      </c>
      <c r="AA177" s="15">
        <f t="shared" si="57"/>
        <v>0.86670000000000003</v>
      </c>
    </row>
    <row r="178" spans="1:27" ht="16.5" x14ac:dyDescent="0.2">
      <c r="A178" s="115" t="s">
        <v>732</v>
      </c>
      <c r="B178" s="74" t="s">
        <v>626</v>
      </c>
      <c r="C178" s="74">
        <v>1</v>
      </c>
      <c r="D178" s="74">
        <f>INDEX(神器!$M$4:$M$7,世界BOSS专属武器!C178)</f>
        <v>40</v>
      </c>
      <c r="E178" s="74">
        <f t="shared" ref="E178:E211" si="58">1/D178</f>
        <v>2.5000000000000001E-2</v>
      </c>
      <c r="F178" s="74">
        <f>ROUND(E178/E$177*10000,0)</f>
        <v>1089</v>
      </c>
      <c r="G178" s="74">
        <v>3</v>
      </c>
      <c r="H178" s="74">
        <v>7</v>
      </c>
      <c r="M178" s="15">
        <v>99</v>
      </c>
      <c r="N178" s="15">
        <f t="shared" si="46"/>
        <v>2</v>
      </c>
      <c r="O178" s="15">
        <f>INDEX(卡牌消耗!$H$13:$H$33,世界BOSS专属武器!N178)</f>
        <v>1501002</v>
      </c>
      <c r="P178" s="49" t="s">
        <v>408</v>
      </c>
      <c r="Q178" s="15">
        <f t="shared" si="47"/>
        <v>47</v>
      </c>
      <c r="R178" s="49" t="str">
        <f t="shared" si="48"/>
        <v>金币</v>
      </c>
      <c r="S178" s="15">
        <f t="shared" si="49"/>
        <v>20000</v>
      </c>
      <c r="T178" s="15" t="str">
        <f t="shared" si="50"/>
        <v>高级专属强化石</v>
      </c>
      <c r="U178" s="15">
        <f t="shared" si="51"/>
        <v>8</v>
      </c>
      <c r="V178" s="15" t="str">
        <f t="shared" si="52"/>
        <v>[x]</v>
      </c>
      <c r="W178" s="15" t="str">
        <f t="shared" si="53"/>
        <v>[x]</v>
      </c>
      <c r="X178" s="15">
        <f t="shared" si="54"/>
        <v>0.1</v>
      </c>
      <c r="Y178" s="15">
        <f t="shared" si="55"/>
        <v>1</v>
      </c>
      <c r="Z178" s="15">
        <f t="shared" si="56"/>
        <v>80</v>
      </c>
      <c r="AA178" s="15">
        <f t="shared" si="57"/>
        <v>0.9</v>
      </c>
    </row>
    <row r="179" spans="1:27" ht="16.5" customHeight="1" x14ac:dyDescent="0.2">
      <c r="A179" s="115"/>
      <c r="B179" s="74" t="s">
        <v>627</v>
      </c>
      <c r="C179" s="74">
        <v>2</v>
      </c>
      <c r="D179" s="74">
        <f>INDEX(神器!$M$4:$M$7,世界BOSS专属武器!C179)</f>
        <v>120</v>
      </c>
      <c r="E179" s="74">
        <f t="shared" si="58"/>
        <v>8.3333333333333332E-3</v>
      </c>
      <c r="F179" s="74">
        <f t="shared" ref="F179:F210" si="59">ROUND(E179/E$177*10000,0)</f>
        <v>363</v>
      </c>
      <c r="G179" s="74">
        <v>3</v>
      </c>
      <c r="H179" s="74">
        <v>7</v>
      </c>
      <c r="M179" s="15">
        <v>100</v>
      </c>
      <c r="N179" s="15">
        <f t="shared" si="46"/>
        <v>2</v>
      </c>
      <c r="O179" s="15">
        <f>INDEX(卡牌消耗!$H$13:$H$33,世界BOSS专属武器!N179)</f>
        <v>1501002</v>
      </c>
      <c r="P179" s="49" t="s">
        <v>408</v>
      </c>
      <c r="Q179" s="15">
        <f t="shared" si="47"/>
        <v>48</v>
      </c>
      <c r="R179" s="49" t="str">
        <f t="shared" si="48"/>
        <v>金币</v>
      </c>
      <c r="S179" s="15">
        <f t="shared" si="49"/>
        <v>20000</v>
      </c>
      <c r="T179" s="15" t="str">
        <f t="shared" si="50"/>
        <v>高级专属强化石</v>
      </c>
      <c r="U179" s="15">
        <f t="shared" si="51"/>
        <v>9</v>
      </c>
      <c r="V179" s="15" t="str">
        <f t="shared" si="52"/>
        <v>[x]</v>
      </c>
      <c r="W179" s="15" t="str">
        <f t="shared" si="53"/>
        <v>[x]</v>
      </c>
      <c r="X179" s="15">
        <f t="shared" si="54"/>
        <v>0.1</v>
      </c>
      <c r="Y179" s="15">
        <f t="shared" si="55"/>
        <v>1</v>
      </c>
      <c r="Z179" s="15">
        <f t="shared" si="56"/>
        <v>100</v>
      </c>
      <c r="AA179" s="15">
        <f t="shared" si="57"/>
        <v>0.93330000000000002</v>
      </c>
    </row>
    <row r="180" spans="1:27" ht="16.5" x14ac:dyDescent="0.2">
      <c r="A180" s="115"/>
      <c r="B180" s="74" t="s">
        <v>628</v>
      </c>
      <c r="C180" s="74">
        <v>2</v>
      </c>
      <c r="D180" s="74">
        <f>INDEX(神器!$M$4:$M$7,世界BOSS专属武器!C180)</f>
        <v>120</v>
      </c>
      <c r="E180" s="74">
        <f t="shared" si="58"/>
        <v>8.3333333333333332E-3</v>
      </c>
      <c r="F180" s="74">
        <f t="shared" si="59"/>
        <v>363</v>
      </c>
      <c r="G180" s="74">
        <v>3</v>
      </c>
      <c r="H180" s="74">
        <v>7</v>
      </c>
      <c r="M180" s="15">
        <v>101</v>
      </c>
      <c r="N180" s="15">
        <f t="shared" si="46"/>
        <v>2</v>
      </c>
      <c r="O180" s="15">
        <f>INDEX(卡牌消耗!$H$13:$H$33,世界BOSS专属武器!N180)</f>
        <v>1501002</v>
      </c>
      <c r="P180" s="49" t="s">
        <v>408</v>
      </c>
      <c r="Q180" s="15">
        <f t="shared" si="47"/>
        <v>49</v>
      </c>
      <c r="R180" s="49" t="str">
        <f t="shared" si="48"/>
        <v>金币</v>
      </c>
      <c r="S180" s="15">
        <f t="shared" si="49"/>
        <v>20000</v>
      </c>
      <c r="T180" s="15" t="str">
        <f t="shared" si="50"/>
        <v>高级专属强化石</v>
      </c>
      <c r="U180" s="15">
        <f t="shared" si="51"/>
        <v>10</v>
      </c>
      <c r="V180" s="15" t="str">
        <f t="shared" si="52"/>
        <v>[x]</v>
      </c>
      <c r="W180" s="15" t="str">
        <f t="shared" si="53"/>
        <v>[x]</v>
      </c>
      <c r="X180" s="15">
        <f t="shared" si="54"/>
        <v>0.1</v>
      </c>
      <c r="Y180" s="15">
        <f t="shared" si="55"/>
        <v>1</v>
      </c>
      <c r="Z180" s="15">
        <f t="shared" si="56"/>
        <v>120</v>
      </c>
      <c r="AA180" s="15">
        <f t="shared" si="57"/>
        <v>0.9667</v>
      </c>
    </row>
    <row r="181" spans="1:27" ht="16.5" x14ac:dyDescent="0.2">
      <c r="A181" s="115"/>
      <c r="B181" s="74" t="s">
        <v>629</v>
      </c>
      <c r="C181" s="74">
        <v>3</v>
      </c>
      <c r="D181" s="74">
        <f>INDEX(神器!$M$4:$M$7,世界BOSS专属武器!C181)</f>
        <v>280</v>
      </c>
      <c r="E181" s="74">
        <f t="shared" si="58"/>
        <v>3.5714285714285713E-3</v>
      </c>
      <c r="F181" s="74">
        <f t="shared" si="59"/>
        <v>156</v>
      </c>
      <c r="G181" s="74">
        <v>2</v>
      </c>
      <c r="H181" s="74">
        <v>4</v>
      </c>
      <c r="M181" s="15">
        <v>102</v>
      </c>
      <c r="N181" s="15">
        <f t="shared" si="46"/>
        <v>2</v>
      </c>
      <c r="O181" s="15">
        <f>INDEX(卡牌消耗!$H$13:$H$33,世界BOSS专属武器!N181)</f>
        <v>1501002</v>
      </c>
      <c r="P181" s="49" t="s">
        <v>408</v>
      </c>
      <c r="Q181" s="15">
        <f t="shared" si="47"/>
        <v>50</v>
      </c>
      <c r="R181" s="49" t="str">
        <f t="shared" si="48"/>
        <v>金币</v>
      </c>
      <c r="S181" s="15">
        <f t="shared" si="49"/>
        <v>20000</v>
      </c>
      <c r="T181" s="15" t="str">
        <f t="shared" si="50"/>
        <v>高级专属强化石</v>
      </c>
      <c r="U181" s="15">
        <f t="shared" si="51"/>
        <v>15</v>
      </c>
      <c r="V181" s="15" t="str">
        <f t="shared" si="52"/>
        <v>[x]</v>
      </c>
      <c r="W181" s="15" t="str">
        <f t="shared" si="53"/>
        <v>[x]</v>
      </c>
      <c r="X181" s="15">
        <f t="shared" si="54"/>
        <v>0.1</v>
      </c>
      <c r="Y181" s="15">
        <f t="shared" si="55"/>
        <v>1</v>
      </c>
      <c r="Z181" s="15">
        <f t="shared" si="56"/>
        <v>150</v>
      </c>
      <c r="AA181" s="15">
        <f t="shared" si="57"/>
        <v>1</v>
      </c>
    </row>
    <row r="182" spans="1:27" ht="16.5" x14ac:dyDescent="0.2">
      <c r="A182" s="115"/>
      <c r="B182" s="74" t="s">
        <v>630</v>
      </c>
      <c r="C182" s="74">
        <v>3</v>
      </c>
      <c r="D182" s="74">
        <f>INDEX(神器!$M$4:$M$7,世界BOSS专属武器!C182)</f>
        <v>280</v>
      </c>
      <c r="E182" s="74">
        <f t="shared" si="58"/>
        <v>3.5714285714285713E-3</v>
      </c>
      <c r="F182" s="74">
        <f t="shared" si="59"/>
        <v>156</v>
      </c>
      <c r="G182" s="74">
        <v>2</v>
      </c>
      <c r="H182" s="74">
        <v>4</v>
      </c>
      <c r="M182" s="15">
        <v>103</v>
      </c>
      <c r="N182" s="15">
        <f t="shared" si="46"/>
        <v>3</v>
      </c>
      <c r="O182" s="15">
        <f>INDEX(卡牌消耗!$H$13:$H$33,世界BOSS专属武器!N182)</f>
        <v>1501003</v>
      </c>
      <c r="P182" s="49" t="s">
        <v>408</v>
      </c>
      <c r="Q182" s="15">
        <f t="shared" si="47"/>
        <v>0</v>
      </c>
      <c r="R182" s="49" t="str">
        <f t="shared" si="48"/>
        <v>[x]</v>
      </c>
      <c r="S182" s="15" t="str">
        <f t="shared" si="49"/>
        <v>[x]</v>
      </c>
      <c r="T182" s="15" t="str">
        <f t="shared" si="50"/>
        <v>[x]</v>
      </c>
      <c r="U182" s="15" t="str">
        <f t="shared" si="51"/>
        <v>[x]</v>
      </c>
      <c r="V182" s="15" t="str">
        <f t="shared" si="52"/>
        <v>[x]</v>
      </c>
      <c r="W182" s="15" t="str">
        <f t="shared" si="53"/>
        <v>[x]</v>
      </c>
      <c r="X182" s="15" t="str">
        <f t="shared" si="54"/>
        <v>[x]</v>
      </c>
      <c r="Y182" s="15" t="str">
        <f t="shared" si="55"/>
        <v>[x]</v>
      </c>
      <c r="Z182" s="15" t="str">
        <f t="shared" si="56"/>
        <v>[x]</v>
      </c>
      <c r="AA182" s="15" t="str">
        <f t="shared" si="57"/>
        <v>[x]</v>
      </c>
    </row>
    <row r="183" spans="1:27" ht="16.5" x14ac:dyDescent="0.2">
      <c r="A183" s="115"/>
      <c r="B183" s="74" t="s">
        <v>631</v>
      </c>
      <c r="C183" s="74">
        <v>4</v>
      </c>
      <c r="D183" s="74">
        <f>INDEX(神器!$M$4:$M$7,世界BOSS专属武器!C183)</f>
        <v>600</v>
      </c>
      <c r="E183" s="74">
        <f t="shared" si="58"/>
        <v>1.6666666666666668E-3</v>
      </c>
      <c r="F183" s="74">
        <f t="shared" si="59"/>
        <v>73</v>
      </c>
      <c r="G183" s="74">
        <v>1</v>
      </c>
      <c r="H183" s="74">
        <v>2</v>
      </c>
      <c r="M183" s="15">
        <v>104</v>
      </c>
      <c r="N183" s="15">
        <f t="shared" si="46"/>
        <v>3</v>
      </c>
      <c r="O183" s="15">
        <f>INDEX(卡牌消耗!$H$13:$H$33,世界BOSS专属武器!N183)</f>
        <v>1501003</v>
      </c>
      <c r="P183" s="49" t="s">
        <v>408</v>
      </c>
      <c r="Q183" s="15">
        <f t="shared" si="47"/>
        <v>1</v>
      </c>
      <c r="R183" s="49" t="str">
        <f t="shared" si="48"/>
        <v>金币</v>
      </c>
      <c r="S183" s="15">
        <f t="shared" si="49"/>
        <v>100</v>
      </c>
      <c r="T183" s="15" t="str">
        <f t="shared" si="50"/>
        <v>低级专属强化石</v>
      </c>
      <c r="U183" s="15">
        <f t="shared" si="51"/>
        <v>1</v>
      </c>
      <c r="V183" s="15" t="str">
        <f t="shared" si="52"/>
        <v>[x]</v>
      </c>
      <c r="W183" s="15" t="str">
        <f t="shared" si="53"/>
        <v>[x]</v>
      </c>
      <c r="X183" s="15">
        <f t="shared" si="54"/>
        <v>1</v>
      </c>
      <c r="Y183" s="15">
        <f t="shared" si="55"/>
        <v>1</v>
      </c>
      <c r="Z183" s="15">
        <f t="shared" si="56"/>
        <v>1</v>
      </c>
      <c r="AA183" s="15">
        <f t="shared" si="57"/>
        <v>6.7000000000000002E-3</v>
      </c>
    </row>
    <row r="184" spans="1:27" ht="16.5" x14ac:dyDescent="0.2">
      <c r="A184" s="115"/>
      <c r="B184" s="74" t="s">
        <v>632</v>
      </c>
      <c r="C184" s="74">
        <v>1</v>
      </c>
      <c r="D184" s="74">
        <f>INDEX(神器!$M$4:$M$7,世界BOSS专属武器!C184)</f>
        <v>40</v>
      </c>
      <c r="E184" s="74">
        <f t="shared" si="58"/>
        <v>2.5000000000000001E-2</v>
      </c>
      <c r="F184" s="74">
        <f t="shared" si="59"/>
        <v>1089</v>
      </c>
      <c r="G184" s="74">
        <v>3</v>
      </c>
      <c r="H184" s="74">
        <v>7</v>
      </c>
      <c r="M184" s="15">
        <v>105</v>
      </c>
      <c r="N184" s="15">
        <f t="shared" si="46"/>
        <v>3</v>
      </c>
      <c r="O184" s="15">
        <f>INDEX(卡牌消耗!$H$13:$H$33,世界BOSS专属武器!N184)</f>
        <v>1501003</v>
      </c>
      <c r="P184" s="49" t="s">
        <v>408</v>
      </c>
      <c r="Q184" s="15">
        <f t="shared" si="47"/>
        <v>2</v>
      </c>
      <c r="R184" s="49" t="str">
        <f t="shared" si="48"/>
        <v>金币</v>
      </c>
      <c r="S184" s="15">
        <f t="shared" si="49"/>
        <v>200</v>
      </c>
      <c r="T184" s="15" t="str">
        <f t="shared" si="50"/>
        <v>低级专属强化石</v>
      </c>
      <c r="U184" s="15">
        <f t="shared" si="51"/>
        <v>1</v>
      </c>
      <c r="V184" s="15" t="str">
        <f t="shared" si="52"/>
        <v>[x]</v>
      </c>
      <c r="W184" s="15" t="str">
        <f t="shared" si="53"/>
        <v>[x]</v>
      </c>
      <c r="X184" s="15">
        <f t="shared" si="54"/>
        <v>0.5</v>
      </c>
      <c r="Y184" s="15">
        <f t="shared" si="55"/>
        <v>1</v>
      </c>
      <c r="Z184" s="15">
        <f t="shared" si="56"/>
        <v>2</v>
      </c>
      <c r="AA184" s="15">
        <f t="shared" si="57"/>
        <v>1.3299999999999999E-2</v>
      </c>
    </row>
    <row r="185" spans="1:27" ht="16.5" x14ac:dyDescent="0.2">
      <c r="A185" s="115"/>
      <c r="B185" s="74" t="s">
        <v>633</v>
      </c>
      <c r="C185" s="74">
        <v>2</v>
      </c>
      <c r="D185" s="74">
        <f>INDEX(神器!$M$4:$M$7,世界BOSS专属武器!C185)</f>
        <v>120</v>
      </c>
      <c r="E185" s="74">
        <f t="shared" si="58"/>
        <v>8.3333333333333332E-3</v>
      </c>
      <c r="F185" s="74">
        <f t="shared" si="59"/>
        <v>363</v>
      </c>
      <c r="G185" s="74">
        <v>3</v>
      </c>
      <c r="H185" s="74">
        <v>7</v>
      </c>
      <c r="M185" s="15">
        <v>106</v>
      </c>
      <c r="N185" s="15">
        <f t="shared" si="46"/>
        <v>3</v>
      </c>
      <c r="O185" s="15">
        <f>INDEX(卡牌消耗!$H$13:$H$33,世界BOSS专属武器!N185)</f>
        <v>1501003</v>
      </c>
      <c r="P185" s="49" t="s">
        <v>408</v>
      </c>
      <c r="Q185" s="15">
        <f t="shared" si="47"/>
        <v>3</v>
      </c>
      <c r="R185" s="49" t="str">
        <f t="shared" si="48"/>
        <v>金币</v>
      </c>
      <c r="S185" s="15">
        <f t="shared" si="49"/>
        <v>300</v>
      </c>
      <c r="T185" s="15" t="str">
        <f t="shared" si="50"/>
        <v>低级专属强化石</v>
      </c>
      <c r="U185" s="15">
        <f t="shared" si="51"/>
        <v>2</v>
      </c>
      <c r="V185" s="15" t="str">
        <f t="shared" si="52"/>
        <v>[x]</v>
      </c>
      <c r="W185" s="15" t="str">
        <f t="shared" si="53"/>
        <v>[x]</v>
      </c>
      <c r="X185" s="15">
        <f t="shared" si="54"/>
        <v>0.48</v>
      </c>
      <c r="Y185" s="15">
        <f t="shared" si="55"/>
        <v>1</v>
      </c>
      <c r="Z185" s="15">
        <f t="shared" si="56"/>
        <v>3</v>
      </c>
      <c r="AA185" s="15">
        <f t="shared" si="57"/>
        <v>0.02</v>
      </c>
    </row>
    <row r="186" spans="1:27" ht="16.5" x14ac:dyDescent="0.2">
      <c r="A186" s="115"/>
      <c r="B186" s="74" t="s">
        <v>634</v>
      </c>
      <c r="C186" s="74">
        <v>2</v>
      </c>
      <c r="D186" s="74">
        <f>INDEX(神器!$M$4:$M$7,世界BOSS专属武器!C186)</f>
        <v>120</v>
      </c>
      <c r="E186" s="74">
        <f t="shared" si="58"/>
        <v>8.3333333333333332E-3</v>
      </c>
      <c r="F186" s="74">
        <f t="shared" si="59"/>
        <v>363</v>
      </c>
      <c r="G186" s="74">
        <v>3</v>
      </c>
      <c r="H186" s="74">
        <v>7</v>
      </c>
      <c r="M186" s="15">
        <v>107</v>
      </c>
      <c r="N186" s="15">
        <f t="shared" si="46"/>
        <v>3</v>
      </c>
      <c r="O186" s="15">
        <f>INDEX(卡牌消耗!$H$13:$H$33,世界BOSS专属武器!N186)</f>
        <v>1501003</v>
      </c>
      <c r="P186" s="49" t="s">
        <v>408</v>
      </c>
      <c r="Q186" s="15">
        <f t="shared" si="47"/>
        <v>4</v>
      </c>
      <c r="R186" s="49" t="str">
        <f t="shared" si="48"/>
        <v>金币</v>
      </c>
      <c r="S186" s="15">
        <f t="shared" si="49"/>
        <v>400</v>
      </c>
      <c r="T186" s="15" t="str">
        <f t="shared" si="50"/>
        <v>低级专属强化石</v>
      </c>
      <c r="U186" s="15">
        <f t="shared" si="51"/>
        <v>3</v>
      </c>
      <c r="V186" s="15" t="str">
        <f t="shared" si="52"/>
        <v>[x]</v>
      </c>
      <c r="W186" s="15" t="str">
        <f t="shared" si="53"/>
        <v>[x]</v>
      </c>
      <c r="X186" s="15">
        <f t="shared" si="54"/>
        <v>0.46</v>
      </c>
      <c r="Y186" s="15">
        <f t="shared" si="55"/>
        <v>1</v>
      </c>
      <c r="Z186" s="15">
        <f t="shared" si="56"/>
        <v>3</v>
      </c>
      <c r="AA186" s="15">
        <f t="shared" si="57"/>
        <v>2.6700000000000002E-2</v>
      </c>
    </row>
    <row r="187" spans="1:27" ht="16.5" x14ac:dyDescent="0.2">
      <c r="A187" s="115"/>
      <c r="B187" s="74" t="s">
        <v>635</v>
      </c>
      <c r="C187" s="74">
        <v>3</v>
      </c>
      <c r="D187" s="74">
        <f>INDEX(神器!$M$4:$M$7,世界BOSS专属武器!C187)</f>
        <v>280</v>
      </c>
      <c r="E187" s="74">
        <f t="shared" si="58"/>
        <v>3.5714285714285713E-3</v>
      </c>
      <c r="F187" s="74">
        <f t="shared" si="59"/>
        <v>156</v>
      </c>
      <c r="G187" s="74">
        <v>2</v>
      </c>
      <c r="H187" s="74">
        <v>4</v>
      </c>
      <c r="M187" s="15">
        <v>108</v>
      </c>
      <c r="N187" s="15">
        <f t="shared" si="46"/>
        <v>3</v>
      </c>
      <c r="O187" s="15">
        <f>INDEX(卡牌消耗!$H$13:$H$33,世界BOSS专属武器!N187)</f>
        <v>1501003</v>
      </c>
      <c r="P187" s="49" t="s">
        <v>408</v>
      </c>
      <c r="Q187" s="15">
        <f t="shared" si="47"/>
        <v>5</v>
      </c>
      <c r="R187" s="49" t="str">
        <f t="shared" si="48"/>
        <v>金币</v>
      </c>
      <c r="S187" s="15">
        <f t="shared" si="49"/>
        <v>500</v>
      </c>
      <c r="T187" s="15" t="str">
        <f t="shared" si="50"/>
        <v>低级专属强化石</v>
      </c>
      <c r="U187" s="15">
        <f t="shared" si="51"/>
        <v>4</v>
      </c>
      <c r="V187" s="15" t="str">
        <f t="shared" si="52"/>
        <v>[x]</v>
      </c>
      <c r="W187" s="15" t="str">
        <f t="shared" si="53"/>
        <v>[x]</v>
      </c>
      <c r="X187" s="15">
        <f t="shared" si="54"/>
        <v>0.44</v>
      </c>
      <c r="Y187" s="15">
        <f t="shared" si="55"/>
        <v>1</v>
      </c>
      <c r="Z187" s="15">
        <f t="shared" si="56"/>
        <v>3</v>
      </c>
      <c r="AA187" s="15">
        <f t="shared" si="57"/>
        <v>3.3300000000000003E-2</v>
      </c>
    </row>
    <row r="188" spans="1:27" ht="16.5" x14ac:dyDescent="0.2">
      <c r="A188" s="115"/>
      <c r="B188" s="74" t="s">
        <v>636</v>
      </c>
      <c r="C188" s="74">
        <v>3</v>
      </c>
      <c r="D188" s="74">
        <f>INDEX(神器!$M$4:$M$7,世界BOSS专属武器!C188)</f>
        <v>280</v>
      </c>
      <c r="E188" s="74">
        <f t="shared" si="58"/>
        <v>3.5714285714285713E-3</v>
      </c>
      <c r="F188" s="74">
        <f t="shared" si="59"/>
        <v>156</v>
      </c>
      <c r="G188" s="74">
        <v>2</v>
      </c>
      <c r="H188" s="74">
        <v>4</v>
      </c>
      <c r="M188" s="15">
        <v>109</v>
      </c>
      <c r="N188" s="15">
        <f t="shared" si="46"/>
        <v>3</v>
      </c>
      <c r="O188" s="15">
        <f>INDEX(卡牌消耗!$H$13:$H$33,世界BOSS专属武器!N188)</f>
        <v>1501003</v>
      </c>
      <c r="P188" s="49" t="s">
        <v>408</v>
      </c>
      <c r="Q188" s="15">
        <f t="shared" si="47"/>
        <v>6</v>
      </c>
      <c r="R188" s="49" t="str">
        <f t="shared" si="48"/>
        <v>金币</v>
      </c>
      <c r="S188" s="15">
        <f t="shared" si="49"/>
        <v>600</v>
      </c>
      <c r="T188" s="15" t="str">
        <f t="shared" si="50"/>
        <v>低级专属强化石</v>
      </c>
      <c r="U188" s="15">
        <f t="shared" si="51"/>
        <v>5</v>
      </c>
      <c r="V188" s="15" t="str">
        <f t="shared" si="52"/>
        <v>[x]</v>
      </c>
      <c r="W188" s="15" t="str">
        <f t="shared" si="53"/>
        <v>[x]</v>
      </c>
      <c r="X188" s="15">
        <f t="shared" si="54"/>
        <v>0.42</v>
      </c>
      <c r="Y188" s="15">
        <f t="shared" si="55"/>
        <v>1</v>
      </c>
      <c r="Z188" s="15">
        <f t="shared" si="56"/>
        <v>4</v>
      </c>
      <c r="AA188" s="15">
        <f t="shared" si="57"/>
        <v>0.04</v>
      </c>
    </row>
    <row r="189" spans="1:27" ht="16.5" x14ac:dyDescent="0.2">
      <c r="A189" s="115"/>
      <c r="B189" s="74" t="s">
        <v>637</v>
      </c>
      <c r="C189" s="74">
        <v>4</v>
      </c>
      <c r="D189" s="74">
        <f>INDEX(神器!$M$4:$M$7,世界BOSS专属武器!C189)</f>
        <v>600</v>
      </c>
      <c r="E189" s="74">
        <f t="shared" si="58"/>
        <v>1.6666666666666668E-3</v>
      </c>
      <c r="F189" s="74">
        <f t="shared" si="59"/>
        <v>73</v>
      </c>
      <c r="G189" s="74">
        <v>1</v>
      </c>
      <c r="H189" s="74">
        <v>2</v>
      </c>
      <c r="M189" s="15">
        <v>110</v>
      </c>
      <c r="N189" s="15">
        <f t="shared" si="46"/>
        <v>3</v>
      </c>
      <c r="O189" s="15">
        <f>INDEX(卡牌消耗!$H$13:$H$33,世界BOSS专属武器!N189)</f>
        <v>1501003</v>
      </c>
      <c r="P189" s="49" t="s">
        <v>408</v>
      </c>
      <c r="Q189" s="15">
        <f t="shared" si="47"/>
        <v>7</v>
      </c>
      <c r="R189" s="49" t="str">
        <f t="shared" si="48"/>
        <v>金币</v>
      </c>
      <c r="S189" s="15">
        <f t="shared" si="49"/>
        <v>700</v>
      </c>
      <c r="T189" s="15" t="str">
        <f t="shared" si="50"/>
        <v>低级专属强化石</v>
      </c>
      <c r="U189" s="15">
        <f t="shared" si="51"/>
        <v>5</v>
      </c>
      <c r="V189" s="15" t="str">
        <f t="shared" si="52"/>
        <v>[x]</v>
      </c>
      <c r="W189" s="15" t="str">
        <f t="shared" si="53"/>
        <v>[x]</v>
      </c>
      <c r="X189" s="15">
        <f t="shared" si="54"/>
        <v>0.4</v>
      </c>
      <c r="Y189" s="15">
        <f t="shared" si="55"/>
        <v>1</v>
      </c>
      <c r="Z189" s="15">
        <f t="shared" si="56"/>
        <v>4</v>
      </c>
      <c r="AA189" s="15">
        <f t="shared" si="57"/>
        <v>4.6699999999999998E-2</v>
      </c>
    </row>
    <row r="190" spans="1:27" ht="16.5" x14ac:dyDescent="0.2">
      <c r="A190" s="115"/>
      <c r="B190" s="74" t="s">
        <v>638</v>
      </c>
      <c r="C190" s="74">
        <v>1</v>
      </c>
      <c r="D190" s="74">
        <f>INDEX(神器!$M$4:$M$7,世界BOSS专属武器!C190)</f>
        <v>40</v>
      </c>
      <c r="E190" s="74">
        <f t="shared" si="58"/>
        <v>2.5000000000000001E-2</v>
      </c>
      <c r="F190" s="74">
        <f t="shared" si="59"/>
        <v>1089</v>
      </c>
      <c r="G190" s="74">
        <v>3</v>
      </c>
      <c r="H190" s="74">
        <v>7</v>
      </c>
      <c r="M190" s="15">
        <v>111</v>
      </c>
      <c r="N190" s="15">
        <f t="shared" si="46"/>
        <v>3</v>
      </c>
      <c r="O190" s="15">
        <f>INDEX(卡牌消耗!$H$13:$H$33,世界BOSS专属武器!N190)</f>
        <v>1501003</v>
      </c>
      <c r="P190" s="49" t="s">
        <v>408</v>
      </c>
      <c r="Q190" s="15">
        <f t="shared" si="47"/>
        <v>8</v>
      </c>
      <c r="R190" s="49" t="str">
        <f t="shared" si="48"/>
        <v>金币</v>
      </c>
      <c r="S190" s="15">
        <f t="shared" si="49"/>
        <v>800</v>
      </c>
      <c r="T190" s="15" t="str">
        <f t="shared" si="50"/>
        <v>低级专属强化石</v>
      </c>
      <c r="U190" s="15">
        <f t="shared" si="51"/>
        <v>5</v>
      </c>
      <c r="V190" s="15" t="str">
        <f t="shared" si="52"/>
        <v>[x]</v>
      </c>
      <c r="W190" s="15" t="str">
        <f t="shared" si="53"/>
        <v>[x]</v>
      </c>
      <c r="X190" s="15">
        <f t="shared" si="54"/>
        <v>0.38</v>
      </c>
      <c r="Y190" s="15">
        <f t="shared" si="55"/>
        <v>1</v>
      </c>
      <c r="Z190" s="15">
        <f t="shared" si="56"/>
        <v>5</v>
      </c>
      <c r="AA190" s="15">
        <f t="shared" si="57"/>
        <v>5.33E-2</v>
      </c>
    </row>
    <row r="191" spans="1:27" ht="16.5" x14ac:dyDescent="0.2">
      <c r="A191" s="115"/>
      <c r="B191" s="74" t="s">
        <v>639</v>
      </c>
      <c r="C191" s="74">
        <v>2</v>
      </c>
      <c r="D191" s="74">
        <f>INDEX(神器!$M$4:$M$7,世界BOSS专属武器!C191)</f>
        <v>120</v>
      </c>
      <c r="E191" s="74">
        <f t="shared" si="58"/>
        <v>8.3333333333333332E-3</v>
      </c>
      <c r="F191" s="74">
        <f t="shared" si="59"/>
        <v>363</v>
      </c>
      <c r="G191" s="74">
        <v>3</v>
      </c>
      <c r="H191" s="74">
        <v>7</v>
      </c>
      <c r="M191" s="15">
        <v>112</v>
      </c>
      <c r="N191" s="15">
        <f t="shared" si="46"/>
        <v>3</v>
      </c>
      <c r="O191" s="15">
        <f>INDEX(卡牌消耗!$H$13:$H$33,世界BOSS专属武器!N191)</f>
        <v>1501003</v>
      </c>
      <c r="P191" s="49" t="s">
        <v>408</v>
      </c>
      <c r="Q191" s="15">
        <f t="shared" si="47"/>
        <v>9</v>
      </c>
      <c r="R191" s="49" t="str">
        <f t="shared" si="48"/>
        <v>金币</v>
      </c>
      <c r="S191" s="15">
        <f t="shared" si="49"/>
        <v>900</v>
      </c>
      <c r="T191" s="15" t="str">
        <f t="shared" si="50"/>
        <v>低级专属强化石</v>
      </c>
      <c r="U191" s="15">
        <f t="shared" si="51"/>
        <v>5</v>
      </c>
      <c r="V191" s="15" t="str">
        <f t="shared" si="52"/>
        <v>[x]</v>
      </c>
      <c r="W191" s="15" t="str">
        <f t="shared" si="53"/>
        <v>[x]</v>
      </c>
      <c r="X191" s="15">
        <f t="shared" si="54"/>
        <v>0.36</v>
      </c>
      <c r="Y191" s="15">
        <f t="shared" si="55"/>
        <v>1</v>
      </c>
      <c r="Z191" s="15">
        <f t="shared" si="56"/>
        <v>5</v>
      </c>
      <c r="AA191" s="15">
        <f t="shared" si="57"/>
        <v>0.06</v>
      </c>
    </row>
    <row r="192" spans="1:27" ht="16.5" x14ac:dyDescent="0.2">
      <c r="A192" s="115"/>
      <c r="B192" s="74" t="s">
        <v>640</v>
      </c>
      <c r="C192" s="74">
        <v>2</v>
      </c>
      <c r="D192" s="74">
        <f>INDEX(神器!$M$4:$M$7,世界BOSS专属武器!C192)</f>
        <v>120</v>
      </c>
      <c r="E192" s="74">
        <f t="shared" si="58"/>
        <v>8.3333333333333332E-3</v>
      </c>
      <c r="F192" s="74">
        <f t="shared" si="59"/>
        <v>363</v>
      </c>
      <c r="G192" s="74">
        <v>3</v>
      </c>
      <c r="H192" s="74">
        <v>7</v>
      </c>
      <c r="M192" s="15">
        <v>113</v>
      </c>
      <c r="N192" s="15">
        <f t="shared" si="46"/>
        <v>3</v>
      </c>
      <c r="O192" s="15">
        <f>INDEX(卡牌消耗!$H$13:$H$33,世界BOSS专属武器!N192)</f>
        <v>1501003</v>
      </c>
      <c r="P192" s="49" t="s">
        <v>408</v>
      </c>
      <c r="Q192" s="15">
        <f t="shared" si="47"/>
        <v>10</v>
      </c>
      <c r="R192" s="49" t="str">
        <f t="shared" si="48"/>
        <v>金币</v>
      </c>
      <c r="S192" s="15">
        <f t="shared" si="49"/>
        <v>1000</v>
      </c>
      <c r="T192" s="15" t="str">
        <f t="shared" si="50"/>
        <v>低级专属强化石</v>
      </c>
      <c r="U192" s="15">
        <f t="shared" si="51"/>
        <v>7</v>
      </c>
      <c r="V192" s="15" t="str">
        <f t="shared" si="52"/>
        <v>[x]</v>
      </c>
      <c r="W192" s="15" t="str">
        <f t="shared" si="53"/>
        <v>[x]</v>
      </c>
      <c r="X192" s="15">
        <f t="shared" si="54"/>
        <v>0.35</v>
      </c>
      <c r="Y192" s="15">
        <f t="shared" si="55"/>
        <v>1</v>
      </c>
      <c r="Z192" s="15">
        <f t="shared" si="56"/>
        <v>5</v>
      </c>
      <c r="AA192" s="15">
        <f t="shared" si="57"/>
        <v>6.6699999999999995E-2</v>
      </c>
    </row>
    <row r="193" spans="1:27" ht="16.5" x14ac:dyDescent="0.2">
      <c r="A193" s="115"/>
      <c r="B193" s="74" t="s">
        <v>641</v>
      </c>
      <c r="C193" s="74">
        <v>3</v>
      </c>
      <c r="D193" s="74">
        <f>INDEX(神器!$M$4:$M$7,世界BOSS专属武器!C193)</f>
        <v>280</v>
      </c>
      <c r="E193" s="74">
        <f t="shared" si="58"/>
        <v>3.5714285714285713E-3</v>
      </c>
      <c r="F193" s="74">
        <f t="shared" si="59"/>
        <v>156</v>
      </c>
      <c r="G193" s="74">
        <v>2</v>
      </c>
      <c r="H193" s="74">
        <v>4</v>
      </c>
      <c r="M193" s="15">
        <v>114</v>
      </c>
      <c r="N193" s="15">
        <f t="shared" si="46"/>
        <v>3</v>
      </c>
      <c r="O193" s="15">
        <f>INDEX(卡牌消耗!$H$13:$H$33,世界BOSS专属武器!N193)</f>
        <v>1501003</v>
      </c>
      <c r="P193" s="49" t="s">
        <v>408</v>
      </c>
      <c r="Q193" s="15">
        <f t="shared" si="47"/>
        <v>11</v>
      </c>
      <c r="R193" s="49" t="str">
        <f t="shared" si="48"/>
        <v>金币</v>
      </c>
      <c r="S193" s="15">
        <f t="shared" si="49"/>
        <v>1000</v>
      </c>
      <c r="T193" s="15" t="str">
        <f t="shared" si="50"/>
        <v>低级专属强化石</v>
      </c>
      <c r="U193" s="15">
        <f t="shared" si="51"/>
        <v>7</v>
      </c>
      <c r="V193" s="15" t="str">
        <f t="shared" si="52"/>
        <v>[x]</v>
      </c>
      <c r="W193" s="15" t="str">
        <f t="shared" si="53"/>
        <v>[x]</v>
      </c>
      <c r="X193" s="15">
        <f t="shared" si="54"/>
        <v>0.33</v>
      </c>
      <c r="Y193" s="15">
        <f t="shared" si="55"/>
        <v>1</v>
      </c>
      <c r="Z193" s="15">
        <f t="shared" si="56"/>
        <v>6</v>
      </c>
      <c r="AA193" s="15">
        <f t="shared" si="57"/>
        <v>0.08</v>
      </c>
    </row>
    <row r="194" spans="1:27" ht="16.5" x14ac:dyDescent="0.2">
      <c r="A194" s="115"/>
      <c r="B194" s="74" t="s">
        <v>642</v>
      </c>
      <c r="C194" s="74">
        <v>3</v>
      </c>
      <c r="D194" s="74">
        <f>INDEX(神器!$M$4:$M$7,世界BOSS专属武器!C194)</f>
        <v>280</v>
      </c>
      <c r="E194" s="74">
        <f t="shared" si="58"/>
        <v>3.5714285714285713E-3</v>
      </c>
      <c r="F194" s="74">
        <f t="shared" si="59"/>
        <v>156</v>
      </c>
      <c r="G194" s="74">
        <v>2</v>
      </c>
      <c r="H194" s="74">
        <v>4</v>
      </c>
      <c r="M194" s="15">
        <v>115</v>
      </c>
      <c r="N194" s="15">
        <f t="shared" si="46"/>
        <v>3</v>
      </c>
      <c r="O194" s="15">
        <f>INDEX(卡牌消耗!$H$13:$H$33,世界BOSS专属武器!N194)</f>
        <v>1501003</v>
      </c>
      <c r="P194" s="49" t="s">
        <v>408</v>
      </c>
      <c r="Q194" s="15">
        <f t="shared" si="47"/>
        <v>12</v>
      </c>
      <c r="R194" s="49" t="str">
        <f t="shared" si="48"/>
        <v>金币</v>
      </c>
      <c r="S194" s="15">
        <f t="shared" si="49"/>
        <v>1000</v>
      </c>
      <c r="T194" s="15" t="str">
        <f t="shared" si="50"/>
        <v>低级专属强化石</v>
      </c>
      <c r="U194" s="15">
        <f t="shared" si="51"/>
        <v>7</v>
      </c>
      <c r="V194" s="15" t="str">
        <f t="shared" si="52"/>
        <v>[x]</v>
      </c>
      <c r="W194" s="15" t="str">
        <f t="shared" si="53"/>
        <v>[x]</v>
      </c>
      <c r="X194" s="15">
        <f t="shared" si="54"/>
        <v>0.31</v>
      </c>
      <c r="Y194" s="15">
        <f t="shared" si="55"/>
        <v>1</v>
      </c>
      <c r="Z194" s="15">
        <f t="shared" si="56"/>
        <v>6</v>
      </c>
      <c r="AA194" s="15">
        <f t="shared" si="57"/>
        <v>9.3299999999999994E-2</v>
      </c>
    </row>
    <row r="195" spans="1:27" ht="16.5" x14ac:dyDescent="0.2">
      <c r="A195" s="115"/>
      <c r="B195" s="74" t="s">
        <v>643</v>
      </c>
      <c r="C195" s="74">
        <v>4</v>
      </c>
      <c r="D195" s="74">
        <f>INDEX(神器!$M$4:$M$7,世界BOSS专属武器!C195)</f>
        <v>600</v>
      </c>
      <c r="E195" s="74">
        <f t="shared" si="58"/>
        <v>1.6666666666666668E-3</v>
      </c>
      <c r="F195" s="74">
        <f t="shared" si="59"/>
        <v>73</v>
      </c>
      <c r="G195" s="74">
        <v>1</v>
      </c>
      <c r="H195" s="74">
        <v>2</v>
      </c>
      <c r="M195" s="15">
        <v>116</v>
      </c>
      <c r="N195" s="15">
        <f t="shared" si="46"/>
        <v>3</v>
      </c>
      <c r="O195" s="15">
        <f>INDEX(卡牌消耗!$H$13:$H$33,世界BOSS专属武器!N195)</f>
        <v>1501003</v>
      </c>
      <c r="P195" s="49" t="s">
        <v>408</v>
      </c>
      <c r="Q195" s="15">
        <f t="shared" si="47"/>
        <v>13</v>
      </c>
      <c r="R195" s="49" t="str">
        <f t="shared" si="48"/>
        <v>金币</v>
      </c>
      <c r="S195" s="15">
        <f t="shared" si="49"/>
        <v>1000</v>
      </c>
      <c r="T195" s="15" t="str">
        <f t="shared" si="50"/>
        <v>低级专属强化石</v>
      </c>
      <c r="U195" s="15">
        <f t="shared" si="51"/>
        <v>7</v>
      </c>
      <c r="V195" s="15" t="str">
        <f t="shared" si="52"/>
        <v>[x]</v>
      </c>
      <c r="W195" s="15" t="str">
        <f t="shared" si="53"/>
        <v>[x]</v>
      </c>
      <c r="X195" s="15">
        <f t="shared" si="54"/>
        <v>0.28999999999999998</v>
      </c>
      <c r="Y195" s="15">
        <f t="shared" si="55"/>
        <v>1</v>
      </c>
      <c r="Z195" s="15">
        <f t="shared" si="56"/>
        <v>7</v>
      </c>
      <c r="AA195" s="15">
        <f t="shared" si="57"/>
        <v>0.1067</v>
      </c>
    </row>
    <row r="196" spans="1:27" ht="16.5" x14ac:dyDescent="0.2">
      <c r="A196" s="115"/>
      <c r="B196" s="74" t="s">
        <v>644</v>
      </c>
      <c r="C196" s="74">
        <v>2</v>
      </c>
      <c r="D196" s="74">
        <f>INDEX(神器!$M$4:$M$7,世界BOSS专属武器!C196)</f>
        <v>120</v>
      </c>
      <c r="E196" s="74">
        <f t="shared" si="58"/>
        <v>8.3333333333333332E-3</v>
      </c>
      <c r="F196" s="74">
        <f t="shared" si="59"/>
        <v>363</v>
      </c>
      <c r="G196" s="74">
        <v>3</v>
      </c>
      <c r="H196" s="74">
        <v>7</v>
      </c>
      <c r="M196" s="15">
        <v>117</v>
      </c>
      <c r="N196" s="15">
        <f t="shared" si="46"/>
        <v>3</v>
      </c>
      <c r="O196" s="15">
        <f>INDEX(卡牌消耗!$H$13:$H$33,世界BOSS专属武器!N196)</f>
        <v>1501003</v>
      </c>
      <c r="P196" s="49" t="s">
        <v>408</v>
      </c>
      <c r="Q196" s="15">
        <f t="shared" si="47"/>
        <v>14</v>
      </c>
      <c r="R196" s="49" t="str">
        <f t="shared" si="48"/>
        <v>金币</v>
      </c>
      <c r="S196" s="15">
        <f t="shared" si="49"/>
        <v>1000</v>
      </c>
      <c r="T196" s="15" t="str">
        <f t="shared" si="50"/>
        <v>低级专属强化石</v>
      </c>
      <c r="U196" s="15">
        <f t="shared" si="51"/>
        <v>7</v>
      </c>
      <c r="V196" s="15" t="str">
        <f t="shared" si="52"/>
        <v>[x]</v>
      </c>
      <c r="W196" s="15" t="str">
        <f t="shared" si="53"/>
        <v>[x]</v>
      </c>
      <c r="X196" s="15">
        <f t="shared" si="54"/>
        <v>0.27</v>
      </c>
      <c r="Y196" s="15">
        <f t="shared" si="55"/>
        <v>1</v>
      </c>
      <c r="Z196" s="15">
        <f t="shared" si="56"/>
        <v>7</v>
      </c>
      <c r="AA196" s="15">
        <f t="shared" si="57"/>
        <v>0.12</v>
      </c>
    </row>
    <row r="197" spans="1:27" ht="16.5" x14ac:dyDescent="0.2">
      <c r="A197" s="115"/>
      <c r="B197" s="74" t="s">
        <v>645</v>
      </c>
      <c r="C197" s="74">
        <v>2</v>
      </c>
      <c r="D197" s="74">
        <f>INDEX(神器!$M$4:$M$7,世界BOSS专属武器!C197)</f>
        <v>120</v>
      </c>
      <c r="E197" s="74">
        <f t="shared" si="58"/>
        <v>8.3333333333333332E-3</v>
      </c>
      <c r="F197" s="74">
        <f t="shared" si="59"/>
        <v>363</v>
      </c>
      <c r="G197" s="74">
        <v>3</v>
      </c>
      <c r="H197" s="74">
        <v>7</v>
      </c>
      <c r="M197" s="15">
        <v>118</v>
      </c>
      <c r="N197" s="15">
        <f t="shared" si="46"/>
        <v>3</v>
      </c>
      <c r="O197" s="15">
        <f>INDEX(卡牌消耗!$H$13:$H$33,世界BOSS专属武器!N197)</f>
        <v>1501003</v>
      </c>
      <c r="P197" s="49" t="s">
        <v>408</v>
      </c>
      <c r="Q197" s="15">
        <f t="shared" si="47"/>
        <v>15</v>
      </c>
      <c r="R197" s="49" t="str">
        <f t="shared" si="48"/>
        <v>金币</v>
      </c>
      <c r="S197" s="15">
        <f t="shared" si="49"/>
        <v>1000</v>
      </c>
      <c r="T197" s="15" t="str">
        <f t="shared" si="50"/>
        <v>低级专属强化石</v>
      </c>
      <c r="U197" s="15">
        <f t="shared" si="51"/>
        <v>10</v>
      </c>
      <c r="V197" s="15" t="str">
        <f t="shared" si="52"/>
        <v>[x]</v>
      </c>
      <c r="W197" s="15" t="str">
        <f t="shared" si="53"/>
        <v>[x]</v>
      </c>
      <c r="X197" s="15">
        <f t="shared" si="54"/>
        <v>0.25</v>
      </c>
      <c r="Y197" s="15">
        <f t="shared" si="55"/>
        <v>1</v>
      </c>
      <c r="Z197" s="15">
        <f t="shared" si="56"/>
        <v>8</v>
      </c>
      <c r="AA197" s="15">
        <f t="shared" si="57"/>
        <v>0.1333</v>
      </c>
    </row>
    <row r="198" spans="1:27" ht="16.5" x14ac:dyDescent="0.2">
      <c r="A198" s="115"/>
      <c r="B198" s="74" t="s">
        <v>646</v>
      </c>
      <c r="C198" s="74">
        <v>2</v>
      </c>
      <c r="D198" s="74">
        <f>INDEX(神器!$M$4:$M$7,世界BOSS专属武器!C198)</f>
        <v>120</v>
      </c>
      <c r="E198" s="74">
        <f t="shared" si="58"/>
        <v>8.3333333333333332E-3</v>
      </c>
      <c r="F198" s="74">
        <f t="shared" si="59"/>
        <v>363</v>
      </c>
      <c r="G198" s="74">
        <v>3</v>
      </c>
      <c r="H198" s="74">
        <v>7</v>
      </c>
      <c r="M198" s="15">
        <v>119</v>
      </c>
      <c r="N198" s="15">
        <f t="shared" si="46"/>
        <v>3</v>
      </c>
      <c r="O198" s="15">
        <f>INDEX(卡牌消耗!$H$13:$H$33,世界BOSS专属武器!N198)</f>
        <v>1501003</v>
      </c>
      <c r="P198" s="49" t="s">
        <v>408</v>
      </c>
      <c r="Q198" s="15">
        <f t="shared" si="47"/>
        <v>16</v>
      </c>
      <c r="R198" s="49" t="str">
        <f t="shared" si="48"/>
        <v>金币</v>
      </c>
      <c r="S198" s="15">
        <f t="shared" si="49"/>
        <v>1000</v>
      </c>
      <c r="T198" s="15" t="str">
        <f t="shared" si="50"/>
        <v>低级专属强化石</v>
      </c>
      <c r="U198" s="15">
        <f t="shared" si="51"/>
        <v>10</v>
      </c>
      <c r="V198" s="15" t="str">
        <f t="shared" si="52"/>
        <v>[x]</v>
      </c>
      <c r="W198" s="15" t="str">
        <f t="shared" si="53"/>
        <v>[x]</v>
      </c>
      <c r="X198" s="15">
        <f t="shared" si="54"/>
        <v>0.23</v>
      </c>
      <c r="Y198" s="15">
        <f t="shared" si="55"/>
        <v>1</v>
      </c>
      <c r="Z198" s="15">
        <f t="shared" si="56"/>
        <v>9</v>
      </c>
      <c r="AA198" s="15">
        <f t="shared" si="57"/>
        <v>0.1467</v>
      </c>
    </row>
    <row r="199" spans="1:27" ht="16.5" x14ac:dyDescent="0.2">
      <c r="A199" s="115"/>
      <c r="B199" s="74" t="s">
        <v>647</v>
      </c>
      <c r="C199" s="74">
        <v>3</v>
      </c>
      <c r="D199" s="74">
        <f>INDEX(神器!$M$4:$M$7,世界BOSS专属武器!C199)</f>
        <v>280</v>
      </c>
      <c r="E199" s="74">
        <f t="shared" si="58"/>
        <v>3.5714285714285713E-3</v>
      </c>
      <c r="F199" s="74">
        <f t="shared" si="59"/>
        <v>156</v>
      </c>
      <c r="G199" s="74">
        <v>2</v>
      </c>
      <c r="H199" s="74">
        <v>4</v>
      </c>
      <c r="M199" s="15">
        <v>120</v>
      </c>
      <c r="N199" s="15">
        <f t="shared" si="46"/>
        <v>3</v>
      </c>
      <c r="O199" s="15">
        <f>INDEX(卡牌消耗!$H$13:$H$33,世界BOSS专属武器!N199)</f>
        <v>1501003</v>
      </c>
      <c r="P199" s="49" t="s">
        <v>408</v>
      </c>
      <c r="Q199" s="15">
        <f t="shared" si="47"/>
        <v>17</v>
      </c>
      <c r="R199" s="49" t="str">
        <f t="shared" si="48"/>
        <v>金币</v>
      </c>
      <c r="S199" s="15">
        <f t="shared" si="49"/>
        <v>1000</v>
      </c>
      <c r="T199" s="15" t="str">
        <f t="shared" si="50"/>
        <v>低级专属强化石</v>
      </c>
      <c r="U199" s="15">
        <f t="shared" si="51"/>
        <v>10</v>
      </c>
      <c r="V199" s="15" t="str">
        <f t="shared" si="52"/>
        <v>[x]</v>
      </c>
      <c r="W199" s="15" t="str">
        <f t="shared" si="53"/>
        <v>[x]</v>
      </c>
      <c r="X199" s="15">
        <f t="shared" si="54"/>
        <v>0.21</v>
      </c>
      <c r="Y199" s="15">
        <f t="shared" si="55"/>
        <v>1</v>
      </c>
      <c r="Z199" s="15">
        <f t="shared" si="56"/>
        <v>10</v>
      </c>
      <c r="AA199" s="15">
        <f t="shared" si="57"/>
        <v>0.16</v>
      </c>
    </row>
    <row r="200" spans="1:27" ht="16.5" x14ac:dyDescent="0.2">
      <c r="A200" s="115"/>
      <c r="B200" s="74" t="s">
        <v>648</v>
      </c>
      <c r="C200" s="74">
        <v>3</v>
      </c>
      <c r="D200" s="74">
        <f>INDEX(神器!$M$4:$M$7,世界BOSS专属武器!C200)</f>
        <v>280</v>
      </c>
      <c r="E200" s="74">
        <f t="shared" si="58"/>
        <v>3.5714285714285713E-3</v>
      </c>
      <c r="F200" s="74">
        <f t="shared" si="59"/>
        <v>156</v>
      </c>
      <c r="G200" s="74">
        <v>2</v>
      </c>
      <c r="H200" s="74">
        <v>4</v>
      </c>
      <c r="M200" s="15">
        <v>121</v>
      </c>
      <c r="N200" s="15">
        <f t="shared" si="46"/>
        <v>3</v>
      </c>
      <c r="O200" s="15">
        <f>INDEX(卡牌消耗!$H$13:$H$33,世界BOSS专属武器!N200)</f>
        <v>1501003</v>
      </c>
      <c r="P200" s="49" t="s">
        <v>408</v>
      </c>
      <c r="Q200" s="15">
        <f t="shared" si="47"/>
        <v>18</v>
      </c>
      <c r="R200" s="49" t="str">
        <f t="shared" si="48"/>
        <v>金币</v>
      </c>
      <c r="S200" s="15">
        <f t="shared" si="49"/>
        <v>1000</v>
      </c>
      <c r="T200" s="15" t="str">
        <f t="shared" si="50"/>
        <v>低级专属强化石</v>
      </c>
      <c r="U200" s="15">
        <f t="shared" si="51"/>
        <v>10</v>
      </c>
      <c r="V200" s="15" t="str">
        <f t="shared" si="52"/>
        <v>[x]</v>
      </c>
      <c r="W200" s="15" t="str">
        <f t="shared" si="53"/>
        <v>[x]</v>
      </c>
      <c r="X200" s="15">
        <f t="shared" si="54"/>
        <v>0.19</v>
      </c>
      <c r="Y200" s="15">
        <f t="shared" si="55"/>
        <v>1</v>
      </c>
      <c r="Z200" s="15">
        <f t="shared" si="56"/>
        <v>11</v>
      </c>
      <c r="AA200" s="15">
        <f t="shared" si="57"/>
        <v>0.17330000000000001</v>
      </c>
    </row>
    <row r="201" spans="1:27" ht="16.5" x14ac:dyDescent="0.2">
      <c r="A201" s="115"/>
      <c r="B201" s="74" t="s">
        <v>649</v>
      </c>
      <c r="C201" s="74">
        <v>3</v>
      </c>
      <c r="D201" s="74">
        <f>INDEX(神器!$M$4:$M$7,世界BOSS专属武器!C201)</f>
        <v>280</v>
      </c>
      <c r="E201" s="74">
        <f t="shared" si="58"/>
        <v>3.5714285714285713E-3</v>
      </c>
      <c r="F201" s="74">
        <f t="shared" si="59"/>
        <v>156</v>
      </c>
      <c r="G201" s="74">
        <v>2</v>
      </c>
      <c r="H201" s="74">
        <v>4</v>
      </c>
      <c r="M201" s="15">
        <v>122</v>
      </c>
      <c r="N201" s="15">
        <f t="shared" si="46"/>
        <v>3</v>
      </c>
      <c r="O201" s="15">
        <f>INDEX(卡牌消耗!$H$13:$H$33,世界BOSS专属武器!N201)</f>
        <v>1501003</v>
      </c>
      <c r="P201" s="49" t="s">
        <v>408</v>
      </c>
      <c r="Q201" s="15">
        <f t="shared" si="47"/>
        <v>19</v>
      </c>
      <c r="R201" s="49" t="str">
        <f t="shared" si="48"/>
        <v>金币</v>
      </c>
      <c r="S201" s="15">
        <f t="shared" si="49"/>
        <v>1000</v>
      </c>
      <c r="T201" s="15" t="str">
        <f t="shared" si="50"/>
        <v>低级专属强化石</v>
      </c>
      <c r="U201" s="15">
        <f t="shared" si="51"/>
        <v>10</v>
      </c>
      <c r="V201" s="15" t="str">
        <f t="shared" si="52"/>
        <v>[x]</v>
      </c>
      <c r="W201" s="15" t="str">
        <f t="shared" si="53"/>
        <v>[x]</v>
      </c>
      <c r="X201" s="15">
        <f t="shared" si="54"/>
        <v>0.17</v>
      </c>
      <c r="Y201" s="15">
        <f t="shared" si="55"/>
        <v>1</v>
      </c>
      <c r="Z201" s="15">
        <f t="shared" si="56"/>
        <v>12</v>
      </c>
      <c r="AA201" s="15">
        <f t="shared" si="57"/>
        <v>0.1867</v>
      </c>
    </row>
    <row r="202" spans="1:27" ht="16.5" x14ac:dyDescent="0.2">
      <c r="A202" s="115"/>
      <c r="B202" s="74" t="s">
        <v>650</v>
      </c>
      <c r="C202" s="74">
        <v>4</v>
      </c>
      <c r="D202" s="74">
        <f>INDEX(神器!$M$4:$M$7,世界BOSS专属武器!C202)</f>
        <v>600</v>
      </c>
      <c r="E202" s="74">
        <f t="shared" si="58"/>
        <v>1.6666666666666668E-3</v>
      </c>
      <c r="F202" s="74">
        <f t="shared" si="59"/>
        <v>73</v>
      </c>
      <c r="G202" s="74">
        <v>1</v>
      </c>
      <c r="H202" s="74">
        <v>2</v>
      </c>
      <c r="M202" s="15">
        <v>123</v>
      </c>
      <c r="N202" s="15">
        <f t="shared" si="46"/>
        <v>3</v>
      </c>
      <c r="O202" s="15">
        <f>INDEX(卡牌消耗!$H$13:$H$33,世界BOSS专属武器!N202)</f>
        <v>1501003</v>
      </c>
      <c r="P202" s="49" t="s">
        <v>408</v>
      </c>
      <c r="Q202" s="15">
        <f t="shared" si="47"/>
        <v>20</v>
      </c>
      <c r="R202" s="49" t="str">
        <f t="shared" si="48"/>
        <v>金币</v>
      </c>
      <c r="S202" s="15">
        <f t="shared" si="49"/>
        <v>5000</v>
      </c>
      <c r="T202" s="15" t="str">
        <f t="shared" si="50"/>
        <v>低级专属强化石</v>
      </c>
      <c r="U202" s="15">
        <f t="shared" si="51"/>
        <v>15</v>
      </c>
      <c r="V202" s="15" t="str">
        <f t="shared" si="52"/>
        <v>中级专属强化石</v>
      </c>
      <c r="W202" s="15">
        <f t="shared" si="53"/>
        <v>7</v>
      </c>
      <c r="X202" s="15">
        <f t="shared" si="54"/>
        <v>0.15</v>
      </c>
      <c r="Y202" s="15">
        <f t="shared" si="55"/>
        <v>1</v>
      </c>
      <c r="Z202" s="15">
        <f t="shared" si="56"/>
        <v>15</v>
      </c>
      <c r="AA202" s="15">
        <f t="shared" si="57"/>
        <v>0.2</v>
      </c>
    </row>
    <row r="203" spans="1:27" ht="16.5" x14ac:dyDescent="0.2">
      <c r="A203" s="115"/>
      <c r="B203" s="74" t="s">
        <v>651</v>
      </c>
      <c r="C203" s="74">
        <v>4</v>
      </c>
      <c r="D203" s="74">
        <f>INDEX(神器!$M$4:$M$7,世界BOSS专属武器!C203)</f>
        <v>600</v>
      </c>
      <c r="E203" s="74">
        <f t="shared" si="58"/>
        <v>1.6666666666666668E-3</v>
      </c>
      <c r="F203" s="74">
        <f t="shared" si="59"/>
        <v>73</v>
      </c>
      <c r="G203" s="74">
        <v>1</v>
      </c>
      <c r="H203" s="74">
        <v>2</v>
      </c>
      <c r="M203" s="15">
        <v>124</v>
      </c>
      <c r="N203" s="15">
        <f t="shared" si="46"/>
        <v>3</v>
      </c>
      <c r="O203" s="15">
        <f>INDEX(卡牌消耗!$H$13:$H$33,世界BOSS专属武器!N203)</f>
        <v>1501003</v>
      </c>
      <c r="P203" s="49" t="s">
        <v>408</v>
      </c>
      <c r="Q203" s="15">
        <f t="shared" si="47"/>
        <v>21</v>
      </c>
      <c r="R203" s="49" t="str">
        <f t="shared" si="48"/>
        <v>金币</v>
      </c>
      <c r="S203" s="15">
        <f t="shared" si="49"/>
        <v>5000</v>
      </c>
      <c r="T203" s="15" t="str">
        <f t="shared" si="50"/>
        <v>低级专属强化石</v>
      </c>
      <c r="U203" s="15">
        <f t="shared" si="51"/>
        <v>15</v>
      </c>
      <c r="V203" s="15" t="str">
        <f t="shared" si="52"/>
        <v>中级专属强化石</v>
      </c>
      <c r="W203" s="15">
        <f t="shared" si="53"/>
        <v>7</v>
      </c>
      <c r="X203" s="15">
        <f t="shared" si="54"/>
        <v>0.15</v>
      </c>
      <c r="Y203" s="15">
        <f t="shared" si="55"/>
        <v>1</v>
      </c>
      <c r="Z203" s="15">
        <f t="shared" si="56"/>
        <v>15</v>
      </c>
      <c r="AA203" s="15">
        <f t="shared" si="57"/>
        <v>0.22</v>
      </c>
    </row>
    <row r="204" spans="1:27" ht="16.5" x14ac:dyDescent="0.2">
      <c r="A204" s="115"/>
      <c r="B204" s="74" t="s">
        <v>652</v>
      </c>
      <c r="C204" s="74">
        <v>2</v>
      </c>
      <c r="D204" s="74">
        <f>INDEX(神器!$M$4:$M$7,世界BOSS专属武器!C204)</f>
        <v>120</v>
      </c>
      <c r="E204" s="74">
        <f t="shared" si="58"/>
        <v>8.3333333333333332E-3</v>
      </c>
      <c r="F204" s="74">
        <f t="shared" si="59"/>
        <v>363</v>
      </c>
      <c r="G204" s="74">
        <v>3</v>
      </c>
      <c r="H204" s="74">
        <v>7</v>
      </c>
      <c r="M204" s="15">
        <v>125</v>
      </c>
      <c r="N204" s="15">
        <f t="shared" si="46"/>
        <v>3</v>
      </c>
      <c r="O204" s="15">
        <f>INDEX(卡牌消耗!$H$13:$H$33,世界BOSS专属武器!N204)</f>
        <v>1501003</v>
      </c>
      <c r="P204" s="49" t="s">
        <v>408</v>
      </c>
      <c r="Q204" s="15">
        <f t="shared" si="47"/>
        <v>22</v>
      </c>
      <c r="R204" s="49" t="str">
        <f t="shared" si="48"/>
        <v>金币</v>
      </c>
      <c r="S204" s="15">
        <f t="shared" si="49"/>
        <v>5000</v>
      </c>
      <c r="T204" s="15" t="str">
        <f t="shared" si="50"/>
        <v>低级专属强化石</v>
      </c>
      <c r="U204" s="15">
        <f t="shared" si="51"/>
        <v>15</v>
      </c>
      <c r="V204" s="15" t="str">
        <f t="shared" si="52"/>
        <v>中级专属强化石</v>
      </c>
      <c r="W204" s="15">
        <f t="shared" si="53"/>
        <v>7</v>
      </c>
      <c r="X204" s="15">
        <f t="shared" si="54"/>
        <v>0.15</v>
      </c>
      <c r="Y204" s="15">
        <f t="shared" si="55"/>
        <v>1</v>
      </c>
      <c r="Z204" s="15">
        <f t="shared" si="56"/>
        <v>15</v>
      </c>
      <c r="AA204" s="15">
        <f t="shared" si="57"/>
        <v>0.24</v>
      </c>
    </row>
    <row r="205" spans="1:27" ht="16.5" x14ac:dyDescent="0.2">
      <c r="A205" s="115"/>
      <c r="B205" s="74" t="s">
        <v>653</v>
      </c>
      <c r="C205" s="74">
        <v>2</v>
      </c>
      <c r="D205" s="74">
        <f>INDEX(神器!$M$4:$M$7,世界BOSS专属武器!C205)</f>
        <v>120</v>
      </c>
      <c r="E205" s="74">
        <f t="shared" si="58"/>
        <v>8.3333333333333332E-3</v>
      </c>
      <c r="F205" s="74">
        <f t="shared" si="59"/>
        <v>363</v>
      </c>
      <c r="G205" s="74">
        <v>3</v>
      </c>
      <c r="H205" s="74">
        <v>7</v>
      </c>
      <c r="M205" s="15">
        <v>126</v>
      </c>
      <c r="N205" s="15">
        <f t="shared" si="46"/>
        <v>3</v>
      </c>
      <c r="O205" s="15">
        <f>INDEX(卡牌消耗!$H$13:$H$33,世界BOSS专属武器!N205)</f>
        <v>1501003</v>
      </c>
      <c r="P205" s="49" t="s">
        <v>408</v>
      </c>
      <c r="Q205" s="15">
        <f t="shared" si="47"/>
        <v>23</v>
      </c>
      <c r="R205" s="49" t="str">
        <f t="shared" si="48"/>
        <v>金币</v>
      </c>
      <c r="S205" s="15">
        <f t="shared" si="49"/>
        <v>5000</v>
      </c>
      <c r="T205" s="15" t="str">
        <f t="shared" si="50"/>
        <v>低级专属强化石</v>
      </c>
      <c r="U205" s="15">
        <f t="shared" si="51"/>
        <v>15</v>
      </c>
      <c r="V205" s="15" t="str">
        <f t="shared" si="52"/>
        <v>中级专属强化石</v>
      </c>
      <c r="W205" s="15">
        <f t="shared" si="53"/>
        <v>7</v>
      </c>
      <c r="X205" s="15">
        <f t="shared" si="54"/>
        <v>0.15</v>
      </c>
      <c r="Y205" s="15">
        <f t="shared" si="55"/>
        <v>1</v>
      </c>
      <c r="Z205" s="15">
        <f t="shared" si="56"/>
        <v>18</v>
      </c>
      <c r="AA205" s="15">
        <f t="shared" si="57"/>
        <v>0.26</v>
      </c>
    </row>
    <row r="206" spans="1:27" ht="16.5" x14ac:dyDescent="0.2">
      <c r="A206" s="115"/>
      <c r="B206" s="74" t="s">
        <v>654</v>
      </c>
      <c r="C206" s="74">
        <v>2</v>
      </c>
      <c r="D206" s="74">
        <f>INDEX(神器!$M$4:$M$7,世界BOSS专属武器!C206)</f>
        <v>120</v>
      </c>
      <c r="E206" s="74">
        <f t="shared" si="58"/>
        <v>8.3333333333333332E-3</v>
      </c>
      <c r="F206" s="74">
        <f t="shared" si="59"/>
        <v>363</v>
      </c>
      <c r="G206" s="74">
        <v>3</v>
      </c>
      <c r="H206" s="74">
        <v>7</v>
      </c>
      <c r="M206" s="15">
        <v>127</v>
      </c>
      <c r="N206" s="15">
        <f t="shared" si="46"/>
        <v>3</v>
      </c>
      <c r="O206" s="15">
        <f>INDEX(卡牌消耗!$H$13:$H$33,世界BOSS专属武器!N206)</f>
        <v>1501003</v>
      </c>
      <c r="P206" s="49" t="s">
        <v>408</v>
      </c>
      <c r="Q206" s="15">
        <f t="shared" si="47"/>
        <v>24</v>
      </c>
      <c r="R206" s="49" t="str">
        <f t="shared" si="48"/>
        <v>金币</v>
      </c>
      <c r="S206" s="15">
        <f t="shared" si="49"/>
        <v>5000</v>
      </c>
      <c r="T206" s="15" t="str">
        <f t="shared" si="50"/>
        <v>低级专属强化石</v>
      </c>
      <c r="U206" s="15">
        <f t="shared" si="51"/>
        <v>15</v>
      </c>
      <c r="V206" s="15" t="str">
        <f t="shared" si="52"/>
        <v>中级专属强化石</v>
      </c>
      <c r="W206" s="15">
        <f t="shared" si="53"/>
        <v>7</v>
      </c>
      <c r="X206" s="15">
        <f t="shared" si="54"/>
        <v>0.15</v>
      </c>
      <c r="Y206" s="15">
        <f t="shared" si="55"/>
        <v>1</v>
      </c>
      <c r="Z206" s="15">
        <f t="shared" si="56"/>
        <v>18</v>
      </c>
      <c r="AA206" s="15">
        <f t="shared" si="57"/>
        <v>0.28000000000000003</v>
      </c>
    </row>
    <row r="207" spans="1:27" ht="16.5" x14ac:dyDescent="0.2">
      <c r="A207" s="115"/>
      <c r="B207" s="74" t="s">
        <v>655</v>
      </c>
      <c r="C207" s="74">
        <v>3</v>
      </c>
      <c r="D207" s="74">
        <f>INDEX(神器!$M$4:$M$7,世界BOSS专属武器!C207)</f>
        <v>280</v>
      </c>
      <c r="E207" s="74">
        <f t="shared" si="58"/>
        <v>3.5714285714285713E-3</v>
      </c>
      <c r="F207" s="74">
        <f t="shared" si="59"/>
        <v>156</v>
      </c>
      <c r="G207" s="74">
        <v>2</v>
      </c>
      <c r="H207" s="74">
        <v>4</v>
      </c>
      <c r="M207" s="15">
        <v>128</v>
      </c>
      <c r="N207" s="15">
        <f t="shared" si="46"/>
        <v>3</v>
      </c>
      <c r="O207" s="15">
        <f>INDEX(卡牌消耗!$H$13:$H$33,世界BOSS专属武器!N207)</f>
        <v>1501003</v>
      </c>
      <c r="P207" s="49" t="s">
        <v>408</v>
      </c>
      <c r="Q207" s="15">
        <f t="shared" si="47"/>
        <v>25</v>
      </c>
      <c r="R207" s="49" t="str">
        <f t="shared" si="48"/>
        <v>金币</v>
      </c>
      <c r="S207" s="15">
        <f t="shared" si="49"/>
        <v>5000</v>
      </c>
      <c r="T207" s="15" t="str">
        <f t="shared" si="50"/>
        <v>低级专属强化石</v>
      </c>
      <c r="U207" s="15">
        <f t="shared" si="51"/>
        <v>15</v>
      </c>
      <c r="V207" s="15" t="str">
        <f t="shared" si="52"/>
        <v>中级专属强化石</v>
      </c>
      <c r="W207" s="15">
        <f t="shared" si="53"/>
        <v>7</v>
      </c>
      <c r="X207" s="15">
        <f t="shared" si="54"/>
        <v>0.15</v>
      </c>
      <c r="Y207" s="15">
        <f t="shared" si="55"/>
        <v>1</v>
      </c>
      <c r="Z207" s="15">
        <f t="shared" si="56"/>
        <v>18</v>
      </c>
      <c r="AA207" s="15">
        <f t="shared" si="57"/>
        <v>0.3</v>
      </c>
    </row>
    <row r="208" spans="1:27" ht="16.5" x14ac:dyDescent="0.2">
      <c r="A208" s="115"/>
      <c r="B208" s="74" t="s">
        <v>656</v>
      </c>
      <c r="C208" s="74">
        <v>3</v>
      </c>
      <c r="D208" s="74">
        <f>INDEX(神器!$M$4:$M$7,世界BOSS专属武器!C208)</f>
        <v>280</v>
      </c>
      <c r="E208" s="74">
        <f t="shared" si="58"/>
        <v>3.5714285714285713E-3</v>
      </c>
      <c r="F208" s="74">
        <f t="shared" si="59"/>
        <v>156</v>
      </c>
      <c r="G208" s="74">
        <v>2</v>
      </c>
      <c r="H208" s="74">
        <v>4</v>
      </c>
      <c r="M208" s="15">
        <v>129</v>
      </c>
      <c r="N208" s="15">
        <f t="shared" si="46"/>
        <v>3</v>
      </c>
      <c r="O208" s="15">
        <f>INDEX(卡牌消耗!$H$13:$H$33,世界BOSS专属武器!N208)</f>
        <v>1501003</v>
      </c>
      <c r="P208" s="49" t="s">
        <v>408</v>
      </c>
      <c r="Q208" s="15">
        <f t="shared" si="47"/>
        <v>26</v>
      </c>
      <c r="R208" s="49" t="str">
        <f t="shared" si="48"/>
        <v>金币</v>
      </c>
      <c r="S208" s="15">
        <f t="shared" si="49"/>
        <v>5000</v>
      </c>
      <c r="T208" s="15" t="str">
        <f t="shared" si="50"/>
        <v>低级专属强化石</v>
      </c>
      <c r="U208" s="15">
        <f t="shared" si="51"/>
        <v>15</v>
      </c>
      <c r="V208" s="15" t="str">
        <f t="shared" si="52"/>
        <v>中级专属强化石</v>
      </c>
      <c r="W208" s="15">
        <f t="shared" si="53"/>
        <v>7</v>
      </c>
      <c r="X208" s="15">
        <f t="shared" si="54"/>
        <v>0.15</v>
      </c>
      <c r="Y208" s="15">
        <f t="shared" si="55"/>
        <v>1</v>
      </c>
      <c r="Z208" s="15">
        <f t="shared" si="56"/>
        <v>21</v>
      </c>
      <c r="AA208" s="15">
        <f t="shared" si="57"/>
        <v>0.32</v>
      </c>
    </row>
    <row r="209" spans="1:27" ht="16.5" x14ac:dyDescent="0.2">
      <c r="A209" s="115"/>
      <c r="B209" s="74" t="s">
        <v>657</v>
      </c>
      <c r="C209" s="74">
        <v>3</v>
      </c>
      <c r="D209" s="74">
        <f>INDEX(神器!$M$4:$M$7,世界BOSS专属武器!C209)</f>
        <v>280</v>
      </c>
      <c r="E209" s="74">
        <f t="shared" si="58"/>
        <v>3.5714285714285713E-3</v>
      </c>
      <c r="F209" s="74">
        <f t="shared" si="59"/>
        <v>156</v>
      </c>
      <c r="G209" s="74">
        <v>2</v>
      </c>
      <c r="H209" s="74">
        <v>4</v>
      </c>
      <c r="M209" s="15">
        <v>130</v>
      </c>
      <c r="N209" s="15">
        <f t="shared" ref="N209:N272" si="60">INT((M209-1)/51)+1</f>
        <v>3</v>
      </c>
      <c r="O209" s="15">
        <f>INDEX(卡牌消耗!$H$13:$H$33,世界BOSS专属武器!N209)</f>
        <v>1501003</v>
      </c>
      <c r="P209" s="49" t="s">
        <v>408</v>
      </c>
      <c r="Q209" s="15">
        <f t="shared" ref="Q209:Q272" si="61">MOD(M209-1,51)</f>
        <v>27</v>
      </c>
      <c r="R209" s="49" t="str">
        <f t="shared" ref="R209:R272" si="62">IF(Q209&gt;0,"金币","[x]")</f>
        <v>金币</v>
      </c>
      <c r="S209" s="15">
        <f t="shared" ref="S209:S272" si="63">IF(Q209&gt;0,INDEX($V$27:$V$76,Q209),"[x]")</f>
        <v>5000</v>
      </c>
      <c r="T209" s="15" t="str">
        <f t="shared" ref="T209:T272" si="64">IF(Q209&gt;0,INDEX($W$27:$W$76,Q209),"[x]")</f>
        <v>低级专属强化石</v>
      </c>
      <c r="U209" s="15">
        <f t="shared" ref="U209:U272" si="65">IF(Q209&gt;0,INDEX($AA$27:$AF$76,Q209,INDEX($Y$27:$Y$76,Q209)),"[x]")</f>
        <v>15</v>
      </c>
      <c r="V209" s="15" t="str">
        <f t="shared" ref="V209:V272" si="66">IF(AND(Q209&gt;=20,Q209&lt;40),INDEX($X$27:$X$76,Q209),"[x]")</f>
        <v>中级专属强化石</v>
      </c>
      <c r="W209" s="15">
        <f t="shared" ref="W209:W272" si="67">IF(AND(Q209&gt;=20,Q209&lt;40),INDEX($AA$27:$AF$76,Q209,INDEX($Z$27:$Z$76,Q209)),"[x]")</f>
        <v>7</v>
      </c>
      <c r="X209" s="15">
        <f t="shared" ref="X209:X272" si="68">IF(Q209&gt;0,INDEX($T$27:$T$76,Q209),"[x]")</f>
        <v>0.15</v>
      </c>
      <c r="Y209" s="15">
        <f t="shared" ref="Y209:Y272" si="69">IF(Q209&gt;0,1,"[x]")</f>
        <v>1</v>
      </c>
      <c r="Z209" s="15">
        <f t="shared" ref="Z209:Z272" si="70">IF(Q209&gt;0,INDEX($AG$27:$AG$76,Q209),"[x]")</f>
        <v>22</v>
      </c>
      <c r="AA209" s="15">
        <f t="shared" ref="AA209:AA272" si="71">IF(Q209&gt;0,INDEX($AL$27:$AL$76,Q209),"[x]")</f>
        <v>0.34</v>
      </c>
    </row>
    <row r="210" spans="1:27" ht="16.5" x14ac:dyDescent="0.2">
      <c r="A210" s="115"/>
      <c r="B210" s="74" t="s">
        <v>658</v>
      </c>
      <c r="C210" s="74">
        <v>4</v>
      </c>
      <c r="D210" s="74">
        <f>INDEX(神器!$M$4:$M$7,世界BOSS专属武器!C210)</f>
        <v>600</v>
      </c>
      <c r="E210" s="74">
        <f t="shared" si="58"/>
        <v>1.6666666666666668E-3</v>
      </c>
      <c r="F210" s="74">
        <f t="shared" si="59"/>
        <v>73</v>
      </c>
      <c r="G210" s="74">
        <v>1</v>
      </c>
      <c r="H210" s="74">
        <v>2</v>
      </c>
      <c r="M210" s="15">
        <v>131</v>
      </c>
      <c r="N210" s="15">
        <f t="shared" si="60"/>
        <v>3</v>
      </c>
      <c r="O210" s="15">
        <f>INDEX(卡牌消耗!$H$13:$H$33,世界BOSS专属武器!N210)</f>
        <v>1501003</v>
      </c>
      <c r="P210" s="49" t="s">
        <v>408</v>
      </c>
      <c r="Q210" s="15">
        <f t="shared" si="61"/>
        <v>28</v>
      </c>
      <c r="R210" s="49" t="str">
        <f t="shared" si="62"/>
        <v>金币</v>
      </c>
      <c r="S210" s="15">
        <f t="shared" si="63"/>
        <v>5000</v>
      </c>
      <c r="T210" s="15" t="str">
        <f t="shared" si="64"/>
        <v>低级专属强化石</v>
      </c>
      <c r="U210" s="15">
        <f t="shared" si="65"/>
        <v>15</v>
      </c>
      <c r="V210" s="15" t="str">
        <f t="shared" si="66"/>
        <v>中级专属强化石</v>
      </c>
      <c r="W210" s="15">
        <f t="shared" si="67"/>
        <v>7</v>
      </c>
      <c r="X210" s="15">
        <f t="shared" si="68"/>
        <v>0.15</v>
      </c>
      <c r="Y210" s="15">
        <f t="shared" si="69"/>
        <v>1</v>
      </c>
      <c r="Z210" s="15">
        <f t="shared" si="70"/>
        <v>23</v>
      </c>
      <c r="AA210" s="15">
        <f t="shared" si="71"/>
        <v>0.36</v>
      </c>
    </row>
    <row r="211" spans="1:27" ht="16.5" x14ac:dyDescent="0.2">
      <c r="A211" s="115"/>
      <c r="B211" s="74" t="s">
        <v>659</v>
      </c>
      <c r="C211" s="74">
        <v>4</v>
      </c>
      <c r="D211" s="74">
        <f>INDEX(神器!$M$4:$M$7,世界BOSS专属武器!C211)</f>
        <v>600</v>
      </c>
      <c r="E211" s="74">
        <f t="shared" si="58"/>
        <v>1.6666666666666668E-3</v>
      </c>
      <c r="F211" s="74">
        <f>10000-SUM(F178:F210)</f>
        <v>67</v>
      </c>
      <c r="G211" s="74">
        <v>1</v>
      </c>
      <c r="H211" s="74">
        <v>2</v>
      </c>
      <c r="M211" s="15">
        <v>132</v>
      </c>
      <c r="N211" s="15">
        <f t="shared" si="60"/>
        <v>3</v>
      </c>
      <c r="O211" s="15">
        <f>INDEX(卡牌消耗!$H$13:$H$33,世界BOSS专属武器!N211)</f>
        <v>1501003</v>
      </c>
      <c r="P211" s="49" t="s">
        <v>408</v>
      </c>
      <c r="Q211" s="15">
        <f t="shared" si="61"/>
        <v>29</v>
      </c>
      <c r="R211" s="49" t="str">
        <f t="shared" si="62"/>
        <v>金币</v>
      </c>
      <c r="S211" s="15">
        <f t="shared" si="63"/>
        <v>5000</v>
      </c>
      <c r="T211" s="15" t="str">
        <f t="shared" si="64"/>
        <v>低级专属强化石</v>
      </c>
      <c r="U211" s="15">
        <f t="shared" si="65"/>
        <v>15</v>
      </c>
      <c r="V211" s="15" t="str">
        <f t="shared" si="66"/>
        <v>中级专属强化石</v>
      </c>
      <c r="W211" s="15">
        <f t="shared" si="67"/>
        <v>7</v>
      </c>
      <c r="X211" s="15">
        <f t="shared" si="68"/>
        <v>0.15</v>
      </c>
      <c r="Y211" s="15">
        <f t="shared" si="69"/>
        <v>1</v>
      </c>
      <c r="Z211" s="15">
        <f t="shared" si="70"/>
        <v>25</v>
      </c>
      <c r="AA211" s="15">
        <f t="shared" si="71"/>
        <v>0.38</v>
      </c>
    </row>
    <row r="212" spans="1:27" ht="16.5" x14ac:dyDescent="0.2">
      <c r="M212" s="15">
        <v>133</v>
      </c>
      <c r="N212" s="15">
        <f t="shared" si="60"/>
        <v>3</v>
      </c>
      <c r="O212" s="15">
        <f>INDEX(卡牌消耗!$H$13:$H$33,世界BOSS专属武器!N212)</f>
        <v>1501003</v>
      </c>
      <c r="P212" s="49" t="s">
        <v>408</v>
      </c>
      <c r="Q212" s="15">
        <f t="shared" si="61"/>
        <v>30</v>
      </c>
      <c r="R212" s="49" t="str">
        <f t="shared" si="62"/>
        <v>金币</v>
      </c>
      <c r="S212" s="15">
        <f t="shared" si="63"/>
        <v>10000</v>
      </c>
      <c r="T212" s="15" t="str">
        <f t="shared" si="64"/>
        <v>中级专属强化石</v>
      </c>
      <c r="U212" s="15">
        <f t="shared" si="65"/>
        <v>8</v>
      </c>
      <c r="V212" s="15" t="str">
        <f t="shared" si="66"/>
        <v>高级专属强化石</v>
      </c>
      <c r="W212" s="15">
        <f t="shared" si="67"/>
        <v>3</v>
      </c>
      <c r="X212" s="15">
        <f t="shared" si="68"/>
        <v>0.1</v>
      </c>
      <c r="Y212" s="15">
        <f t="shared" si="69"/>
        <v>1</v>
      </c>
      <c r="Z212" s="15">
        <f t="shared" si="70"/>
        <v>30</v>
      </c>
      <c r="AA212" s="15">
        <f t="shared" si="71"/>
        <v>0.4</v>
      </c>
    </row>
    <row r="213" spans="1:27" ht="16.5" x14ac:dyDescent="0.2">
      <c r="E213" s="58">
        <f>SUM(E214:E229)</f>
        <v>7.8095238095238093E-2</v>
      </c>
      <c r="M213" s="15">
        <v>134</v>
      </c>
      <c r="N213" s="15">
        <f t="shared" si="60"/>
        <v>3</v>
      </c>
      <c r="O213" s="15">
        <f>INDEX(卡牌消耗!$H$13:$H$33,世界BOSS专属武器!N213)</f>
        <v>1501003</v>
      </c>
      <c r="P213" s="49" t="s">
        <v>408</v>
      </c>
      <c r="Q213" s="15">
        <f t="shared" si="61"/>
        <v>31</v>
      </c>
      <c r="R213" s="49" t="str">
        <f t="shared" si="62"/>
        <v>金币</v>
      </c>
      <c r="S213" s="15">
        <f t="shared" si="63"/>
        <v>10000</v>
      </c>
      <c r="T213" s="15" t="str">
        <f t="shared" si="64"/>
        <v>中级专属强化石</v>
      </c>
      <c r="U213" s="15">
        <f t="shared" si="65"/>
        <v>8</v>
      </c>
      <c r="V213" s="15" t="str">
        <f t="shared" si="66"/>
        <v>高级专属强化石</v>
      </c>
      <c r="W213" s="15">
        <f t="shared" si="67"/>
        <v>3</v>
      </c>
      <c r="X213" s="15">
        <f t="shared" si="68"/>
        <v>0.1</v>
      </c>
      <c r="Y213" s="15">
        <f t="shared" si="69"/>
        <v>1</v>
      </c>
      <c r="Z213" s="15">
        <f t="shared" si="70"/>
        <v>30</v>
      </c>
      <c r="AA213" s="15">
        <f t="shared" si="71"/>
        <v>0.42670000000000002</v>
      </c>
    </row>
    <row r="214" spans="1:27" ht="16.5" x14ac:dyDescent="0.2">
      <c r="A214" s="115" t="s">
        <v>733</v>
      </c>
      <c r="B214" s="74" t="s">
        <v>644</v>
      </c>
      <c r="C214" s="74">
        <v>2</v>
      </c>
      <c r="D214" s="74">
        <f>INDEX(神器!$M$4:$M$7,世界BOSS专属武器!C214)</f>
        <v>120</v>
      </c>
      <c r="E214" s="74">
        <f t="shared" ref="E214:E229" si="72">1/D214</f>
        <v>8.3333333333333332E-3</v>
      </c>
      <c r="F214" s="74">
        <f>INT(E214/E$213*10000)</f>
        <v>1067</v>
      </c>
      <c r="G214" s="74">
        <v>1</v>
      </c>
      <c r="H214" s="74">
        <v>1</v>
      </c>
      <c r="M214" s="15">
        <v>135</v>
      </c>
      <c r="N214" s="15">
        <f t="shared" si="60"/>
        <v>3</v>
      </c>
      <c r="O214" s="15">
        <f>INDEX(卡牌消耗!$H$13:$H$33,世界BOSS专属武器!N214)</f>
        <v>1501003</v>
      </c>
      <c r="P214" s="49" t="s">
        <v>408</v>
      </c>
      <c r="Q214" s="15">
        <f t="shared" si="61"/>
        <v>32</v>
      </c>
      <c r="R214" s="49" t="str">
        <f t="shared" si="62"/>
        <v>金币</v>
      </c>
      <c r="S214" s="15">
        <f t="shared" si="63"/>
        <v>10000</v>
      </c>
      <c r="T214" s="15" t="str">
        <f t="shared" si="64"/>
        <v>中级专属强化石</v>
      </c>
      <c r="U214" s="15">
        <f t="shared" si="65"/>
        <v>8</v>
      </c>
      <c r="V214" s="15" t="str">
        <f t="shared" si="66"/>
        <v>高级专属强化石</v>
      </c>
      <c r="W214" s="15">
        <f t="shared" si="67"/>
        <v>3</v>
      </c>
      <c r="X214" s="15">
        <f t="shared" si="68"/>
        <v>0.1</v>
      </c>
      <c r="Y214" s="15">
        <f t="shared" si="69"/>
        <v>1</v>
      </c>
      <c r="Z214" s="15">
        <f t="shared" si="70"/>
        <v>30</v>
      </c>
      <c r="AA214" s="15">
        <f t="shared" si="71"/>
        <v>0.45329999999999998</v>
      </c>
    </row>
    <row r="215" spans="1:27" ht="16.5" x14ac:dyDescent="0.2">
      <c r="A215" s="115"/>
      <c r="B215" s="74" t="s">
        <v>645</v>
      </c>
      <c r="C215" s="74">
        <v>2</v>
      </c>
      <c r="D215" s="74">
        <f>INDEX(神器!$M$4:$M$7,世界BOSS专属武器!C215)</f>
        <v>120</v>
      </c>
      <c r="E215" s="74">
        <f t="shared" si="72"/>
        <v>8.3333333333333332E-3</v>
      </c>
      <c r="F215" s="74">
        <f t="shared" ref="F215:F228" si="73">INT(E215/E$213*10000)</f>
        <v>1067</v>
      </c>
      <c r="G215" s="74">
        <v>1</v>
      </c>
      <c r="H215" s="74">
        <v>1</v>
      </c>
      <c r="M215" s="15">
        <v>136</v>
      </c>
      <c r="N215" s="15">
        <f t="shared" si="60"/>
        <v>3</v>
      </c>
      <c r="O215" s="15">
        <f>INDEX(卡牌消耗!$H$13:$H$33,世界BOSS专属武器!N215)</f>
        <v>1501003</v>
      </c>
      <c r="P215" s="49" t="s">
        <v>408</v>
      </c>
      <c r="Q215" s="15">
        <f t="shared" si="61"/>
        <v>33</v>
      </c>
      <c r="R215" s="49" t="str">
        <f t="shared" si="62"/>
        <v>金币</v>
      </c>
      <c r="S215" s="15">
        <f t="shared" si="63"/>
        <v>10000</v>
      </c>
      <c r="T215" s="15" t="str">
        <f t="shared" si="64"/>
        <v>中级专属强化石</v>
      </c>
      <c r="U215" s="15">
        <f t="shared" si="65"/>
        <v>8</v>
      </c>
      <c r="V215" s="15" t="str">
        <f t="shared" si="66"/>
        <v>高级专属强化石</v>
      </c>
      <c r="W215" s="15">
        <f t="shared" si="67"/>
        <v>3</v>
      </c>
      <c r="X215" s="15">
        <f t="shared" si="68"/>
        <v>0.1</v>
      </c>
      <c r="Y215" s="15">
        <f t="shared" si="69"/>
        <v>1</v>
      </c>
      <c r="Z215" s="15">
        <f t="shared" si="70"/>
        <v>30</v>
      </c>
      <c r="AA215" s="15">
        <f t="shared" si="71"/>
        <v>0.48</v>
      </c>
    </row>
    <row r="216" spans="1:27" ht="16.5" x14ac:dyDescent="0.2">
      <c r="A216" s="115"/>
      <c r="B216" s="74" t="s">
        <v>646</v>
      </c>
      <c r="C216" s="74">
        <v>2</v>
      </c>
      <c r="D216" s="74">
        <f>INDEX(神器!$M$4:$M$7,世界BOSS专属武器!C216)</f>
        <v>120</v>
      </c>
      <c r="E216" s="74">
        <f t="shared" si="72"/>
        <v>8.3333333333333332E-3</v>
      </c>
      <c r="F216" s="74">
        <f t="shared" si="73"/>
        <v>1067</v>
      </c>
      <c r="G216" s="74">
        <v>1</v>
      </c>
      <c r="H216" s="74">
        <v>1</v>
      </c>
      <c r="M216" s="15">
        <v>137</v>
      </c>
      <c r="N216" s="15">
        <f t="shared" si="60"/>
        <v>3</v>
      </c>
      <c r="O216" s="15">
        <f>INDEX(卡牌消耗!$H$13:$H$33,世界BOSS专属武器!N216)</f>
        <v>1501003</v>
      </c>
      <c r="P216" s="49" t="s">
        <v>408</v>
      </c>
      <c r="Q216" s="15">
        <f t="shared" si="61"/>
        <v>34</v>
      </c>
      <c r="R216" s="49" t="str">
        <f t="shared" si="62"/>
        <v>金币</v>
      </c>
      <c r="S216" s="15">
        <f t="shared" si="63"/>
        <v>10000</v>
      </c>
      <c r="T216" s="15" t="str">
        <f t="shared" si="64"/>
        <v>中级专属强化石</v>
      </c>
      <c r="U216" s="15">
        <f t="shared" si="65"/>
        <v>8</v>
      </c>
      <c r="V216" s="15" t="str">
        <f t="shared" si="66"/>
        <v>高级专属强化石</v>
      </c>
      <c r="W216" s="15">
        <f t="shared" si="67"/>
        <v>3</v>
      </c>
      <c r="X216" s="15">
        <f t="shared" si="68"/>
        <v>0.1</v>
      </c>
      <c r="Y216" s="15">
        <f t="shared" si="69"/>
        <v>1</v>
      </c>
      <c r="Z216" s="15">
        <f t="shared" si="70"/>
        <v>30</v>
      </c>
      <c r="AA216" s="15">
        <f t="shared" si="71"/>
        <v>0.50670000000000004</v>
      </c>
    </row>
    <row r="217" spans="1:27" ht="16.5" x14ac:dyDescent="0.2">
      <c r="A217" s="115"/>
      <c r="B217" s="74" t="s">
        <v>647</v>
      </c>
      <c r="C217" s="74">
        <v>3</v>
      </c>
      <c r="D217" s="74">
        <f>INDEX(神器!$M$4:$M$7,世界BOSS专属武器!C217)</f>
        <v>280</v>
      </c>
      <c r="E217" s="74">
        <f t="shared" si="72"/>
        <v>3.5714285714285713E-3</v>
      </c>
      <c r="F217" s="74">
        <f t="shared" si="73"/>
        <v>457</v>
      </c>
      <c r="G217" s="74">
        <v>1</v>
      </c>
      <c r="H217" s="74">
        <v>1</v>
      </c>
      <c r="M217" s="15">
        <v>138</v>
      </c>
      <c r="N217" s="15">
        <f t="shared" si="60"/>
        <v>3</v>
      </c>
      <c r="O217" s="15">
        <f>INDEX(卡牌消耗!$H$13:$H$33,世界BOSS专属武器!N217)</f>
        <v>1501003</v>
      </c>
      <c r="P217" s="49" t="s">
        <v>408</v>
      </c>
      <c r="Q217" s="15">
        <f t="shared" si="61"/>
        <v>35</v>
      </c>
      <c r="R217" s="49" t="str">
        <f t="shared" si="62"/>
        <v>金币</v>
      </c>
      <c r="S217" s="15">
        <f t="shared" si="63"/>
        <v>10000</v>
      </c>
      <c r="T217" s="15" t="str">
        <f t="shared" si="64"/>
        <v>中级专属强化石</v>
      </c>
      <c r="U217" s="15">
        <f t="shared" si="65"/>
        <v>8</v>
      </c>
      <c r="V217" s="15" t="str">
        <f t="shared" si="66"/>
        <v>高级专属强化石</v>
      </c>
      <c r="W217" s="15">
        <f t="shared" si="67"/>
        <v>3</v>
      </c>
      <c r="X217" s="15">
        <f t="shared" si="68"/>
        <v>0.1</v>
      </c>
      <c r="Y217" s="15">
        <f t="shared" si="69"/>
        <v>1</v>
      </c>
      <c r="Z217" s="15">
        <f t="shared" si="70"/>
        <v>30</v>
      </c>
      <c r="AA217" s="15">
        <f t="shared" si="71"/>
        <v>0.5333</v>
      </c>
    </row>
    <row r="218" spans="1:27" ht="16.5" x14ac:dyDescent="0.2">
      <c r="A218" s="115"/>
      <c r="B218" s="74" t="s">
        <v>648</v>
      </c>
      <c r="C218" s="74">
        <v>3</v>
      </c>
      <c r="D218" s="74">
        <f>INDEX(神器!$M$4:$M$7,世界BOSS专属武器!C218)</f>
        <v>280</v>
      </c>
      <c r="E218" s="74">
        <f t="shared" si="72"/>
        <v>3.5714285714285713E-3</v>
      </c>
      <c r="F218" s="74">
        <f t="shared" si="73"/>
        <v>457</v>
      </c>
      <c r="G218" s="74">
        <v>1</v>
      </c>
      <c r="H218" s="74">
        <v>1</v>
      </c>
      <c r="M218" s="15">
        <v>139</v>
      </c>
      <c r="N218" s="15">
        <f t="shared" si="60"/>
        <v>3</v>
      </c>
      <c r="O218" s="15">
        <f>INDEX(卡牌消耗!$H$13:$H$33,世界BOSS专属武器!N218)</f>
        <v>1501003</v>
      </c>
      <c r="P218" s="49" t="s">
        <v>408</v>
      </c>
      <c r="Q218" s="15">
        <f t="shared" si="61"/>
        <v>36</v>
      </c>
      <c r="R218" s="49" t="str">
        <f t="shared" si="62"/>
        <v>金币</v>
      </c>
      <c r="S218" s="15">
        <f t="shared" si="63"/>
        <v>10000</v>
      </c>
      <c r="T218" s="15" t="str">
        <f t="shared" si="64"/>
        <v>中级专属强化石</v>
      </c>
      <c r="U218" s="15">
        <f t="shared" si="65"/>
        <v>8</v>
      </c>
      <c r="V218" s="15" t="str">
        <f t="shared" si="66"/>
        <v>高级专属强化石</v>
      </c>
      <c r="W218" s="15">
        <f t="shared" si="67"/>
        <v>3</v>
      </c>
      <c r="X218" s="15">
        <f t="shared" si="68"/>
        <v>0.1</v>
      </c>
      <c r="Y218" s="15">
        <f t="shared" si="69"/>
        <v>1</v>
      </c>
      <c r="Z218" s="15">
        <f t="shared" si="70"/>
        <v>30</v>
      </c>
      <c r="AA218" s="15">
        <f t="shared" si="71"/>
        <v>0.56000000000000005</v>
      </c>
    </row>
    <row r="219" spans="1:27" ht="16.5" x14ac:dyDescent="0.2">
      <c r="A219" s="115"/>
      <c r="B219" s="74" t="s">
        <v>649</v>
      </c>
      <c r="C219" s="74">
        <v>3</v>
      </c>
      <c r="D219" s="74">
        <f>INDEX(神器!$M$4:$M$7,世界BOSS专属武器!C219)</f>
        <v>280</v>
      </c>
      <c r="E219" s="74">
        <f t="shared" si="72"/>
        <v>3.5714285714285713E-3</v>
      </c>
      <c r="F219" s="74">
        <f t="shared" si="73"/>
        <v>457</v>
      </c>
      <c r="G219" s="74">
        <v>1</v>
      </c>
      <c r="H219" s="74">
        <v>1</v>
      </c>
      <c r="M219" s="15">
        <v>140</v>
      </c>
      <c r="N219" s="15">
        <f t="shared" si="60"/>
        <v>3</v>
      </c>
      <c r="O219" s="15">
        <f>INDEX(卡牌消耗!$H$13:$H$33,世界BOSS专属武器!N219)</f>
        <v>1501003</v>
      </c>
      <c r="P219" s="49" t="s">
        <v>408</v>
      </c>
      <c r="Q219" s="15">
        <f t="shared" si="61"/>
        <v>37</v>
      </c>
      <c r="R219" s="49" t="str">
        <f t="shared" si="62"/>
        <v>金币</v>
      </c>
      <c r="S219" s="15">
        <f t="shared" si="63"/>
        <v>10000</v>
      </c>
      <c r="T219" s="15" t="str">
        <f t="shared" si="64"/>
        <v>中级专属强化石</v>
      </c>
      <c r="U219" s="15">
        <f t="shared" si="65"/>
        <v>8</v>
      </c>
      <c r="V219" s="15" t="str">
        <f t="shared" si="66"/>
        <v>高级专属强化石</v>
      </c>
      <c r="W219" s="15">
        <f t="shared" si="67"/>
        <v>3</v>
      </c>
      <c r="X219" s="15">
        <f t="shared" si="68"/>
        <v>0.1</v>
      </c>
      <c r="Y219" s="15">
        <f t="shared" si="69"/>
        <v>1</v>
      </c>
      <c r="Z219" s="15">
        <f t="shared" si="70"/>
        <v>30</v>
      </c>
      <c r="AA219" s="15">
        <f t="shared" si="71"/>
        <v>0.5867</v>
      </c>
    </row>
    <row r="220" spans="1:27" ht="16.5" x14ac:dyDescent="0.2">
      <c r="A220" s="115"/>
      <c r="B220" s="74" t="s">
        <v>650</v>
      </c>
      <c r="C220" s="74">
        <v>4</v>
      </c>
      <c r="D220" s="74">
        <f>INDEX(神器!$M$4:$M$7,世界BOSS专属武器!C220)</f>
        <v>600</v>
      </c>
      <c r="E220" s="74">
        <f t="shared" si="72"/>
        <v>1.6666666666666668E-3</v>
      </c>
      <c r="F220" s="74">
        <f t="shared" si="73"/>
        <v>213</v>
      </c>
      <c r="G220" s="74">
        <v>1</v>
      </c>
      <c r="H220" s="74">
        <v>1</v>
      </c>
      <c r="M220" s="15">
        <v>141</v>
      </c>
      <c r="N220" s="15">
        <f t="shared" si="60"/>
        <v>3</v>
      </c>
      <c r="O220" s="15">
        <f>INDEX(卡牌消耗!$H$13:$H$33,世界BOSS专属武器!N220)</f>
        <v>1501003</v>
      </c>
      <c r="P220" s="49" t="s">
        <v>408</v>
      </c>
      <c r="Q220" s="15">
        <f t="shared" si="61"/>
        <v>38</v>
      </c>
      <c r="R220" s="49" t="str">
        <f t="shared" si="62"/>
        <v>金币</v>
      </c>
      <c r="S220" s="15">
        <f t="shared" si="63"/>
        <v>10000</v>
      </c>
      <c r="T220" s="15" t="str">
        <f t="shared" si="64"/>
        <v>中级专属强化石</v>
      </c>
      <c r="U220" s="15">
        <f t="shared" si="65"/>
        <v>8</v>
      </c>
      <c r="V220" s="15" t="str">
        <f t="shared" si="66"/>
        <v>高级专属强化石</v>
      </c>
      <c r="W220" s="15">
        <f t="shared" si="67"/>
        <v>3</v>
      </c>
      <c r="X220" s="15">
        <f t="shared" si="68"/>
        <v>0.1</v>
      </c>
      <c r="Y220" s="15">
        <f t="shared" si="69"/>
        <v>1</v>
      </c>
      <c r="Z220" s="15">
        <f t="shared" si="70"/>
        <v>30</v>
      </c>
      <c r="AA220" s="15">
        <f t="shared" si="71"/>
        <v>0.61329999999999996</v>
      </c>
    </row>
    <row r="221" spans="1:27" ht="16.5" x14ac:dyDescent="0.2">
      <c r="A221" s="115"/>
      <c r="B221" s="74" t="s">
        <v>651</v>
      </c>
      <c r="C221" s="74">
        <v>4</v>
      </c>
      <c r="D221" s="74">
        <f>INDEX(神器!$M$4:$M$7,世界BOSS专属武器!C221)</f>
        <v>600</v>
      </c>
      <c r="E221" s="74">
        <f t="shared" si="72"/>
        <v>1.6666666666666668E-3</v>
      </c>
      <c r="F221" s="74">
        <f t="shared" si="73"/>
        <v>213</v>
      </c>
      <c r="G221" s="74">
        <v>1</v>
      </c>
      <c r="H221" s="74">
        <v>1</v>
      </c>
      <c r="M221" s="15">
        <v>142</v>
      </c>
      <c r="N221" s="15">
        <f t="shared" si="60"/>
        <v>3</v>
      </c>
      <c r="O221" s="15">
        <f>INDEX(卡牌消耗!$H$13:$H$33,世界BOSS专属武器!N221)</f>
        <v>1501003</v>
      </c>
      <c r="P221" s="49" t="s">
        <v>408</v>
      </c>
      <c r="Q221" s="15">
        <f t="shared" si="61"/>
        <v>39</v>
      </c>
      <c r="R221" s="49" t="str">
        <f t="shared" si="62"/>
        <v>金币</v>
      </c>
      <c r="S221" s="15">
        <f t="shared" si="63"/>
        <v>10000</v>
      </c>
      <c r="T221" s="15" t="str">
        <f t="shared" si="64"/>
        <v>中级专属强化石</v>
      </c>
      <c r="U221" s="15">
        <f t="shared" si="65"/>
        <v>8</v>
      </c>
      <c r="V221" s="15" t="str">
        <f t="shared" si="66"/>
        <v>高级专属强化石</v>
      </c>
      <c r="W221" s="15">
        <f t="shared" si="67"/>
        <v>3</v>
      </c>
      <c r="X221" s="15">
        <f t="shared" si="68"/>
        <v>0.1</v>
      </c>
      <c r="Y221" s="15">
        <f t="shared" si="69"/>
        <v>1</v>
      </c>
      <c r="Z221" s="15">
        <f t="shared" si="70"/>
        <v>30</v>
      </c>
      <c r="AA221" s="15">
        <f t="shared" si="71"/>
        <v>0.64</v>
      </c>
    </row>
    <row r="222" spans="1:27" ht="16.5" x14ac:dyDescent="0.2">
      <c r="A222" s="115"/>
      <c r="B222" s="74" t="s">
        <v>652</v>
      </c>
      <c r="C222" s="74">
        <v>2</v>
      </c>
      <c r="D222" s="74">
        <f>INDEX(神器!$M$4:$M$7,世界BOSS专属武器!C222)</f>
        <v>120</v>
      </c>
      <c r="E222" s="74">
        <f t="shared" si="72"/>
        <v>8.3333333333333332E-3</v>
      </c>
      <c r="F222" s="74">
        <f t="shared" si="73"/>
        <v>1067</v>
      </c>
      <c r="G222" s="74">
        <v>1</v>
      </c>
      <c r="H222" s="74">
        <v>1</v>
      </c>
      <c r="M222" s="15">
        <v>143</v>
      </c>
      <c r="N222" s="15">
        <f t="shared" si="60"/>
        <v>3</v>
      </c>
      <c r="O222" s="15">
        <f>INDEX(卡牌消耗!$H$13:$H$33,世界BOSS专属武器!N222)</f>
        <v>1501003</v>
      </c>
      <c r="P222" s="49" t="s">
        <v>408</v>
      </c>
      <c r="Q222" s="15">
        <f t="shared" si="61"/>
        <v>40</v>
      </c>
      <c r="R222" s="49" t="str">
        <f t="shared" si="62"/>
        <v>金币</v>
      </c>
      <c r="S222" s="15">
        <f t="shared" si="63"/>
        <v>20000</v>
      </c>
      <c r="T222" s="15" t="str">
        <f t="shared" si="64"/>
        <v>高级专属强化石</v>
      </c>
      <c r="U222" s="15">
        <f t="shared" si="65"/>
        <v>5</v>
      </c>
      <c r="V222" s="15" t="str">
        <f t="shared" si="66"/>
        <v>[x]</v>
      </c>
      <c r="W222" s="15" t="str">
        <f t="shared" si="67"/>
        <v>[x]</v>
      </c>
      <c r="X222" s="15">
        <f t="shared" si="68"/>
        <v>0.1</v>
      </c>
      <c r="Y222" s="15">
        <f t="shared" si="69"/>
        <v>1</v>
      </c>
      <c r="Z222" s="15">
        <f t="shared" si="70"/>
        <v>35</v>
      </c>
      <c r="AA222" s="15">
        <f t="shared" si="71"/>
        <v>0.66669999999999996</v>
      </c>
    </row>
    <row r="223" spans="1:27" ht="16.5" x14ac:dyDescent="0.2">
      <c r="A223" s="115"/>
      <c r="B223" s="74" t="s">
        <v>653</v>
      </c>
      <c r="C223" s="74">
        <v>2</v>
      </c>
      <c r="D223" s="74">
        <f>INDEX(神器!$M$4:$M$7,世界BOSS专属武器!C223)</f>
        <v>120</v>
      </c>
      <c r="E223" s="74">
        <f t="shared" si="72"/>
        <v>8.3333333333333332E-3</v>
      </c>
      <c r="F223" s="74">
        <f t="shared" si="73"/>
        <v>1067</v>
      </c>
      <c r="G223" s="74">
        <v>1</v>
      </c>
      <c r="H223" s="74">
        <v>1</v>
      </c>
      <c r="M223" s="15">
        <v>144</v>
      </c>
      <c r="N223" s="15">
        <f t="shared" si="60"/>
        <v>3</v>
      </c>
      <c r="O223" s="15">
        <f>INDEX(卡牌消耗!$H$13:$H$33,世界BOSS专属武器!N223)</f>
        <v>1501003</v>
      </c>
      <c r="P223" s="49" t="s">
        <v>408</v>
      </c>
      <c r="Q223" s="15">
        <f t="shared" si="61"/>
        <v>41</v>
      </c>
      <c r="R223" s="49" t="str">
        <f t="shared" si="62"/>
        <v>金币</v>
      </c>
      <c r="S223" s="15">
        <f t="shared" si="63"/>
        <v>20000</v>
      </c>
      <c r="T223" s="15" t="str">
        <f t="shared" si="64"/>
        <v>高级专属强化石</v>
      </c>
      <c r="U223" s="15">
        <f t="shared" si="65"/>
        <v>5</v>
      </c>
      <c r="V223" s="15" t="str">
        <f t="shared" si="66"/>
        <v>[x]</v>
      </c>
      <c r="W223" s="15" t="str">
        <f t="shared" si="67"/>
        <v>[x]</v>
      </c>
      <c r="X223" s="15">
        <f t="shared" si="68"/>
        <v>0.1</v>
      </c>
      <c r="Y223" s="15">
        <f t="shared" si="69"/>
        <v>1</v>
      </c>
      <c r="Z223" s="15">
        <f t="shared" si="70"/>
        <v>40</v>
      </c>
      <c r="AA223" s="15">
        <f t="shared" si="71"/>
        <v>0.7</v>
      </c>
    </row>
    <row r="224" spans="1:27" ht="16.5" x14ac:dyDescent="0.2">
      <c r="A224" s="115"/>
      <c r="B224" s="74" t="s">
        <v>654</v>
      </c>
      <c r="C224" s="74">
        <v>2</v>
      </c>
      <c r="D224" s="74">
        <f>INDEX(神器!$M$4:$M$7,世界BOSS专属武器!C224)</f>
        <v>120</v>
      </c>
      <c r="E224" s="74">
        <f t="shared" si="72"/>
        <v>8.3333333333333332E-3</v>
      </c>
      <c r="F224" s="74">
        <f t="shared" si="73"/>
        <v>1067</v>
      </c>
      <c r="G224" s="74">
        <v>1</v>
      </c>
      <c r="H224" s="74">
        <v>1</v>
      </c>
      <c r="M224" s="15">
        <v>145</v>
      </c>
      <c r="N224" s="15">
        <f t="shared" si="60"/>
        <v>3</v>
      </c>
      <c r="O224" s="15">
        <f>INDEX(卡牌消耗!$H$13:$H$33,世界BOSS专属武器!N224)</f>
        <v>1501003</v>
      </c>
      <c r="P224" s="49" t="s">
        <v>408</v>
      </c>
      <c r="Q224" s="15">
        <f t="shared" si="61"/>
        <v>42</v>
      </c>
      <c r="R224" s="49" t="str">
        <f t="shared" si="62"/>
        <v>金币</v>
      </c>
      <c r="S224" s="15">
        <f t="shared" si="63"/>
        <v>20000</v>
      </c>
      <c r="T224" s="15" t="str">
        <f t="shared" si="64"/>
        <v>高级专属强化石</v>
      </c>
      <c r="U224" s="15">
        <f t="shared" si="65"/>
        <v>5</v>
      </c>
      <c r="V224" s="15" t="str">
        <f t="shared" si="66"/>
        <v>[x]</v>
      </c>
      <c r="W224" s="15" t="str">
        <f t="shared" si="67"/>
        <v>[x]</v>
      </c>
      <c r="X224" s="15">
        <f t="shared" si="68"/>
        <v>0.1</v>
      </c>
      <c r="Y224" s="15">
        <f t="shared" si="69"/>
        <v>1</v>
      </c>
      <c r="Z224" s="15">
        <f t="shared" si="70"/>
        <v>45</v>
      </c>
      <c r="AA224" s="15">
        <f t="shared" si="71"/>
        <v>0.73329999999999995</v>
      </c>
    </row>
    <row r="225" spans="1:27" ht="16.5" x14ac:dyDescent="0.2">
      <c r="A225" s="115"/>
      <c r="B225" s="74" t="s">
        <v>655</v>
      </c>
      <c r="C225" s="74">
        <v>3</v>
      </c>
      <c r="D225" s="74">
        <f>INDEX(神器!$M$4:$M$7,世界BOSS专属武器!C225)</f>
        <v>280</v>
      </c>
      <c r="E225" s="74">
        <f t="shared" si="72"/>
        <v>3.5714285714285713E-3</v>
      </c>
      <c r="F225" s="74">
        <f t="shared" si="73"/>
        <v>457</v>
      </c>
      <c r="G225" s="74">
        <v>1</v>
      </c>
      <c r="H225" s="74">
        <v>1</v>
      </c>
      <c r="M225" s="15">
        <v>146</v>
      </c>
      <c r="N225" s="15">
        <f t="shared" si="60"/>
        <v>3</v>
      </c>
      <c r="O225" s="15">
        <f>INDEX(卡牌消耗!$H$13:$H$33,世界BOSS专属武器!N225)</f>
        <v>1501003</v>
      </c>
      <c r="P225" s="49" t="s">
        <v>408</v>
      </c>
      <c r="Q225" s="15">
        <f t="shared" si="61"/>
        <v>43</v>
      </c>
      <c r="R225" s="49" t="str">
        <f t="shared" si="62"/>
        <v>金币</v>
      </c>
      <c r="S225" s="15">
        <f t="shared" si="63"/>
        <v>20000</v>
      </c>
      <c r="T225" s="15" t="str">
        <f t="shared" si="64"/>
        <v>高级专属强化石</v>
      </c>
      <c r="U225" s="15">
        <f t="shared" si="65"/>
        <v>5</v>
      </c>
      <c r="V225" s="15" t="str">
        <f t="shared" si="66"/>
        <v>[x]</v>
      </c>
      <c r="W225" s="15" t="str">
        <f t="shared" si="67"/>
        <v>[x]</v>
      </c>
      <c r="X225" s="15">
        <f t="shared" si="68"/>
        <v>0.1</v>
      </c>
      <c r="Y225" s="15">
        <f t="shared" si="69"/>
        <v>1</v>
      </c>
      <c r="Z225" s="15">
        <f t="shared" si="70"/>
        <v>50</v>
      </c>
      <c r="AA225" s="15">
        <f t="shared" si="71"/>
        <v>0.76670000000000005</v>
      </c>
    </row>
    <row r="226" spans="1:27" ht="16.5" x14ac:dyDescent="0.2">
      <c r="A226" s="115"/>
      <c r="B226" s="74" t="s">
        <v>656</v>
      </c>
      <c r="C226" s="74">
        <v>3</v>
      </c>
      <c r="D226" s="74">
        <f>INDEX(神器!$M$4:$M$7,世界BOSS专属武器!C226)</f>
        <v>280</v>
      </c>
      <c r="E226" s="74">
        <f t="shared" si="72"/>
        <v>3.5714285714285713E-3</v>
      </c>
      <c r="F226" s="74">
        <f t="shared" si="73"/>
        <v>457</v>
      </c>
      <c r="G226" s="74">
        <v>1</v>
      </c>
      <c r="H226" s="74">
        <v>1</v>
      </c>
      <c r="M226" s="15">
        <v>147</v>
      </c>
      <c r="N226" s="15">
        <f t="shared" si="60"/>
        <v>3</v>
      </c>
      <c r="O226" s="15">
        <f>INDEX(卡牌消耗!$H$13:$H$33,世界BOSS专属武器!N226)</f>
        <v>1501003</v>
      </c>
      <c r="P226" s="49" t="s">
        <v>408</v>
      </c>
      <c r="Q226" s="15">
        <f t="shared" si="61"/>
        <v>44</v>
      </c>
      <c r="R226" s="49" t="str">
        <f t="shared" si="62"/>
        <v>金币</v>
      </c>
      <c r="S226" s="15">
        <f t="shared" si="63"/>
        <v>20000</v>
      </c>
      <c r="T226" s="15" t="str">
        <f t="shared" si="64"/>
        <v>高级专属强化石</v>
      </c>
      <c r="U226" s="15">
        <f t="shared" si="65"/>
        <v>5</v>
      </c>
      <c r="V226" s="15" t="str">
        <f t="shared" si="66"/>
        <v>[x]</v>
      </c>
      <c r="W226" s="15" t="str">
        <f t="shared" si="67"/>
        <v>[x]</v>
      </c>
      <c r="X226" s="15">
        <f t="shared" si="68"/>
        <v>0.1</v>
      </c>
      <c r="Y226" s="15">
        <f t="shared" si="69"/>
        <v>1</v>
      </c>
      <c r="Z226" s="15">
        <f t="shared" si="70"/>
        <v>55</v>
      </c>
      <c r="AA226" s="15">
        <f t="shared" si="71"/>
        <v>0.8</v>
      </c>
    </row>
    <row r="227" spans="1:27" ht="16.5" x14ac:dyDescent="0.2">
      <c r="A227" s="115"/>
      <c r="B227" s="74" t="s">
        <v>657</v>
      </c>
      <c r="C227" s="74">
        <v>3</v>
      </c>
      <c r="D227" s="74">
        <f>INDEX(神器!$M$4:$M$7,世界BOSS专属武器!C227)</f>
        <v>280</v>
      </c>
      <c r="E227" s="74">
        <f t="shared" si="72"/>
        <v>3.5714285714285713E-3</v>
      </c>
      <c r="F227" s="74">
        <f t="shared" si="73"/>
        <v>457</v>
      </c>
      <c r="G227" s="74">
        <v>1</v>
      </c>
      <c r="H227" s="74">
        <v>1</v>
      </c>
      <c r="M227" s="15">
        <v>148</v>
      </c>
      <c r="N227" s="15">
        <f t="shared" si="60"/>
        <v>3</v>
      </c>
      <c r="O227" s="15">
        <f>INDEX(卡牌消耗!$H$13:$H$33,世界BOSS专属武器!N227)</f>
        <v>1501003</v>
      </c>
      <c r="P227" s="49" t="s">
        <v>408</v>
      </c>
      <c r="Q227" s="15">
        <f t="shared" si="61"/>
        <v>45</v>
      </c>
      <c r="R227" s="49" t="str">
        <f t="shared" si="62"/>
        <v>金币</v>
      </c>
      <c r="S227" s="15">
        <f t="shared" si="63"/>
        <v>20000</v>
      </c>
      <c r="T227" s="15" t="str">
        <f t="shared" si="64"/>
        <v>高级专属强化石</v>
      </c>
      <c r="U227" s="15">
        <f t="shared" si="65"/>
        <v>6</v>
      </c>
      <c r="V227" s="15" t="str">
        <f t="shared" si="66"/>
        <v>[x]</v>
      </c>
      <c r="W227" s="15" t="str">
        <f t="shared" si="67"/>
        <v>[x]</v>
      </c>
      <c r="X227" s="15">
        <f t="shared" si="68"/>
        <v>0.1</v>
      </c>
      <c r="Y227" s="15">
        <f t="shared" si="69"/>
        <v>1</v>
      </c>
      <c r="Z227" s="15">
        <f t="shared" si="70"/>
        <v>60</v>
      </c>
      <c r="AA227" s="15">
        <f t="shared" si="71"/>
        <v>0.83330000000000004</v>
      </c>
    </row>
    <row r="228" spans="1:27" ht="16.5" x14ac:dyDescent="0.2">
      <c r="A228" s="115"/>
      <c r="B228" s="74" t="s">
        <v>658</v>
      </c>
      <c r="C228" s="74">
        <v>4</v>
      </c>
      <c r="D228" s="74">
        <f>INDEX(神器!$M$4:$M$7,世界BOSS专属武器!C228)</f>
        <v>600</v>
      </c>
      <c r="E228" s="74">
        <f t="shared" si="72"/>
        <v>1.6666666666666668E-3</v>
      </c>
      <c r="F228" s="74">
        <f t="shared" si="73"/>
        <v>213</v>
      </c>
      <c r="G228" s="74">
        <v>1</v>
      </c>
      <c r="H228" s="74">
        <v>1</v>
      </c>
      <c r="M228" s="15">
        <v>149</v>
      </c>
      <c r="N228" s="15">
        <f t="shared" si="60"/>
        <v>3</v>
      </c>
      <c r="O228" s="15">
        <f>INDEX(卡牌消耗!$H$13:$H$33,世界BOSS专属武器!N228)</f>
        <v>1501003</v>
      </c>
      <c r="P228" s="49" t="s">
        <v>408</v>
      </c>
      <c r="Q228" s="15">
        <f t="shared" si="61"/>
        <v>46</v>
      </c>
      <c r="R228" s="49" t="str">
        <f t="shared" si="62"/>
        <v>金币</v>
      </c>
      <c r="S228" s="15">
        <f t="shared" si="63"/>
        <v>20000</v>
      </c>
      <c r="T228" s="15" t="str">
        <f t="shared" si="64"/>
        <v>高级专属强化石</v>
      </c>
      <c r="U228" s="15">
        <f t="shared" si="65"/>
        <v>7</v>
      </c>
      <c r="V228" s="15" t="str">
        <f t="shared" si="66"/>
        <v>[x]</v>
      </c>
      <c r="W228" s="15" t="str">
        <f t="shared" si="67"/>
        <v>[x]</v>
      </c>
      <c r="X228" s="15">
        <f t="shared" si="68"/>
        <v>0.1</v>
      </c>
      <c r="Y228" s="15">
        <f t="shared" si="69"/>
        <v>1</v>
      </c>
      <c r="Z228" s="15">
        <f t="shared" si="70"/>
        <v>70</v>
      </c>
      <c r="AA228" s="15">
        <f t="shared" si="71"/>
        <v>0.86670000000000003</v>
      </c>
    </row>
    <row r="229" spans="1:27" ht="16.5" x14ac:dyDescent="0.2">
      <c r="A229" s="115"/>
      <c r="B229" s="74" t="s">
        <v>659</v>
      </c>
      <c r="C229" s="74">
        <v>4</v>
      </c>
      <c r="D229" s="74">
        <f>INDEX(神器!$M$4:$M$7,世界BOSS专属武器!C229)</f>
        <v>600</v>
      </c>
      <c r="E229" s="74">
        <f t="shared" si="72"/>
        <v>1.6666666666666668E-3</v>
      </c>
      <c r="F229" s="74">
        <f>10000-SUM(F214:F228)</f>
        <v>217</v>
      </c>
      <c r="G229" s="74">
        <v>1</v>
      </c>
      <c r="H229" s="74">
        <v>1</v>
      </c>
      <c r="M229" s="15">
        <v>150</v>
      </c>
      <c r="N229" s="15">
        <f t="shared" si="60"/>
        <v>3</v>
      </c>
      <c r="O229" s="15">
        <f>INDEX(卡牌消耗!$H$13:$H$33,世界BOSS专属武器!N229)</f>
        <v>1501003</v>
      </c>
      <c r="P229" s="49" t="s">
        <v>408</v>
      </c>
      <c r="Q229" s="15">
        <f t="shared" si="61"/>
        <v>47</v>
      </c>
      <c r="R229" s="49" t="str">
        <f t="shared" si="62"/>
        <v>金币</v>
      </c>
      <c r="S229" s="15">
        <f t="shared" si="63"/>
        <v>20000</v>
      </c>
      <c r="T229" s="15" t="str">
        <f t="shared" si="64"/>
        <v>高级专属强化石</v>
      </c>
      <c r="U229" s="15">
        <f t="shared" si="65"/>
        <v>8</v>
      </c>
      <c r="V229" s="15" t="str">
        <f t="shared" si="66"/>
        <v>[x]</v>
      </c>
      <c r="W229" s="15" t="str">
        <f t="shared" si="67"/>
        <v>[x]</v>
      </c>
      <c r="X229" s="15">
        <f t="shared" si="68"/>
        <v>0.1</v>
      </c>
      <c r="Y229" s="15">
        <f t="shared" si="69"/>
        <v>1</v>
      </c>
      <c r="Z229" s="15">
        <f t="shared" si="70"/>
        <v>80</v>
      </c>
      <c r="AA229" s="15">
        <f t="shared" si="71"/>
        <v>0.9</v>
      </c>
    </row>
    <row r="230" spans="1:27" ht="16.5" x14ac:dyDescent="0.2">
      <c r="M230" s="15">
        <v>151</v>
      </c>
      <c r="N230" s="15">
        <f t="shared" si="60"/>
        <v>3</v>
      </c>
      <c r="O230" s="15">
        <f>INDEX(卡牌消耗!$H$13:$H$33,世界BOSS专属武器!N230)</f>
        <v>1501003</v>
      </c>
      <c r="P230" s="49" t="s">
        <v>408</v>
      </c>
      <c r="Q230" s="15">
        <f t="shared" si="61"/>
        <v>48</v>
      </c>
      <c r="R230" s="49" t="str">
        <f t="shared" si="62"/>
        <v>金币</v>
      </c>
      <c r="S230" s="15">
        <f t="shared" si="63"/>
        <v>20000</v>
      </c>
      <c r="T230" s="15" t="str">
        <f t="shared" si="64"/>
        <v>高级专属强化石</v>
      </c>
      <c r="U230" s="15">
        <f t="shared" si="65"/>
        <v>9</v>
      </c>
      <c r="V230" s="15" t="str">
        <f t="shared" si="66"/>
        <v>[x]</v>
      </c>
      <c r="W230" s="15" t="str">
        <f t="shared" si="67"/>
        <v>[x]</v>
      </c>
      <c r="X230" s="15">
        <f t="shared" si="68"/>
        <v>0.1</v>
      </c>
      <c r="Y230" s="15">
        <f t="shared" si="69"/>
        <v>1</v>
      </c>
      <c r="Z230" s="15">
        <f t="shared" si="70"/>
        <v>100</v>
      </c>
      <c r="AA230" s="15">
        <f t="shared" si="71"/>
        <v>0.93330000000000002</v>
      </c>
    </row>
    <row r="231" spans="1:27" ht="16.5" x14ac:dyDescent="0.2">
      <c r="E231" s="58">
        <f>SUM(E232:E249)</f>
        <v>5.4761904761904769E-2</v>
      </c>
      <c r="M231" s="15">
        <v>152</v>
      </c>
      <c r="N231" s="15">
        <f t="shared" si="60"/>
        <v>3</v>
      </c>
      <c r="O231" s="15">
        <f>INDEX(卡牌消耗!$H$13:$H$33,世界BOSS专属武器!N231)</f>
        <v>1501003</v>
      </c>
      <c r="P231" s="49" t="s">
        <v>408</v>
      </c>
      <c r="Q231" s="15">
        <f t="shared" si="61"/>
        <v>49</v>
      </c>
      <c r="R231" s="49" t="str">
        <f t="shared" si="62"/>
        <v>金币</v>
      </c>
      <c r="S231" s="15">
        <f t="shared" si="63"/>
        <v>20000</v>
      </c>
      <c r="T231" s="15" t="str">
        <f t="shared" si="64"/>
        <v>高级专属强化石</v>
      </c>
      <c r="U231" s="15">
        <f t="shared" si="65"/>
        <v>10</v>
      </c>
      <c r="V231" s="15" t="str">
        <f t="shared" si="66"/>
        <v>[x]</v>
      </c>
      <c r="W231" s="15" t="str">
        <f t="shared" si="67"/>
        <v>[x]</v>
      </c>
      <c r="X231" s="15">
        <f t="shared" si="68"/>
        <v>0.1</v>
      </c>
      <c r="Y231" s="15">
        <f t="shared" si="69"/>
        <v>1</v>
      </c>
      <c r="Z231" s="15">
        <f t="shared" si="70"/>
        <v>120</v>
      </c>
      <c r="AA231" s="15">
        <f t="shared" si="71"/>
        <v>0.9667</v>
      </c>
    </row>
    <row r="232" spans="1:27" ht="16.5" customHeight="1" x14ac:dyDescent="0.2">
      <c r="A232" s="115" t="s">
        <v>734</v>
      </c>
      <c r="B232" s="74" t="s">
        <v>625</v>
      </c>
      <c r="C232" s="74">
        <v>3</v>
      </c>
      <c r="D232" s="74">
        <f>INDEX(神器!$M$4:$M$7,世界BOSS专属武器!C232)</f>
        <v>280</v>
      </c>
      <c r="E232" s="74">
        <f t="shared" ref="E232:E249" si="74">1/D232</f>
        <v>3.5714285714285713E-3</v>
      </c>
      <c r="F232" s="74">
        <f>ROUND(E232/E$231*10000,0)</f>
        <v>652</v>
      </c>
      <c r="G232" s="74">
        <v>1</v>
      </c>
      <c r="H232" s="74">
        <v>1</v>
      </c>
      <c r="M232" s="15">
        <v>153</v>
      </c>
      <c r="N232" s="15">
        <f t="shared" si="60"/>
        <v>3</v>
      </c>
      <c r="O232" s="15">
        <f>INDEX(卡牌消耗!$H$13:$H$33,世界BOSS专属武器!N232)</f>
        <v>1501003</v>
      </c>
      <c r="P232" s="49" t="s">
        <v>408</v>
      </c>
      <c r="Q232" s="15">
        <f t="shared" si="61"/>
        <v>50</v>
      </c>
      <c r="R232" s="49" t="str">
        <f t="shared" si="62"/>
        <v>金币</v>
      </c>
      <c r="S232" s="15">
        <f t="shared" si="63"/>
        <v>20000</v>
      </c>
      <c r="T232" s="15" t="str">
        <f t="shared" si="64"/>
        <v>高级专属强化石</v>
      </c>
      <c r="U232" s="15">
        <f t="shared" si="65"/>
        <v>15</v>
      </c>
      <c r="V232" s="15" t="str">
        <f t="shared" si="66"/>
        <v>[x]</v>
      </c>
      <c r="W232" s="15" t="str">
        <f t="shared" si="67"/>
        <v>[x]</v>
      </c>
      <c r="X232" s="15">
        <f t="shared" si="68"/>
        <v>0.1</v>
      </c>
      <c r="Y232" s="15">
        <f t="shared" si="69"/>
        <v>1</v>
      </c>
      <c r="Z232" s="15">
        <f t="shared" si="70"/>
        <v>150</v>
      </c>
      <c r="AA232" s="15">
        <f t="shared" si="71"/>
        <v>1</v>
      </c>
    </row>
    <row r="233" spans="1:27" ht="16.5" x14ac:dyDescent="0.2">
      <c r="A233" s="115"/>
      <c r="B233" s="74" t="s">
        <v>629</v>
      </c>
      <c r="C233" s="74">
        <v>3</v>
      </c>
      <c r="D233" s="74">
        <f>INDEX(神器!$M$4:$M$7,世界BOSS专属武器!C233)</f>
        <v>280</v>
      </c>
      <c r="E233" s="74">
        <f t="shared" si="74"/>
        <v>3.5714285714285713E-3</v>
      </c>
      <c r="F233" s="74">
        <f t="shared" ref="F233:F248" si="75">ROUND(E233/E$231*10000,0)</f>
        <v>652</v>
      </c>
      <c r="G233" s="74">
        <v>1</v>
      </c>
      <c r="H233" s="74">
        <v>1</v>
      </c>
      <c r="M233" s="15">
        <v>154</v>
      </c>
      <c r="N233" s="15">
        <f t="shared" si="60"/>
        <v>4</v>
      </c>
      <c r="O233" s="15">
        <f>INDEX(卡牌消耗!$H$13:$H$33,世界BOSS专属武器!N233)</f>
        <v>1501004</v>
      </c>
      <c r="P233" s="49" t="s">
        <v>408</v>
      </c>
      <c r="Q233" s="15">
        <f t="shared" si="61"/>
        <v>0</v>
      </c>
      <c r="R233" s="49" t="str">
        <f t="shared" si="62"/>
        <v>[x]</v>
      </c>
      <c r="S233" s="15" t="str">
        <f t="shared" si="63"/>
        <v>[x]</v>
      </c>
      <c r="T233" s="15" t="str">
        <f t="shared" si="64"/>
        <v>[x]</v>
      </c>
      <c r="U233" s="15" t="str">
        <f t="shared" si="65"/>
        <v>[x]</v>
      </c>
      <c r="V233" s="15" t="str">
        <f t="shared" si="66"/>
        <v>[x]</v>
      </c>
      <c r="W233" s="15" t="str">
        <f t="shared" si="67"/>
        <v>[x]</v>
      </c>
      <c r="X233" s="15" t="str">
        <f t="shared" si="68"/>
        <v>[x]</v>
      </c>
      <c r="Y233" s="15" t="str">
        <f t="shared" si="69"/>
        <v>[x]</v>
      </c>
      <c r="Z233" s="15" t="str">
        <f t="shared" si="70"/>
        <v>[x]</v>
      </c>
      <c r="AA233" s="15" t="str">
        <f t="shared" si="71"/>
        <v>[x]</v>
      </c>
    </row>
    <row r="234" spans="1:27" ht="16.5" x14ac:dyDescent="0.2">
      <c r="A234" s="115"/>
      <c r="B234" s="74" t="s">
        <v>630</v>
      </c>
      <c r="C234" s="74">
        <v>3</v>
      </c>
      <c r="D234" s="74">
        <f>INDEX(神器!$M$4:$M$7,世界BOSS专属武器!C234)</f>
        <v>280</v>
      </c>
      <c r="E234" s="74">
        <f t="shared" si="74"/>
        <v>3.5714285714285713E-3</v>
      </c>
      <c r="F234" s="74">
        <f t="shared" si="75"/>
        <v>652</v>
      </c>
      <c r="G234" s="74">
        <v>1</v>
      </c>
      <c r="H234" s="74">
        <v>1</v>
      </c>
      <c r="M234" s="15">
        <v>155</v>
      </c>
      <c r="N234" s="15">
        <f t="shared" si="60"/>
        <v>4</v>
      </c>
      <c r="O234" s="15">
        <f>INDEX(卡牌消耗!$H$13:$H$33,世界BOSS专属武器!N234)</f>
        <v>1501004</v>
      </c>
      <c r="P234" s="49" t="s">
        <v>408</v>
      </c>
      <c r="Q234" s="15">
        <f t="shared" si="61"/>
        <v>1</v>
      </c>
      <c r="R234" s="49" t="str">
        <f t="shared" si="62"/>
        <v>金币</v>
      </c>
      <c r="S234" s="15">
        <f t="shared" si="63"/>
        <v>100</v>
      </c>
      <c r="T234" s="15" t="str">
        <f t="shared" si="64"/>
        <v>低级专属强化石</v>
      </c>
      <c r="U234" s="15">
        <f t="shared" si="65"/>
        <v>1</v>
      </c>
      <c r="V234" s="15" t="str">
        <f t="shared" si="66"/>
        <v>[x]</v>
      </c>
      <c r="W234" s="15" t="str">
        <f t="shared" si="67"/>
        <v>[x]</v>
      </c>
      <c r="X234" s="15">
        <f t="shared" si="68"/>
        <v>1</v>
      </c>
      <c r="Y234" s="15">
        <f t="shared" si="69"/>
        <v>1</v>
      </c>
      <c r="Z234" s="15">
        <f t="shared" si="70"/>
        <v>1</v>
      </c>
      <c r="AA234" s="15">
        <f t="shared" si="71"/>
        <v>6.7000000000000002E-3</v>
      </c>
    </row>
    <row r="235" spans="1:27" ht="16.5" x14ac:dyDescent="0.2">
      <c r="A235" s="115"/>
      <c r="B235" s="74" t="s">
        <v>631</v>
      </c>
      <c r="C235" s="74">
        <v>4</v>
      </c>
      <c r="D235" s="74">
        <f>INDEX(神器!$M$4:$M$7,世界BOSS专属武器!C235)</f>
        <v>600</v>
      </c>
      <c r="E235" s="74">
        <f t="shared" si="74"/>
        <v>1.6666666666666668E-3</v>
      </c>
      <c r="F235" s="74">
        <f t="shared" si="75"/>
        <v>304</v>
      </c>
      <c r="G235" s="74">
        <v>1</v>
      </c>
      <c r="H235" s="74">
        <v>1</v>
      </c>
      <c r="M235" s="15">
        <v>156</v>
      </c>
      <c r="N235" s="15">
        <f t="shared" si="60"/>
        <v>4</v>
      </c>
      <c r="O235" s="15">
        <f>INDEX(卡牌消耗!$H$13:$H$33,世界BOSS专属武器!N235)</f>
        <v>1501004</v>
      </c>
      <c r="P235" s="49" t="s">
        <v>408</v>
      </c>
      <c r="Q235" s="15">
        <f t="shared" si="61"/>
        <v>2</v>
      </c>
      <c r="R235" s="49" t="str">
        <f t="shared" si="62"/>
        <v>金币</v>
      </c>
      <c r="S235" s="15">
        <f t="shared" si="63"/>
        <v>200</v>
      </c>
      <c r="T235" s="15" t="str">
        <f t="shared" si="64"/>
        <v>低级专属强化石</v>
      </c>
      <c r="U235" s="15">
        <f t="shared" si="65"/>
        <v>1</v>
      </c>
      <c r="V235" s="15" t="str">
        <f t="shared" si="66"/>
        <v>[x]</v>
      </c>
      <c r="W235" s="15" t="str">
        <f t="shared" si="67"/>
        <v>[x]</v>
      </c>
      <c r="X235" s="15">
        <f t="shared" si="68"/>
        <v>0.5</v>
      </c>
      <c r="Y235" s="15">
        <f t="shared" si="69"/>
        <v>1</v>
      </c>
      <c r="Z235" s="15">
        <f t="shared" si="70"/>
        <v>2</v>
      </c>
      <c r="AA235" s="15">
        <f t="shared" si="71"/>
        <v>1.3299999999999999E-2</v>
      </c>
    </row>
    <row r="236" spans="1:27" ht="16.5" x14ac:dyDescent="0.2">
      <c r="A236" s="115"/>
      <c r="B236" s="74" t="s">
        <v>635</v>
      </c>
      <c r="C236" s="74">
        <v>3</v>
      </c>
      <c r="D236" s="74">
        <f>INDEX(神器!$M$4:$M$7,世界BOSS专属武器!C236)</f>
        <v>280</v>
      </c>
      <c r="E236" s="74">
        <f t="shared" si="74"/>
        <v>3.5714285714285713E-3</v>
      </c>
      <c r="F236" s="74">
        <f t="shared" si="75"/>
        <v>652</v>
      </c>
      <c r="G236" s="74">
        <v>1</v>
      </c>
      <c r="H236" s="74">
        <v>1</v>
      </c>
      <c r="M236" s="15">
        <v>157</v>
      </c>
      <c r="N236" s="15">
        <f t="shared" si="60"/>
        <v>4</v>
      </c>
      <c r="O236" s="15">
        <f>INDEX(卡牌消耗!$H$13:$H$33,世界BOSS专属武器!N236)</f>
        <v>1501004</v>
      </c>
      <c r="P236" s="49" t="s">
        <v>408</v>
      </c>
      <c r="Q236" s="15">
        <f t="shared" si="61"/>
        <v>3</v>
      </c>
      <c r="R236" s="49" t="str">
        <f t="shared" si="62"/>
        <v>金币</v>
      </c>
      <c r="S236" s="15">
        <f t="shared" si="63"/>
        <v>300</v>
      </c>
      <c r="T236" s="15" t="str">
        <f t="shared" si="64"/>
        <v>低级专属强化石</v>
      </c>
      <c r="U236" s="15">
        <f t="shared" si="65"/>
        <v>2</v>
      </c>
      <c r="V236" s="15" t="str">
        <f t="shared" si="66"/>
        <v>[x]</v>
      </c>
      <c r="W236" s="15" t="str">
        <f t="shared" si="67"/>
        <v>[x]</v>
      </c>
      <c r="X236" s="15">
        <f t="shared" si="68"/>
        <v>0.48</v>
      </c>
      <c r="Y236" s="15">
        <f t="shared" si="69"/>
        <v>1</v>
      </c>
      <c r="Z236" s="15">
        <f t="shared" si="70"/>
        <v>3</v>
      </c>
      <c r="AA236" s="15">
        <f t="shared" si="71"/>
        <v>0.02</v>
      </c>
    </row>
    <row r="237" spans="1:27" ht="16.5" x14ac:dyDescent="0.2">
      <c r="A237" s="115"/>
      <c r="B237" s="74" t="s">
        <v>636</v>
      </c>
      <c r="C237" s="74">
        <v>3</v>
      </c>
      <c r="D237" s="74">
        <f>INDEX(神器!$M$4:$M$7,世界BOSS专属武器!C237)</f>
        <v>280</v>
      </c>
      <c r="E237" s="74">
        <f t="shared" si="74"/>
        <v>3.5714285714285713E-3</v>
      </c>
      <c r="F237" s="74">
        <f t="shared" si="75"/>
        <v>652</v>
      </c>
      <c r="G237" s="74">
        <v>1</v>
      </c>
      <c r="H237" s="74">
        <v>1</v>
      </c>
      <c r="M237" s="15">
        <v>158</v>
      </c>
      <c r="N237" s="15">
        <f t="shared" si="60"/>
        <v>4</v>
      </c>
      <c r="O237" s="15">
        <f>INDEX(卡牌消耗!$H$13:$H$33,世界BOSS专属武器!N237)</f>
        <v>1501004</v>
      </c>
      <c r="P237" s="49" t="s">
        <v>408</v>
      </c>
      <c r="Q237" s="15">
        <f t="shared" si="61"/>
        <v>4</v>
      </c>
      <c r="R237" s="49" t="str">
        <f t="shared" si="62"/>
        <v>金币</v>
      </c>
      <c r="S237" s="15">
        <f t="shared" si="63"/>
        <v>400</v>
      </c>
      <c r="T237" s="15" t="str">
        <f t="shared" si="64"/>
        <v>低级专属强化石</v>
      </c>
      <c r="U237" s="15">
        <f t="shared" si="65"/>
        <v>3</v>
      </c>
      <c r="V237" s="15" t="str">
        <f t="shared" si="66"/>
        <v>[x]</v>
      </c>
      <c r="W237" s="15" t="str">
        <f t="shared" si="67"/>
        <v>[x]</v>
      </c>
      <c r="X237" s="15">
        <f t="shared" si="68"/>
        <v>0.46</v>
      </c>
      <c r="Y237" s="15">
        <f t="shared" si="69"/>
        <v>1</v>
      </c>
      <c r="Z237" s="15">
        <f t="shared" si="70"/>
        <v>3</v>
      </c>
      <c r="AA237" s="15">
        <f t="shared" si="71"/>
        <v>2.6700000000000002E-2</v>
      </c>
    </row>
    <row r="238" spans="1:27" ht="16.5" x14ac:dyDescent="0.2">
      <c r="A238" s="115"/>
      <c r="B238" s="74" t="s">
        <v>637</v>
      </c>
      <c r="C238" s="74">
        <v>4</v>
      </c>
      <c r="D238" s="74">
        <f>INDEX(神器!$M$4:$M$7,世界BOSS专属武器!C238)</f>
        <v>600</v>
      </c>
      <c r="E238" s="74">
        <f t="shared" si="74"/>
        <v>1.6666666666666668E-3</v>
      </c>
      <c r="F238" s="74">
        <f t="shared" si="75"/>
        <v>304</v>
      </c>
      <c r="G238" s="74">
        <v>1</v>
      </c>
      <c r="H238" s="74">
        <v>1</v>
      </c>
      <c r="M238" s="15">
        <v>159</v>
      </c>
      <c r="N238" s="15">
        <f t="shared" si="60"/>
        <v>4</v>
      </c>
      <c r="O238" s="15">
        <f>INDEX(卡牌消耗!$H$13:$H$33,世界BOSS专属武器!N238)</f>
        <v>1501004</v>
      </c>
      <c r="P238" s="49" t="s">
        <v>408</v>
      </c>
      <c r="Q238" s="15">
        <f t="shared" si="61"/>
        <v>5</v>
      </c>
      <c r="R238" s="49" t="str">
        <f t="shared" si="62"/>
        <v>金币</v>
      </c>
      <c r="S238" s="15">
        <f t="shared" si="63"/>
        <v>500</v>
      </c>
      <c r="T238" s="15" t="str">
        <f t="shared" si="64"/>
        <v>低级专属强化石</v>
      </c>
      <c r="U238" s="15">
        <f t="shared" si="65"/>
        <v>4</v>
      </c>
      <c r="V238" s="15" t="str">
        <f t="shared" si="66"/>
        <v>[x]</v>
      </c>
      <c r="W238" s="15" t="str">
        <f t="shared" si="67"/>
        <v>[x]</v>
      </c>
      <c r="X238" s="15">
        <f t="shared" si="68"/>
        <v>0.44</v>
      </c>
      <c r="Y238" s="15">
        <f t="shared" si="69"/>
        <v>1</v>
      </c>
      <c r="Z238" s="15">
        <f t="shared" si="70"/>
        <v>3</v>
      </c>
      <c r="AA238" s="15">
        <f t="shared" si="71"/>
        <v>3.3300000000000003E-2</v>
      </c>
    </row>
    <row r="239" spans="1:27" ht="16.5" x14ac:dyDescent="0.2">
      <c r="A239" s="115"/>
      <c r="B239" s="74" t="s">
        <v>641</v>
      </c>
      <c r="C239" s="74">
        <v>3</v>
      </c>
      <c r="D239" s="74">
        <f>INDEX(神器!$M$4:$M$7,世界BOSS专属武器!C239)</f>
        <v>280</v>
      </c>
      <c r="E239" s="74">
        <f t="shared" si="74"/>
        <v>3.5714285714285713E-3</v>
      </c>
      <c r="F239" s="74">
        <f t="shared" si="75"/>
        <v>652</v>
      </c>
      <c r="G239" s="74">
        <v>1</v>
      </c>
      <c r="H239" s="74">
        <v>1</v>
      </c>
      <c r="M239" s="15">
        <v>160</v>
      </c>
      <c r="N239" s="15">
        <f t="shared" si="60"/>
        <v>4</v>
      </c>
      <c r="O239" s="15">
        <f>INDEX(卡牌消耗!$H$13:$H$33,世界BOSS专属武器!N239)</f>
        <v>1501004</v>
      </c>
      <c r="P239" s="49" t="s">
        <v>408</v>
      </c>
      <c r="Q239" s="15">
        <f t="shared" si="61"/>
        <v>6</v>
      </c>
      <c r="R239" s="49" t="str">
        <f t="shared" si="62"/>
        <v>金币</v>
      </c>
      <c r="S239" s="15">
        <f t="shared" si="63"/>
        <v>600</v>
      </c>
      <c r="T239" s="15" t="str">
        <f t="shared" si="64"/>
        <v>低级专属强化石</v>
      </c>
      <c r="U239" s="15">
        <f t="shared" si="65"/>
        <v>5</v>
      </c>
      <c r="V239" s="15" t="str">
        <f t="shared" si="66"/>
        <v>[x]</v>
      </c>
      <c r="W239" s="15" t="str">
        <f t="shared" si="67"/>
        <v>[x]</v>
      </c>
      <c r="X239" s="15">
        <f t="shared" si="68"/>
        <v>0.42</v>
      </c>
      <c r="Y239" s="15">
        <f t="shared" si="69"/>
        <v>1</v>
      </c>
      <c r="Z239" s="15">
        <f t="shared" si="70"/>
        <v>4</v>
      </c>
      <c r="AA239" s="15">
        <f t="shared" si="71"/>
        <v>0.04</v>
      </c>
    </row>
    <row r="240" spans="1:27" ht="16.5" x14ac:dyDescent="0.2">
      <c r="A240" s="115"/>
      <c r="B240" s="74" t="s">
        <v>642</v>
      </c>
      <c r="C240" s="74">
        <v>3</v>
      </c>
      <c r="D240" s="74">
        <f>INDEX(神器!$M$4:$M$7,世界BOSS专属武器!C240)</f>
        <v>280</v>
      </c>
      <c r="E240" s="74">
        <f t="shared" si="74"/>
        <v>3.5714285714285713E-3</v>
      </c>
      <c r="F240" s="74">
        <f t="shared" si="75"/>
        <v>652</v>
      </c>
      <c r="G240" s="74">
        <v>1</v>
      </c>
      <c r="H240" s="74">
        <v>1</v>
      </c>
      <c r="M240" s="15">
        <v>161</v>
      </c>
      <c r="N240" s="15">
        <f t="shared" si="60"/>
        <v>4</v>
      </c>
      <c r="O240" s="15">
        <f>INDEX(卡牌消耗!$H$13:$H$33,世界BOSS专属武器!N240)</f>
        <v>1501004</v>
      </c>
      <c r="P240" s="49" t="s">
        <v>408</v>
      </c>
      <c r="Q240" s="15">
        <f t="shared" si="61"/>
        <v>7</v>
      </c>
      <c r="R240" s="49" t="str">
        <f t="shared" si="62"/>
        <v>金币</v>
      </c>
      <c r="S240" s="15">
        <f t="shared" si="63"/>
        <v>700</v>
      </c>
      <c r="T240" s="15" t="str">
        <f t="shared" si="64"/>
        <v>低级专属强化石</v>
      </c>
      <c r="U240" s="15">
        <f t="shared" si="65"/>
        <v>5</v>
      </c>
      <c r="V240" s="15" t="str">
        <f t="shared" si="66"/>
        <v>[x]</v>
      </c>
      <c r="W240" s="15" t="str">
        <f t="shared" si="67"/>
        <v>[x]</v>
      </c>
      <c r="X240" s="15">
        <f t="shared" si="68"/>
        <v>0.4</v>
      </c>
      <c r="Y240" s="15">
        <f t="shared" si="69"/>
        <v>1</v>
      </c>
      <c r="Z240" s="15">
        <f t="shared" si="70"/>
        <v>4</v>
      </c>
      <c r="AA240" s="15">
        <f t="shared" si="71"/>
        <v>4.6699999999999998E-2</v>
      </c>
    </row>
    <row r="241" spans="1:27" ht="16.5" x14ac:dyDescent="0.2">
      <c r="A241" s="115"/>
      <c r="B241" s="74" t="s">
        <v>643</v>
      </c>
      <c r="C241" s="74">
        <v>4</v>
      </c>
      <c r="D241" s="74">
        <f>INDEX(神器!$M$4:$M$7,世界BOSS专属武器!C241)</f>
        <v>600</v>
      </c>
      <c r="E241" s="74">
        <f t="shared" si="74"/>
        <v>1.6666666666666668E-3</v>
      </c>
      <c r="F241" s="74">
        <f t="shared" si="75"/>
        <v>304</v>
      </c>
      <c r="G241" s="74">
        <v>1</v>
      </c>
      <c r="H241" s="74">
        <v>1</v>
      </c>
      <c r="M241" s="15">
        <v>162</v>
      </c>
      <c r="N241" s="15">
        <f t="shared" si="60"/>
        <v>4</v>
      </c>
      <c r="O241" s="15">
        <f>INDEX(卡牌消耗!$H$13:$H$33,世界BOSS专属武器!N241)</f>
        <v>1501004</v>
      </c>
      <c r="P241" s="49" t="s">
        <v>408</v>
      </c>
      <c r="Q241" s="15">
        <f t="shared" si="61"/>
        <v>8</v>
      </c>
      <c r="R241" s="49" t="str">
        <f t="shared" si="62"/>
        <v>金币</v>
      </c>
      <c r="S241" s="15">
        <f t="shared" si="63"/>
        <v>800</v>
      </c>
      <c r="T241" s="15" t="str">
        <f t="shared" si="64"/>
        <v>低级专属强化石</v>
      </c>
      <c r="U241" s="15">
        <f t="shared" si="65"/>
        <v>5</v>
      </c>
      <c r="V241" s="15" t="str">
        <f t="shared" si="66"/>
        <v>[x]</v>
      </c>
      <c r="W241" s="15" t="str">
        <f t="shared" si="67"/>
        <v>[x]</v>
      </c>
      <c r="X241" s="15">
        <f t="shared" si="68"/>
        <v>0.38</v>
      </c>
      <c r="Y241" s="15">
        <f t="shared" si="69"/>
        <v>1</v>
      </c>
      <c r="Z241" s="15">
        <f t="shared" si="70"/>
        <v>5</v>
      </c>
      <c r="AA241" s="15">
        <f t="shared" si="71"/>
        <v>5.33E-2</v>
      </c>
    </row>
    <row r="242" spans="1:27" ht="16.5" x14ac:dyDescent="0.2">
      <c r="A242" s="115"/>
      <c r="B242" s="74" t="s">
        <v>647</v>
      </c>
      <c r="C242" s="74">
        <v>3</v>
      </c>
      <c r="D242" s="74">
        <f>INDEX(神器!$M$4:$M$7,世界BOSS专属武器!C242)</f>
        <v>280</v>
      </c>
      <c r="E242" s="74">
        <f t="shared" si="74"/>
        <v>3.5714285714285713E-3</v>
      </c>
      <c r="F242" s="74">
        <f t="shared" si="75"/>
        <v>652</v>
      </c>
      <c r="G242" s="74">
        <v>1</v>
      </c>
      <c r="H242" s="74">
        <v>1</v>
      </c>
      <c r="M242" s="15">
        <v>163</v>
      </c>
      <c r="N242" s="15">
        <f t="shared" si="60"/>
        <v>4</v>
      </c>
      <c r="O242" s="15">
        <f>INDEX(卡牌消耗!$H$13:$H$33,世界BOSS专属武器!N242)</f>
        <v>1501004</v>
      </c>
      <c r="P242" s="49" t="s">
        <v>408</v>
      </c>
      <c r="Q242" s="15">
        <f t="shared" si="61"/>
        <v>9</v>
      </c>
      <c r="R242" s="49" t="str">
        <f t="shared" si="62"/>
        <v>金币</v>
      </c>
      <c r="S242" s="15">
        <f t="shared" si="63"/>
        <v>900</v>
      </c>
      <c r="T242" s="15" t="str">
        <f t="shared" si="64"/>
        <v>低级专属强化石</v>
      </c>
      <c r="U242" s="15">
        <f t="shared" si="65"/>
        <v>5</v>
      </c>
      <c r="V242" s="15" t="str">
        <f t="shared" si="66"/>
        <v>[x]</v>
      </c>
      <c r="W242" s="15" t="str">
        <f t="shared" si="67"/>
        <v>[x]</v>
      </c>
      <c r="X242" s="15">
        <f t="shared" si="68"/>
        <v>0.36</v>
      </c>
      <c r="Y242" s="15">
        <f t="shared" si="69"/>
        <v>1</v>
      </c>
      <c r="Z242" s="15">
        <f t="shared" si="70"/>
        <v>5</v>
      </c>
      <c r="AA242" s="15">
        <f t="shared" si="71"/>
        <v>0.06</v>
      </c>
    </row>
    <row r="243" spans="1:27" ht="16.5" x14ac:dyDescent="0.2">
      <c r="A243" s="115"/>
      <c r="B243" s="74" t="s">
        <v>648</v>
      </c>
      <c r="C243" s="74">
        <v>3</v>
      </c>
      <c r="D243" s="74">
        <f>INDEX(神器!$M$4:$M$7,世界BOSS专属武器!C243)</f>
        <v>280</v>
      </c>
      <c r="E243" s="74">
        <f t="shared" si="74"/>
        <v>3.5714285714285713E-3</v>
      </c>
      <c r="F243" s="74">
        <f t="shared" si="75"/>
        <v>652</v>
      </c>
      <c r="G243" s="74">
        <v>1</v>
      </c>
      <c r="H243" s="74">
        <v>1</v>
      </c>
      <c r="M243" s="15">
        <v>164</v>
      </c>
      <c r="N243" s="15">
        <f t="shared" si="60"/>
        <v>4</v>
      </c>
      <c r="O243" s="15">
        <f>INDEX(卡牌消耗!$H$13:$H$33,世界BOSS专属武器!N243)</f>
        <v>1501004</v>
      </c>
      <c r="P243" s="49" t="s">
        <v>408</v>
      </c>
      <c r="Q243" s="15">
        <f t="shared" si="61"/>
        <v>10</v>
      </c>
      <c r="R243" s="49" t="str">
        <f t="shared" si="62"/>
        <v>金币</v>
      </c>
      <c r="S243" s="15">
        <f t="shared" si="63"/>
        <v>1000</v>
      </c>
      <c r="T243" s="15" t="str">
        <f t="shared" si="64"/>
        <v>低级专属强化石</v>
      </c>
      <c r="U243" s="15">
        <f t="shared" si="65"/>
        <v>7</v>
      </c>
      <c r="V243" s="15" t="str">
        <f t="shared" si="66"/>
        <v>[x]</v>
      </c>
      <c r="W243" s="15" t="str">
        <f t="shared" si="67"/>
        <v>[x]</v>
      </c>
      <c r="X243" s="15">
        <f t="shared" si="68"/>
        <v>0.35</v>
      </c>
      <c r="Y243" s="15">
        <f t="shared" si="69"/>
        <v>1</v>
      </c>
      <c r="Z243" s="15">
        <f t="shared" si="70"/>
        <v>5</v>
      </c>
      <c r="AA243" s="15">
        <f t="shared" si="71"/>
        <v>6.6699999999999995E-2</v>
      </c>
    </row>
    <row r="244" spans="1:27" ht="16.5" x14ac:dyDescent="0.2">
      <c r="A244" s="115"/>
      <c r="B244" s="74" t="s">
        <v>649</v>
      </c>
      <c r="C244" s="74">
        <v>3</v>
      </c>
      <c r="D244" s="74">
        <f>INDEX(神器!$M$4:$M$7,世界BOSS专属武器!C244)</f>
        <v>280</v>
      </c>
      <c r="E244" s="74">
        <f t="shared" si="74"/>
        <v>3.5714285714285713E-3</v>
      </c>
      <c r="F244" s="74">
        <f t="shared" si="75"/>
        <v>652</v>
      </c>
      <c r="G244" s="74">
        <v>1</v>
      </c>
      <c r="H244" s="74">
        <v>1</v>
      </c>
      <c r="M244" s="15">
        <v>165</v>
      </c>
      <c r="N244" s="15">
        <f t="shared" si="60"/>
        <v>4</v>
      </c>
      <c r="O244" s="15">
        <f>INDEX(卡牌消耗!$H$13:$H$33,世界BOSS专属武器!N244)</f>
        <v>1501004</v>
      </c>
      <c r="P244" s="49" t="s">
        <v>408</v>
      </c>
      <c r="Q244" s="15">
        <f t="shared" si="61"/>
        <v>11</v>
      </c>
      <c r="R244" s="49" t="str">
        <f t="shared" si="62"/>
        <v>金币</v>
      </c>
      <c r="S244" s="15">
        <f t="shared" si="63"/>
        <v>1000</v>
      </c>
      <c r="T244" s="15" t="str">
        <f t="shared" si="64"/>
        <v>低级专属强化石</v>
      </c>
      <c r="U244" s="15">
        <f t="shared" si="65"/>
        <v>7</v>
      </c>
      <c r="V244" s="15" t="str">
        <f t="shared" si="66"/>
        <v>[x]</v>
      </c>
      <c r="W244" s="15" t="str">
        <f t="shared" si="67"/>
        <v>[x]</v>
      </c>
      <c r="X244" s="15">
        <f t="shared" si="68"/>
        <v>0.33</v>
      </c>
      <c r="Y244" s="15">
        <f t="shared" si="69"/>
        <v>1</v>
      </c>
      <c r="Z244" s="15">
        <f t="shared" si="70"/>
        <v>6</v>
      </c>
      <c r="AA244" s="15">
        <f t="shared" si="71"/>
        <v>0.08</v>
      </c>
    </row>
    <row r="245" spans="1:27" ht="16.5" x14ac:dyDescent="0.2">
      <c r="A245" s="115"/>
      <c r="B245" s="74" t="s">
        <v>655</v>
      </c>
      <c r="C245" s="74">
        <v>3</v>
      </c>
      <c r="D245" s="74">
        <f>INDEX(神器!$M$4:$M$7,世界BOSS专属武器!C245)</f>
        <v>280</v>
      </c>
      <c r="E245" s="74">
        <f t="shared" si="74"/>
        <v>3.5714285714285713E-3</v>
      </c>
      <c r="F245" s="74">
        <f t="shared" si="75"/>
        <v>652</v>
      </c>
      <c r="G245" s="74">
        <v>1</v>
      </c>
      <c r="H245" s="74">
        <v>1</v>
      </c>
      <c r="M245" s="15">
        <v>166</v>
      </c>
      <c r="N245" s="15">
        <f t="shared" si="60"/>
        <v>4</v>
      </c>
      <c r="O245" s="15">
        <f>INDEX(卡牌消耗!$H$13:$H$33,世界BOSS专属武器!N245)</f>
        <v>1501004</v>
      </c>
      <c r="P245" s="49" t="s">
        <v>408</v>
      </c>
      <c r="Q245" s="15">
        <f t="shared" si="61"/>
        <v>12</v>
      </c>
      <c r="R245" s="49" t="str">
        <f t="shared" si="62"/>
        <v>金币</v>
      </c>
      <c r="S245" s="15">
        <f t="shared" si="63"/>
        <v>1000</v>
      </c>
      <c r="T245" s="15" t="str">
        <f t="shared" si="64"/>
        <v>低级专属强化石</v>
      </c>
      <c r="U245" s="15">
        <f t="shared" si="65"/>
        <v>7</v>
      </c>
      <c r="V245" s="15" t="str">
        <f t="shared" si="66"/>
        <v>[x]</v>
      </c>
      <c r="W245" s="15" t="str">
        <f t="shared" si="67"/>
        <v>[x]</v>
      </c>
      <c r="X245" s="15">
        <f t="shared" si="68"/>
        <v>0.31</v>
      </c>
      <c r="Y245" s="15">
        <f t="shared" si="69"/>
        <v>1</v>
      </c>
      <c r="Z245" s="15">
        <f t="shared" si="70"/>
        <v>6</v>
      </c>
      <c r="AA245" s="15">
        <f t="shared" si="71"/>
        <v>9.3299999999999994E-2</v>
      </c>
    </row>
    <row r="246" spans="1:27" ht="16.5" x14ac:dyDescent="0.2">
      <c r="A246" s="115"/>
      <c r="B246" s="74" t="s">
        <v>656</v>
      </c>
      <c r="C246" s="74">
        <v>3</v>
      </c>
      <c r="D246" s="74">
        <f>INDEX(神器!$M$4:$M$7,世界BOSS专属武器!C246)</f>
        <v>280</v>
      </c>
      <c r="E246" s="74">
        <f t="shared" si="74"/>
        <v>3.5714285714285713E-3</v>
      </c>
      <c r="F246" s="74">
        <f t="shared" si="75"/>
        <v>652</v>
      </c>
      <c r="G246" s="74">
        <v>1</v>
      </c>
      <c r="H246" s="74">
        <v>1</v>
      </c>
      <c r="M246" s="15">
        <v>167</v>
      </c>
      <c r="N246" s="15">
        <f t="shared" si="60"/>
        <v>4</v>
      </c>
      <c r="O246" s="15">
        <f>INDEX(卡牌消耗!$H$13:$H$33,世界BOSS专属武器!N246)</f>
        <v>1501004</v>
      </c>
      <c r="P246" s="49" t="s">
        <v>408</v>
      </c>
      <c r="Q246" s="15">
        <f t="shared" si="61"/>
        <v>13</v>
      </c>
      <c r="R246" s="49" t="str">
        <f t="shared" si="62"/>
        <v>金币</v>
      </c>
      <c r="S246" s="15">
        <f t="shared" si="63"/>
        <v>1000</v>
      </c>
      <c r="T246" s="15" t="str">
        <f t="shared" si="64"/>
        <v>低级专属强化石</v>
      </c>
      <c r="U246" s="15">
        <f t="shared" si="65"/>
        <v>7</v>
      </c>
      <c r="V246" s="15" t="str">
        <f t="shared" si="66"/>
        <v>[x]</v>
      </c>
      <c r="W246" s="15" t="str">
        <f t="shared" si="67"/>
        <v>[x]</v>
      </c>
      <c r="X246" s="15">
        <f t="shared" si="68"/>
        <v>0.28999999999999998</v>
      </c>
      <c r="Y246" s="15">
        <f t="shared" si="69"/>
        <v>1</v>
      </c>
      <c r="Z246" s="15">
        <f t="shared" si="70"/>
        <v>7</v>
      </c>
      <c r="AA246" s="15">
        <f t="shared" si="71"/>
        <v>0.1067</v>
      </c>
    </row>
    <row r="247" spans="1:27" ht="16.5" x14ac:dyDescent="0.2">
      <c r="A247" s="115"/>
      <c r="B247" s="74" t="s">
        <v>657</v>
      </c>
      <c r="C247" s="74">
        <v>3</v>
      </c>
      <c r="D247" s="74">
        <f>INDEX(神器!$M$4:$M$7,世界BOSS专属武器!C247)</f>
        <v>280</v>
      </c>
      <c r="E247" s="74">
        <f t="shared" si="74"/>
        <v>3.5714285714285713E-3</v>
      </c>
      <c r="F247" s="74">
        <f t="shared" si="75"/>
        <v>652</v>
      </c>
      <c r="G247" s="74">
        <v>1</v>
      </c>
      <c r="H247" s="74">
        <v>1</v>
      </c>
      <c r="M247" s="15">
        <v>168</v>
      </c>
      <c r="N247" s="15">
        <f t="shared" si="60"/>
        <v>4</v>
      </c>
      <c r="O247" s="15">
        <f>INDEX(卡牌消耗!$H$13:$H$33,世界BOSS专属武器!N247)</f>
        <v>1501004</v>
      </c>
      <c r="P247" s="49" t="s">
        <v>408</v>
      </c>
      <c r="Q247" s="15">
        <f t="shared" si="61"/>
        <v>14</v>
      </c>
      <c r="R247" s="49" t="str">
        <f t="shared" si="62"/>
        <v>金币</v>
      </c>
      <c r="S247" s="15">
        <f t="shared" si="63"/>
        <v>1000</v>
      </c>
      <c r="T247" s="15" t="str">
        <f t="shared" si="64"/>
        <v>低级专属强化石</v>
      </c>
      <c r="U247" s="15">
        <f t="shared" si="65"/>
        <v>7</v>
      </c>
      <c r="V247" s="15" t="str">
        <f t="shared" si="66"/>
        <v>[x]</v>
      </c>
      <c r="W247" s="15" t="str">
        <f t="shared" si="67"/>
        <v>[x]</v>
      </c>
      <c r="X247" s="15">
        <f t="shared" si="68"/>
        <v>0.27</v>
      </c>
      <c r="Y247" s="15">
        <f t="shared" si="69"/>
        <v>1</v>
      </c>
      <c r="Z247" s="15">
        <f t="shared" si="70"/>
        <v>7</v>
      </c>
      <c r="AA247" s="15">
        <f t="shared" si="71"/>
        <v>0.12</v>
      </c>
    </row>
    <row r="248" spans="1:27" ht="16.5" x14ac:dyDescent="0.2">
      <c r="A248" s="115"/>
      <c r="B248" s="74" t="s">
        <v>658</v>
      </c>
      <c r="C248" s="74">
        <v>4</v>
      </c>
      <c r="D248" s="74">
        <f>INDEX(神器!$M$4:$M$7,世界BOSS专属武器!C248)</f>
        <v>600</v>
      </c>
      <c r="E248" s="74">
        <f t="shared" si="74"/>
        <v>1.6666666666666668E-3</v>
      </c>
      <c r="F248" s="74">
        <f t="shared" si="75"/>
        <v>304</v>
      </c>
      <c r="G248" s="74">
        <v>1</v>
      </c>
      <c r="H248" s="74">
        <v>1</v>
      </c>
      <c r="M248" s="15">
        <v>169</v>
      </c>
      <c r="N248" s="15">
        <f t="shared" si="60"/>
        <v>4</v>
      </c>
      <c r="O248" s="15">
        <f>INDEX(卡牌消耗!$H$13:$H$33,世界BOSS专属武器!N248)</f>
        <v>1501004</v>
      </c>
      <c r="P248" s="49" t="s">
        <v>408</v>
      </c>
      <c r="Q248" s="15">
        <f t="shared" si="61"/>
        <v>15</v>
      </c>
      <c r="R248" s="49" t="str">
        <f t="shared" si="62"/>
        <v>金币</v>
      </c>
      <c r="S248" s="15">
        <f t="shared" si="63"/>
        <v>1000</v>
      </c>
      <c r="T248" s="15" t="str">
        <f t="shared" si="64"/>
        <v>低级专属强化石</v>
      </c>
      <c r="U248" s="15">
        <f t="shared" si="65"/>
        <v>10</v>
      </c>
      <c r="V248" s="15" t="str">
        <f t="shared" si="66"/>
        <v>[x]</v>
      </c>
      <c r="W248" s="15" t="str">
        <f t="shared" si="67"/>
        <v>[x]</v>
      </c>
      <c r="X248" s="15">
        <f t="shared" si="68"/>
        <v>0.25</v>
      </c>
      <c r="Y248" s="15">
        <f t="shared" si="69"/>
        <v>1</v>
      </c>
      <c r="Z248" s="15">
        <f t="shared" si="70"/>
        <v>8</v>
      </c>
      <c r="AA248" s="15">
        <f t="shared" si="71"/>
        <v>0.1333</v>
      </c>
    </row>
    <row r="249" spans="1:27" ht="16.5" x14ac:dyDescent="0.2">
      <c r="A249" s="115"/>
      <c r="B249" s="74" t="s">
        <v>659</v>
      </c>
      <c r="C249" s="74">
        <v>4</v>
      </c>
      <c r="D249" s="74">
        <f>INDEX(神器!$M$4:$M$7,世界BOSS专属武器!C249)</f>
        <v>600</v>
      </c>
      <c r="E249" s="74">
        <f t="shared" si="74"/>
        <v>1.6666666666666668E-3</v>
      </c>
      <c r="F249" s="74">
        <f>10000-SUM(F232:F248)</f>
        <v>308</v>
      </c>
      <c r="G249" s="74">
        <v>1</v>
      </c>
      <c r="H249" s="74">
        <v>1</v>
      </c>
      <c r="M249" s="15">
        <v>170</v>
      </c>
      <c r="N249" s="15">
        <f t="shared" si="60"/>
        <v>4</v>
      </c>
      <c r="O249" s="15">
        <f>INDEX(卡牌消耗!$H$13:$H$33,世界BOSS专属武器!N249)</f>
        <v>1501004</v>
      </c>
      <c r="P249" s="49" t="s">
        <v>408</v>
      </c>
      <c r="Q249" s="15">
        <f t="shared" si="61"/>
        <v>16</v>
      </c>
      <c r="R249" s="49" t="str">
        <f t="shared" si="62"/>
        <v>金币</v>
      </c>
      <c r="S249" s="15">
        <f t="shared" si="63"/>
        <v>1000</v>
      </c>
      <c r="T249" s="15" t="str">
        <f t="shared" si="64"/>
        <v>低级专属强化石</v>
      </c>
      <c r="U249" s="15">
        <f t="shared" si="65"/>
        <v>10</v>
      </c>
      <c r="V249" s="15" t="str">
        <f t="shared" si="66"/>
        <v>[x]</v>
      </c>
      <c r="W249" s="15" t="str">
        <f t="shared" si="67"/>
        <v>[x]</v>
      </c>
      <c r="X249" s="15">
        <f t="shared" si="68"/>
        <v>0.23</v>
      </c>
      <c r="Y249" s="15">
        <f t="shared" si="69"/>
        <v>1</v>
      </c>
      <c r="Z249" s="15">
        <f t="shared" si="70"/>
        <v>9</v>
      </c>
      <c r="AA249" s="15">
        <f t="shared" si="71"/>
        <v>0.1467</v>
      </c>
    </row>
    <row r="250" spans="1:27" ht="16.5" x14ac:dyDescent="0.2">
      <c r="M250" s="15">
        <v>171</v>
      </c>
      <c r="N250" s="15">
        <f t="shared" si="60"/>
        <v>4</v>
      </c>
      <c r="O250" s="15">
        <f>INDEX(卡牌消耗!$H$13:$H$33,世界BOSS专属武器!N250)</f>
        <v>1501004</v>
      </c>
      <c r="P250" s="49" t="s">
        <v>408</v>
      </c>
      <c r="Q250" s="15">
        <f t="shared" si="61"/>
        <v>17</v>
      </c>
      <c r="R250" s="49" t="str">
        <f t="shared" si="62"/>
        <v>金币</v>
      </c>
      <c r="S250" s="15">
        <f t="shared" si="63"/>
        <v>1000</v>
      </c>
      <c r="T250" s="15" t="str">
        <f t="shared" si="64"/>
        <v>低级专属强化石</v>
      </c>
      <c r="U250" s="15">
        <f t="shared" si="65"/>
        <v>10</v>
      </c>
      <c r="V250" s="15" t="str">
        <f t="shared" si="66"/>
        <v>[x]</v>
      </c>
      <c r="W250" s="15" t="str">
        <f t="shared" si="67"/>
        <v>[x]</v>
      </c>
      <c r="X250" s="15">
        <f t="shared" si="68"/>
        <v>0.21</v>
      </c>
      <c r="Y250" s="15">
        <f t="shared" si="69"/>
        <v>1</v>
      </c>
      <c r="Z250" s="15">
        <f t="shared" si="70"/>
        <v>10</v>
      </c>
      <c r="AA250" s="15">
        <f t="shared" si="71"/>
        <v>0.16</v>
      </c>
    </row>
    <row r="251" spans="1:27" ht="16.5" x14ac:dyDescent="0.2">
      <c r="D251" s="15">
        <f>SUMPRODUCT(D252:D268,E252:E268)/E251</f>
        <v>62.907488986784131</v>
      </c>
      <c r="E251" s="15">
        <f>SUM(E252:E268)</f>
        <v>0.27023809523809528</v>
      </c>
      <c r="M251" s="15">
        <v>172</v>
      </c>
      <c r="N251" s="15">
        <f t="shared" si="60"/>
        <v>4</v>
      </c>
      <c r="O251" s="15">
        <f>INDEX(卡牌消耗!$H$13:$H$33,世界BOSS专属武器!N251)</f>
        <v>1501004</v>
      </c>
      <c r="P251" s="49" t="s">
        <v>408</v>
      </c>
      <c r="Q251" s="15">
        <f t="shared" si="61"/>
        <v>18</v>
      </c>
      <c r="R251" s="49" t="str">
        <f t="shared" si="62"/>
        <v>金币</v>
      </c>
      <c r="S251" s="15">
        <f t="shared" si="63"/>
        <v>1000</v>
      </c>
      <c r="T251" s="15" t="str">
        <f t="shared" si="64"/>
        <v>低级专属强化石</v>
      </c>
      <c r="U251" s="15">
        <f t="shared" si="65"/>
        <v>10</v>
      </c>
      <c r="V251" s="15" t="str">
        <f t="shared" si="66"/>
        <v>[x]</v>
      </c>
      <c r="W251" s="15" t="str">
        <f t="shared" si="67"/>
        <v>[x]</v>
      </c>
      <c r="X251" s="15">
        <f t="shared" si="68"/>
        <v>0.19</v>
      </c>
      <c r="Y251" s="15">
        <f t="shared" si="69"/>
        <v>1</v>
      </c>
      <c r="Z251" s="15">
        <f t="shared" si="70"/>
        <v>11</v>
      </c>
      <c r="AA251" s="15">
        <f t="shared" si="71"/>
        <v>0.17330000000000001</v>
      </c>
    </row>
    <row r="252" spans="1:27" ht="16.5" x14ac:dyDescent="0.2">
      <c r="A252" s="116" t="s">
        <v>735</v>
      </c>
      <c r="B252" s="74" t="s">
        <v>618</v>
      </c>
      <c r="C252" s="74">
        <v>1</v>
      </c>
      <c r="D252" s="74">
        <f>INDEX(神器!$M$4:$M$7,世界BOSS专属武器!C252)</f>
        <v>40</v>
      </c>
      <c r="E252" s="74">
        <f t="shared" ref="E252:E268" si="76">1/D252</f>
        <v>2.5000000000000001E-2</v>
      </c>
      <c r="F252" s="74">
        <f>ROUND(E252/E$251*10000,0)</f>
        <v>925</v>
      </c>
      <c r="G252" s="74">
        <v>1</v>
      </c>
      <c r="H252" s="74">
        <v>1</v>
      </c>
      <c r="M252" s="15">
        <v>173</v>
      </c>
      <c r="N252" s="15">
        <f t="shared" si="60"/>
        <v>4</v>
      </c>
      <c r="O252" s="15">
        <f>INDEX(卡牌消耗!$H$13:$H$33,世界BOSS专属武器!N252)</f>
        <v>1501004</v>
      </c>
      <c r="P252" s="49" t="s">
        <v>408</v>
      </c>
      <c r="Q252" s="15">
        <f t="shared" si="61"/>
        <v>19</v>
      </c>
      <c r="R252" s="49" t="str">
        <f t="shared" si="62"/>
        <v>金币</v>
      </c>
      <c r="S252" s="15">
        <f t="shared" si="63"/>
        <v>1000</v>
      </c>
      <c r="T252" s="15" t="str">
        <f t="shared" si="64"/>
        <v>低级专属强化石</v>
      </c>
      <c r="U252" s="15">
        <f t="shared" si="65"/>
        <v>10</v>
      </c>
      <c r="V252" s="15" t="str">
        <f t="shared" si="66"/>
        <v>[x]</v>
      </c>
      <c r="W252" s="15" t="str">
        <f t="shared" si="67"/>
        <v>[x]</v>
      </c>
      <c r="X252" s="15">
        <f t="shared" si="68"/>
        <v>0.17</v>
      </c>
      <c r="Y252" s="15">
        <f t="shared" si="69"/>
        <v>1</v>
      </c>
      <c r="Z252" s="15">
        <f t="shared" si="70"/>
        <v>12</v>
      </c>
      <c r="AA252" s="15">
        <f t="shared" si="71"/>
        <v>0.1867</v>
      </c>
    </row>
    <row r="253" spans="1:27" ht="16.5" x14ac:dyDescent="0.2">
      <c r="A253" s="117"/>
      <c r="B253" s="74" t="s">
        <v>619</v>
      </c>
      <c r="C253" s="74">
        <v>1</v>
      </c>
      <c r="D253" s="74">
        <f>INDEX(神器!$M$4:$M$7,世界BOSS专属武器!C253)</f>
        <v>40</v>
      </c>
      <c r="E253" s="74">
        <f t="shared" si="76"/>
        <v>2.5000000000000001E-2</v>
      </c>
      <c r="F253" s="74">
        <f t="shared" ref="F253:F267" si="77">ROUND(E253/E$251*10000,0)</f>
        <v>925</v>
      </c>
      <c r="G253" s="74">
        <v>1</v>
      </c>
      <c r="H253" s="74">
        <v>1</v>
      </c>
      <c r="M253" s="15">
        <v>174</v>
      </c>
      <c r="N253" s="15">
        <f t="shared" si="60"/>
        <v>4</v>
      </c>
      <c r="O253" s="15">
        <f>INDEX(卡牌消耗!$H$13:$H$33,世界BOSS专属武器!N253)</f>
        <v>1501004</v>
      </c>
      <c r="P253" s="49" t="s">
        <v>408</v>
      </c>
      <c r="Q253" s="15">
        <f t="shared" si="61"/>
        <v>20</v>
      </c>
      <c r="R253" s="49" t="str">
        <f t="shared" si="62"/>
        <v>金币</v>
      </c>
      <c r="S253" s="15">
        <f t="shared" si="63"/>
        <v>5000</v>
      </c>
      <c r="T253" s="15" t="str">
        <f t="shared" si="64"/>
        <v>低级专属强化石</v>
      </c>
      <c r="U253" s="15">
        <f t="shared" si="65"/>
        <v>15</v>
      </c>
      <c r="V253" s="15" t="str">
        <f t="shared" si="66"/>
        <v>中级专属强化石</v>
      </c>
      <c r="W253" s="15">
        <f t="shared" si="67"/>
        <v>7</v>
      </c>
      <c r="X253" s="15">
        <f t="shared" si="68"/>
        <v>0.15</v>
      </c>
      <c r="Y253" s="15">
        <f t="shared" si="69"/>
        <v>1</v>
      </c>
      <c r="Z253" s="15">
        <f t="shared" si="70"/>
        <v>15</v>
      </c>
      <c r="AA253" s="15">
        <f t="shared" si="71"/>
        <v>0.2</v>
      </c>
    </row>
    <row r="254" spans="1:27" ht="16.5" x14ac:dyDescent="0.2">
      <c r="A254" s="117"/>
      <c r="B254" s="74" t="s">
        <v>620</v>
      </c>
      <c r="C254" s="74">
        <v>2</v>
      </c>
      <c r="D254" s="74">
        <f>INDEX(神器!$M$4:$M$7,世界BOSS专属武器!C254)</f>
        <v>120</v>
      </c>
      <c r="E254" s="74">
        <f t="shared" si="76"/>
        <v>8.3333333333333332E-3</v>
      </c>
      <c r="F254" s="74">
        <f t="shared" si="77"/>
        <v>308</v>
      </c>
      <c r="G254" s="74">
        <v>1</v>
      </c>
      <c r="H254" s="74">
        <v>1</v>
      </c>
      <c r="M254" s="15">
        <v>175</v>
      </c>
      <c r="N254" s="15">
        <f t="shared" si="60"/>
        <v>4</v>
      </c>
      <c r="O254" s="15">
        <f>INDEX(卡牌消耗!$H$13:$H$33,世界BOSS专属武器!N254)</f>
        <v>1501004</v>
      </c>
      <c r="P254" s="49" t="s">
        <v>408</v>
      </c>
      <c r="Q254" s="15">
        <f t="shared" si="61"/>
        <v>21</v>
      </c>
      <c r="R254" s="49" t="str">
        <f t="shared" si="62"/>
        <v>金币</v>
      </c>
      <c r="S254" s="15">
        <f t="shared" si="63"/>
        <v>5000</v>
      </c>
      <c r="T254" s="15" t="str">
        <f t="shared" si="64"/>
        <v>低级专属强化石</v>
      </c>
      <c r="U254" s="15">
        <f t="shared" si="65"/>
        <v>15</v>
      </c>
      <c r="V254" s="15" t="str">
        <f t="shared" si="66"/>
        <v>中级专属强化石</v>
      </c>
      <c r="W254" s="15">
        <f t="shared" si="67"/>
        <v>7</v>
      </c>
      <c r="X254" s="15">
        <f t="shared" si="68"/>
        <v>0.15</v>
      </c>
      <c r="Y254" s="15">
        <f t="shared" si="69"/>
        <v>1</v>
      </c>
      <c r="Z254" s="15">
        <f t="shared" si="70"/>
        <v>15</v>
      </c>
      <c r="AA254" s="15">
        <f t="shared" si="71"/>
        <v>0.22</v>
      </c>
    </row>
    <row r="255" spans="1:27" ht="16.5" x14ac:dyDescent="0.2">
      <c r="A255" s="117"/>
      <c r="B255" s="74" t="s">
        <v>621</v>
      </c>
      <c r="C255" s="74">
        <v>1</v>
      </c>
      <c r="D255" s="74">
        <f>INDEX(神器!$M$4:$M$7,世界BOSS专属武器!C255)</f>
        <v>40</v>
      </c>
      <c r="E255" s="74">
        <f t="shared" si="76"/>
        <v>2.5000000000000001E-2</v>
      </c>
      <c r="F255" s="74">
        <f t="shared" si="77"/>
        <v>925</v>
      </c>
      <c r="G255" s="74">
        <v>1</v>
      </c>
      <c r="H255" s="74">
        <v>1</v>
      </c>
      <c r="M255" s="15">
        <v>176</v>
      </c>
      <c r="N255" s="15">
        <f t="shared" si="60"/>
        <v>4</v>
      </c>
      <c r="O255" s="15">
        <f>INDEX(卡牌消耗!$H$13:$H$33,世界BOSS专属武器!N255)</f>
        <v>1501004</v>
      </c>
      <c r="P255" s="49" t="s">
        <v>408</v>
      </c>
      <c r="Q255" s="15">
        <f t="shared" si="61"/>
        <v>22</v>
      </c>
      <c r="R255" s="49" t="str">
        <f t="shared" si="62"/>
        <v>金币</v>
      </c>
      <c r="S255" s="15">
        <f t="shared" si="63"/>
        <v>5000</v>
      </c>
      <c r="T255" s="15" t="str">
        <f t="shared" si="64"/>
        <v>低级专属强化石</v>
      </c>
      <c r="U255" s="15">
        <f t="shared" si="65"/>
        <v>15</v>
      </c>
      <c r="V255" s="15" t="str">
        <f t="shared" si="66"/>
        <v>中级专属强化石</v>
      </c>
      <c r="W255" s="15">
        <f t="shared" si="67"/>
        <v>7</v>
      </c>
      <c r="X255" s="15">
        <f t="shared" si="68"/>
        <v>0.15</v>
      </c>
      <c r="Y255" s="15">
        <f t="shared" si="69"/>
        <v>1</v>
      </c>
      <c r="Z255" s="15">
        <f t="shared" si="70"/>
        <v>15</v>
      </c>
      <c r="AA255" s="15">
        <f t="shared" si="71"/>
        <v>0.24</v>
      </c>
    </row>
    <row r="256" spans="1:27" ht="16.5" x14ac:dyDescent="0.2">
      <c r="A256" s="117"/>
      <c r="B256" s="74" t="s">
        <v>622</v>
      </c>
      <c r="C256" s="74">
        <v>1</v>
      </c>
      <c r="D256" s="74">
        <f>INDEX(神器!$M$4:$M$7,世界BOSS专属武器!C256)</f>
        <v>40</v>
      </c>
      <c r="E256" s="74">
        <f t="shared" si="76"/>
        <v>2.5000000000000001E-2</v>
      </c>
      <c r="F256" s="74">
        <f t="shared" si="77"/>
        <v>925</v>
      </c>
      <c r="G256" s="74">
        <v>1</v>
      </c>
      <c r="H256" s="74">
        <v>1</v>
      </c>
      <c r="M256" s="15">
        <v>177</v>
      </c>
      <c r="N256" s="15">
        <f t="shared" si="60"/>
        <v>4</v>
      </c>
      <c r="O256" s="15">
        <f>INDEX(卡牌消耗!$H$13:$H$33,世界BOSS专属武器!N256)</f>
        <v>1501004</v>
      </c>
      <c r="P256" s="49" t="s">
        <v>408</v>
      </c>
      <c r="Q256" s="15">
        <f t="shared" si="61"/>
        <v>23</v>
      </c>
      <c r="R256" s="49" t="str">
        <f t="shared" si="62"/>
        <v>金币</v>
      </c>
      <c r="S256" s="15">
        <f t="shared" si="63"/>
        <v>5000</v>
      </c>
      <c r="T256" s="15" t="str">
        <f t="shared" si="64"/>
        <v>低级专属强化石</v>
      </c>
      <c r="U256" s="15">
        <f t="shared" si="65"/>
        <v>15</v>
      </c>
      <c r="V256" s="15" t="str">
        <f t="shared" si="66"/>
        <v>中级专属强化石</v>
      </c>
      <c r="W256" s="15">
        <f t="shared" si="67"/>
        <v>7</v>
      </c>
      <c r="X256" s="15">
        <f t="shared" si="68"/>
        <v>0.15</v>
      </c>
      <c r="Y256" s="15">
        <f t="shared" si="69"/>
        <v>1</v>
      </c>
      <c r="Z256" s="15">
        <f t="shared" si="70"/>
        <v>18</v>
      </c>
      <c r="AA256" s="15">
        <f t="shared" si="71"/>
        <v>0.26</v>
      </c>
    </row>
    <row r="257" spans="1:27" ht="16.5" x14ac:dyDescent="0.2">
      <c r="A257" s="117"/>
      <c r="B257" s="74" t="s">
        <v>623</v>
      </c>
      <c r="C257" s="74">
        <v>1</v>
      </c>
      <c r="D257" s="74">
        <f>INDEX(神器!$M$4:$M$7,世界BOSS专属武器!C257)</f>
        <v>40</v>
      </c>
      <c r="E257" s="74">
        <f t="shared" si="76"/>
        <v>2.5000000000000001E-2</v>
      </c>
      <c r="F257" s="74">
        <f t="shared" si="77"/>
        <v>925</v>
      </c>
      <c r="G257" s="74">
        <v>1</v>
      </c>
      <c r="H257" s="74">
        <v>1</v>
      </c>
      <c r="M257" s="15">
        <v>178</v>
      </c>
      <c r="N257" s="15">
        <f t="shared" si="60"/>
        <v>4</v>
      </c>
      <c r="O257" s="15">
        <f>INDEX(卡牌消耗!$H$13:$H$33,世界BOSS专属武器!N257)</f>
        <v>1501004</v>
      </c>
      <c r="P257" s="49" t="s">
        <v>408</v>
      </c>
      <c r="Q257" s="15">
        <f t="shared" si="61"/>
        <v>24</v>
      </c>
      <c r="R257" s="49" t="str">
        <f t="shared" si="62"/>
        <v>金币</v>
      </c>
      <c r="S257" s="15">
        <f t="shared" si="63"/>
        <v>5000</v>
      </c>
      <c r="T257" s="15" t="str">
        <f t="shared" si="64"/>
        <v>低级专属强化石</v>
      </c>
      <c r="U257" s="15">
        <f t="shared" si="65"/>
        <v>15</v>
      </c>
      <c r="V257" s="15" t="str">
        <f t="shared" si="66"/>
        <v>中级专属强化石</v>
      </c>
      <c r="W257" s="15">
        <f t="shared" si="67"/>
        <v>7</v>
      </c>
      <c r="X257" s="15">
        <f t="shared" si="68"/>
        <v>0.15</v>
      </c>
      <c r="Y257" s="15">
        <f t="shared" si="69"/>
        <v>1</v>
      </c>
      <c r="Z257" s="15">
        <f t="shared" si="70"/>
        <v>18</v>
      </c>
      <c r="AA257" s="15">
        <f t="shared" si="71"/>
        <v>0.28000000000000003</v>
      </c>
    </row>
    <row r="258" spans="1:27" ht="16.5" x14ac:dyDescent="0.2">
      <c r="A258" s="117"/>
      <c r="B258" s="74" t="s">
        <v>624</v>
      </c>
      <c r="C258" s="74">
        <v>2</v>
      </c>
      <c r="D258" s="74">
        <f>INDEX(神器!$M$4:$M$7,世界BOSS专属武器!C258)</f>
        <v>120</v>
      </c>
      <c r="E258" s="74">
        <f t="shared" si="76"/>
        <v>8.3333333333333332E-3</v>
      </c>
      <c r="F258" s="74">
        <f t="shared" si="77"/>
        <v>308</v>
      </c>
      <c r="G258" s="74">
        <v>1</v>
      </c>
      <c r="H258" s="74">
        <v>1</v>
      </c>
      <c r="M258" s="15">
        <v>179</v>
      </c>
      <c r="N258" s="15">
        <f t="shared" si="60"/>
        <v>4</v>
      </c>
      <c r="O258" s="15">
        <f>INDEX(卡牌消耗!$H$13:$H$33,世界BOSS专属武器!N258)</f>
        <v>1501004</v>
      </c>
      <c r="P258" s="49" t="s">
        <v>408</v>
      </c>
      <c r="Q258" s="15">
        <f t="shared" si="61"/>
        <v>25</v>
      </c>
      <c r="R258" s="49" t="str">
        <f t="shared" si="62"/>
        <v>金币</v>
      </c>
      <c r="S258" s="15">
        <f t="shared" si="63"/>
        <v>5000</v>
      </c>
      <c r="T258" s="15" t="str">
        <f t="shared" si="64"/>
        <v>低级专属强化石</v>
      </c>
      <c r="U258" s="15">
        <f t="shared" si="65"/>
        <v>15</v>
      </c>
      <c r="V258" s="15" t="str">
        <f t="shared" si="66"/>
        <v>中级专属强化石</v>
      </c>
      <c r="W258" s="15">
        <f t="shared" si="67"/>
        <v>7</v>
      </c>
      <c r="X258" s="15">
        <f t="shared" si="68"/>
        <v>0.15</v>
      </c>
      <c r="Y258" s="15">
        <f t="shared" si="69"/>
        <v>1</v>
      </c>
      <c r="Z258" s="15">
        <f t="shared" si="70"/>
        <v>18</v>
      </c>
      <c r="AA258" s="15">
        <f t="shared" si="71"/>
        <v>0.3</v>
      </c>
    </row>
    <row r="259" spans="1:27" ht="16.5" x14ac:dyDescent="0.2">
      <c r="A259" s="117"/>
      <c r="B259" s="74" t="s">
        <v>625</v>
      </c>
      <c r="C259" s="74">
        <v>3</v>
      </c>
      <c r="D259" s="74">
        <f>INDEX(神器!$M$4:$M$7,世界BOSS专属武器!C259)</f>
        <v>280</v>
      </c>
      <c r="E259" s="74">
        <f t="shared" si="76"/>
        <v>3.5714285714285713E-3</v>
      </c>
      <c r="F259" s="74">
        <f t="shared" si="77"/>
        <v>132</v>
      </c>
      <c r="G259" s="74">
        <v>1</v>
      </c>
      <c r="H259" s="74">
        <v>1</v>
      </c>
      <c r="M259" s="15">
        <v>180</v>
      </c>
      <c r="N259" s="15">
        <f t="shared" si="60"/>
        <v>4</v>
      </c>
      <c r="O259" s="15">
        <f>INDEX(卡牌消耗!$H$13:$H$33,世界BOSS专属武器!N259)</f>
        <v>1501004</v>
      </c>
      <c r="P259" s="49" t="s">
        <v>408</v>
      </c>
      <c r="Q259" s="15">
        <f t="shared" si="61"/>
        <v>26</v>
      </c>
      <c r="R259" s="49" t="str">
        <f t="shared" si="62"/>
        <v>金币</v>
      </c>
      <c r="S259" s="15">
        <f t="shared" si="63"/>
        <v>5000</v>
      </c>
      <c r="T259" s="15" t="str">
        <f t="shared" si="64"/>
        <v>低级专属强化石</v>
      </c>
      <c r="U259" s="15">
        <f t="shared" si="65"/>
        <v>15</v>
      </c>
      <c r="V259" s="15" t="str">
        <f t="shared" si="66"/>
        <v>中级专属强化石</v>
      </c>
      <c r="W259" s="15">
        <f t="shared" si="67"/>
        <v>7</v>
      </c>
      <c r="X259" s="15">
        <f t="shared" si="68"/>
        <v>0.15</v>
      </c>
      <c r="Y259" s="15">
        <f t="shared" si="69"/>
        <v>1</v>
      </c>
      <c r="Z259" s="15">
        <f t="shared" si="70"/>
        <v>21</v>
      </c>
      <c r="AA259" s="15">
        <f t="shared" si="71"/>
        <v>0.32</v>
      </c>
    </row>
    <row r="260" spans="1:27" ht="16.5" x14ac:dyDescent="0.2">
      <c r="A260" s="117"/>
      <c r="B260" s="74" t="s">
        <v>626</v>
      </c>
      <c r="C260" s="74">
        <v>1</v>
      </c>
      <c r="D260" s="74">
        <f>INDEX(神器!$M$4:$M$7,世界BOSS专属武器!C260)</f>
        <v>40</v>
      </c>
      <c r="E260" s="74">
        <f t="shared" si="76"/>
        <v>2.5000000000000001E-2</v>
      </c>
      <c r="F260" s="74">
        <f t="shared" si="77"/>
        <v>925</v>
      </c>
      <c r="G260" s="74">
        <v>1</v>
      </c>
      <c r="H260" s="74">
        <v>1</v>
      </c>
      <c r="M260" s="15">
        <v>181</v>
      </c>
      <c r="N260" s="15">
        <f t="shared" si="60"/>
        <v>4</v>
      </c>
      <c r="O260" s="15">
        <f>INDEX(卡牌消耗!$H$13:$H$33,世界BOSS专属武器!N260)</f>
        <v>1501004</v>
      </c>
      <c r="P260" s="49" t="s">
        <v>408</v>
      </c>
      <c r="Q260" s="15">
        <f t="shared" si="61"/>
        <v>27</v>
      </c>
      <c r="R260" s="49" t="str">
        <f t="shared" si="62"/>
        <v>金币</v>
      </c>
      <c r="S260" s="15">
        <f t="shared" si="63"/>
        <v>5000</v>
      </c>
      <c r="T260" s="15" t="str">
        <f t="shared" si="64"/>
        <v>低级专属强化石</v>
      </c>
      <c r="U260" s="15">
        <f t="shared" si="65"/>
        <v>15</v>
      </c>
      <c r="V260" s="15" t="str">
        <f t="shared" si="66"/>
        <v>中级专属强化石</v>
      </c>
      <c r="W260" s="15">
        <f t="shared" si="67"/>
        <v>7</v>
      </c>
      <c r="X260" s="15">
        <f t="shared" si="68"/>
        <v>0.15</v>
      </c>
      <c r="Y260" s="15">
        <f t="shared" si="69"/>
        <v>1</v>
      </c>
      <c r="Z260" s="15">
        <f t="shared" si="70"/>
        <v>22</v>
      </c>
      <c r="AA260" s="15">
        <f t="shared" si="71"/>
        <v>0.34</v>
      </c>
    </row>
    <row r="261" spans="1:27" ht="16.5" x14ac:dyDescent="0.2">
      <c r="A261" s="117"/>
      <c r="B261" s="74" t="s">
        <v>627</v>
      </c>
      <c r="C261" s="74">
        <v>2</v>
      </c>
      <c r="D261" s="74">
        <f>INDEX(神器!$M$4:$M$7,世界BOSS专属武器!C261)</f>
        <v>120</v>
      </c>
      <c r="E261" s="74">
        <f t="shared" si="76"/>
        <v>8.3333333333333332E-3</v>
      </c>
      <c r="F261" s="74">
        <f t="shared" si="77"/>
        <v>308</v>
      </c>
      <c r="G261" s="74">
        <v>1</v>
      </c>
      <c r="H261" s="74">
        <v>1</v>
      </c>
      <c r="M261" s="15">
        <v>182</v>
      </c>
      <c r="N261" s="15">
        <f t="shared" si="60"/>
        <v>4</v>
      </c>
      <c r="O261" s="15">
        <f>INDEX(卡牌消耗!$H$13:$H$33,世界BOSS专属武器!N261)</f>
        <v>1501004</v>
      </c>
      <c r="P261" s="49" t="s">
        <v>408</v>
      </c>
      <c r="Q261" s="15">
        <f t="shared" si="61"/>
        <v>28</v>
      </c>
      <c r="R261" s="49" t="str">
        <f t="shared" si="62"/>
        <v>金币</v>
      </c>
      <c r="S261" s="15">
        <f t="shared" si="63"/>
        <v>5000</v>
      </c>
      <c r="T261" s="15" t="str">
        <f t="shared" si="64"/>
        <v>低级专属强化石</v>
      </c>
      <c r="U261" s="15">
        <f t="shared" si="65"/>
        <v>15</v>
      </c>
      <c r="V261" s="15" t="str">
        <f t="shared" si="66"/>
        <v>中级专属强化石</v>
      </c>
      <c r="W261" s="15">
        <f t="shared" si="67"/>
        <v>7</v>
      </c>
      <c r="X261" s="15">
        <f t="shared" si="68"/>
        <v>0.15</v>
      </c>
      <c r="Y261" s="15">
        <f t="shared" si="69"/>
        <v>1</v>
      </c>
      <c r="Z261" s="15">
        <f t="shared" si="70"/>
        <v>23</v>
      </c>
      <c r="AA261" s="15">
        <f t="shared" si="71"/>
        <v>0.36</v>
      </c>
    </row>
    <row r="262" spans="1:27" ht="16.5" x14ac:dyDescent="0.2">
      <c r="A262" s="117"/>
      <c r="B262" s="74" t="s">
        <v>628</v>
      </c>
      <c r="C262" s="74">
        <v>2</v>
      </c>
      <c r="D262" s="74">
        <f>INDEX(神器!$M$4:$M$7,世界BOSS专属武器!C262)</f>
        <v>120</v>
      </c>
      <c r="E262" s="74">
        <f t="shared" si="76"/>
        <v>8.3333333333333332E-3</v>
      </c>
      <c r="F262" s="74">
        <f t="shared" si="77"/>
        <v>308</v>
      </c>
      <c r="G262" s="74">
        <v>1</v>
      </c>
      <c r="H262" s="74">
        <v>1</v>
      </c>
      <c r="M262" s="15">
        <v>183</v>
      </c>
      <c r="N262" s="15">
        <f t="shared" si="60"/>
        <v>4</v>
      </c>
      <c r="O262" s="15">
        <f>INDEX(卡牌消耗!$H$13:$H$33,世界BOSS专属武器!N262)</f>
        <v>1501004</v>
      </c>
      <c r="P262" s="49" t="s">
        <v>408</v>
      </c>
      <c r="Q262" s="15">
        <f t="shared" si="61"/>
        <v>29</v>
      </c>
      <c r="R262" s="49" t="str">
        <f t="shared" si="62"/>
        <v>金币</v>
      </c>
      <c r="S262" s="15">
        <f t="shared" si="63"/>
        <v>5000</v>
      </c>
      <c r="T262" s="15" t="str">
        <f t="shared" si="64"/>
        <v>低级专属强化石</v>
      </c>
      <c r="U262" s="15">
        <f t="shared" si="65"/>
        <v>15</v>
      </c>
      <c r="V262" s="15" t="str">
        <f t="shared" si="66"/>
        <v>中级专属强化石</v>
      </c>
      <c r="W262" s="15">
        <f t="shared" si="67"/>
        <v>7</v>
      </c>
      <c r="X262" s="15">
        <f t="shared" si="68"/>
        <v>0.15</v>
      </c>
      <c r="Y262" s="15">
        <f t="shared" si="69"/>
        <v>1</v>
      </c>
      <c r="Z262" s="15">
        <f t="shared" si="70"/>
        <v>25</v>
      </c>
      <c r="AA262" s="15">
        <f t="shared" si="71"/>
        <v>0.38</v>
      </c>
    </row>
    <row r="263" spans="1:27" ht="16.5" x14ac:dyDescent="0.2">
      <c r="A263" s="117"/>
      <c r="B263" s="74" t="s">
        <v>632</v>
      </c>
      <c r="C263" s="74">
        <v>1</v>
      </c>
      <c r="D263" s="74">
        <f>INDEX(神器!$M$4:$M$7,世界BOSS专属武器!C263)</f>
        <v>40</v>
      </c>
      <c r="E263" s="74">
        <f t="shared" si="76"/>
        <v>2.5000000000000001E-2</v>
      </c>
      <c r="F263" s="74">
        <f t="shared" si="77"/>
        <v>925</v>
      </c>
      <c r="G263" s="74">
        <v>1</v>
      </c>
      <c r="H263" s="74">
        <v>1</v>
      </c>
      <c r="M263" s="15">
        <v>184</v>
      </c>
      <c r="N263" s="15">
        <f t="shared" si="60"/>
        <v>4</v>
      </c>
      <c r="O263" s="15">
        <f>INDEX(卡牌消耗!$H$13:$H$33,世界BOSS专属武器!N263)</f>
        <v>1501004</v>
      </c>
      <c r="P263" s="49" t="s">
        <v>408</v>
      </c>
      <c r="Q263" s="15">
        <f t="shared" si="61"/>
        <v>30</v>
      </c>
      <c r="R263" s="49" t="str">
        <f t="shared" si="62"/>
        <v>金币</v>
      </c>
      <c r="S263" s="15">
        <f t="shared" si="63"/>
        <v>10000</v>
      </c>
      <c r="T263" s="15" t="str">
        <f t="shared" si="64"/>
        <v>中级专属强化石</v>
      </c>
      <c r="U263" s="15">
        <f t="shared" si="65"/>
        <v>8</v>
      </c>
      <c r="V263" s="15" t="str">
        <f t="shared" si="66"/>
        <v>高级专属强化石</v>
      </c>
      <c r="W263" s="15">
        <f t="shared" si="67"/>
        <v>3</v>
      </c>
      <c r="X263" s="15">
        <f t="shared" si="68"/>
        <v>0.1</v>
      </c>
      <c r="Y263" s="15">
        <f t="shared" si="69"/>
        <v>1</v>
      </c>
      <c r="Z263" s="15">
        <f t="shared" si="70"/>
        <v>30</v>
      </c>
      <c r="AA263" s="15">
        <f t="shared" si="71"/>
        <v>0.4</v>
      </c>
    </row>
    <row r="264" spans="1:27" ht="16.5" x14ac:dyDescent="0.2">
      <c r="A264" s="117"/>
      <c r="B264" s="74" t="s">
        <v>633</v>
      </c>
      <c r="C264" s="74">
        <v>2</v>
      </c>
      <c r="D264" s="74">
        <f>INDEX(神器!$M$4:$M$7,世界BOSS专属武器!C264)</f>
        <v>120</v>
      </c>
      <c r="E264" s="74">
        <f t="shared" si="76"/>
        <v>8.3333333333333332E-3</v>
      </c>
      <c r="F264" s="74">
        <f t="shared" si="77"/>
        <v>308</v>
      </c>
      <c r="G264" s="74">
        <v>1</v>
      </c>
      <c r="H264" s="74">
        <v>1</v>
      </c>
      <c r="M264" s="15">
        <v>185</v>
      </c>
      <c r="N264" s="15">
        <f t="shared" si="60"/>
        <v>4</v>
      </c>
      <c r="O264" s="15">
        <f>INDEX(卡牌消耗!$H$13:$H$33,世界BOSS专属武器!N264)</f>
        <v>1501004</v>
      </c>
      <c r="P264" s="49" t="s">
        <v>408</v>
      </c>
      <c r="Q264" s="15">
        <f t="shared" si="61"/>
        <v>31</v>
      </c>
      <c r="R264" s="49" t="str">
        <f t="shared" si="62"/>
        <v>金币</v>
      </c>
      <c r="S264" s="15">
        <f t="shared" si="63"/>
        <v>10000</v>
      </c>
      <c r="T264" s="15" t="str">
        <f t="shared" si="64"/>
        <v>中级专属强化石</v>
      </c>
      <c r="U264" s="15">
        <f t="shared" si="65"/>
        <v>8</v>
      </c>
      <c r="V264" s="15" t="str">
        <f t="shared" si="66"/>
        <v>高级专属强化石</v>
      </c>
      <c r="W264" s="15">
        <f t="shared" si="67"/>
        <v>3</v>
      </c>
      <c r="X264" s="15">
        <f t="shared" si="68"/>
        <v>0.1</v>
      </c>
      <c r="Y264" s="15">
        <f t="shared" si="69"/>
        <v>1</v>
      </c>
      <c r="Z264" s="15">
        <f t="shared" si="70"/>
        <v>30</v>
      </c>
      <c r="AA264" s="15">
        <f t="shared" si="71"/>
        <v>0.42670000000000002</v>
      </c>
    </row>
    <row r="265" spans="1:27" ht="16.5" x14ac:dyDescent="0.2">
      <c r="A265" s="117"/>
      <c r="B265" s="74" t="s">
        <v>634</v>
      </c>
      <c r="C265" s="74">
        <v>2</v>
      </c>
      <c r="D265" s="74">
        <f>INDEX(神器!$M$4:$M$7,世界BOSS专属武器!C265)</f>
        <v>120</v>
      </c>
      <c r="E265" s="74">
        <f t="shared" si="76"/>
        <v>8.3333333333333332E-3</v>
      </c>
      <c r="F265" s="74">
        <f t="shared" si="77"/>
        <v>308</v>
      </c>
      <c r="G265" s="74">
        <v>1</v>
      </c>
      <c r="H265" s="74">
        <v>1</v>
      </c>
      <c r="M265" s="15">
        <v>186</v>
      </c>
      <c r="N265" s="15">
        <f t="shared" si="60"/>
        <v>4</v>
      </c>
      <c r="O265" s="15">
        <f>INDEX(卡牌消耗!$H$13:$H$33,世界BOSS专属武器!N265)</f>
        <v>1501004</v>
      </c>
      <c r="P265" s="49" t="s">
        <v>408</v>
      </c>
      <c r="Q265" s="15">
        <f t="shared" si="61"/>
        <v>32</v>
      </c>
      <c r="R265" s="49" t="str">
        <f t="shared" si="62"/>
        <v>金币</v>
      </c>
      <c r="S265" s="15">
        <f t="shared" si="63"/>
        <v>10000</v>
      </c>
      <c r="T265" s="15" t="str">
        <f t="shared" si="64"/>
        <v>中级专属强化石</v>
      </c>
      <c r="U265" s="15">
        <f t="shared" si="65"/>
        <v>8</v>
      </c>
      <c r="V265" s="15" t="str">
        <f t="shared" si="66"/>
        <v>高级专属强化石</v>
      </c>
      <c r="W265" s="15">
        <f t="shared" si="67"/>
        <v>3</v>
      </c>
      <c r="X265" s="15">
        <f t="shared" si="68"/>
        <v>0.1</v>
      </c>
      <c r="Y265" s="15">
        <f t="shared" si="69"/>
        <v>1</v>
      </c>
      <c r="Z265" s="15">
        <f t="shared" si="70"/>
        <v>30</v>
      </c>
      <c r="AA265" s="15">
        <f t="shared" si="71"/>
        <v>0.45329999999999998</v>
      </c>
    </row>
    <row r="266" spans="1:27" ht="16.5" x14ac:dyDescent="0.2">
      <c r="A266" s="117"/>
      <c r="B266" s="74" t="s">
        <v>638</v>
      </c>
      <c r="C266" s="74">
        <v>1</v>
      </c>
      <c r="D266" s="74">
        <f>INDEX(神器!$M$4:$M$7,世界BOSS专属武器!C266)</f>
        <v>40</v>
      </c>
      <c r="E266" s="74">
        <f t="shared" si="76"/>
        <v>2.5000000000000001E-2</v>
      </c>
      <c r="F266" s="74">
        <f t="shared" si="77"/>
        <v>925</v>
      </c>
      <c r="G266" s="74">
        <v>1</v>
      </c>
      <c r="H266" s="74">
        <v>1</v>
      </c>
      <c r="M266" s="15">
        <v>187</v>
      </c>
      <c r="N266" s="15">
        <f t="shared" si="60"/>
        <v>4</v>
      </c>
      <c r="O266" s="15">
        <f>INDEX(卡牌消耗!$H$13:$H$33,世界BOSS专属武器!N266)</f>
        <v>1501004</v>
      </c>
      <c r="P266" s="49" t="s">
        <v>408</v>
      </c>
      <c r="Q266" s="15">
        <f t="shared" si="61"/>
        <v>33</v>
      </c>
      <c r="R266" s="49" t="str">
        <f t="shared" si="62"/>
        <v>金币</v>
      </c>
      <c r="S266" s="15">
        <f t="shared" si="63"/>
        <v>10000</v>
      </c>
      <c r="T266" s="15" t="str">
        <f t="shared" si="64"/>
        <v>中级专属强化石</v>
      </c>
      <c r="U266" s="15">
        <f t="shared" si="65"/>
        <v>8</v>
      </c>
      <c r="V266" s="15" t="str">
        <f t="shared" si="66"/>
        <v>高级专属强化石</v>
      </c>
      <c r="W266" s="15">
        <f t="shared" si="67"/>
        <v>3</v>
      </c>
      <c r="X266" s="15">
        <f t="shared" si="68"/>
        <v>0.1</v>
      </c>
      <c r="Y266" s="15">
        <f t="shared" si="69"/>
        <v>1</v>
      </c>
      <c r="Z266" s="15">
        <f t="shared" si="70"/>
        <v>30</v>
      </c>
      <c r="AA266" s="15">
        <f t="shared" si="71"/>
        <v>0.48</v>
      </c>
    </row>
    <row r="267" spans="1:27" ht="16.5" x14ac:dyDescent="0.2">
      <c r="A267" s="117"/>
      <c r="B267" s="74" t="s">
        <v>639</v>
      </c>
      <c r="C267" s="74">
        <v>2</v>
      </c>
      <c r="D267" s="74">
        <f>INDEX(神器!$M$4:$M$7,世界BOSS专属武器!C267)</f>
        <v>120</v>
      </c>
      <c r="E267" s="74">
        <f t="shared" si="76"/>
        <v>8.3333333333333332E-3</v>
      </c>
      <c r="F267" s="74">
        <f t="shared" si="77"/>
        <v>308</v>
      </c>
      <c r="G267" s="74">
        <v>1</v>
      </c>
      <c r="H267" s="74">
        <v>1</v>
      </c>
      <c r="M267" s="15">
        <v>188</v>
      </c>
      <c r="N267" s="15">
        <f t="shared" si="60"/>
        <v>4</v>
      </c>
      <c r="O267" s="15">
        <f>INDEX(卡牌消耗!$H$13:$H$33,世界BOSS专属武器!N267)</f>
        <v>1501004</v>
      </c>
      <c r="P267" s="49" t="s">
        <v>408</v>
      </c>
      <c r="Q267" s="15">
        <f t="shared" si="61"/>
        <v>34</v>
      </c>
      <c r="R267" s="49" t="str">
        <f t="shared" si="62"/>
        <v>金币</v>
      </c>
      <c r="S267" s="15">
        <f t="shared" si="63"/>
        <v>10000</v>
      </c>
      <c r="T267" s="15" t="str">
        <f t="shared" si="64"/>
        <v>中级专属强化石</v>
      </c>
      <c r="U267" s="15">
        <f t="shared" si="65"/>
        <v>8</v>
      </c>
      <c r="V267" s="15" t="str">
        <f t="shared" si="66"/>
        <v>高级专属强化石</v>
      </c>
      <c r="W267" s="15">
        <f t="shared" si="67"/>
        <v>3</v>
      </c>
      <c r="X267" s="15">
        <f t="shared" si="68"/>
        <v>0.1</v>
      </c>
      <c r="Y267" s="15">
        <f t="shared" si="69"/>
        <v>1</v>
      </c>
      <c r="Z267" s="15">
        <f t="shared" si="70"/>
        <v>30</v>
      </c>
      <c r="AA267" s="15">
        <f t="shared" si="71"/>
        <v>0.50670000000000004</v>
      </c>
    </row>
    <row r="268" spans="1:27" ht="16.5" x14ac:dyDescent="0.2">
      <c r="A268" s="118"/>
      <c r="B268" s="74" t="s">
        <v>640</v>
      </c>
      <c r="C268" s="74">
        <v>2</v>
      </c>
      <c r="D268" s="74">
        <f>INDEX(神器!$M$4:$M$7,世界BOSS专属武器!C268)</f>
        <v>120</v>
      </c>
      <c r="E268" s="74">
        <f t="shared" si="76"/>
        <v>8.3333333333333332E-3</v>
      </c>
      <c r="F268" s="74">
        <f>10000-SUM(F252:F267)</f>
        <v>312</v>
      </c>
      <c r="G268" s="74">
        <v>1</v>
      </c>
      <c r="H268" s="74">
        <v>1</v>
      </c>
      <c r="M268" s="15">
        <v>189</v>
      </c>
      <c r="N268" s="15">
        <f t="shared" si="60"/>
        <v>4</v>
      </c>
      <c r="O268" s="15">
        <f>INDEX(卡牌消耗!$H$13:$H$33,世界BOSS专属武器!N268)</f>
        <v>1501004</v>
      </c>
      <c r="P268" s="49" t="s">
        <v>408</v>
      </c>
      <c r="Q268" s="15">
        <f t="shared" si="61"/>
        <v>35</v>
      </c>
      <c r="R268" s="49" t="str">
        <f t="shared" si="62"/>
        <v>金币</v>
      </c>
      <c r="S268" s="15">
        <f t="shared" si="63"/>
        <v>10000</v>
      </c>
      <c r="T268" s="15" t="str">
        <f t="shared" si="64"/>
        <v>中级专属强化石</v>
      </c>
      <c r="U268" s="15">
        <f t="shared" si="65"/>
        <v>8</v>
      </c>
      <c r="V268" s="15" t="str">
        <f t="shared" si="66"/>
        <v>高级专属强化石</v>
      </c>
      <c r="W268" s="15">
        <f t="shared" si="67"/>
        <v>3</v>
      </c>
      <c r="X268" s="15">
        <f t="shared" si="68"/>
        <v>0.1</v>
      </c>
      <c r="Y268" s="15">
        <f t="shared" si="69"/>
        <v>1</v>
      </c>
      <c r="Z268" s="15">
        <f t="shared" si="70"/>
        <v>30</v>
      </c>
      <c r="AA268" s="15">
        <f t="shared" si="71"/>
        <v>0.5333</v>
      </c>
    </row>
    <row r="269" spans="1:27" ht="16.5" x14ac:dyDescent="0.2">
      <c r="B269" s="16"/>
      <c r="C269" s="16"/>
      <c r="M269" s="15">
        <v>190</v>
      </c>
      <c r="N269" s="15">
        <f t="shared" si="60"/>
        <v>4</v>
      </c>
      <c r="O269" s="15">
        <f>INDEX(卡牌消耗!$H$13:$H$33,世界BOSS专属武器!N269)</f>
        <v>1501004</v>
      </c>
      <c r="P269" s="49" t="s">
        <v>408</v>
      </c>
      <c r="Q269" s="15">
        <f t="shared" si="61"/>
        <v>36</v>
      </c>
      <c r="R269" s="49" t="str">
        <f t="shared" si="62"/>
        <v>金币</v>
      </c>
      <c r="S269" s="15">
        <f t="shared" si="63"/>
        <v>10000</v>
      </c>
      <c r="T269" s="15" t="str">
        <f t="shared" si="64"/>
        <v>中级专属强化石</v>
      </c>
      <c r="U269" s="15">
        <f t="shared" si="65"/>
        <v>8</v>
      </c>
      <c r="V269" s="15" t="str">
        <f t="shared" si="66"/>
        <v>高级专属强化石</v>
      </c>
      <c r="W269" s="15">
        <f t="shared" si="67"/>
        <v>3</v>
      </c>
      <c r="X269" s="15">
        <f t="shared" si="68"/>
        <v>0.1</v>
      </c>
      <c r="Y269" s="15">
        <f t="shared" si="69"/>
        <v>1</v>
      </c>
      <c r="Z269" s="15">
        <f t="shared" si="70"/>
        <v>30</v>
      </c>
      <c r="AA269" s="15">
        <f t="shared" si="71"/>
        <v>0.56000000000000005</v>
      </c>
    </row>
    <row r="270" spans="1:27" ht="16.5" x14ac:dyDescent="0.2">
      <c r="B270" s="16"/>
      <c r="C270" s="16"/>
      <c r="D270" s="15">
        <f>SUMPRODUCT(D271:D294,E271:E294)/E270</f>
        <v>163.63636363636365</v>
      </c>
      <c r="E270" s="15">
        <f>SUM(E271:E294)</f>
        <v>0.14666666666666664</v>
      </c>
      <c r="M270" s="15">
        <v>191</v>
      </c>
      <c r="N270" s="15">
        <f t="shared" si="60"/>
        <v>4</v>
      </c>
      <c r="O270" s="15">
        <f>INDEX(卡牌消耗!$H$13:$H$33,世界BOSS专属武器!N270)</f>
        <v>1501004</v>
      </c>
      <c r="P270" s="49" t="s">
        <v>408</v>
      </c>
      <c r="Q270" s="15">
        <f t="shared" si="61"/>
        <v>37</v>
      </c>
      <c r="R270" s="49" t="str">
        <f t="shared" si="62"/>
        <v>金币</v>
      </c>
      <c r="S270" s="15">
        <f t="shared" si="63"/>
        <v>10000</v>
      </c>
      <c r="T270" s="15" t="str">
        <f t="shared" si="64"/>
        <v>中级专属强化石</v>
      </c>
      <c r="U270" s="15">
        <f t="shared" si="65"/>
        <v>8</v>
      </c>
      <c r="V270" s="15" t="str">
        <f t="shared" si="66"/>
        <v>高级专属强化石</v>
      </c>
      <c r="W270" s="15">
        <f t="shared" si="67"/>
        <v>3</v>
      </c>
      <c r="X270" s="15">
        <f t="shared" si="68"/>
        <v>0.1</v>
      </c>
      <c r="Y270" s="15">
        <f t="shared" si="69"/>
        <v>1</v>
      </c>
      <c r="Z270" s="15">
        <f t="shared" si="70"/>
        <v>30</v>
      </c>
      <c r="AA270" s="15">
        <f t="shared" si="71"/>
        <v>0.5867</v>
      </c>
    </row>
    <row r="271" spans="1:27" ht="16.5" x14ac:dyDescent="0.2">
      <c r="A271" s="115" t="s">
        <v>736</v>
      </c>
      <c r="B271" s="74" t="s">
        <v>620</v>
      </c>
      <c r="C271" s="74">
        <v>2</v>
      </c>
      <c r="D271" s="74">
        <f>INDEX(神器!$M$4:$M$7,世界BOSS专属武器!C271)</f>
        <v>120</v>
      </c>
      <c r="E271" s="74">
        <f t="shared" ref="E271:E294" si="78">1/D271</f>
        <v>8.3333333333333332E-3</v>
      </c>
      <c r="F271" s="74">
        <f>ROUND(10000*E271/E$270,0)</f>
        <v>568</v>
      </c>
      <c r="G271" s="74">
        <v>1</v>
      </c>
      <c r="H271" s="74">
        <v>1</v>
      </c>
      <c r="M271" s="15">
        <v>192</v>
      </c>
      <c r="N271" s="15">
        <f t="shared" si="60"/>
        <v>4</v>
      </c>
      <c r="O271" s="15">
        <f>INDEX(卡牌消耗!$H$13:$H$33,世界BOSS专属武器!N271)</f>
        <v>1501004</v>
      </c>
      <c r="P271" s="49" t="s">
        <v>408</v>
      </c>
      <c r="Q271" s="15">
        <f t="shared" si="61"/>
        <v>38</v>
      </c>
      <c r="R271" s="49" t="str">
        <f t="shared" si="62"/>
        <v>金币</v>
      </c>
      <c r="S271" s="15">
        <f t="shared" si="63"/>
        <v>10000</v>
      </c>
      <c r="T271" s="15" t="str">
        <f t="shared" si="64"/>
        <v>中级专属强化石</v>
      </c>
      <c r="U271" s="15">
        <f t="shared" si="65"/>
        <v>8</v>
      </c>
      <c r="V271" s="15" t="str">
        <f t="shared" si="66"/>
        <v>高级专属强化石</v>
      </c>
      <c r="W271" s="15">
        <f t="shared" si="67"/>
        <v>3</v>
      </c>
      <c r="X271" s="15">
        <f t="shared" si="68"/>
        <v>0.1</v>
      </c>
      <c r="Y271" s="15">
        <f t="shared" si="69"/>
        <v>1</v>
      </c>
      <c r="Z271" s="15">
        <f t="shared" si="70"/>
        <v>30</v>
      </c>
      <c r="AA271" s="15">
        <f t="shared" si="71"/>
        <v>0.61329999999999996</v>
      </c>
    </row>
    <row r="272" spans="1:27" ht="16.5" x14ac:dyDescent="0.2">
      <c r="A272" s="115"/>
      <c r="B272" s="74" t="s">
        <v>624</v>
      </c>
      <c r="C272" s="74">
        <v>2</v>
      </c>
      <c r="D272" s="74">
        <f>INDEX(神器!$M$4:$M$7,世界BOSS专属武器!C272)</f>
        <v>120</v>
      </c>
      <c r="E272" s="74">
        <f t="shared" si="78"/>
        <v>8.3333333333333332E-3</v>
      </c>
      <c r="F272" s="74">
        <f t="shared" ref="F272:F293" si="79">ROUND(10000*E272/E$270,0)</f>
        <v>568</v>
      </c>
      <c r="G272" s="74">
        <v>1</v>
      </c>
      <c r="H272" s="74">
        <v>1</v>
      </c>
      <c r="M272" s="15">
        <v>193</v>
      </c>
      <c r="N272" s="15">
        <f t="shared" si="60"/>
        <v>4</v>
      </c>
      <c r="O272" s="15">
        <f>INDEX(卡牌消耗!$H$13:$H$33,世界BOSS专属武器!N272)</f>
        <v>1501004</v>
      </c>
      <c r="P272" s="49" t="s">
        <v>408</v>
      </c>
      <c r="Q272" s="15">
        <f t="shared" si="61"/>
        <v>39</v>
      </c>
      <c r="R272" s="49" t="str">
        <f t="shared" si="62"/>
        <v>金币</v>
      </c>
      <c r="S272" s="15">
        <f t="shared" si="63"/>
        <v>10000</v>
      </c>
      <c r="T272" s="15" t="str">
        <f t="shared" si="64"/>
        <v>中级专属强化石</v>
      </c>
      <c r="U272" s="15">
        <f t="shared" si="65"/>
        <v>8</v>
      </c>
      <c r="V272" s="15" t="str">
        <f t="shared" si="66"/>
        <v>高级专属强化石</v>
      </c>
      <c r="W272" s="15">
        <f t="shared" si="67"/>
        <v>3</v>
      </c>
      <c r="X272" s="15">
        <f t="shared" si="68"/>
        <v>0.1</v>
      </c>
      <c r="Y272" s="15">
        <f t="shared" si="69"/>
        <v>1</v>
      </c>
      <c r="Z272" s="15">
        <f t="shared" si="70"/>
        <v>30</v>
      </c>
      <c r="AA272" s="15">
        <f t="shared" si="71"/>
        <v>0.64</v>
      </c>
    </row>
    <row r="273" spans="1:27" ht="16.5" x14ac:dyDescent="0.2">
      <c r="A273" s="115"/>
      <c r="B273" s="74" t="s">
        <v>625</v>
      </c>
      <c r="C273" s="74">
        <v>3</v>
      </c>
      <c r="D273" s="74">
        <f>INDEX(神器!$M$4:$M$7,世界BOSS专属武器!C273)</f>
        <v>280</v>
      </c>
      <c r="E273" s="74">
        <f t="shared" si="78"/>
        <v>3.5714285714285713E-3</v>
      </c>
      <c r="F273" s="74">
        <f t="shared" si="79"/>
        <v>244</v>
      </c>
      <c r="G273" s="74">
        <v>1</v>
      </c>
      <c r="H273" s="74">
        <v>1</v>
      </c>
      <c r="M273" s="15">
        <v>194</v>
      </c>
      <c r="N273" s="15">
        <f t="shared" ref="N273:N336" si="80">INT((M273-1)/51)+1</f>
        <v>4</v>
      </c>
      <c r="O273" s="15">
        <f>INDEX(卡牌消耗!$H$13:$H$33,世界BOSS专属武器!N273)</f>
        <v>1501004</v>
      </c>
      <c r="P273" s="49" t="s">
        <v>408</v>
      </c>
      <c r="Q273" s="15">
        <f t="shared" ref="Q273:Q336" si="81">MOD(M273-1,51)</f>
        <v>40</v>
      </c>
      <c r="R273" s="49" t="str">
        <f t="shared" ref="R273:R336" si="82">IF(Q273&gt;0,"金币","[x]")</f>
        <v>金币</v>
      </c>
      <c r="S273" s="15">
        <f t="shared" ref="S273:S336" si="83">IF(Q273&gt;0,INDEX($V$27:$V$76,Q273),"[x]")</f>
        <v>20000</v>
      </c>
      <c r="T273" s="15" t="str">
        <f t="shared" ref="T273:T336" si="84">IF(Q273&gt;0,INDEX($W$27:$W$76,Q273),"[x]")</f>
        <v>高级专属强化石</v>
      </c>
      <c r="U273" s="15">
        <f t="shared" ref="U273:U336" si="85">IF(Q273&gt;0,INDEX($AA$27:$AF$76,Q273,INDEX($Y$27:$Y$76,Q273)),"[x]")</f>
        <v>5</v>
      </c>
      <c r="V273" s="15" t="str">
        <f t="shared" ref="V273:V336" si="86">IF(AND(Q273&gt;=20,Q273&lt;40),INDEX($X$27:$X$76,Q273),"[x]")</f>
        <v>[x]</v>
      </c>
      <c r="W273" s="15" t="str">
        <f t="shared" ref="W273:W336" si="87">IF(AND(Q273&gt;=20,Q273&lt;40),INDEX($AA$27:$AF$76,Q273,INDEX($Z$27:$Z$76,Q273)),"[x]")</f>
        <v>[x]</v>
      </c>
      <c r="X273" s="15">
        <f t="shared" ref="X273:X336" si="88">IF(Q273&gt;0,INDEX($T$27:$T$76,Q273),"[x]")</f>
        <v>0.1</v>
      </c>
      <c r="Y273" s="15">
        <f t="shared" ref="Y273:Y336" si="89">IF(Q273&gt;0,1,"[x]")</f>
        <v>1</v>
      </c>
      <c r="Z273" s="15">
        <f t="shared" ref="Z273:Z336" si="90">IF(Q273&gt;0,INDEX($AG$27:$AG$76,Q273),"[x]")</f>
        <v>35</v>
      </c>
      <c r="AA273" s="15">
        <f t="shared" ref="AA273:AA336" si="91">IF(Q273&gt;0,INDEX($AL$27:$AL$76,Q273),"[x]")</f>
        <v>0.66669999999999996</v>
      </c>
    </row>
    <row r="274" spans="1:27" ht="16.5" x14ac:dyDescent="0.2">
      <c r="A274" s="115"/>
      <c r="B274" s="74" t="s">
        <v>627</v>
      </c>
      <c r="C274" s="74">
        <v>2</v>
      </c>
      <c r="D274" s="74">
        <f>INDEX(神器!$M$4:$M$7,世界BOSS专属武器!C274)</f>
        <v>120</v>
      </c>
      <c r="E274" s="74">
        <f t="shared" si="78"/>
        <v>8.3333333333333332E-3</v>
      </c>
      <c r="F274" s="74">
        <f t="shared" si="79"/>
        <v>568</v>
      </c>
      <c r="G274" s="74">
        <v>1</v>
      </c>
      <c r="H274" s="74">
        <v>1</v>
      </c>
      <c r="M274" s="15">
        <v>195</v>
      </c>
      <c r="N274" s="15">
        <f t="shared" si="80"/>
        <v>4</v>
      </c>
      <c r="O274" s="15">
        <f>INDEX(卡牌消耗!$H$13:$H$33,世界BOSS专属武器!N274)</f>
        <v>1501004</v>
      </c>
      <c r="P274" s="49" t="s">
        <v>408</v>
      </c>
      <c r="Q274" s="15">
        <f t="shared" si="81"/>
        <v>41</v>
      </c>
      <c r="R274" s="49" t="str">
        <f t="shared" si="82"/>
        <v>金币</v>
      </c>
      <c r="S274" s="15">
        <f t="shared" si="83"/>
        <v>20000</v>
      </c>
      <c r="T274" s="15" t="str">
        <f t="shared" si="84"/>
        <v>高级专属强化石</v>
      </c>
      <c r="U274" s="15">
        <f t="shared" si="85"/>
        <v>5</v>
      </c>
      <c r="V274" s="15" t="str">
        <f t="shared" si="86"/>
        <v>[x]</v>
      </c>
      <c r="W274" s="15" t="str">
        <f t="shared" si="87"/>
        <v>[x]</v>
      </c>
      <c r="X274" s="15">
        <f t="shared" si="88"/>
        <v>0.1</v>
      </c>
      <c r="Y274" s="15">
        <f t="shared" si="89"/>
        <v>1</v>
      </c>
      <c r="Z274" s="15">
        <f t="shared" si="90"/>
        <v>40</v>
      </c>
      <c r="AA274" s="15">
        <f t="shared" si="91"/>
        <v>0.7</v>
      </c>
    </row>
    <row r="275" spans="1:27" ht="16.5" x14ac:dyDescent="0.2">
      <c r="A275" s="115"/>
      <c r="B275" s="74" t="s">
        <v>628</v>
      </c>
      <c r="C275" s="74">
        <v>2</v>
      </c>
      <c r="D275" s="74">
        <f>INDEX(神器!$M$4:$M$7,世界BOSS专属武器!C275)</f>
        <v>120</v>
      </c>
      <c r="E275" s="74">
        <f t="shared" si="78"/>
        <v>8.3333333333333332E-3</v>
      </c>
      <c r="F275" s="74">
        <f t="shared" si="79"/>
        <v>568</v>
      </c>
      <c r="G275" s="74">
        <v>1</v>
      </c>
      <c r="H275" s="74">
        <v>1</v>
      </c>
      <c r="M275" s="15">
        <v>196</v>
      </c>
      <c r="N275" s="15">
        <f t="shared" si="80"/>
        <v>4</v>
      </c>
      <c r="O275" s="15">
        <f>INDEX(卡牌消耗!$H$13:$H$33,世界BOSS专属武器!N275)</f>
        <v>1501004</v>
      </c>
      <c r="P275" s="49" t="s">
        <v>408</v>
      </c>
      <c r="Q275" s="15">
        <f t="shared" si="81"/>
        <v>42</v>
      </c>
      <c r="R275" s="49" t="str">
        <f t="shared" si="82"/>
        <v>金币</v>
      </c>
      <c r="S275" s="15">
        <f t="shared" si="83"/>
        <v>20000</v>
      </c>
      <c r="T275" s="15" t="str">
        <f t="shared" si="84"/>
        <v>高级专属强化石</v>
      </c>
      <c r="U275" s="15">
        <f t="shared" si="85"/>
        <v>5</v>
      </c>
      <c r="V275" s="15" t="str">
        <f t="shared" si="86"/>
        <v>[x]</v>
      </c>
      <c r="W275" s="15" t="str">
        <f t="shared" si="87"/>
        <v>[x]</v>
      </c>
      <c r="X275" s="15">
        <f t="shared" si="88"/>
        <v>0.1</v>
      </c>
      <c r="Y275" s="15">
        <f t="shared" si="89"/>
        <v>1</v>
      </c>
      <c r="Z275" s="15">
        <f t="shared" si="90"/>
        <v>45</v>
      </c>
      <c r="AA275" s="15">
        <f t="shared" si="91"/>
        <v>0.73329999999999995</v>
      </c>
    </row>
    <row r="276" spans="1:27" ht="16.5" x14ac:dyDescent="0.2">
      <c r="A276" s="115"/>
      <c r="B276" s="74" t="s">
        <v>629</v>
      </c>
      <c r="C276" s="74">
        <v>3</v>
      </c>
      <c r="D276" s="74">
        <f>INDEX(神器!$M$4:$M$7,世界BOSS专属武器!C276)</f>
        <v>280</v>
      </c>
      <c r="E276" s="74">
        <f t="shared" si="78"/>
        <v>3.5714285714285713E-3</v>
      </c>
      <c r="F276" s="74">
        <f t="shared" si="79"/>
        <v>244</v>
      </c>
      <c r="G276" s="74">
        <v>1</v>
      </c>
      <c r="H276" s="74">
        <v>1</v>
      </c>
      <c r="M276" s="15">
        <v>197</v>
      </c>
      <c r="N276" s="15">
        <f t="shared" si="80"/>
        <v>4</v>
      </c>
      <c r="O276" s="15">
        <f>INDEX(卡牌消耗!$H$13:$H$33,世界BOSS专属武器!N276)</f>
        <v>1501004</v>
      </c>
      <c r="P276" s="49" t="s">
        <v>408</v>
      </c>
      <c r="Q276" s="15">
        <f t="shared" si="81"/>
        <v>43</v>
      </c>
      <c r="R276" s="49" t="str">
        <f t="shared" si="82"/>
        <v>金币</v>
      </c>
      <c r="S276" s="15">
        <f t="shared" si="83"/>
        <v>20000</v>
      </c>
      <c r="T276" s="15" t="str">
        <f t="shared" si="84"/>
        <v>高级专属强化石</v>
      </c>
      <c r="U276" s="15">
        <f t="shared" si="85"/>
        <v>5</v>
      </c>
      <c r="V276" s="15" t="str">
        <f t="shared" si="86"/>
        <v>[x]</v>
      </c>
      <c r="W276" s="15" t="str">
        <f t="shared" si="87"/>
        <v>[x]</v>
      </c>
      <c r="X276" s="15">
        <f t="shared" si="88"/>
        <v>0.1</v>
      </c>
      <c r="Y276" s="15">
        <f t="shared" si="89"/>
        <v>1</v>
      </c>
      <c r="Z276" s="15">
        <f t="shared" si="90"/>
        <v>50</v>
      </c>
      <c r="AA276" s="15">
        <f t="shared" si="91"/>
        <v>0.76670000000000005</v>
      </c>
    </row>
    <row r="277" spans="1:27" ht="16.5" x14ac:dyDescent="0.2">
      <c r="A277" s="115"/>
      <c r="B277" s="74" t="s">
        <v>630</v>
      </c>
      <c r="C277" s="74">
        <v>3</v>
      </c>
      <c r="D277" s="74">
        <f>INDEX(神器!$M$4:$M$7,世界BOSS专属武器!C277)</f>
        <v>280</v>
      </c>
      <c r="E277" s="74">
        <f t="shared" si="78"/>
        <v>3.5714285714285713E-3</v>
      </c>
      <c r="F277" s="74">
        <f t="shared" si="79"/>
        <v>244</v>
      </c>
      <c r="G277" s="74">
        <v>1</v>
      </c>
      <c r="H277" s="74">
        <v>1</v>
      </c>
      <c r="M277" s="15">
        <v>198</v>
      </c>
      <c r="N277" s="15">
        <f t="shared" si="80"/>
        <v>4</v>
      </c>
      <c r="O277" s="15">
        <f>INDEX(卡牌消耗!$H$13:$H$33,世界BOSS专属武器!N277)</f>
        <v>1501004</v>
      </c>
      <c r="P277" s="49" t="s">
        <v>408</v>
      </c>
      <c r="Q277" s="15">
        <f t="shared" si="81"/>
        <v>44</v>
      </c>
      <c r="R277" s="49" t="str">
        <f t="shared" si="82"/>
        <v>金币</v>
      </c>
      <c r="S277" s="15">
        <f t="shared" si="83"/>
        <v>20000</v>
      </c>
      <c r="T277" s="15" t="str">
        <f t="shared" si="84"/>
        <v>高级专属强化石</v>
      </c>
      <c r="U277" s="15">
        <f t="shared" si="85"/>
        <v>5</v>
      </c>
      <c r="V277" s="15" t="str">
        <f t="shared" si="86"/>
        <v>[x]</v>
      </c>
      <c r="W277" s="15" t="str">
        <f t="shared" si="87"/>
        <v>[x]</v>
      </c>
      <c r="X277" s="15">
        <f t="shared" si="88"/>
        <v>0.1</v>
      </c>
      <c r="Y277" s="15">
        <f t="shared" si="89"/>
        <v>1</v>
      </c>
      <c r="Z277" s="15">
        <f t="shared" si="90"/>
        <v>55</v>
      </c>
      <c r="AA277" s="15">
        <f t="shared" si="91"/>
        <v>0.8</v>
      </c>
    </row>
    <row r="278" spans="1:27" ht="16.5" x14ac:dyDescent="0.2">
      <c r="A278" s="115"/>
      <c r="B278" s="74" t="s">
        <v>631</v>
      </c>
      <c r="C278" s="74">
        <v>4</v>
      </c>
      <c r="D278" s="74">
        <f>INDEX(神器!$M$4:$M$7,世界BOSS专属武器!C278)</f>
        <v>600</v>
      </c>
      <c r="E278" s="74">
        <f t="shared" si="78"/>
        <v>1.6666666666666668E-3</v>
      </c>
      <c r="F278" s="74">
        <f t="shared" si="79"/>
        <v>114</v>
      </c>
      <c r="G278" s="74">
        <v>1</v>
      </c>
      <c r="H278" s="74">
        <v>1</v>
      </c>
      <c r="M278" s="15">
        <v>199</v>
      </c>
      <c r="N278" s="15">
        <f t="shared" si="80"/>
        <v>4</v>
      </c>
      <c r="O278" s="15">
        <f>INDEX(卡牌消耗!$H$13:$H$33,世界BOSS专属武器!N278)</f>
        <v>1501004</v>
      </c>
      <c r="P278" s="49" t="s">
        <v>408</v>
      </c>
      <c r="Q278" s="15">
        <f t="shared" si="81"/>
        <v>45</v>
      </c>
      <c r="R278" s="49" t="str">
        <f t="shared" si="82"/>
        <v>金币</v>
      </c>
      <c r="S278" s="15">
        <f t="shared" si="83"/>
        <v>20000</v>
      </c>
      <c r="T278" s="15" t="str">
        <f t="shared" si="84"/>
        <v>高级专属强化石</v>
      </c>
      <c r="U278" s="15">
        <f t="shared" si="85"/>
        <v>6</v>
      </c>
      <c r="V278" s="15" t="str">
        <f t="shared" si="86"/>
        <v>[x]</v>
      </c>
      <c r="W278" s="15" t="str">
        <f t="shared" si="87"/>
        <v>[x]</v>
      </c>
      <c r="X278" s="15">
        <f t="shared" si="88"/>
        <v>0.1</v>
      </c>
      <c r="Y278" s="15">
        <f t="shared" si="89"/>
        <v>1</v>
      </c>
      <c r="Z278" s="15">
        <f t="shared" si="90"/>
        <v>60</v>
      </c>
      <c r="AA278" s="15">
        <f t="shared" si="91"/>
        <v>0.83330000000000004</v>
      </c>
    </row>
    <row r="279" spans="1:27" ht="16.5" x14ac:dyDescent="0.2">
      <c r="A279" s="115"/>
      <c r="B279" s="74" t="s">
        <v>633</v>
      </c>
      <c r="C279" s="74">
        <v>2</v>
      </c>
      <c r="D279" s="74">
        <f>INDEX(神器!$M$4:$M$7,世界BOSS专属武器!C279)</f>
        <v>120</v>
      </c>
      <c r="E279" s="74">
        <f t="shared" si="78"/>
        <v>8.3333333333333332E-3</v>
      </c>
      <c r="F279" s="74">
        <f t="shared" si="79"/>
        <v>568</v>
      </c>
      <c r="G279" s="74">
        <v>1</v>
      </c>
      <c r="H279" s="74">
        <v>1</v>
      </c>
      <c r="M279" s="15">
        <v>200</v>
      </c>
      <c r="N279" s="15">
        <f t="shared" si="80"/>
        <v>4</v>
      </c>
      <c r="O279" s="15">
        <f>INDEX(卡牌消耗!$H$13:$H$33,世界BOSS专属武器!N279)</f>
        <v>1501004</v>
      </c>
      <c r="P279" s="49" t="s">
        <v>408</v>
      </c>
      <c r="Q279" s="15">
        <f t="shared" si="81"/>
        <v>46</v>
      </c>
      <c r="R279" s="49" t="str">
        <f t="shared" si="82"/>
        <v>金币</v>
      </c>
      <c r="S279" s="15">
        <f t="shared" si="83"/>
        <v>20000</v>
      </c>
      <c r="T279" s="15" t="str">
        <f t="shared" si="84"/>
        <v>高级专属强化石</v>
      </c>
      <c r="U279" s="15">
        <f t="shared" si="85"/>
        <v>7</v>
      </c>
      <c r="V279" s="15" t="str">
        <f t="shared" si="86"/>
        <v>[x]</v>
      </c>
      <c r="W279" s="15" t="str">
        <f t="shared" si="87"/>
        <v>[x]</v>
      </c>
      <c r="X279" s="15">
        <f t="shared" si="88"/>
        <v>0.1</v>
      </c>
      <c r="Y279" s="15">
        <f t="shared" si="89"/>
        <v>1</v>
      </c>
      <c r="Z279" s="15">
        <f t="shared" si="90"/>
        <v>70</v>
      </c>
      <c r="AA279" s="15">
        <f t="shared" si="91"/>
        <v>0.86670000000000003</v>
      </c>
    </row>
    <row r="280" spans="1:27" ht="16.5" x14ac:dyDescent="0.2">
      <c r="A280" s="115"/>
      <c r="B280" s="74" t="s">
        <v>634</v>
      </c>
      <c r="C280" s="74">
        <v>2</v>
      </c>
      <c r="D280" s="74">
        <f>INDEX(神器!$M$4:$M$7,世界BOSS专属武器!C280)</f>
        <v>120</v>
      </c>
      <c r="E280" s="74">
        <f t="shared" si="78"/>
        <v>8.3333333333333332E-3</v>
      </c>
      <c r="F280" s="74">
        <f t="shared" si="79"/>
        <v>568</v>
      </c>
      <c r="G280" s="74">
        <v>1</v>
      </c>
      <c r="H280" s="74">
        <v>1</v>
      </c>
      <c r="M280" s="15">
        <v>201</v>
      </c>
      <c r="N280" s="15">
        <f t="shared" si="80"/>
        <v>4</v>
      </c>
      <c r="O280" s="15">
        <f>INDEX(卡牌消耗!$H$13:$H$33,世界BOSS专属武器!N280)</f>
        <v>1501004</v>
      </c>
      <c r="P280" s="49" t="s">
        <v>408</v>
      </c>
      <c r="Q280" s="15">
        <f t="shared" si="81"/>
        <v>47</v>
      </c>
      <c r="R280" s="49" t="str">
        <f t="shared" si="82"/>
        <v>金币</v>
      </c>
      <c r="S280" s="15">
        <f t="shared" si="83"/>
        <v>20000</v>
      </c>
      <c r="T280" s="15" t="str">
        <f t="shared" si="84"/>
        <v>高级专属强化石</v>
      </c>
      <c r="U280" s="15">
        <f t="shared" si="85"/>
        <v>8</v>
      </c>
      <c r="V280" s="15" t="str">
        <f t="shared" si="86"/>
        <v>[x]</v>
      </c>
      <c r="W280" s="15" t="str">
        <f t="shared" si="87"/>
        <v>[x]</v>
      </c>
      <c r="X280" s="15">
        <f t="shared" si="88"/>
        <v>0.1</v>
      </c>
      <c r="Y280" s="15">
        <f t="shared" si="89"/>
        <v>1</v>
      </c>
      <c r="Z280" s="15">
        <f t="shared" si="90"/>
        <v>80</v>
      </c>
      <c r="AA280" s="15">
        <f t="shared" si="91"/>
        <v>0.9</v>
      </c>
    </row>
    <row r="281" spans="1:27" ht="16.5" x14ac:dyDescent="0.2">
      <c r="A281" s="115"/>
      <c r="B281" s="74" t="s">
        <v>635</v>
      </c>
      <c r="C281" s="74">
        <v>3</v>
      </c>
      <c r="D281" s="74">
        <f>INDEX(神器!$M$4:$M$7,世界BOSS专属武器!C281)</f>
        <v>280</v>
      </c>
      <c r="E281" s="74">
        <f t="shared" si="78"/>
        <v>3.5714285714285713E-3</v>
      </c>
      <c r="F281" s="74">
        <f t="shared" si="79"/>
        <v>244</v>
      </c>
      <c r="G281" s="74">
        <v>1</v>
      </c>
      <c r="H281" s="74">
        <v>1</v>
      </c>
      <c r="M281" s="15">
        <v>202</v>
      </c>
      <c r="N281" s="15">
        <f t="shared" si="80"/>
        <v>4</v>
      </c>
      <c r="O281" s="15">
        <f>INDEX(卡牌消耗!$H$13:$H$33,世界BOSS专属武器!N281)</f>
        <v>1501004</v>
      </c>
      <c r="P281" s="49" t="s">
        <v>408</v>
      </c>
      <c r="Q281" s="15">
        <f t="shared" si="81"/>
        <v>48</v>
      </c>
      <c r="R281" s="49" t="str">
        <f t="shared" si="82"/>
        <v>金币</v>
      </c>
      <c r="S281" s="15">
        <f t="shared" si="83"/>
        <v>20000</v>
      </c>
      <c r="T281" s="15" t="str">
        <f t="shared" si="84"/>
        <v>高级专属强化石</v>
      </c>
      <c r="U281" s="15">
        <f t="shared" si="85"/>
        <v>9</v>
      </c>
      <c r="V281" s="15" t="str">
        <f t="shared" si="86"/>
        <v>[x]</v>
      </c>
      <c r="W281" s="15" t="str">
        <f t="shared" si="87"/>
        <v>[x]</v>
      </c>
      <c r="X281" s="15">
        <f t="shared" si="88"/>
        <v>0.1</v>
      </c>
      <c r="Y281" s="15">
        <f t="shared" si="89"/>
        <v>1</v>
      </c>
      <c r="Z281" s="15">
        <f t="shared" si="90"/>
        <v>100</v>
      </c>
      <c r="AA281" s="15">
        <f t="shared" si="91"/>
        <v>0.93330000000000002</v>
      </c>
    </row>
    <row r="282" spans="1:27" ht="16.5" x14ac:dyDescent="0.2">
      <c r="A282" s="115"/>
      <c r="B282" s="74" t="s">
        <v>636</v>
      </c>
      <c r="C282" s="74">
        <v>3</v>
      </c>
      <c r="D282" s="74">
        <f>INDEX(神器!$M$4:$M$7,世界BOSS专属武器!C282)</f>
        <v>280</v>
      </c>
      <c r="E282" s="74">
        <f t="shared" si="78"/>
        <v>3.5714285714285713E-3</v>
      </c>
      <c r="F282" s="74">
        <f t="shared" si="79"/>
        <v>244</v>
      </c>
      <c r="G282" s="74">
        <v>1</v>
      </c>
      <c r="H282" s="74">
        <v>1</v>
      </c>
      <c r="M282" s="15">
        <v>203</v>
      </c>
      <c r="N282" s="15">
        <f t="shared" si="80"/>
        <v>4</v>
      </c>
      <c r="O282" s="15">
        <f>INDEX(卡牌消耗!$H$13:$H$33,世界BOSS专属武器!N282)</f>
        <v>1501004</v>
      </c>
      <c r="P282" s="49" t="s">
        <v>408</v>
      </c>
      <c r="Q282" s="15">
        <f t="shared" si="81"/>
        <v>49</v>
      </c>
      <c r="R282" s="49" t="str">
        <f t="shared" si="82"/>
        <v>金币</v>
      </c>
      <c r="S282" s="15">
        <f t="shared" si="83"/>
        <v>20000</v>
      </c>
      <c r="T282" s="15" t="str">
        <f t="shared" si="84"/>
        <v>高级专属强化石</v>
      </c>
      <c r="U282" s="15">
        <f t="shared" si="85"/>
        <v>10</v>
      </c>
      <c r="V282" s="15" t="str">
        <f t="shared" si="86"/>
        <v>[x]</v>
      </c>
      <c r="W282" s="15" t="str">
        <f t="shared" si="87"/>
        <v>[x]</v>
      </c>
      <c r="X282" s="15">
        <f t="shared" si="88"/>
        <v>0.1</v>
      </c>
      <c r="Y282" s="15">
        <f t="shared" si="89"/>
        <v>1</v>
      </c>
      <c r="Z282" s="15">
        <f t="shared" si="90"/>
        <v>120</v>
      </c>
      <c r="AA282" s="15">
        <f t="shared" si="91"/>
        <v>0.9667</v>
      </c>
    </row>
    <row r="283" spans="1:27" ht="16.5" x14ac:dyDescent="0.2">
      <c r="A283" s="115"/>
      <c r="B283" s="74" t="s">
        <v>637</v>
      </c>
      <c r="C283" s="74">
        <v>4</v>
      </c>
      <c r="D283" s="74">
        <f>INDEX(神器!$M$4:$M$7,世界BOSS专属武器!C283)</f>
        <v>600</v>
      </c>
      <c r="E283" s="74">
        <f t="shared" si="78"/>
        <v>1.6666666666666668E-3</v>
      </c>
      <c r="F283" s="74">
        <f t="shared" si="79"/>
        <v>114</v>
      </c>
      <c r="G283" s="74">
        <v>1</v>
      </c>
      <c r="H283" s="74">
        <v>1</v>
      </c>
      <c r="M283" s="15">
        <v>204</v>
      </c>
      <c r="N283" s="15">
        <f t="shared" si="80"/>
        <v>4</v>
      </c>
      <c r="O283" s="15">
        <f>INDEX(卡牌消耗!$H$13:$H$33,世界BOSS专属武器!N283)</f>
        <v>1501004</v>
      </c>
      <c r="P283" s="49" t="s">
        <v>408</v>
      </c>
      <c r="Q283" s="15">
        <f t="shared" si="81"/>
        <v>50</v>
      </c>
      <c r="R283" s="49" t="str">
        <f t="shared" si="82"/>
        <v>金币</v>
      </c>
      <c r="S283" s="15">
        <f t="shared" si="83"/>
        <v>20000</v>
      </c>
      <c r="T283" s="15" t="str">
        <f t="shared" si="84"/>
        <v>高级专属强化石</v>
      </c>
      <c r="U283" s="15">
        <f t="shared" si="85"/>
        <v>15</v>
      </c>
      <c r="V283" s="15" t="str">
        <f t="shared" si="86"/>
        <v>[x]</v>
      </c>
      <c r="W283" s="15" t="str">
        <f t="shared" si="87"/>
        <v>[x]</v>
      </c>
      <c r="X283" s="15">
        <f t="shared" si="88"/>
        <v>0.1</v>
      </c>
      <c r="Y283" s="15">
        <f t="shared" si="89"/>
        <v>1</v>
      </c>
      <c r="Z283" s="15">
        <f t="shared" si="90"/>
        <v>150</v>
      </c>
      <c r="AA283" s="15">
        <f t="shared" si="91"/>
        <v>1</v>
      </c>
    </row>
    <row r="284" spans="1:27" ht="16.5" x14ac:dyDescent="0.2">
      <c r="A284" s="115"/>
      <c r="B284" s="74" t="s">
        <v>639</v>
      </c>
      <c r="C284" s="74">
        <v>2</v>
      </c>
      <c r="D284" s="74">
        <f>INDEX(神器!$M$4:$M$7,世界BOSS专属武器!C284)</f>
        <v>120</v>
      </c>
      <c r="E284" s="74">
        <f t="shared" si="78"/>
        <v>8.3333333333333332E-3</v>
      </c>
      <c r="F284" s="74">
        <f t="shared" si="79"/>
        <v>568</v>
      </c>
      <c r="G284" s="74">
        <v>1</v>
      </c>
      <c r="H284" s="74">
        <v>1</v>
      </c>
      <c r="M284" s="15">
        <v>205</v>
      </c>
      <c r="N284" s="15">
        <f t="shared" si="80"/>
        <v>5</v>
      </c>
      <c r="O284" s="15">
        <f>INDEX(卡牌消耗!$H$13:$H$33,世界BOSS专属武器!N284)</f>
        <v>1501005</v>
      </c>
      <c r="P284" s="49" t="s">
        <v>408</v>
      </c>
      <c r="Q284" s="15">
        <f t="shared" si="81"/>
        <v>0</v>
      </c>
      <c r="R284" s="49" t="str">
        <f t="shared" si="82"/>
        <v>[x]</v>
      </c>
      <c r="S284" s="15" t="str">
        <f t="shared" si="83"/>
        <v>[x]</v>
      </c>
      <c r="T284" s="15" t="str">
        <f t="shared" si="84"/>
        <v>[x]</v>
      </c>
      <c r="U284" s="15" t="str">
        <f t="shared" si="85"/>
        <v>[x]</v>
      </c>
      <c r="V284" s="15" t="str">
        <f t="shared" si="86"/>
        <v>[x]</v>
      </c>
      <c r="W284" s="15" t="str">
        <f t="shared" si="87"/>
        <v>[x]</v>
      </c>
      <c r="X284" s="15" t="str">
        <f t="shared" si="88"/>
        <v>[x]</v>
      </c>
      <c r="Y284" s="15" t="str">
        <f t="shared" si="89"/>
        <v>[x]</v>
      </c>
      <c r="Z284" s="15" t="str">
        <f t="shared" si="90"/>
        <v>[x]</v>
      </c>
      <c r="AA284" s="15" t="str">
        <f t="shared" si="91"/>
        <v>[x]</v>
      </c>
    </row>
    <row r="285" spans="1:27" ht="16.5" x14ac:dyDescent="0.2">
      <c r="A285" s="115"/>
      <c r="B285" s="74" t="s">
        <v>640</v>
      </c>
      <c r="C285" s="74">
        <v>2</v>
      </c>
      <c r="D285" s="74">
        <f>INDEX(神器!$M$4:$M$7,世界BOSS专属武器!C285)</f>
        <v>120</v>
      </c>
      <c r="E285" s="74">
        <f t="shared" si="78"/>
        <v>8.3333333333333332E-3</v>
      </c>
      <c r="F285" s="74">
        <f t="shared" si="79"/>
        <v>568</v>
      </c>
      <c r="G285" s="74">
        <v>1</v>
      </c>
      <c r="H285" s="74">
        <v>1</v>
      </c>
      <c r="M285" s="15">
        <v>206</v>
      </c>
      <c r="N285" s="15">
        <f t="shared" si="80"/>
        <v>5</v>
      </c>
      <c r="O285" s="15">
        <f>INDEX(卡牌消耗!$H$13:$H$33,世界BOSS专属武器!N285)</f>
        <v>1501005</v>
      </c>
      <c r="P285" s="49" t="s">
        <v>408</v>
      </c>
      <c r="Q285" s="15">
        <f t="shared" si="81"/>
        <v>1</v>
      </c>
      <c r="R285" s="49" t="str">
        <f t="shared" si="82"/>
        <v>金币</v>
      </c>
      <c r="S285" s="15">
        <f t="shared" si="83"/>
        <v>100</v>
      </c>
      <c r="T285" s="15" t="str">
        <f t="shared" si="84"/>
        <v>低级专属强化石</v>
      </c>
      <c r="U285" s="15">
        <f t="shared" si="85"/>
        <v>1</v>
      </c>
      <c r="V285" s="15" t="str">
        <f t="shared" si="86"/>
        <v>[x]</v>
      </c>
      <c r="W285" s="15" t="str">
        <f t="shared" si="87"/>
        <v>[x]</v>
      </c>
      <c r="X285" s="15">
        <f t="shared" si="88"/>
        <v>1</v>
      </c>
      <c r="Y285" s="15">
        <f t="shared" si="89"/>
        <v>1</v>
      </c>
      <c r="Z285" s="15">
        <f t="shared" si="90"/>
        <v>1</v>
      </c>
      <c r="AA285" s="15">
        <f t="shared" si="91"/>
        <v>6.7000000000000002E-3</v>
      </c>
    </row>
    <row r="286" spans="1:27" ht="16.5" x14ac:dyDescent="0.2">
      <c r="A286" s="115"/>
      <c r="B286" s="74" t="s">
        <v>641</v>
      </c>
      <c r="C286" s="74">
        <v>3</v>
      </c>
      <c r="D286" s="74">
        <f>INDEX(神器!$M$4:$M$7,世界BOSS专属武器!C286)</f>
        <v>280</v>
      </c>
      <c r="E286" s="74">
        <f t="shared" si="78"/>
        <v>3.5714285714285713E-3</v>
      </c>
      <c r="F286" s="74">
        <f t="shared" si="79"/>
        <v>244</v>
      </c>
      <c r="G286" s="74">
        <v>1</v>
      </c>
      <c r="H286" s="74">
        <v>1</v>
      </c>
      <c r="M286" s="15">
        <v>207</v>
      </c>
      <c r="N286" s="15">
        <f t="shared" si="80"/>
        <v>5</v>
      </c>
      <c r="O286" s="15">
        <f>INDEX(卡牌消耗!$H$13:$H$33,世界BOSS专属武器!N286)</f>
        <v>1501005</v>
      </c>
      <c r="P286" s="49" t="s">
        <v>408</v>
      </c>
      <c r="Q286" s="15">
        <f t="shared" si="81"/>
        <v>2</v>
      </c>
      <c r="R286" s="49" t="str">
        <f t="shared" si="82"/>
        <v>金币</v>
      </c>
      <c r="S286" s="15">
        <f t="shared" si="83"/>
        <v>200</v>
      </c>
      <c r="T286" s="15" t="str">
        <f t="shared" si="84"/>
        <v>低级专属强化石</v>
      </c>
      <c r="U286" s="15">
        <f t="shared" si="85"/>
        <v>1</v>
      </c>
      <c r="V286" s="15" t="str">
        <f t="shared" si="86"/>
        <v>[x]</v>
      </c>
      <c r="W286" s="15" t="str">
        <f t="shared" si="87"/>
        <v>[x]</v>
      </c>
      <c r="X286" s="15">
        <f t="shared" si="88"/>
        <v>0.5</v>
      </c>
      <c r="Y286" s="15">
        <f t="shared" si="89"/>
        <v>1</v>
      </c>
      <c r="Z286" s="15">
        <f t="shared" si="90"/>
        <v>2</v>
      </c>
      <c r="AA286" s="15">
        <f t="shared" si="91"/>
        <v>1.3299999999999999E-2</v>
      </c>
    </row>
    <row r="287" spans="1:27" ht="16.5" x14ac:dyDescent="0.2">
      <c r="A287" s="115"/>
      <c r="B287" s="74" t="s">
        <v>642</v>
      </c>
      <c r="C287" s="74">
        <v>3</v>
      </c>
      <c r="D287" s="74">
        <f>INDEX(神器!$M$4:$M$7,世界BOSS专属武器!C287)</f>
        <v>280</v>
      </c>
      <c r="E287" s="74">
        <f t="shared" si="78"/>
        <v>3.5714285714285713E-3</v>
      </c>
      <c r="F287" s="74">
        <f t="shared" si="79"/>
        <v>244</v>
      </c>
      <c r="G287" s="74">
        <v>1</v>
      </c>
      <c r="H287" s="74">
        <v>1</v>
      </c>
      <c r="M287" s="15">
        <v>208</v>
      </c>
      <c r="N287" s="15">
        <f t="shared" si="80"/>
        <v>5</v>
      </c>
      <c r="O287" s="15">
        <f>INDEX(卡牌消耗!$H$13:$H$33,世界BOSS专属武器!N287)</f>
        <v>1501005</v>
      </c>
      <c r="P287" s="49" t="s">
        <v>408</v>
      </c>
      <c r="Q287" s="15">
        <f t="shared" si="81"/>
        <v>3</v>
      </c>
      <c r="R287" s="49" t="str">
        <f t="shared" si="82"/>
        <v>金币</v>
      </c>
      <c r="S287" s="15">
        <f t="shared" si="83"/>
        <v>300</v>
      </c>
      <c r="T287" s="15" t="str">
        <f t="shared" si="84"/>
        <v>低级专属强化石</v>
      </c>
      <c r="U287" s="15">
        <f t="shared" si="85"/>
        <v>2</v>
      </c>
      <c r="V287" s="15" t="str">
        <f t="shared" si="86"/>
        <v>[x]</v>
      </c>
      <c r="W287" s="15" t="str">
        <f t="shared" si="87"/>
        <v>[x]</v>
      </c>
      <c r="X287" s="15">
        <f t="shared" si="88"/>
        <v>0.48</v>
      </c>
      <c r="Y287" s="15">
        <f t="shared" si="89"/>
        <v>1</v>
      </c>
      <c r="Z287" s="15">
        <f t="shared" si="90"/>
        <v>3</v>
      </c>
      <c r="AA287" s="15">
        <f t="shared" si="91"/>
        <v>0.02</v>
      </c>
    </row>
    <row r="288" spans="1:27" ht="16.5" x14ac:dyDescent="0.2">
      <c r="A288" s="115"/>
      <c r="B288" s="74" t="s">
        <v>643</v>
      </c>
      <c r="C288" s="74">
        <v>4</v>
      </c>
      <c r="D288" s="74">
        <f>INDEX(神器!$M$4:$M$7,世界BOSS专属武器!C288)</f>
        <v>600</v>
      </c>
      <c r="E288" s="74">
        <f t="shared" si="78"/>
        <v>1.6666666666666668E-3</v>
      </c>
      <c r="F288" s="74">
        <f t="shared" si="79"/>
        <v>114</v>
      </c>
      <c r="G288" s="74">
        <v>1</v>
      </c>
      <c r="H288" s="74">
        <v>1</v>
      </c>
      <c r="M288" s="15">
        <v>209</v>
      </c>
      <c r="N288" s="15">
        <f t="shared" si="80"/>
        <v>5</v>
      </c>
      <c r="O288" s="15">
        <f>INDEX(卡牌消耗!$H$13:$H$33,世界BOSS专属武器!N288)</f>
        <v>1501005</v>
      </c>
      <c r="P288" s="49" t="s">
        <v>408</v>
      </c>
      <c r="Q288" s="15">
        <f t="shared" si="81"/>
        <v>4</v>
      </c>
      <c r="R288" s="49" t="str">
        <f t="shared" si="82"/>
        <v>金币</v>
      </c>
      <c r="S288" s="15">
        <f t="shared" si="83"/>
        <v>400</v>
      </c>
      <c r="T288" s="15" t="str">
        <f t="shared" si="84"/>
        <v>低级专属强化石</v>
      </c>
      <c r="U288" s="15">
        <f t="shared" si="85"/>
        <v>3</v>
      </c>
      <c r="V288" s="15" t="str">
        <f t="shared" si="86"/>
        <v>[x]</v>
      </c>
      <c r="W288" s="15" t="str">
        <f t="shared" si="87"/>
        <v>[x]</v>
      </c>
      <c r="X288" s="15">
        <f t="shared" si="88"/>
        <v>0.46</v>
      </c>
      <c r="Y288" s="15">
        <f t="shared" si="89"/>
        <v>1</v>
      </c>
      <c r="Z288" s="15">
        <f t="shared" si="90"/>
        <v>3</v>
      </c>
      <c r="AA288" s="15">
        <f t="shared" si="91"/>
        <v>2.6700000000000002E-2</v>
      </c>
    </row>
    <row r="289" spans="1:27" ht="16.5" x14ac:dyDescent="0.2">
      <c r="A289" s="115"/>
      <c r="B289" s="74" t="s">
        <v>644</v>
      </c>
      <c r="C289" s="74">
        <v>2</v>
      </c>
      <c r="D289" s="74">
        <f>INDEX(神器!$M$4:$M$7,世界BOSS专属武器!C289)</f>
        <v>120</v>
      </c>
      <c r="E289" s="74">
        <f t="shared" si="78"/>
        <v>8.3333333333333332E-3</v>
      </c>
      <c r="F289" s="74">
        <f t="shared" si="79"/>
        <v>568</v>
      </c>
      <c r="G289" s="74">
        <v>1</v>
      </c>
      <c r="H289" s="74">
        <v>1</v>
      </c>
      <c r="M289" s="15">
        <v>210</v>
      </c>
      <c r="N289" s="15">
        <f t="shared" si="80"/>
        <v>5</v>
      </c>
      <c r="O289" s="15">
        <f>INDEX(卡牌消耗!$H$13:$H$33,世界BOSS专属武器!N289)</f>
        <v>1501005</v>
      </c>
      <c r="P289" s="49" t="s">
        <v>408</v>
      </c>
      <c r="Q289" s="15">
        <f t="shared" si="81"/>
        <v>5</v>
      </c>
      <c r="R289" s="49" t="str">
        <f t="shared" si="82"/>
        <v>金币</v>
      </c>
      <c r="S289" s="15">
        <f t="shared" si="83"/>
        <v>500</v>
      </c>
      <c r="T289" s="15" t="str">
        <f t="shared" si="84"/>
        <v>低级专属强化石</v>
      </c>
      <c r="U289" s="15">
        <f t="shared" si="85"/>
        <v>4</v>
      </c>
      <c r="V289" s="15" t="str">
        <f t="shared" si="86"/>
        <v>[x]</v>
      </c>
      <c r="W289" s="15" t="str">
        <f t="shared" si="87"/>
        <v>[x]</v>
      </c>
      <c r="X289" s="15">
        <f t="shared" si="88"/>
        <v>0.44</v>
      </c>
      <c r="Y289" s="15">
        <f t="shared" si="89"/>
        <v>1</v>
      </c>
      <c r="Z289" s="15">
        <f t="shared" si="90"/>
        <v>3</v>
      </c>
      <c r="AA289" s="15">
        <f t="shared" si="91"/>
        <v>3.3300000000000003E-2</v>
      </c>
    </row>
    <row r="290" spans="1:27" ht="16.5" x14ac:dyDescent="0.2">
      <c r="A290" s="115"/>
      <c r="B290" s="74" t="s">
        <v>645</v>
      </c>
      <c r="C290" s="74">
        <v>2</v>
      </c>
      <c r="D290" s="74">
        <f>INDEX(神器!$M$4:$M$7,世界BOSS专属武器!C290)</f>
        <v>120</v>
      </c>
      <c r="E290" s="74">
        <f t="shared" si="78"/>
        <v>8.3333333333333332E-3</v>
      </c>
      <c r="F290" s="74">
        <f t="shared" si="79"/>
        <v>568</v>
      </c>
      <c r="G290" s="74">
        <v>1</v>
      </c>
      <c r="H290" s="74">
        <v>1</v>
      </c>
      <c r="M290" s="15">
        <v>211</v>
      </c>
      <c r="N290" s="15">
        <f t="shared" si="80"/>
        <v>5</v>
      </c>
      <c r="O290" s="15">
        <f>INDEX(卡牌消耗!$H$13:$H$33,世界BOSS专属武器!N290)</f>
        <v>1501005</v>
      </c>
      <c r="P290" s="49" t="s">
        <v>408</v>
      </c>
      <c r="Q290" s="15">
        <f t="shared" si="81"/>
        <v>6</v>
      </c>
      <c r="R290" s="49" t="str">
        <f t="shared" si="82"/>
        <v>金币</v>
      </c>
      <c r="S290" s="15">
        <f t="shared" si="83"/>
        <v>600</v>
      </c>
      <c r="T290" s="15" t="str">
        <f t="shared" si="84"/>
        <v>低级专属强化石</v>
      </c>
      <c r="U290" s="15">
        <f t="shared" si="85"/>
        <v>5</v>
      </c>
      <c r="V290" s="15" t="str">
        <f t="shared" si="86"/>
        <v>[x]</v>
      </c>
      <c r="W290" s="15" t="str">
        <f t="shared" si="87"/>
        <v>[x]</v>
      </c>
      <c r="X290" s="15">
        <f t="shared" si="88"/>
        <v>0.42</v>
      </c>
      <c r="Y290" s="15">
        <f t="shared" si="89"/>
        <v>1</v>
      </c>
      <c r="Z290" s="15">
        <f t="shared" si="90"/>
        <v>4</v>
      </c>
      <c r="AA290" s="15">
        <f t="shared" si="91"/>
        <v>0.04</v>
      </c>
    </row>
    <row r="291" spans="1:27" ht="16.5" x14ac:dyDescent="0.2">
      <c r="A291" s="115"/>
      <c r="B291" s="74" t="s">
        <v>646</v>
      </c>
      <c r="C291" s="74">
        <v>2</v>
      </c>
      <c r="D291" s="74">
        <f>INDEX(神器!$M$4:$M$7,世界BOSS专属武器!C291)</f>
        <v>120</v>
      </c>
      <c r="E291" s="74">
        <f t="shared" si="78"/>
        <v>8.3333333333333332E-3</v>
      </c>
      <c r="F291" s="74">
        <f t="shared" si="79"/>
        <v>568</v>
      </c>
      <c r="G291" s="74">
        <v>1</v>
      </c>
      <c r="H291" s="74">
        <v>1</v>
      </c>
      <c r="M291" s="15">
        <v>212</v>
      </c>
      <c r="N291" s="15">
        <f t="shared" si="80"/>
        <v>5</v>
      </c>
      <c r="O291" s="15">
        <f>INDEX(卡牌消耗!$H$13:$H$33,世界BOSS专属武器!N291)</f>
        <v>1501005</v>
      </c>
      <c r="P291" s="49" t="s">
        <v>408</v>
      </c>
      <c r="Q291" s="15">
        <f t="shared" si="81"/>
        <v>7</v>
      </c>
      <c r="R291" s="49" t="str">
        <f t="shared" si="82"/>
        <v>金币</v>
      </c>
      <c r="S291" s="15">
        <f t="shared" si="83"/>
        <v>700</v>
      </c>
      <c r="T291" s="15" t="str">
        <f t="shared" si="84"/>
        <v>低级专属强化石</v>
      </c>
      <c r="U291" s="15">
        <f t="shared" si="85"/>
        <v>5</v>
      </c>
      <c r="V291" s="15" t="str">
        <f t="shared" si="86"/>
        <v>[x]</v>
      </c>
      <c r="W291" s="15" t="str">
        <f t="shared" si="87"/>
        <v>[x]</v>
      </c>
      <c r="X291" s="15">
        <f t="shared" si="88"/>
        <v>0.4</v>
      </c>
      <c r="Y291" s="15">
        <f t="shared" si="89"/>
        <v>1</v>
      </c>
      <c r="Z291" s="15">
        <f t="shared" si="90"/>
        <v>4</v>
      </c>
      <c r="AA291" s="15">
        <f t="shared" si="91"/>
        <v>4.6699999999999998E-2</v>
      </c>
    </row>
    <row r="292" spans="1:27" ht="16.5" x14ac:dyDescent="0.2">
      <c r="A292" s="115"/>
      <c r="B292" s="74" t="s">
        <v>652</v>
      </c>
      <c r="C292" s="74">
        <v>2</v>
      </c>
      <c r="D292" s="74">
        <f>INDEX(神器!$M$4:$M$7,世界BOSS专属武器!C292)</f>
        <v>120</v>
      </c>
      <c r="E292" s="74">
        <f t="shared" si="78"/>
        <v>8.3333333333333332E-3</v>
      </c>
      <c r="F292" s="74">
        <f t="shared" si="79"/>
        <v>568</v>
      </c>
      <c r="G292" s="74">
        <v>1</v>
      </c>
      <c r="H292" s="74">
        <v>1</v>
      </c>
      <c r="M292" s="15">
        <v>213</v>
      </c>
      <c r="N292" s="15">
        <f t="shared" si="80"/>
        <v>5</v>
      </c>
      <c r="O292" s="15">
        <f>INDEX(卡牌消耗!$H$13:$H$33,世界BOSS专属武器!N292)</f>
        <v>1501005</v>
      </c>
      <c r="P292" s="49" t="s">
        <v>408</v>
      </c>
      <c r="Q292" s="15">
        <f t="shared" si="81"/>
        <v>8</v>
      </c>
      <c r="R292" s="49" t="str">
        <f t="shared" si="82"/>
        <v>金币</v>
      </c>
      <c r="S292" s="15">
        <f t="shared" si="83"/>
        <v>800</v>
      </c>
      <c r="T292" s="15" t="str">
        <f t="shared" si="84"/>
        <v>低级专属强化石</v>
      </c>
      <c r="U292" s="15">
        <f t="shared" si="85"/>
        <v>5</v>
      </c>
      <c r="V292" s="15" t="str">
        <f t="shared" si="86"/>
        <v>[x]</v>
      </c>
      <c r="W292" s="15" t="str">
        <f t="shared" si="87"/>
        <v>[x]</v>
      </c>
      <c r="X292" s="15">
        <f t="shared" si="88"/>
        <v>0.38</v>
      </c>
      <c r="Y292" s="15">
        <f t="shared" si="89"/>
        <v>1</v>
      </c>
      <c r="Z292" s="15">
        <f t="shared" si="90"/>
        <v>5</v>
      </c>
      <c r="AA292" s="15">
        <f t="shared" si="91"/>
        <v>5.33E-2</v>
      </c>
    </row>
    <row r="293" spans="1:27" ht="16.5" x14ac:dyDescent="0.2">
      <c r="A293" s="115"/>
      <c r="B293" s="74" t="s">
        <v>653</v>
      </c>
      <c r="C293" s="74">
        <v>2</v>
      </c>
      <c r="D293" s="74">
        <f>INDEX(神器!$M$4:$M$7,世界BOSS专属武器!C293)</f>
        <v>120</v>
      </c>
      <c r="E293" s="74">
        <f t="shared" si="78"/>
        <v>8.3333333333333332E-3</v>
      </c>
      <c r="F293" s="74">
        <f t="shared" si="79"/>
        <v>568</v>
      </c>
      <c r="G293" s="74">
        <v>1</v>
      </c>
      <c r="H293" s="74">
        <v>1</v>
      </c>
      <c r="M293" s="15">
        <v>214</v>
      </c>
      <c r="N293" s="15">
        <f t="shared" si="80"/>
        <v>5</v>
      </c>
      <c r="O293" s="15">
        <f>INDEX(卡牌消耗!$H$13:$H$33,世界BOSS专属武器!N293)</f>
        <v>1501005</v>
      </c>
      <c r="P293" s="49" t="s">
        <v>408</v>
      </c>
      <c r="Q293" s="15">
        <f t="shared" si="81"/>
        <v>9</v>
      </c>
      <c r="R293" s="49" t="str">
        <f t="shared" si="82"/>
        <v>金币</v>
      </c>
      <c r="S293" s="15">
        <f t="shared" si="83"/>
        <v>900</v>
      </c>
      <c r="T293" s="15" t="str">
        <f t="shared" si="84"/>
        <v>低级专属强化石</v>
      </c>
      <c r="U293" s="15">
        <f t="shared" si="85"/>
        <v>5</v>
      </c>
      <c r="V293" s="15" t="str">
        <f t="shared" si="86"/>
        <v>[x]</v>
      </c>
      <c r="W293" s="15" t="str">
        <f t="shared" si="87"/>
        <v>[x]</v>
      </c>
      <c r="X293" s="15">
        <f t="shared" si="88"/>
        <v>0.36</v>
      </c>
      <c r="Y293" s="15">
        <f t="shared" si="89"/>
        <v>1</v>
      </c>
      <c r="Z293" s="15">
        <f t="shared" si="90"/>
        <v>5</v>
      </c>
      <c r="AA293" s="15">
        <f t="shared" si="91"/>
        <v>0.06</v>
      </c>
    </row>
    <row r="294" spans="1:27" ht="16.5" x14ac:dyDescent="0.2">
      <c r="A294" s="115"/>
      <c r="B294" s="74" t="s">
        <v>654</v>
      </c>
      <c r="C294" s="74">
        <v>2</v>
      </c>
      <c r="D294" s="74">
        <f>INDEX(神器!$M$4:$M$7,世界BOSS专属武器!C294)</f>
        <v>120</v>
      </c>
      <c r="E294" s="74">
        <f t="shared" si="78"/>
        <v>8.3333333333333332E-3</v>
      </c>
      <c r="F294" s="74">
        <f>10000-SUM(F271:F293)</f>
        <v>566</v>
      </c>
      <c r="G294" s="74">
        <v>1</v>
      </c>
      <c r="H294" s="74">
        <v>1</v>
      </c>
      <c r="M294" s="15">
        <v>215</v>
      </c>
      <c r="N294" s="15">
        <f t="shared" si="80"/>
        <v>5</v>
      </c>
      <c r="O294" s="15">
        <f>INDEX(卡牌消耗!$H$13:$H$33,世界BOSS专属武器!N294)</f>
        <v>1501005</v>
      </c>
      <c r="P294" s="49" t="s">
        <v>408</v>
      </c>
      <c r="Q294" s="15">
        <f t="shared" si="81"/>
        <v>10</v>
      </c>
      <c r="R294" s="49" t="str">
        <f t="shared" si="82"/>
        <v>金币</v>
      </c>
      <c r="S294" s="15">
        <f t="shared" si="83"/>
        <v>1000</v>
      </c>
      <c r="T294" s="15" t="str">
        <f t="shared" si="84"/>
        <v>低级专属强化石</v>
      </c>
      <c r="U294" s="15">
        <f t="shared" si="85"/>
        <v>7</v>
      </c>
      <c r="V294" s="15" t="str">
        <f t="shared" si="86"/>
        <v>[x]</v>
      </c>
      <c r="W294" s="15" t="str">
        <f t="shared" si="87"/>
        <v>[x]</v>
      </c>
      <c r="X294" s="15">
        <f t="shared" si="88"/>
        <v>0.35</v>
      </c>
      <c r="Y294" s="15">
        <f t="shared" si="89"/>
        <v>1</v>
      </c>
      <c r="Z294" s="15">
        <f t="shared" si="90"/>
        <v>5</v>
      </c>
      <c r="AA294" s="15">
        <f t="shared" si="91"/>
        <v>6.6699999999999995E-2</v>
      </c>
    </row>
    <row r="295" spans="1:27" ht="16.5" x14ac:dyDescent="0.2">
      <c r="M295" s="15">
        <v>216</v>
      </c>
      <c r="N295" s="15">
        <f t="shared" si="80"/>
        <v>5</v>
      </c>
      <c r="O295" s="15">
        <f>INDEX(卡牌消耗!$H$13:$H$33,世界BOSS专属武器!N295)</f>
        <v>1501005</v>
      </c>
      <c r="P295" s="49" t="s">
        <v>408</v>
      </c>
      <c r="Q295" s="15">
        <f t="shared" si="81"/>
        <v>11</v>
      </c>
      <c r="R295" s="49" t="str">
        <f t="shared" si="82"/>
        <v>金币</v>
      </c>
      <c r="S295" s="15">
        <f t="shared" si="83"/>
        <v>1000</v>
      </c>
      <c r="T295" s="15" t="str">
        <f t="shared" si="84"/>
        <v>低级专属强化石</v>
      </c>
      <c r="U295" s="15">
        <f t="shared" si="85"/>
        <v>7</v>
      </c>
      <c r="V295" s="15" t="str">
        <f t="shared" si="86"/>
        <v>[x]</v>
      </c>
      <c r="W295" s="15" t="str">
        <f t="shared" si="87"/>
        <v>[x]</v>
      </c>
      <c r="X295" s="15">
        <f t="shared" si="88"/>
        <v>0.33</v>
      </c>
      <c r="Y295" s="15">
        <f t="shared" si="89"/>
        <v>1</v>
      </c>
      <c r="Z295" s="15">
        <f t="shared" si="90"/>
        <v>6</v>
      </c>
      <c r="AA295" s="15">
        <f t="shared" si="91"/>
        <v>0.08</v>
      </c>
    </row>
    <row r="296" spans="1:27" ht="16.5" x14ac:dyDescent="0.2">
      <c r="D296" s="15">
        <f>SUMPRODUCT(D297:D321,E297:E321)/E296</f>
        <v>239.17995444191345</v>
      </c>
      <c r="E296" s="15">
        <f>SUM(E297:E321)</f>
        <v>0.10452380952380952</v>
      </c>
      <c r="M296" s="15">
        <v>217</v>
      </c>
      <c r="N296" s="15">
        <f t="shared" si="80"/>
        <v>5</v>
      </c>
      <c r="O296" s="15">
        <f>INDEX(卡牌消耗!$H$13:$H$33,世界BOSS专属武器!N296)</f>
        <v>1501005</v>
      </c>
      <c r="P296" s="49" t="s">
        <v>408</v>
      </c>
      <c r="Q296" s="15">
        <f t="shared" si="81"/>
        <v>12</v>
      </c>
      <c r="R296" s="49" t="str">
        <f t="shared" si="82"/>
        <v>金币</v>
      </c>
      <c r="S296" s="15">
        <f t="shared" si="83"/>
        <v>1000</v>
      </c>
      <c r="T296" s="15" t="str">
        <f t="shared" si="84"/>
        <v>低级专属强化石</v>
      </c>
      <c r="U296" s="15">
        <f t="shared" si="85"/>
        <v>7</v>
      </c>
      <c r="V296" s="15" t="str">
        <f t="shared" si="86"/>
        <v>[x]</v>
      </c>
      <c r="W296" s="15" t="str">
        <f t="shared" si="87"/>
        <v>[x]</v>
      </c>
      <c r="X296" s="15">
        <f t="shared" si="88"/>
        <v>0.31</v>
      </c>
      <c r="Y296" s="15">
        <f t="shared" si="89"/>
        <v>1</v>
      </c>
      <c r="Z296" s="15">
        <f t="shared" si="90"/>
        <v>6</v>
      </c>
      <c r="AA296" s="15">
        <f t="shared" si="91"/>
        <v>9.3299999999999994E-2</v>
      </c>
    </row>
    <row r="297" spans="1:27" ht="16.5" customHeight="1" x14ac:dyDescent="0.2">
      <c r="A297" s="115" t="s">
        <v>737</v>
      </c>
      <c r="B297" s="74" t="s">
        <v>629</v>
      </c>
      <c r="C297" s="74">
        <v>3</v>
      </c>
      <c r="D297" s="74">
        <f>INDEX(神器!$M$4:$M$7,世界BOSS专属武器!C297)</f>
        <v>280</v>
      </c>
      <c r="E297" s="74">
        <f t="shared" ref="E297:E321" si="92">1/D297</f>
        <v>3.5714285714285713E-3</v>
      </c>
      <c r="F297" s="74">
        <f t="shared" ref="F297:F320" si="93">ROUND(10000*E297/E$296,0)</f>
        <v>342</v>
      </c>
      <c r="G297" s="74">
        <v>1</v>
      </c>
      <c r="H297" s="74">
        <v>1</v>
      </c>
      <c r="M297" s="15">
        <v>218</v>
      </c>
      <c r="N297" s="15">
        <f t="shared" si="80"/>
        <v>5</v>
      </c>
      <c r="O297" s="15">
        <f>INDEX(卡牌消耗!$H$13:$H$33,世界BOSS专属武器!N297)</f>
        <v>1501005</v>
      </c>
      <c r="P297" s="49" t="s">
        <v>408</v>
      </c>
      <c r="Q297" s="15">
        <f t="shared" si="81"/>
        <v>13</v>
      </c>
      <c r="R297" s="49" t="str">
        <f t="shared" si="82"/>
        <v>金币</v>
      </c>
      <c r="S297" s="15">
        <f t="shared" si="83"/>
        <v>1000</v>
      </c>
      <c r="T297" s="15" t="str">
        <f t="shared" si="84"/>
        <v>低级专属强化石</v>
      </c>
      <c r="U297" s="15">
        <f t="shared" si="85"/>
        <v>7</v>
      </c>
      <c r="V297" s="15" t="str">
        <f t="shared" si="86"/>
        <v>[x]</v>
      </c>
      <c r="W297" s="15" t="str">
        <f t="shared" si="87"/>
        <v>[x]</v>
      </c>
      <c r="X297" s="15">
        <f t="shared" si="88"/>
        <v>0.28999999999999998</v>
      </c>
      <c r="Y297" s="15">
        <f t="shared" si="89"/>
        <v>1</v>
      </c>
      <c r="Z297" s="15">
        <f t="shared" si="90"/>
        <v>7</v>
      </c>
      <c r="AA297" s="15">
        <f t="shared" si="91"/>
        <v>0.1067</v>
      </c>
    </row>
    <row r="298" spans="1:27" ht="16.5" x14ac:dyDescent="0.2">
      <c r="A298" s="115"/>
      <c r="B298" s="74" t="s">
        <v>630</v>
      </c>
      <c r="C298" s="74">
        <v>3</v>
      </c>
      <c r="D298" s="74">
        <f>INDEX(神器!$M$4:$M$7,世界BOSS专属武器!C298)</f>
        <v>280</v>
      </c>
      <c r="E298" s="74">
        <f t="shared" si="92"/>
        <v>3.5714285714285713E-3</v>
      </c>
      <c r="F298" s="74">
        <f t="shared" si="93"/>
        <v>342</v>
      </c>
      <c r="G298" s="74">
        <v>1</v>
      </c>
      <c r="H298" s="74">
        <v>1</v>
      </c>
      <c r="M298" s="15">
        <v>219</v>
      </c>
      <c r="N298" s="15">
        <f t="shared" si="80"/>
        <v>5</v>
      </c>
      <c r="O298" s="15">
        <f>INDEX(卡牌消耗!$H$13:$H$33,世界BOSS专属武器!N298)</f>
        <v>1501005</v>
      </c>
      <c r="P298" s="49" t="s">
        <v>408</v>
      </c>
      <c r="Q298" s="15">
        <f t="shared" si="81"/>
        <v>14</v>
      </c>
      <c r="R298" s="49" t="str">
        <f t="shared" si="82"/>
        <v>金币</v>
      </c>
      <c r="S298" s="15">
        <f t="shared" si="83"/>
        <v>1000</v>
      </c>
      <c r="T298" s="15" t="str">
        <f t="shared" si="84"/>
        <v>低级专属强化石</v>
      </c>
      <c r="U298" s="15">
        <f t="shared" si="85"/>
        <v>7</v>
      </c>
      <c r="V298" s="15" t="str">
        <f t="shared" si="86"/>
        <v>[x]</v>
      </c>
      <c r="W298" s="15" t="str">
        <f t="shared" si="87"/>
        <v>[x]</v>
      </c>
      <c r="X298" s="15">
        <f t="shared" si="88"/>
        <v>0.27</v>
      </c>
      <c r="Y298" s="15">
        <f t="shared" si="89"/>
        <v>1</v>
      </c>
      <c r="Z298" s="15">
        <f t="shared" si="90"/>
        <v>7</v>
      </c>
      <c r="AA298" s="15">
        <f t="shared" si="91"/>
        <v>0.12</v>
      </c>
    </row>
    <row r="299" spans="1:27" ht="16.5" x14ac:dyDescent="0.2">
      <c r="A299" s="115"/>
      <c r="B299" s="74" t="s">
        <v>631</v>
      </c>
      <c r="C299" s="74">
        <v>4</v>
      </c>
      <c r="D299" s="74">
        <f>INDEX(神器!$M$4:$M$7,世界BOSS专属武器!C299)</f>
        <v>600</v>
      </c>
      <c r="E299" s="74">
        <f t="shared" si="92"/>
        <v>1.6666666666666668E-3</v>
      </c>
      <c r="F299" s="74">
        <f t="shared" si="93"/>
        <v>159</v>
      </c>
      <c r="G299" s="74">
        <v>1</v>
      </c>
      <c r="H299" s="74">
        <v>1</v>
      </c>
      <c r="M299" s="15">
        <v>220</v>
      </c>
      <c r="N299" s="15">
        <f t="shared" si="80"/>
        <v>5</v>
      </c>
      <c r="O299" s="15">
        <f>INDEX(卡牌消耗!$H$13:$H$33,世界BOSS专属武器!N299)</f>
        <v>1501005</v>
      </c>
      <c r="P299" s="49" t="s">
        <v>408</v>
      </c>
      <c r="Q299" s="15">
        <f t="shared" si="81"/>
        <v>15</v>
      </c>
      <c r="R299" s="49" t="str">
        <f t="shared" si="82"/>
        <v>金币</v>
      </c>
      <c r="S299" s="15">
        <f t="shared" si="83"/>
        <v>1000</v>
      </c>
      <c r="T299" s="15" t="str">
        <f t="shared" si="84"/>
        <v>低级专属强化石</v>
      </c>
      <c r="U299" s="15">
        <f t="shared" si="85"/>
        <v>10</v>
      </c>
      <c r="V299" s="15" t="str">
        <f t="shared" si="86"/>
        <v>[x]</v>
      </c>
      <c r="W299" s="15" t="str">
        <f t="shared" si="87"/>
        <v>[x]</v>
      </c>
      <c r="X299" s="15">
        <f t="shared" si="88"/>
        <v>0.25</v>
      </c>
      <c r="Y299" s="15">
        <f t="shared" si="89"/>
        <v>1</v>
      </c>
      <c r="Z299" s="15">
        <f t="shared" si="90"/>
        <v>8</v>
      </c>
      <c r="AA299" s="15">
        <f t="shared" si="91"/>
        <v>0.1333</v>
      </c>
    </row>
    <row r="300" spans="1:27" ht="16.5" x14ac:dyDescent="0.2">
      <c r="A300" s="115"/>
      <c r="B300" s="74" t="s">
        <v>635</v>
      </c>
      <c r="C300" s="74">
        <v>3</v>
      </c>
      <c r="D300" s="74">
        <f>INDEX(神器!$M$4:$M$7,世界BOSS专属武器!C300)</f>
        <v>280</v>
      </c>
      <c r="E300" s="74">
        <f t="shared" si="92"/>
        <v>3.5714285714285713E-3</v>
      </c>
      <c r="F300" s="74">
        <f t="shared" si="93"/>
        <v>342</v>
      </c>
      <c r="G300" s="74">
        <v>1</v>
      </c>
      <c r="H300" s="74">
        <v>1</v>
      </c>
      <c r="M300" s="15">
        <v>221</v>
      </c>
      <c r="N300" s="15">
        <f t="shared" si="80"/>
        <v>5</v>
      </c>
      <c r="O300" s="15">
        <f>INDEX(卡牌消耗!$H$13:$H$33,世界BOSS专属武器!N300)</f>
        <v>1501005</v>
      </c>
      <c r="P300" s="49" t="s">
        <v>408</v>
      </c>
      <c r="Q300" s="15">
        <f t="shared" si="81"/>
        <v>16</v>
      </c>
      <c r="R300" s="49" t="str">
        <f t="shared" si="82"/>
        <v>金币</v>
      </c>
      <c r="S300" s="15">
        <f t="shared" si="83"/>
        <v>1000</v>
      </c>
      <c r="T300" s="15" t="str">
        <f t="shared" si="84"/>
        <v>低级专属强化石</v>
      </c>
      <c r="U300" s="15">
        <f t="shared" si="85"/>
        <v>10</v>
      </c>
      <c r="V300" s="15" t="str">
        <f t="shared" si="86"/>
        <v>[x]</v>
      </c>
      <c r="W300" s="15" t="str">
        <f t="shared" si="87"/>
        <v>[x]</v>
      </c>
      <c r="X300" s="15">
        <f t="shared" si="88"/>
        <v>0.23</v>
      </c>
      <c r="Y300" s="15">
        <f t="shared" si="89"/>
        <v>1</v>
      </c>
      <c r="Z300" s="15">
        <f t="shared" si="90"/>
        <v>9</v>
      </c>
      <c r="AA300" s="15">
        <f t="shared" si="91"/>
        <v>0.1467</v>
      </c>
    </row>
    <row r="301" spans="1:27" ht="16.5" x14ac:dyDescent="0.2">
      <c r="A301" s="115"/>
      <c r="B301" s="74" t="s">
        <v>636</v>
      </c>
      <c r="C301" s="74">
        <v>3</v>
      </c>
      <c r="D301" s="74">
        <f>INDEX(神器!$M$4:$M$7,世界BOSS专属武器!C301)</f>
        <v>280</v>
      </c>
      <c r="E301" s="74">
        <f t="shared" si="92"/>
        <v>3.5714285714285713E-3</v>
      </c>
      <c r="F301" s="74">
        <f t="shared" si="93"/>
        <v>342</v>
      </c>
      <c r="G301" s="74">
        <v>1</v>
      </c>
      <c r="H301" s="74">
        <v>1</v>
      </c>
      <c r="M301" s="15">
        <v>222</v>
      </c>
      <c r="N301" s="15">
        <f t="shared" si="80"/>
        <v>5</v>
      </c>
      <c r="O301" s="15">
        <f>INDEX(卡牌消耗!$H$13:$H$33,世界BOSS专属武器!N301)</f>
        <v>1501005</v>
      </c>
      <c r="P301" s="49" t="s">
        <v>408</v>
      </c>
      <c r="Q301" s="15">
        <f t="shared" si="81"/>
        <v>17</v>
      </c>
      <c r="R301" s="49" t="str">
        <f t="shared" si="82"/>
        <v>金币</v>
      </c>
      <c r="S301" s="15">
        <f t="shared" si="83"/>
        <v>1000</v>
      </c>
      <c r="T301" s="15" t="str">
        <f t="shared" si="84"/>
        <v>低级专属强化石</v>
      </c>
      <c r="U301" s="15">
        <f t="shared" si="85"/>
        <v>10</v>
      </c>
      <c r="V301" s="15" t="str">
        <f t="shared" si="86"/>
        <v>[x]</v>
      </c>
      <c r="W301" s="15" t="str">
        <f t="shared" si="87"/>
        <v>[x]</v>
      </c>
      <c r="X301" s="15">
        <f t="shared" si="88"/>
        <v>0.21</v>
      </c>
      <c r="Y301" s="15">
        <f t="shared" si="89"/>
        <v>1</v>
      </c>
      <c r="Z301" s="15">
        <f t="shared" si="90"/>
        <v>10</v>
      </c>
      <c r="AA301" s="15">
        <f t="shared" si="91"/>
        <v>0.16</v>
      </c>
    </row>
    <row r="302" spans="1:27" ht="16.5" x14ac:dyDescent="0.2">
      <c r="A302" s="115"/>
      <c r="B302" s="74" t="s">
        <v>637</v>
      </c>
      <c r="C302" s="74">
        <v>4</v>
      </c>
      <c r="D302" s="74">
        <f>INDEX(神器!$M$4:$M$7,世界BOSS专属武器!C302)</f>
        <v>600</v>
      </c>
      <c r="E302" s="74">
        <f t="shared" si="92"/>
        <v>1.6666666666666668E-3</v>
      </c>
      <c r="F302" s="74">
        <f t="shared" si="93"/>
        <v>159</v>
      </c>
      <c r="G302" s="74">
        <v>1</v>
      </c>
      <c r="H302" s="74">
        <v>1</v>
      </c>
      <c r="M302" s="15">
        <v>223</v>
      </c>
      <c r="N302" s="15">
        <f t="shared" si="80"/>
        <v>5</v>
      </c>
      <c r="O302" s="15">
        <f>INDEX(卡牌消耗!$H$13:$H$33,世界BOSS专属武器!N302)</f>
        <v>1501005</v>
      </c>
      <c r="P302" s="49" t="s">
        <v>408</v>
      </c>
      <c r="Q302" s="15">
        <f t="shared" si="81"/>
        <v>18</v>
      </c>
      <c r="R302" s="49" t="str">
        <f t="shared" si="82"/>
        <v>金币</v>
      </c>
      <c r="S302" s="15">
        <f t="shared" si="83"/>
        <v>1000</v>
      </c>
      <c r="T302" s="15" t="str">
        <f t="shared" si="84"/>
        <v>低级专属强化石</v>
      </c>
      <c r="U302" s="15">
        <f t="shared" si="85"/>
        <v>10</v>
      </c>
      <c r="V302" s="15" t="str">
        <f t="shared" si="86"/>
        <v>[x]</v>
      </c>
      <c r="W302" s="15" t="str">
        <f t="shared" si="87"/>
        <v>[x]</v>
      </c>
      <c r="X302" s="15">
        <f t="shared" si="88"/>
        <v>0.19</v>
      </c>
      <c r="Y302" s="15">
        <f t="shared" si="89"/>
        <v>1</v>
      </c>
      <c r="Z302" s="15">
        <f t="shared" si="90"/>
        <v>11</v>
      </c>
      <c r="AA302" s="15">
        <f t="shared" si="91"/>
        <v>0.17330000000000001</v>
      </c>
    </row>
    <row r="303" spans="1:27" ht="16.5" x14ac:dyDescent="0.2">
      <c r="A303" s="115"/>
      <c r="B303" s="74" t="s">
        <v>641</v>
      </c>
      <c r="C303" s="74">
        <v>3</v>
      </c>
      <c r="D303" s="74">
        <f>INDEX(神器!$M$4:$M$7,世界BOSS专属武器!C303)</f>
        <v>280</v>
      </c>
      <c r="E303" s="74">
        <f t="shared" si="92"/>
        <v>3.5714285714285713E-3</v>
      </c>
      <c r="F303" s="74">
        <f t="shared" si="93"/>
        <v>342</v>
      </c>
      <c r="G303" s="74">
        <v>1</v>
      </c>
      <c r="H303" s="74">
        <v>1</v>
      </c>
      <c r="M303" s="15">
        <v>224</v>
      </c>
      <c r="N303" s="15">
        <f t="shared" si="80"/>
        <v>5</v>
      </c>
      <c r="O303" s="15">
        <f>INDEX(卡牌消耗!$H$13:$H$33,世界BOSS专属武器!N303)</f>
        <v>1501005</v>
      </c>
      <c r="P303" s="49" t="s">
        <v>408</v>
      </c>
      <c r="Q303" s="15">
        <f t="shared" si="81"/>
        <v>19</v>
      </c>
      <c r="R303" s="49" t="str">
        <f t="shared" si="82"/>
        <v>金币</v>
      </c>
      <c r="S303" s="15">
        <f t="shared" si="83"/>
        <v>1000</v>
      </c>
      <c r="T303" s="15" t="str">
        <f t="shared" si="84"/>
        <v>低级专属强化石</v>
      </c>
      <c r="U303" s="15">
        <f t="shared" si="85"/>
        <v>10</v>
      </c>
      <c r="V303" s="15" t="str">
        <f t="shared" si="86"/>
        <v>[x]</v>
      </c>
      <c r="W303" s="15" t="str">
        <f t="shared" si="87"/>
        <v>[x]</v>
      </c>
      <c r="X303" s="15">
        <f t="shared" si="88"/>
        <v>0.17</v>
      </c>
      <c r="Y303" s="15">
        <f t="shared" si="89"/>
        <v>1</v>
      </c>
      <c r="Z303" s="15">
        <f t="shared" si="90"/>
        <v>12</v>
      </c>
      <c r="AA303" s="15">
        <f t="shared" si="91"/>
        <v>0.1867</v>
      </c>
    </row>
    <row r="304" spans="1:27" ht="16.5" x14ac:dyDescent="0.2">
      <c r="A304" s="115"/>
      <c r="B304" s="74" t="s">
        <v>642</v>
      </c>
      <c r="C304" s="74">
        <v>3</v>
      </c>
      <c r="D304" s="74">
        <f>INDEX(神器!$M$4:$M$7,世界BOSS专属武器!C304)</f>
        <v>280</v>
      </c>
      <c r="E304" s="74">
        <f t="shared" si="92"/>
        <v>3.5714285714285713E-3</v>
      </c>
      <c r="F304" s="74">
        <f t="shared" si="93"/>
        <v>342</v>
      </c>
      <c r="G304" s="74">
        <v>1</v>
      </c>
      <c r="H304" s="74">
        <v>1</v>
      </c>
      <c r="M304" s="15">
        <v>225</v>
      </c>
      <c r="N304" s="15">
        <f t="shared" si="80"/>
        <v>5</v>
      </c>
      <c r="O304" s="15">
        <f>INDEX(卡牌消耗!$H$13:$H$33,世界BOSS专属武器!N304)</f>
        <v>1501005</v>
      </c>
      <c r="P304" s="49" t="s">
        <v>408</v>
      </c>
      <c r="Q304" s="15">
        <f t="shared" si="81"/>
        <v>20</v>
      </c>
      <c r="R304" s="49" t="str">
        <f t="shared" si="82"/>
        <v>金币</v>
      </c>
      <c r="S304" s="15">
        <f t="shared" si="83"/>
        <v>5000</v>
      </c>
      <c r="T304" s="15" t="str">
        <f t="shared" si="84"/>
        <v>低级专属强化石</v>
      </c>
      <c r="U304" s="15">
        <f t="shared" si="85"/>
        <v>15</v>
      </c>
      <c r="V304" s="15" t="str">
        <f t="shared" si="86"/>
        <v>中级专属强化石</v>
      </c>
      <c r="W304" s="15">
        <f t="shared" si="87"/>
        <v>7</v>
      </c>
      <c r="X304" s="15">
        <f t="shared" si="88"/>
        <v>0.15</v>
      </c>
      <c r="Y304" s="15">
        <f t="shared" si="89"/>
        <v>1</v>
      </c>
      <c r="Z304" s="15">
        <f t="shared" si="90"/>
        <v>15</v>
      </c>
      <c r="AA304" s="15">
        <f t="shared" si="91"/>
        <v>0.2</v>
      </c>
    </row>
    <row r="305" spans="1:27" ht="16.5" x14ac:dyDescent="0.2">
      <c r="A305" s="115"/>
      <c r="B305" s="74" t="s">
        <v>643</v>
      </c>
      <c r="C305" s="74">
        <v>4</v>
      </c>
      <c r="D305" s="74">
        <f>INDEX(神器!$M$4:$M$7,世界BOSS专属武器!C305)</f>
        <v>600</v>
      </c>
      <c r="E305" s="74">
        <f t="shared" si="92"/>
        <v>1.6666666666666668E-3</v>
      </c>
      <c r="F305" s="74">
        <f t="shared" si="93"/>
        <v>159</v>
      </c>
      <c r="G305" s="74">
        <v>1</v>
      </c>
      <c r="H305" s="74">
        <v>1</v>
      </c>
      <c r="M305" s="15">
        <v>226</v>
      </c>
      <c r="N305" s="15">
        <f t="shared" si="80"/>
        <v>5</v>
      </c>
      <c r="O305" s="15">
        <f>INDEX(卡牌消耗!$H$13:$H$33,世界BOSS专属武器!N305)</f>
        <v>1501005</v>
      </c>
      <c r="P305" s="49" t="s">
        <v>408</v>
      </c>
      <c r="Q305" s="15">
        <f t="shared" si="81"/>
        <v>21</v>
      </c>
      <c r="R305" s="49" t="str">
        <f t="shared" si="82"/>
        <v>金币</v>
      </c>
      <c r="S305" s="15">
        <f t="shared" si="83"/>
        <v>5000</v>
      </c>
      <c r="T305" s="15" t="str">
        <f t="shared" si="84"/>
        <v>低级专属强化石</v>
      </c>
      <c r="U305" s="15">
        <f t="shared" si="85"/>
        <v>15</v>
      </c>
      <c r="V305" s="15" t="str">
        <f t="shared" si="86"/>
        <v>中级专属强化石</v>
      </c>
      <c r="W305" s="15">
        <f t="shared" si="87"/>
        <v>7</v>
      </c>
      <c r="X305" s="15">
        <f t="shared" si="88"/>
        <v>0.15</v>
      </c>
      <c r="Y305" s="15">
        <f t="shared" si="89"/>
        <v>1</v>
      </c>
      <c r="Z305" s="15">
        <f t="shared" si="90"/>
        <v>15</v>
      </c>
      <c r="AA305" s="15">
        <f t="shared" si="91"/>
        <v>0.22</v>
      </c>
    </row>
    <row r="306" spans="1:27" ht="16.5" x14ac:dyDescent="0.2">
      <c r="A306" s="115"/>
      <c r="B306" s="74" t="s">
        <v>644</v>
      </c>
      <c r="C306" s="74">
        <v>2</v>
      </c>
      <c r="D306" s="74">
        <f>INDEX(神器!$M$4:$M$7,世界BOSS专属武器!C306)</f>
        <v>120</v>
      </c>
      <c r="E306" s="74">
        <f t="shared" si="92"/>
        <v>8.3333333333333332E-3</v>
      </c>
      <c r="F306" s="74">
        <f t="shared" si="93"/>
        <v>797</v>
      </c>
      <c r="G306" s="74">
        <v>1</v>
      </c>
      <c r="H306" s="74">
        <v>1</v>
      </c>
      <c r="M306" s="15">
        <v>227</v>
      </c>
      <c r="N306" s="15">
        <f t="shared" si="80"/>
        <v>5</v>
      </c>
      <c r="O306" s="15">
        <f>INDEX(卡牌消耗!$H$13:$H$33,世界BOSS专属武器!N306)</f>
        <v>1501005</v>
      </c>
      <c r="P306" s="49" t="s">
        <v>408</v>
      </c>
      <c r="Q306" s="15">
        <f t="shared" si="81"/>
        <v>22</v>
      </c>
      <c r="R306" s="49" t="str">
        <f t="shared" si="82"/>
        <v>金币</v>
      </c>
      <c r="S306" s="15">
        <f t="shared" si="83"/>
        <v>5000</v>
      </c>
      <c r="T306" s="15" t="str">
        <f t="shared" si="84"/>
        <v>低级专属强化石</v>
      </c>
      <c r="U306" s="15">
        <f t="shared" si="85"/>
        <v>15</v>
      </c>
      <c r="V306" s="15" t="str">
        <f t="shared" si="86"/>
        <v>中级专属强化石</v>
      </c>
      <c r="W306" s="15">
        <f t="shared" si="87"/>
        <v>7</v>
      </c>
      <c r="X306" s="15">
        <f t="shared" si="88"/>
        <v>0.15</v>
      </c>
      <c r="Y306" s="15">
        <f t="shared" si="89"/>
        <v>1</v>
      </c>
      <c r="Z306" s="15">
        <f t="shared" si="90"/>
        <v>15</v>
      </c>
      <c r="AA306" s="15">
        <f t="shared" si="91"/>
        <v>0.24</v>
      </c>
    </row>
    <row r="307" spans="1:27" ht="16.5" x14ac:dyDescent="0.2">
      <c r="A307" s="115"/>
      <c r="B307" s="74" t="s">
        <v>645</v>
      </c>
      <c r="C307" s="74">
        <v>2</v>
      </c>
      <c r="D307" s="74">
        <f>INDEX(神器!$M$4:$M$7,世界BOSS专属武器!C307)</f>
        <v>120</v>
      </c>
      <c r="E307" s="74">
        <f t="shared" si="92"/>
        <v>8.3333333333333332E-3</v>
      </c>
      <c r="F307" s="74">
        <f t="shared" si="93"/>
        <v>797</v>
      </c>
      <c r="G307" s="74">
        <v>1</v>
      </c>
      <c r="H307" s="74">
        <v>1</v>
      </c>
      <c r="M307" s="15">
        <v>228</v>
      </c>
      <c r="N307" s="15">
        <f t="shared" si="80"/>
        <v>5</v>
      </c>
      <c r="O307" s="15">
        <f>INDEX(卡牌消耗!$H$13:$H$33,世界BOSS专属武器!N307)</f>
        <v>1501005</v>
      </c>
      <c r="P307" s="49" t="s">
        <v>408</v>
      </c>
      <c r="Q307" s="15">
        <f t="shared" si="81"/>
        <v>23</v>
      </c>
      <c r="R307" s="49" t="str">
        <f t="shared" si="82"/>
        <v>金币</v>
      </c>
      <c r="S307" s="15">
        <f t="shared" si="83"/>
        <v>5000</v>
      </c>
      <c r="T307" s="15" t="str">
        <f t="shared" si="84"/>
        <v>低级专属强化石</v>
      </c>
      <c r="U307" s="15">
        <f t="shared" si="85"/>
        <v>15</v>
      </c>
      <c r="V307" s="15" t="str">
        <f t="shared" si="86"/>
        <v>中级专属强化石</v>
      </c>
      <c r="W307" s="15">
        <f t="shared" si="87"/>
        <v>7</v>
      </c>
      <c r="X307" s="15">
        <f t="shared" si="88"/>
        <v>0.15</v>
      </c>
      <c r="Y307" s="15">
        <f t="shared" si="89"/>
        <v>1</v>
      </c>
      <c r="Z307" s="15">
        <f t="shared" si="90"/>
        <v>18</v>
      </c>
      <c r="AA307" s="15">
        <f t="shared" si="91"/>
        <v>0.26</v>
      </c>
    </row>
    <row r="308" spans="1:27" ht="16.5" x14ac:dyDescent="0.2">
      <c r="A308" s="115"/>
      <c r="B308" s="74" t="s">
        <v>646</v>
      </c>
      <c r="C308" s="74">
        <v>2</v>
      </c>
      <c r="D308" s="74">
        <f>INDEX(神器!$M$4:$M$7,世界BOSS专属武器!C308)</f>
        <v>120</v>
      </c>
      <c r="E308" s="74">
        <f t="shared" si="92"/>
        <v>8.3333333333333332E-3</v>
      </c>
      <c r="F308" s="74">
        <f t="shared" si="93"/>
        <v>797</v>
      </c>
      <c r="G308" s="74">
        <v>1</v>
      </c>
      <c r="H308" s="74">
        <v>1</v>
      </c>
      <c r="M308" s="15">
        <v>229</v>
      </c>
      <c r="N308" s="15">
        <f t="shared" si="80"/>
        <v>5</v>
      </c>
      <c r="O308" s="15">
        <f>INDEX(卡牌消耗!$H$13:$H$33,世界BOSS专属武器!N308)</f>
        <v>1501005</v>
      </c>
      <c r="P308" s="49" t="s">
        <v>408</v>
      </c>
      <c r="Q308" s="15">
        <f t="shared" si="81"/>
        <v>24</v>
      </c>
      <c r="R308" s="49" t="str">
        <f t="shared" si="82"/>
        <v>金币</v>
      </c>
      <c r="S308" s="15">
        <f t="shared" si="83"/>
        <v>5000</v>
      </c>
      <c r="T308" s="15" t="str">
        <f t="shared" si="84"/>
        <v>低级专属强化石</v>
      </c>
      <c r="U308" s="15">
        <f t="shared" si="85"/>
        <v>15</v>
      </c>
      <c r="V308" s="15" t="str">
        <f t="shared" si="86"/>
        <v>中级专属强化石</v>
      </c>
      <c r="W308" s="15">
        <f t="shared" si="87"/>
        <v>7</v>
      </c>
      <c r="X308" s="15">
        <f t="shared" si="88"/>
        <v>0.15</v>
      </c>
      <c r="Y308" s="15">
        <f t="shared" si="89"/>
        <v>1</v>
      </c>
      <c r="Z308" s="15">
        <f t="shared" si="90"/>
        <v>18</v>
      </c>
      <c r="AA308" s="15">
        <f t="shared" si="91"/>
        <v>0.28000000000000003</v>
      </c>
    </row>
    <row r="309" spans="1:27" ht="16.5" x14ac:dyDescent="0.2">
      <c r="A309" s="115"/>
      <c r="B309" s="74" t="s">
        <v>647</v>
      </c>
      <c r="C309" s="74">
        <v>3</v>
      </c>
      <c r="D309" s="74">
        <f>INDEX(神器!$M$4:$M$7,世界BOSS专属武器!C309)</f>
        <v>280</v>
      </c>
      <c r="E309" s="74">
        <f t="shared" si="92"/>
        <v>3.5714285714285713E-3</v>
      </c>
      <c r="F309" s="74">
        <f t="shared" si="93"/>
        <v>342</v>
      </c>
      <c r="G309" s="74">
        <v>1</v>
      </c>
      <c r="H309" s="74">
        <v>1</v>
      </c>
      <c r="M309" s="15">
        <v>230</v>
      </c>
      <c r="N309" s="15">
        <f t="shared" si="80"/>
        <v>5</v>
      </c>
      <c r="O309" s="15">
        <f>INDEX(卡牌消耗!$H$13:$H$33,世界BOSS专属武器!N309)</f>
        <v>1501005</v>
      </c>
      <c r="P309" s="49" t="s">
        <v>408</v>
      </c>
      <c r="Q309" s="15">
        <f t="shared" si="81"/>
        <v>25</v>
      </c>
      <c r="R309" s="49" t="str">
        <f t="shared" si="82"/>
        <v>金币</v>
      </c>
      <c r="S309" s="15">
        <f t="shared" si="83"/>
        <v>5000</v>
      </c>
      <c r="T309" s="15" t="str">
        <f t="shared" si="84"/>
        <v>低级专属强化石</v>
      </c>
      <c r="U309" s="15">
        <f t="shared" si="85"/>
        <v>15</v>
      </c>
      <c r="V309" s="15" t="str">
        <f t="shared" si="86"/>
        <v>中级专属强化石</v>
      </c>
      <c r="W309" s="15">
        <f t="shared" si="87"/>
        <v>7</v>
      </c>
      <c r="X309" s="15">
        <f t="shared" si="88"/>
        <v>0.15</v>
      </c>
      <c r="Y309" s="15">
        <f t="shared" si="89"/>
        <v>1</v>
      </c>
      <c r="Z309" s="15">
        <f t="shared" si="90"/>
        <v>18</v>
      </c>
      <c r="AA309" s="15">
        <f t="shared" si="91"/>
        <v>0.3</v>
      </c>
    </row>
    <row r="310" spans="1:27" ht="16.5" x14ac:dyDescent="0.2">
      <c r="A310" s="115"/>
      <c r="B310" s="74" t="s">
        <v>648</v>
      </c>
      <c r="C310" s="74">
        <v>3</v>
      </c>
      <c r="D310" s="74">
        <f>INDEX(神器!$M$4:$M$7,世界BOSS专属武器!C310)</f>
        <v>280</v>
      </c>
      <c r="E310" s="74">
        <f t="shared" si="92"/>
        <v>3.5714285714285713E-3</v>
      </c>
      <c r="F310" s="74">
        <f t="shared" si="93"/>
        <v>342</v>
      </c>
      <c r="G310" s="74">
        <v>1</v>
      </c>
      <c r="H310" s="74">
        <v>1</v>
      </c>
      <c r="M310" s="15">
        <v>231</v>
      </c>
      <c r="N310" s="15">
        <f t="shared" si="80"/>
        <v>5</v>
      </c>
      <c r="O310" s="15">
        <f>INDEX(卡牌消耗!$H$13:$H$33,世界BOSS专属武器!N310)</f>
        <v>1501005</v>
      </c>
      <c r="P310" s="49" t="s">
        <v>408</v>
      </c>
      <c r="Q310" s="15">
        <f t="shared" si="81"/>
        <v>26</v>
      </c>
      <c r="R310" s="49" t="str">
        <f t="shared" si="82"/>
        <v>金币</v>
      </c>
      <c r="S310" s="15">
        <f t="shared" si="83"/>
        <v>5000</v>
      </c>
      <c r="T310" s="15" t="str">
        <f t="shared" si="84"/>
        <v>低级专属强化石</v>
      </c>
      <c r="U310" s="15">
        <f t="shared" si="85"/>
        <v>15</v>
      </c>
      <c r="V310" s="15" t="str">
        <f t="shared" si="86"/>
        <v>中级专属强化石</v>
      </c>
      <c r="W310" s="15">
        <f t="shared" si="87"/>
        <v>7</v>
      </c>
      <c r="X310" s="15">
        <f t="shared" si="88"/>
        <v>0.15</v>
      </c>
      <c r="Y310" s="15">
        <f t="shared" si="89"/>
        <v>1</v>
      </c>
      <c r="Z310" s="15">
        <f t="shared" si="90"/>
        <v>21</v>
      </c>
      <c r="AA310" s="15">
        <f t="shared" si="91"/>
        <v>0.32</v>
      </c>
    </row>
    <row r="311" spans="1:27" ht="16.5" x14ac:dyDescent="0.2">
      <c r="A311" s="115"/>
      <c r="B311" s="74" t="s">
        <v>649</v>
      </c>
      <c r="C311" s="74">
        <v>3</v>
      </c>
      <c r="D311" s="74">
        <f>INDEX(神器!$M$4:$M$7,世界BOSS专属武器!C311)</f>
        <v>280</v>
      </c>
      <c r="E311" s="74">
        <f t="shared" si="92"/>
        <v>3.5714285714285713E-3</v>
      </c>
      <c r="F311" s="74">
        <f t="shared" si="93"/>
        <v>342</v>
      </c>
      <c r="G311" s="74">
        <v>1</v>
      </c>
      <c r="H311" s="74">
        <v>1</v>
      </c>
      <c r="M311" s="15">
        <v>232</v>
      </c>
      <c r="N311" s="15">
        <f t="shared" si="80"/>
        <v>5</v>
      </c>
      <c r="O311" s="15">
        <f>INDEX(卡牌消耗!$H$13:$H$33,世界BOSS专属武器!N311)</f>
        <v>1501005</v>
      </c>
      <c r="P311" s="49" t="s">
        <v>408</v>
      </c>
      <c r="Q311" s="15">
        <f t="shared" si="81"/>
        <v>27</v>
      </c>
      <c r="R311" s="49" t="str">
        <f t="shared" si="82"/>
        <v>金币</v>
      </c>
      <c r="S311" s="15">
        <f t="shared" si="83"/>
        <v>5000</v>
      </c>
      <c r="T311" s="15" t="str">
        <f t="shared" si="84"/>
        <v>低级专属强化石</v>
      </c>
      <c r="U311" s="15">
        <f t="shared" si="85"/>
        <v>15</v>
      </c>
      <c r="V311" s="15" t="str">
        <f t="shared" si="86"/>
        <v>中级专属强化石</v>
      </c>
      <c r="W311" s="15">
        <f t="shared" si="87"/>
        <v>7</v>
      </c>
      <c r="X311" s="15">
        <f t="shared" si="88"/>
        <v>0.15</v>
      </c>
      <c r="Y311" s="15">
        <f t="shared" si="89"/>
        <v>1</v>
      </c>
      <c r="Z311" s="15">
        <f t="shared" si="90"/>
        <v>22</v>
      </c>
      <c r="AA311" s="15">
        <f t="shared" si="91"/>
        <v>0.34</v>
      </c>
    </row>
    <row r="312" spans="1:27" ht="16.5" x14ac:dyDescent="0.2">
      <c r="A312" s="115"/>
      <c r="B312" s="74" t="s">
        <v>650</v>
      </c>
      <c r="C312" s="74">
        <v>4</v>
      </c>
      <c r="D312" s="74">
        <f>INDEX(神器!$M$4:$M$7,世界BOSS专属武器!C312)</f>
        <v>600</v>
      </c>
      <c r="E312" s="74">
        <f t="shared" si="92"/>
        <v>1.6666666666666668E-3</v>
      </c>
      <c r="F312" s="74">
        <f t="shared" si="93"/>
        <v>159</v>
      </c>
      <c r="G312" s="74">
        <v>1</v>
      </c>
      <c r="H312" s="74">
        <v>1</v>
      </c>
      <c r="M312" s="15">
        <v>233</v>
      </c>
      <c r="N312" s="15">
        <f t="shared" si="80"/>
        <v>5</v>
      </c>
      <c r="O312" s="15">
        <f>INDEX(卡牌消耗!$H$13:$H$33,世界BOSS专属武器!N312)</f>
        <v>1501005</v>
      </c>
      <c r="P312" s="49" t="s">
        <v>408</v>
      </c>
      <c r="Q312" s="15">
        <f t="shared" si="81"/>
        <v>28</v>
      </c>
      <c r="R312" s="49" t="str">
        <f t="shared" si="82"/>
        <v>金币</v>
      </c>
      <c r="S312" s="15">
        <f t="shared" si="83"/>
        <v>5000</v>
      </c>
      <c r="T312" s="15" t="str">
        <f t="shared" si="84"/>
        <v>低级专属强化石</v>
      </c>
      <c r="U312" s="15">
        <f t="shared" si="85"/>
        <v>15</v>
      </c>
      <c r="V312" s="15" t="str">
        <f t="shared" si="86"/>
        <v>中级专属强化石</v>
      </c>
      <c r="W312" s="15">
        <f t="shared" si="87"/>
        <v>7</v>
      </c>
      <c r="X312" s="15">
        <f t="shared" si="88"/>
        <v>0.15</v>
      </c>
      <c r="Y312" s="15">
        <f t="shared" si="89"/>
        <v>1</v>
      </c>
      <c r="Z312" s="15">
        <f t="shared" si="90"/>
        <v>23</v>
      </c>
      <c r="AA312" s="15">
        <f t="shared" si="91"/>
        <v>0.36</v>
      </c>
    </row>
    <row r="313" spans="1:27" ht="16.5" x14ac:dyDescent="0.2">
      <c r="A313" s="115"/>
      <c r="B313" s="74" t="s">
        <v>651</v>
      </c>
      <c r="C313" s="74">
        <v>4</v>
      </c>
      <c r="D313" s="74">
        <f>INDEX(神器!$M$4:$M$7,世界BOSS专属武器!C313)</f>
        <v>600</v>
      </c>
      <c r="E313" s="74">
        <f t="shared" si="92"/>
        <v>1.6666666666666668E-3</v>
      </c>
      <c r="F313" s="74">
        <f t="shared" si="93"/>
        <v>159</v>
      </c>
      <c r="G313" s="74">
        <v>1</v>
      </c>
      <c r="H313" s="74">
        <v>1</v>
      </c>
      <c r="M313" s="15">
        <v>234</v>
      </c>
      <c r="N313" s="15">
        <f t="shared" si="80"/>
        <v>5</v>
      </c>
      <c r="O313" s="15">
        <f>INDEX(卡牌消耗!$H$13:$H$33,世界BOSS专属武器!N313)</f>
        <v>1501005</v>
      </c>
      <c r="P313" s="49" t="s">
        <v>408</v>
      </c>
      <c r="Q313" s="15">
        <f t="shared" si="81"/>
        <v>29</v>
      </c>
      <c r="R313" s="49" t="str">
        <f t="shared" si="82"/>
        <v>金币</v>
      </c>
      <c r="S313" s="15">
        <f t="shared" si="83"/>
        <v>5000</v>
      </c>
      <c r="T313" s="15" t="str">
        <f t="shared" si="84"/>
        <v>低级专属强化石</v>
      </c>
      <c r="U313" s="15">
        <f t="shared" si="85"/>
        <v>15</v>
      </c>
      <c r="V313" s="15" t="str">
        <f t="shared" si="86"/>
        <v>中级专属强化石</v>
      </c>
      <c r="W313" s="15">
        <f t="shared" si="87"/>
        <v>7</v>
      </c>
      <c r="X313" s="15">
        <f t="shared" si="88"/>
        <v>0.15</v>
      </c>
      <c r="Y313" s="15">
        <f t="shared" si="89"/>
        <v>1</v>
      </c>
      <c r="Z313" s="15">
        <f t="shared" si="90"/>
        <v>25</v>
      </c>
      <c r="AA313" s="15">
        <f t="shared" si="91"/>
        <v>0.38</v>
      </c>
    </row>
    <row r="314" spans="1:27" ht="16.5" x14ac:dyDescent="0.2">
      <c r="A314" s="115"/>
      <c r="B314" s="74" t="s">
        <v>652</v>
      </c>
      <c r="C314" s="74">
        <v>2</v>
      </c>
      <c r="D314" s="74">
        <f>INDEX(神器!$M$4:$M$7,世界BOSS专属武器!C314)</f>
        <v>120</v>
      </c>
      <c r="E314" s="74">
        <f t="shared" si="92"/>
        <v>8.3333333333333332E-3</v>
      </c>
      <c r="F314" s="74">
        <f t="shared" si="93"/>
        <v>797</v>
      </c>
      <c r="G314" s="74">
        <v>1</v>
      </c>
      <c r="H314" s="74">
        <v>1</v>
      </c>
      <c r="M314" s="15">
        <v>235</v>
      </c>
      <c r="N314" s="15">
        <f t="shared" si="80"/>
        <v>5</v>
      </c>
      <c r="O314" s="15">
        <f>INDEX(卡牌消耗!$H$13:$H$33,世界BOSS专属武器!N314)</f>
        <v>1501005</v>
      </c>
      <c r="P314" s="49" t="s">
        <v>408</v>
      </c>
      <c r="Q314" s="15">
        <f t="shared" si="81"/>
        <v>30</v>
      </c>
      <c r="R314" s="49" t="str">
        <f t="shared" si="82"/>
        <v>金币</v>
      </c>
      <c r="S314" s="15">
        <f t="shared" si="83"/>
        <v>10000</v>
      </c>
      <c r="T314" s="15" t="str">
        <f t="shared" si="84"/>
        <v>中级专属强化石</v>
      </c>
      <c r="U314" s="15">
        <f t="shared" si="85"/>
        <v>8</v>
      </c>
      <c r="V314" s="15" t="str">
        <f t="shared" si="86"/>
        <v>高级专属强化石</v>
      </c>
      <c r="W314" s="15">
        <f t="shared" si="87"/>
        <v>3</v>
      </c>
      <c r="X314" s="15">
        <f t="shared" si="88"/>
        <v>0.1</v>
      </c>
      <c r="Y314" s="15">
        <f t="shared" si="89"/>
        <v>1</v>
      </c>
      <c r="Z314" s="15">
        <f t="shared" si="90"/>
        <v>30</v>
      </c>
      <c r="AA314" s="15">
        <f t="shared" si="91"/>
        <v>0.4</v>
      </c>
    </row>
    <row r="315" spans="1:27" ht="16.5" x14ac:dyDescent="0.2">
      <c r="A315" s="115"/>
      <c r="B315" s="74" t="s">
        <v>653</v>
      </c>
      <c r="C315" s="74">
        <v>2</v>
      </c>
      <c r="D315" s="74">
        <f>INDEX(神器!$M$4:$M$7,世界BOSS专属武器!C315)</f>
        <v>120</v>
      </c>
      <c r="E315" s="74">
        <f t="shared" si="92"/>
        <v>8.3333333333333332E-3</v>
      </c>
      <c r="F315" s="74">
        <f t="shared" si="93"/>
        <v>797</v>
      </c>
      <c r="G315" s="74">
        <v>1</v>
      </c>
      <c r="H315" s="74">
        <v>1</v>
      </c>
      <c r="M315" s="15">
        <v>236</v>
      </c>
      <c r="N315" s="15">
        <f t="shared" si="80"/>
        <v>5</v>
      </c>
      <c r="O315" s="15">
        <f>INDEX(卡牌消耗!$H$13:$H$33,世界BOSS专属武器!N315)</f>
        <v>1501005</v>
      </c>
      <c r="P315" s="49" t="s">
        <v>408</v>
      </c>
      <c r="Q315" s="15">
        <f t="shared" si="81"/>
        <v>31</v>
      </c>
      <c r="R315" s="49" t="str">
        <f t="shared" si="82"/>
        <v>金币</v>
      </c>
      <c r="S315" s="15">
        <f t="shared" si="83"/>
        <v>10000</v>
      </c>
      <c r="T315" s="15" t="str">
        <f t="shared" si="84"/>
        <v>中级专属强化石</v>
      </c>
      <c r="U315" s="15">
        <f t="shared" si="85"/>
        <v>8</v>
      </c>
      <c r="V315" s="15" t="str">
        <f t="shared" si="86"/>
        <v>高级专属强化石</v>
      </c>
      <c r="W315" s="15">
        <f t="shared" si="87"/>
        <v>3</v>
      </c>
      <c r="X315" s="15">
        <f t="shared" si="88"/>
        <v>0.1</v>
      </c>
      <c r="Y315" s="15">
        <f t="shared" si="89"/>
        <v>1</v>
      </c>
      <c r="Z315" s="15">
        <f t="shared" si="90"/>
        <v>30</v>
      </c>
      <c r="AA315" s="15">
        <f t="shared" si="91"/>
        <v>0.42670000000000002</v>
      </c>
    </row>
    <row r="316" spans="1:27" ht="16.5" x14ac:dyDescent="0.2">
      <c r="A316" s="115"/>
      <c r="B316" s="74" t="s">
        <v>654</v>
      </c>
      <c r="C316" s="74">
        <v>2</v>
      </c>
      <c r="D316" s="74">
        <f>INDEX(神器!$M$4:$M$7,世界BOSS专属武器!C316)</f>
        <v>120</v>
      </c>
      <c r="E316" s="74">
        <f t="shared" si="92"/>
        <v>8.3333333333333332E-3</v>
      </c>
      <c r="F316" s="74">
        <f t="shared" si="93"/>
        <v>797</v>
      </c>
      <c r="G316" s="74">
        <v>1</v>
      </c>
      <c r="H316" s="74">
        <v>1</v>
      </c>
      <c r="M316" s="15">
        <v>237</v>
      </c>
      <c r="N316" s="15">
        <f t="shared" si="80"/>
        <v>5</v>
      </c>
      <c r="O316" s="15">
        <f>INDEX(卡牌消耗!$H$13:$H$33,世界BOSS专属武器!N316)</f>
        <v>1501005</v>
      </c>
      <c r="P316" s="49" t="s">
        <v>408</v>
      </c>
      <c r="Q316" s="15">
        <f t="shared" si="81"/>
        <v>32</v>
      </c>
      <c r="R316" s="49" t="str">
        <f t="shared" si="82"/>
        <v>金币</v>
      </c>
      <c r="S316" s="15">
        <f t="shared" si="83"/>
        <v>10000</v>
      </c>
      <c r="T316" s="15" t="str">
        <f t="shared" si="84"/>
        <v>中级专属强化石</v>
      </c>
      <c r="U316" s="15">
        <f t="shared" si="85"/>
        <v>8</v>
      </c>
      <c r="V316" s="15" t="str">
        <f t="shared" si="86"/>
        <v>高级专属强化石</v>
      </c>
      <c r="W316" s="15">
        <f t="shared" si="87"/>
        <v>3</v>
      </c>
      <c r="X316" s="15">
        <f t="shared" si="88"/>
        <v>0.1</v>
      </c>
      <c r="Y316" s="15">
        <f t="shared" si="89"/>
        <v>1</v>
      </c>
      <c r="Z316" s="15">
        <f t="shared" si="90"/>
        <v>30</v>
      </c>
      <c r="AA316" s="15">
        <f t="shared" si="91"/>
        <v>0.45329999999999998</v>
      </c>
    </row>
    <row r="317" spans="1:27" ht="16.5" x14ac:dyDescent="0.2">
      <c r="A317" s="115"/>
      <c r="B317" s="74" t="s">
        <v>655</v>
      </c>
      <c r="C317" s="74">
        <v>3</v>
      </c>
      <c r="D317" s="74">
        <f>INDEX(神器!$M$4:$M$7,世界BOSS专属武器!C317)</f>
        <v>280</v>
      </c>
      <c r="E317" s="74">
        <f t="shared" si="92"/>
        <v>3.5714285714285713E-3</v>
      </c>
      <c r="F317" s="74">
        <f t="shared" si="93"/>
        <v>342</v>
      </c>
      <c r="G317" s="74">
        <v>1</v>
      </c>
      <c r="H317" s="74">
        <v>1</v>
      </c>
      <c r="M317" s="15">
        <v>238</v>
      </c>
      <c r="N317" s="15">
        <f t="shared" si="80"/>
        <v>5</v>
      </c>
      <c r="O317" s="15">
        <f>INDEX(卡牌消耗!$H$13:$H$33,世界BOSS专属武器!N317)</f>
        <v>1501005</v>
      </c>
      <c r="P317" s="49" t="s">
        <v>408</v>
      </c>
      <c r="Q317" s="15">
        <f t="shared" si="81"/>
        <v>33</v>
      </c>
      <c r="R317" s="49" t="str">
        <f t="shared" si="82"/>
        <v>金币</v>
      </c>
      <c r="S317" s="15">
        <f t="shared" si="83"/>
        <v>10000</v>
      </c>
      <c r="T317" s="15" t="str">
        <f t="shared" si="84"/>
        <v>中级专属强化石</v>
      </c>
      <c r="U317" s="15">
        <f t="shared" si="85"/>
        <v>8</v>
      </c>
      <c r="V317" s="15" t="str">
        <f t="shared" si="86"/>
        <v>高级专属强化石</v>
      </c>
      <c r="W317" s="15">
        <f t="shared" si="87"/>
        <v>3</v>
      </c>
      <c r="X317" s="15">
        <f t="shared" si="88"/>
        <v>0.1</v>
      </c>
      <c r="Y317" s="15">
        <f t="shared" si="89"/>
        <v>1</v>
      </c>
      <c r="Z317" s="15">
        <f t="shared" si="90"/>
        <v>30</v>
      </c>
      <c r="AA317" s="15">
        <f t="shared" si="91"/>
        <v>0.48</v>
      </c>
    </row>
    <row r="318" spans="1:27" ht="16.5" x14ac:dyDescent="0.2">
      <c r="A318" s="115"/>
      <c r="B318" s="74" t="s">
        <v>656</v>
      </c>
      <c r="C318" s="74">
        <v>3</v>
      </c>
      <c r="D318" s="74">
        <f>INDEX(神器!$M$4:$M$7,世界BOSS专属武器!C318)</f>
        <v>280</v>
      </c>
      <c r="E318" s="74">
        <f t="shared" si="92"/>
        <v>3.5714285714285713E-3</v>
      </c>
      <c r="F318" s="74">
        <f t="shared" si="93"/>
        <v>342</v>
      </c>
      <c r="G318" s="74">
        <v>1</v>
      </c>
      <c r="H318" s="74">
        <v>1</v>
      </c>
      <c r="M318" s="15">
        <v>239</v>
      </c>
      <c r="N318" s="15">
        <f t="shared" si="80"/>
        <v>5</v>
      </c>
      <c r="O318" s="15">
        <f>INDEX(卡牌消耗!$H$13:$H$33,世界BOSS专属武器!N318)</f>
        <v>1501005</v>
      </c>
      <c r="P318" s="49" t="s">
        <v>408</v>
      </c>
      <c r="Q318" s="15">
        <f t="shared" si="81"/>
        <v>34</v>
      </c>
      <c r="R318" s="49" t="str">
        <f t="shared" si="82"/>
        <v>金币</v>
      </c>
      <c r="S318" s="15">
        <f t="shared" si="83"/>
        <v>10000</v>
      </c>
      <c r="T318" s="15" t="str">
        <f t="shared" si="84"/>
        <v>中级专属强化石</v>
      </c>
      <c r="U318" s="15">
        <f t="shared" si="85"/>
        <v>8</v>
      </c>
      <c r="V318" s="15" t="str">
        <f t="shared" si="86"/>
        <v>高级专属强化石</v>
      </c>
      <c r="W318" s="15">
        <f t="shared" si="87"/>
        <v>3</v>
      </c>
      <c r="X318" s="15">
        <f t="shared" si="88"/>
        <v>0.1</v>
      </c>
      <c r="Y318" s="15">
        <f t="shared" si="89"/>
        <v>1</v>
      </c>
      <c r="Z318" s="15">
        <f t="shared" si="90"/>
        <v>30</v>
      </c>
      <c r="AA318" s="15">
        <f t="shared" si="91"/>
        <v>0.50670000000000004</v>
      </c>
    </row>
    <row r="319" spans="1:27" ht="16.5" x14ac:dyDescent="0.2">
      <c r="A319" s="115"/>
      <c r="B319" s="74" t="s">
        <v>657</v>
      </c>
      <c r="C319" s="74">
        <v>3</v>
      </c>
      <c r="D319" s="74">
        <f>INDEX(神器!$M$4:$M$7,世界BOSS专属武器!C319)</f>
        <v>280</v>
      </c>
      <c r="E319" s="74">
        <f t="shared" si="92"/>
        <v>3.5714285714285713E-3</v>
      </c>
      <c r="F319" s="74">
        <f t="shared" si="93"/>
        <v>342</v>
      </c>
      <c r="G319" s="74">
        <v>1</v>
      </c>
      <c r="H319" s="74">
        <v>1</v>
      </c>
      <c r="M319" s="15">
        <v>240</v>
      </c>
      <c r="N319" s="15">
        <f t="shared" si="80"/>
        <v>5</v>
      </c>
      <c r="O319" s="15">
        <f>INDEX(卡牌消耗!$H$13:$H$33,世界BOSS专属武器!N319)</f>
        <v>1501005</v>
      </c>
      <c r="P319" s="49" t="s">
        <v>408</v>
      </c>
      <c r="Q319" s="15">
        <f t="shared" si="81"/>
        <v>35</v>
      </c>
      <c r="R319" s="49" t="str">
        <f t="shared" si="82"/>
        <v>金币</v>
      </c>
      <c r="S319" s="15">
        <f t="shared" si="83"/>
        <v>10000</v>
      </c>
      <c r="T319" s="15" t="str">
        <f t="shared" si="84"/>
        <v>中级专属强化石</v>
      </c>
      <c r="U319" s="15">
        <f t="shared" si="85"/>
        <v>8</v>
      </c>
      <c r="V319" s="15" t="str">
        <f t="shared" si="86"/>
        <v>高级专属强化石</v>
      </c>
      <c r="W319" s="15">
        <f t="shared" si="87"/>
        <v>3</v>
      </c>
      <c r="X319" s="15">
        <f t="shared" si="88"/>
        <v>0.1</v>
      </c>
      <c r="Y319" s="15">
        <f t="shared" si="89"/>
        <v>1</v>
      </c>
      <c r="Z319" s="15">
        <f t="shared" si="90"/>
        <v>30</v>
      </c>
      <c r="AA319" s="15">
        <f t="shared" si="91"/>
        <v>0.5333</v>
      </c>
    </row>
    <row r="320" spans="1:27" ht="16.5" x14ac:dyDescent="0.2">
      <c r="A320" s="115"/>
      <c r="B320" s="74" t="s">
        <v>658</v>
      </c>
      <c r="C320" s="74">
        <v>4</v>
      </c>
      <c r="D320" s="74">
        <f>INDEX(神器!$M$4:$M$7,世界BOSS专属武器!C320)</f>
        <v>600</v>
      </c>
      <c r="E320" s="74">
        <f t="shared" si="92"/>
        <v>1.6666666666666668E-3</v>
      </c>
      <c r="F320" s="74">
        <f t="shared" si="93"/>
        <v>159</v>
      </c>
      <c r="G320" s="74">
        <v>1</v>
      </c>
      <c r="H320" s="74">
        <v>1</v>
      </c>
      <c r="M320" s="15">
        <v>241</v>
      </c>
      <c r="N320" s="15">
        <f t="shared" si="80"/>
        <v>5</v>
      </c>
      <c r="O320" s="15">
        <f>INDEX(卡牌消耗!$H$13:$H$33,世界BOSS专属武器!N320)</f>
        <v>1501005</v>
      </c>
      <c r="P320" s="49" t="s">
        <v>408</v>
      </c>
      <c r="Q320" s="15">
        <f t="shared" si="81"/>
        <v>36</v>
      </c>
      <c r="R320" s="49" t="str">
        <f t="shared" si="82"/>
        <v>金币</v>
      </c>
      <c r="S320" s="15">
        <f t="shared" si="83"/>
        <v>10000</v>
      </c>
      <c r="T320" s="15" t="str">
        <f t="shared" si="84"/>
        <v>中级专属强化石</v>
      </c>
      <c r="U320" s="15">
        <f t="shared" si="85"/>
        <v>8</v>
      </c>
      <c r="V320" s="15" t="str">
        <f t="shared" si="86"/>
        <v>高级专属强化石</v>
      </c>
      <c r="W320" s="15">
        <f t="shared" si="87"/>
        <v>3</v>
      </c>
      <c r="X320" s="15">
        <f t="shared" si="88"/>
        <v>0.1</v>
      </c>
      <c r="Y320" s="15">
        <f t="shared" si="89"/>
        <v>1</v>
      </c>
      <c r="Z320" s="15">
        <f t="shared" si="90"/>
        <v>30</v>
      </c>
      <c r="AA320" s="15">
        <f t="shared" si="91"/>
        <v>0.56000000000000005</v>
      </c>
    </row>
    <row r="321" spans="1:27" ht="16.5" x14ac:dyDescent="0.2">
      <c r="A321" s="115"/>
      <c r="B321" s="74" t="s">
        <v>659</v>
      </c>
      <c r="C321" s="74">
        <v>4</v>
      </c>
      <c r="D321" s="74">
        <f>INDEX(神器!$M$4:$M$7,世界BOSS专属武器!C321)</f>
        <v>600</v>
      </c>
      <c r="E321" s="74">
        <f t="shared" si="92"/>
        <v>1.6666666666666668E-3</v>
      </c>
      <c r="F321" s="74">
        <f>10000-SUM(F297:F320)</f>
        <v>160</v>
      </c>
      <c r="G321" s="74">
        <v>1</v>
      </c>
      <c r="H321" s="74">
        <v>1</v>
      </c>
      <c r="M321" s="15">
        <v>242</v>
      </c>
      <c r="N321" s="15">
        <f t="shared" si="80"/>
        <v>5</v>
      </c>
      <c r="O321" s="15">
        <f>INDEX(卡牌消耗!$H$13:$H$33,世界BOSS专属武器!N321)</f>
        <v>1501005</v>
      </c>
      <c r="P321" s="49" t="s">
        <v>408</v>
      </c>
      <c r="Q321" s="15">
        <f t="shared" si="81"/>
        <v>37</v>
      </c>
      <c r="R321" s="49" t="str">
        <f t="shared" si="82"/>
        <v>金币</v>
      </c>
      <c r="S321" s="15">
        <f t="shared" si="83"/>
        <v>10000</v>
      </c>
      <c r="T321" s="15" t="str">
        <f t="shared" si="84"/>
        <v>中级专属强化石</v>
      </c>
      <c r="U321" s="15">
        <f t="shared" si="85"/>
        <v>8</v>
      </c>
      <c r="V321" s="15" t="str">
        <f t="shared" si="86"/>
        <v>高级专属强化石</v>
      </c>
      <c r="W321" s="15">
        <f t="shared" si="87"/>
        <v>3</v>
      </c>
      <c r="X321" s="15">
        <f t="shared" si="88"/>
        <v>0.1</v>
      </c>
      <c r="Y321" s="15">
        <f t="shared" si="89"/>
        <v>1</v>
      </c>
      <c r="Z321" s="15">
        <f t="shared" si="90"/>
        <v>30</v>
      </c>
      <c r="AA321" s="15">
        <f t="shared" si="91"/>
        <v>0.5867</v>
      </c>
    </row>
    <row r="322" spans="1:27" ht="16.5" x14ac:dyDescent="0.2">
      <c r="A322" s="16"/>
      <c r="M322" s="15">
        <v>243</v>
      </c>
      <c r="N322" s="15">
        <f t="shared" si="80"/>
        <v>5</v>
      </c>
      <c r="O322" s="15">
        <f>INDEX(卡牌消耗!$H$13:$H$33,世界BOSS专属武器!N322)</f>
        <v>1501005</v>
      </c>
      <c r="P322" s="49" t="s">
        <v>408</v>
      </c>
      <c r="Q322" s="15">
        <f t="shared" si="81"/>
        <v>38</v>
      </c>
      <c r="R322" s="49" t="str">
        <f t="shared" si="82"/>
        <v>金币</v>
      </c>
      <c r="S322" s="15">
        <f t="shared" si="83"/>
        <v>10000</v>
      </c>
      <c r="T322" s="15" t="str">
        <f t="shared" si="84"/>
        <v>中级专属强化石</v>
      </c>
      <c r="U322" s="15">
        <f t="shared" si="85"/>
        <v>8</v>
      </c>
      <c r="V322" s="15" t="str">
        <f t="shared" si="86"/>
        <v>高级专属强化石</v>
      </c>
      <c r="W322" s="15">
        <f t="shared" si="87"/>
        <v>3</v>
      </c>
      <c r="X322" s="15">
        <f t="shared" si="88"/>
        <v>0.1</v>
      </c>
      <c r="Y322" s="15">
        <f t="shared" si="89"/>
        <v>1</v>
      </c>
      <c r="Z322" s="15">
        <f t="shared" si="90"/>
        <v>30</v>
      </c>
      <c r="AA322" s="15">
        <f t="shared" si="91"/>
        <v>0.61329999999999996</v>
      </c>
    </row>
    <row r="323" spans="1:27" ht="16.5" x14ac:dyDescent="0.2">
      <c r="A323" s="16"/>
      <c r="D323" s="15">
        <f>SUMPRODUCT(D324:D365,E324:E365)/E323</f>
        <v>164.4536812063796</v>
      </c>
      <c r="E323" s="15">
        <f>SUM(E324:E365)</f>
        <v>3.6056027643048005</v>
      </c>
      <c r="M323" s="15">
        <v>244</v>
      </c>
      <c r="N323" s="15">
        <f t="shared" si="80"/>
        <v>5</v>
      </c>
      <c r="O323" s="15">
        <f>INDEX(卡牌消耗!$H$13:$H$33,世界BOSS专属武器!N323)</f>
        <v>1501005</v>
      </c>
      <c r="P323" s="49" t="s">
        <v>408</v>
      </c>
      <c r="Q323" s="15">
        <f t="shared" si="81"/>
        <v>39</v>
      </c>
      <c r="R323" s="49" t="str">
        <f t="shared" si="82"/>
        <v>金币</v>
      </c>
      <c r="S323" s="15">
        <f t="shared" si="83"/>
        <v>10000</v>
      </c>
      <c r="T323" s="15" t="str">
        <f t="shared" si="84"/>
        <v>中级专属强化石</v>
      </c>
      <c r="U323" s="15">
        <f t="shared" si="85"/>
        <v>8</v>
      </c>
      <c r="V323" s="15" t="str">
        <f t="shared" si="86"/>
        <v>高级专属强化石</v>
      </c>
      <c r="W323" s="15">
        <f t="shared" si="87"/>
        <v>3</v>
      </c>
      <c r="X323" s="15">
        <f t="shared" si="88"/>
        <v>0.1</v>
      </c>
      <c r="Y323" s="15">
        <f t="shared" si="89"/>
        <v>1</v>
      </c>
      <c r="Z323" s="15">
        <f t="shared" si="90"/>
        <v>30</v>
      </c>
      <c r="AA323" s="15">
        <f t="shared" si="91"/>
        <v>0.64</v>
      </c>
    </row>
    <row r="324" spans="1:27" ht="16.5" x14ac:dyDescent="0.2">
      <c r="A324" s="115" t="s">
        <v>738</v>
      </c>
      <c r="B324" s="74" t="s">
        <v>618</v>
      </c>
      <c r="C324" s="74">
        <v>1</v>
      </c>
      <c r="D324" s="74">
        <f>INDEX(神器!$M$4:$M$7,世界BOSS专属武器!C324)</f>
        <v>40</v>
      </c>
      <c r="E324" s="74">
        <f>(1/D324)^0.5</f>
        <v>0.15811388300841897</v>
      </c>
      <c r="F324" s="74">
        <f>ROUND(E324/E$323*10000,0)</f>
        <v>439</v>
      </c>
      <c r="G324" s="74">
        <v>1</v>
      </c>
      <c r="H324" s="74">
        <v>1</v>
      </c>
      <c r="M324" s="15">
        <v>245</v>
      </c>
      <c r="N324" s="15">
        <f t="shared" si="80"/>
        <v>5</v>
      </c>
      <c r="O324" s="15">
        <f>INDEX(卡牌消耗!$H$13:$H$33,世界BOSS专属武器!N324)</f>
        <v>1501005</v>
      </c>
      <c r="P324" s="49" t="s">
        <v>408</v>
      </c>
      <c r="Q324" s="15">
        <f t="shared" si="81"/>
        <v>40</v>
      </c>
      <c r="R324" s="49" t="str">
        <f t="shared" si="82"/>
        <v>金币</v>
      </c>
      <c r="S324" s="15">
        <f t="shared" si="83"/>
        <v>20000</v>
      </c>
      <c r="T324" s="15" t="str">
        <f t="shared" si="84"/>
        <v>高级专属强化石</v>
      </c>
      <c r="U324" s="15">
        <f t="shared" si="85"/>
        <v>5</v>
      </c>
      <c r="V324" s="15" t="str">
        <f t="shared" si="86"/>
        <v>[x]</v>
      </c>
      <c r="W324" s="15" t="str">
        <f t="shared" si="87"/>
        <v>[x]</v>
      </c>
      <c r="X324" s="15">
        <f t="shared" si="88"/>
        <v>0.1</v>
      </c>
      <c r="Y324" s="15">
        <f t="shared" si="89"/>
        <v>1</v>
      </c>
      <c r="Z324" s="15">
        <f t="shared" si="90"/>
        <v>35</v>
      </c>
      <c r="AA324" s="15">
        <f t="shared" si="91"/>
        <v>0.66669999999999996</v>
      </c>
    </row>
    <row r="325" spans="1:27" ht="16.5" x14ac:dyDescent="0.2">
      <c r="A325" s="115"/>
      <c r="B325" s="74" t="s">
        <v>619</v>
      </c>
      <c r="C325" s="74">
        <v>1</v>
      </c>
      <c r="D325" s="74">
        <f>INDEX(神器!$M$4:$M$7,世界BOSS专属武器!C325)</f>
        <v>40</v>
      </c>
      <c r="E325" s="74">
        <f t="shared" ref="E325:E365" si="94">(1/D325)^0.5</f>
        <v>0.15811388300841897</v>
      </c>
      <c r="F325" s="74">
        <f t="shared" ref="F325:F364" si="95">ROUND(E325/E$323*10000,0)</f>
        <v>439</v>
      </c>
      <c r="G325" s="74">
        <v>1</v>
      </c>
      <c r="H325" s="74">
        <v>1</v>
      </c>
      <c r="M325" s="15">
        <v>246</v>
      </c>
      <c r="N325" s="15">
        <f t="shared" si="80"/>
        <v>5</v>
      </c>
      <c r="O325" s="15">
        <f>INDEX(卡牌消耗!$H$13:$H$33,世界BOSS专属武器!N325)</f>
        <v>1501005</v>
      </c>
      <c r="P325" s="49" t="s">
        <v>408</v>
      </c>
      <c r="Q325" s="15">
        <f t="shared" si="81"/>
        <v>41</v>
      </c>
      <c r="R325" s="49" t="str">
        <f t="shared" si="82"/>
        <v>金币</v>
      </c>
      <c r="S325" s="15">
        <f t="shared" si="83"/>
        <v>20000</v>
      </c>
      <c r="T325" s="15" t="str">
        <f t="shared" si="84"/>
        <v>高级专属强化石</v>
      </c>
      <c r="U325" s="15">
        <f t="shared" si="85"/>
        <v>5</v>
      </c>
      <c r="V325" s="15" t="str">
        <f t="shared" si="86"/>
        <v>[x]</v>
      </c>
      <c r="W325" s="15" t="str">
        <f t="shared" si="87"/>
        <v>[x]</v>
      </c>
      <c r="X325" s="15">
        <f t="shared" si="88"/>
        <v>0.1</v>
      </c>
      <c r="Y325" s="15">
        <f t="shared" si="89"/>
        <v>1</v>
      </c>
      <c r="Z325" s="15">
        <f t="shared" si="90"/>
        <v>40</v>
      </c>
      <c r="AA325" s="15">
        <f t="shared" si="91"/>
        <v>0.7</v>
      </c>
    </row>
    <row r="326" spans="1:27" ht="16.5" x14ac:dyDescent="0.2">
      <c r="A326" s="115"/>
      <c r="B326" s="74" t="s">
        <v>620</v>
      </c>
      <c r="C326" s="74">
        <v>2</v>
      </c>
      <c r="D326" s="74">
        <f>INDEX(神器!$M$4:$M$7,世界BOSS专属武器!C326)</f>
        <v>120</v>
      </c>
      <c r="E326" s="74">
        <f t="shared" si="94"/>
        <v>9.1287092917527679E-2</v>
      </c>
      <c r="F326" s="74">
        <f t="shared" si="95"/>
        <v>253</v>
      </c>
      <c r="G326" s="74">
        <v>1</v>
      </c>
      <c r="H326" s="74">
        <v>1</v>
      </c>
      <c r="M326" s="15">
        <v>247</v>
      </c>
      <c r="N326" s="15">
        <f t="shared" si="80"/>
        <v>5</v>
      </c>
      <c r="O326" s="15">
        <f>INDEX(卡牌消耗!$H$13:$H$33,世界BOSS专属武器!N326)</f>
        <v>1501005</v>
      </c>
      <c r="P326" s="49" t="s">
        <v>408</v>
      </c>
      <c r="Q326" s="15">
        <f t="shared" si="81"/>
        <v>42</v>
      </c>
      <c r="R326" s="49" t="str">
        <f t="shared" si="82"/>
        <v>金币</v>
      </c>
      <c r="S326" s="15">
        <f t="shared" si="83"/>
        <v>20000</v>
      </c>
      <c r="T326" s="15" t="str">
        <f t="shared" si="84"/>
        <v>高级专属强化石</v>
      </c>
      <c r="U326" s="15">
        <f t="shared" si="85"/>
        <v>5</v>
      </c>
      <c r="V326" s="15" t="str">
        <f t="shared" si="86"/>
        <v>[x]</v>
      </c>
      <c r="W326" s="15" t="str">
        <f t="shared" si="87"/>
        <v>[x]</v>
      </c>
      <c r="X326" s="15">
        <f t="shared" si="88"/>
        <v>0.1</v>
      </c>
      <c r="Y326" s="15">
        <f t="shared" si="89"/>
        <v>1</v>
      </c>
      <c r="Z326" s="15">
        <f t="shared" si="90"/>
        <v>45</v>
      </c>
      <c r="AA326" s="15">
        <f t="shared" si="91"/>
        <v>0.73329999999999995</v>
      </c>
    </row>
    <row r="327" spans="1:27" ht="16.5" x14ac:dyDescent="0.2">
      <c r="A327" s="115"/>
      <c r="B327" s="74" t="s">
        <v>621</v>
      </c>
      <c r="C327" s="74">
        <v>1</v>
      </c>
      <c r="D327" s="74">
        <f>INDEX(神器!$M$4:$M$7,世界BOSS专属武器!C327)</f>
        <v>40</v>
      </c>
      <c r="E327" s="74">
        <f t="shared" si="94"/>
        <v>0.15811388300841897</v>
      </c>
      <c r="F327" s="74">
        <f t="shared" si="95"/>
        <v>439</v>
      </c>
      <c r="G327" s="74">
        <v>1</v>
      </c>
      <c r="H327" s="74">
        <v>1</v>
      </c>
      <c r="M327" s="15">
        <v>248</v>
      </c>
      <c r="N327" s="15">
        <f t="shared" si="80"/>
        <v>5</v>
      </c>
      <c r="O327" s="15">
        <f>INDEX(卡牌消耗!$H$13:$H$33,世界BOSS专属武器!N327)</f>
        <v>1501005</v>
      </c>
      <c r="P327" s="49" t="s">
        <v>408</v>
      </c>
      <c r="Q327" s="15">
        <f t="shared" si="81"/>
        <v>43</v>
      </c>
      <c r="R327" s="49" t="str">
        <f t="shared" si="82"/>
        <v>金币</v>
      </c>
      <c r="S327" s="15">
        <f t="shared" si="83"/>
        <v>20000</v>
      </c>
      <c r="T327" s="15" t="str">
        <f t="shared" si="84"/>
        <v>高级专属强化石</v>
      </c>
      <c r="U327" s="15">
        <f t="shared" si="85"/>
        <v>5</v>
      </c>
      <c r="V327" s="15" t="str">
        <f t="shared" si="86"/>
        <v>[x]</v>
      </c>
      <c r="W327" s="15" t="str">
        <f t="shared" si="87"/>
        <v>[x]</v>
      </c>
      <c r="X327" s="15">
        <f t="shared" si="88"/>
        <v>0.1</v>
      </c>
      <c r="Y327" s="15">
        <f t="shared" si="89"/>
        <v>1</v>
      </c>
      <c r="Z327" s="15">
        <f t="shared" si="90"/>
        <v>50</v>
      </c>
      <c r="AA327" s="15">
        <f t="shared" si="91"/>
        <v>0.76670000000000005</v>
      </c>
    </row>
    <row r="328" spans="1:27" ht="16.5" x14ac:dyDescent="0.2">
      <c r="A328" s="115"/>
      <c r="B328" s="74" t="s">
        <v>622</v>
      </c>
      <c r="C328" s="74">
        <v>1</v>
      </c>
      <c r="D328" s="74">
        <f>INDEX(神器!$M$4:$M$7,世界BOSS专属武器!C328)</f>
        <v>40</v>
      </c>
      <c r="E328" s="74">
        <f t="shared" si="94"/>
        <v>0.15811388300841897</v>
      </c>
      <c r="F328" s="74">
        <f t="shared" si="95"/>
        <v>439</v>
      </c>
      <c r="G328" s="74">
        <v>1</v>
      </c>
      <c r="H328" s="74">
        <v>1</v>
      </c>
      <c r="M328" s="15">
        <v>249</v>
      </c>
      <c r="N328" s="15">
        <f t="shared" si="80"/>
        <v>5</v>
      </c>
      <c r="O328" s="15">
        <f>INDEX(卡牌消耗!$H$13:$H$33,世界BOSS专属武器!N328)</f>
        <v>1501005</v>
      </c>
      <c r="P328" s="49" t="s">
        <v>408</v>
      </c>
      <c r="Q328" s="15">
        <f t="shared" si="81"/>
        <v>44</v>
      </c>
      <c r="R328" s="49" t="str">
        <f t="shared" si="82"/>
        <v>金币</v>
      </c>
      <c r="S328" s="15">
        <f t="shared" si="83"/>
        <v>20000</v>
      </c>
      <c r="T328" s="15" t="str">
        <f t="shared" si="84"/>
        <v>高级专属强化石</v>
      </c>
      <c r="U328" s="15">
        <f t="shared" si="85"/>
        <v>5</v>
      </c>
      <c r="V328" s="15" t="str">
        <f t="shared" si="86"/>
        <v>[x]</v>
      </c>
      <c r="W328" s="15" t="str">
        <f t="shared" si="87"/>
        <v>[x]</v>
      </c>
      <c r="X328" s="15">
        <f t="shared" si="88"/>
        <v>0.1</v>
      </c>
      <c r="Y328" s="15">
        <f t="shared" si="89"/>
        <v>1</v>
      </c>
      <c r="Z328" s="15">
        <f t="shared" si="90"/>
        <v>55</v>
      </c>
      <c r="AA328" s="15">
        <f t="shared" si="91"/>
        <v>0.8</v>
      </c>
    </row>
    <row r="329" spans="1:27" ht="16.5" x14ac:dyDescent="0.2">
      <c r="A329" s="115"/>
      <c r="B329" s="74" t="s">
        <v>623</v>
      </c>
      <c r="C329" s="74">
        <v>1</v>
      </c>
      <c r="D329" s="74">
        <f>INDEX(神器!$M$4:$M$7,世界BOSS专属武器!C329)</f>
        <v>40</v>
      </c>
      <c r="E329" s="74">
        <f t="shared" si="94"/>
        <v>0.15811388300841897</v>
      </c>
      <c r="F329" s="74">
        <f t="shared" si="95"/>
        <v>439</v>
      </c>
      <c r="G329" s="74">
        <v>1</v>
      </c>
      <c r="H329" s="74">
        <v>1</v>
      </c>
      <c r="M329" s="15">
        <v>250</v>
      </c>
      <c r="N329" s="15">
        <f t="shared" si="80"/>
        <v>5</v>
      </c>
      <c r="O329" s="15">
        <f>INDEX(卡牌消耗!$H$13:$H$33,世界BOSS专属武器!N329)</f>
        <v>1501005</v>
      </c>
      <c r="P329" s="49" t="s">
        <v>408</v>
      </c>
      <c r="Q329" s="15">
        <f t="shared" si="81"/>
        <v>45</v>
      </c>
      <c r="R329" s="49" t="str">
        <f t="shared" si="82"/>
        <v>金币</v>
      </c>
      <c r="S329" s="15">
        <f t="shared" si="83"/>
        <v>20000</v>
      </c>
      <c r="T329" s="15" t="str">
        <f t="shared" si="84"/>
        <v>高级专属强化石</v>
      </c>
      <c r="U329" s="15">
        <f t="shared" si="85"/>
        <v>6</v>
      </c>
      <c r="V329" s="15" t="str">
        <f t="shared" si="86"/>
        <v>[x]</v>
      </c>
      <c r="W329" s="15" t="str">
        <f t="shared" si="87"/>
        <v>[x]</v>
      </c>
      <c r="X329" s="15">
        <f t="shared" si="88"/>
        <v>0.1</v>
      </c>
      <c r="Y329" s="15">
        <f t="shared" si="89"/>
        <v>1</v>
      </c>
      <c r="Z329" s="15">
        <f t="shared" si="90"/>
        <v>60</v>
      </c>
      <c r="AA329" s="15">
        <f t="shared" si="91"/>
        <v>0.83330000000000004</v>
      </c>
    </row>
    <row r="330" spans="1:27" ht="16.5" x14ac:dyDescent="0.2">
      <c r="A330" s="115"/>
      <c r="B330" s="74" t="s">
        <v>624</v>
      </c>
      <c r="C330" s="74">
        <v>2</v>
      </c>
      <c r="D330" s="74">
        <f>INDEX(神器!$M$4:$M$7,世界BOSS专属武器!C330)</f>
        <v>120</v>
      </c>
      <c r="E330" s="74">
        <f t="shared" si="94"/>
        <v>9.1287092917527679E-2</v>
      </c>
      <c r="F330" s="74">
        <f t="shared" si="95"/>
        <v>253</v>
      </c>
      <c r="G330" s="74">
        <v>1</v>
      </c>
      <c r="H330" s="74">
        <v>1</v>
      </c>
      <c r="M330" s="15">
        <v>251</v>
      </c>
      <c r="N330" s="15">
        <f t="shared" si="80"/>
        <v>5</v>
      </c>
      <c r="O330" s="15">
        <f>INDEX(卡牌消耗!$H$13:$H$33,世界BOSS专属武器!N330)</f>
        <v>1501005</v>
      </c>
      <c r="P330" s="49" t="s">
        <v>408</v>
      </c>
      <c r="Q330" s="15">
        <f t="shared" si="81"/>
        <v>46</v>
      </c>
      <c r="R330" s="49" t="str">
        <f t="shared" si="82"/>
        <v>金币</v>
      </c>
      <c r="S330" s="15">
        <f t="shared" si="83"/>
        <v>20000</v>
      </c>
      <c r="T330" s="15" t="str">
        <f t="shared" si="84"/>
        <v>高级专属强化石</v>
      </c>
      <c r="U330" s="15">
        <f t="shared" si="85"/>
        <v>7</v>
      </c>
      <c r="V330" s="15" t="str">
        <f t="shared" si="86"/>
        <v>[x]</v>
      </c>
      <c r="W330" s="15" t="str">
        <f t="shared" si="87"/>
        <v>[x]</v>
      </c>
      <c r="X330" s="15">
        <f t="shared" si="88"/>
        <v>0.1</v>
      </c>
      <c r="Y330" s="15">
        <f t="shared" si="89"/>
        <v>1</v>
      </c>
      <c r="Z330" s="15">
        <f t="shared" si="90"/>
        <v>70</v>
      </c>
      <c r="AA330" s="15">
        <f t="shared" si="91"/>
        <v>0.86670000000000003</v>
      </c>
    </row>
    <row r="331" spans="1:27" ht="16.5" x14ac:dyDescent="0.2">
      <c r="A331" s="115"/>
      <c r="B331" s="74" t="s">
        <v>625</v>
      </c>
      <c r="C331" s="74">
        <v>3</v>
      </c>
      <c r="D331" s="74">
        <f>INDEX(神器!$M$4:$M$7,世界BOSS专属武器!C331)</f>
        <v>280</v>
      </c>
      <c r="E331" s="74">
        <f t="shared" si="94"/>
        <v>5.9761430466719681E-2</v>
      </c>
      <c r="F331" s="74">
        <f t="shared" si="95"/>
        <v>166</v>
      </c>
      <c r="G331" s="74">
        <v>1</v>
      </c>
      <c r="H331" s="74">
        <v>1</v>
      </c>
      <c r="M331" s="15">
        <v>252</v>
      </c>
      <c r="N331" s="15">
        <f t="shared" si="80"/>
        <v>5</v>
      </c>
      <c r="O331" s="15">
        <f>INDEX(卡牌消耗!$H$13:$H$33,世界BOSS专属武器!N331)</f>
        <v>1501005</v>
      </c>
      <c r="P331" s="49" t="s">
        <v>408</v>
      </c>
      <c r="Q331" s="15">
        <f t="shared" si="81"/>
        <v>47</v>
      </c>
      <c r="R331" s="49" t="str">
        <f t="shared" si="82"/>
        <v>金币</v>
      </c>
      <c r="S331" s="15">
        <f t="shared" si="83"/>
        <v>20000</v>
      </c>
      <c r="T331" s="15" t="str">
        <f t="shared" si="84"/>
        <v>高级专属强化石</v>
      </c>
      <c r="U331" s="15">
        <f t="shared" si="85"/>
        <v>8</v>
      </c>
      <c r="V331" s="15" t="str">
        <f t="shared" si="86"/>
        <v>[x]</v>
      </c>
      <c r="W331" s="15" t="str">
        <f t="shared" si="87"/>
        <v>[x]</v>
      </c>
      <c r="X331" s="15">
        <f t="shared" si="88"/>
        <v>0.1</v>
      </c>
      <c r="Y331" s="15">
        <f t="shared" si="89"/>
        <v>1</v>
      </c>
      <c r="Z331" s="15">
        <f t="shared" si="90"/>
        <v>80</v>
      </c>
      <c r="AA331" s="15">
        <f t="shared" si="91"/>
        <v>0.9</v>
      </c>
    </row>
    <row r="332" spans="1:27" ht="16.5" x14ac:dyDescent="0.2">
      <c r="A332" s="115"/>
      <c r="B332" s="74" t="s">
        <v>626</v>
      </c>
      <c r="C332" s="74">
        <v>1</v>
      </c>
      <c r="D332" s="74">
        <f>INDEX(神器!$M$4:$M$7,世界BOSS专属武器!C332)</f>
        <v>40</v>
      </c>
      <c r="E332" s="74">
        <f t="shared" si="94"/>
        <v>0.15811388300841897</v>
      </c>
      <c r="F332" s="74">
        <f t="shared" si="95"/>
        <v>439</v>
      </c>
      <c r="G332" s="74">
        <v>1</v>
      </c>
      <c r="H332" s="74">
        <v>1</v>
      </c>
      <c r="M332" s="15">
        <v>253</v>
      </c>
      <c r="N332" s="15">
        <f t="shared" si="80"/>
        <v>5</v>
      </c>
      <c r="O332" s="15">
        <f>INDEX(卡牌消耗!$H$13:$H$33,世界BOSS专属武器!N332)</f>
        <v>1501005</v>
      </c>
      <c r="P332" s="49" t="s">
        <v>408</v>
      </c>
      <c r="Q332" s="15">
        <f t="shared" si="81"/>
        <v>48</v>
      </c>
      <c r="R332" s="49" t="str">
        <f t="shared" si="82"/>
        <v>金币</v>
      </c>
      <c r="S332" s="15">
        <f t="shared" si="83"/>
        <v>20000</v>
      </c>
      <c r="T332" s="15" t="str">
        <f t="shared" si="84"/>
        <v>高级专属强化石</v>
      </c>
      <c r="U332" s="15">
        <f t="shared" si="85"/>
        <v>9</v>
      </c>
      <c r="V332" s="15" t="str">
        <f t="shared" si="86"/>
        <v>[x]</v>
      </c>
      <c r="W332" s="15" t="str">
        <f t="shared" si="87"/>
        <v>[x]</v>
      </c>
      <c r="X332" s="15">
        <f t="shared" si="88"/>
        <v>0.1</v>
      </c>
      <c r="Y332" s="15">
        <f t="shared" si="89"/>
        <v>1</v>
      </c>
      <c r="Z332" s="15">
        <f t="shared" si="90"/>
        <v>100</v>
      </c>
      <c r="AA332" s="15">
        <f t="shared" si="91"/>
        <v>0.93330000000000002</v>
      </c>
    </row>
    <row r="333" spans="1:27" ht="16.5" x14ac:dyDescent="0.2">
      <c r="A333" s="115"/>
      <c r="B333" s="74" t="s">
        <v>627</v>
      </c>
      <c r="C333" s="74">
        <v>2</v>
      </c>
      <c r="D333" s="74">
        <f>INDEX(神器!$M$4:$M$7,世界BOSS专属武器!C333)</f>
        <v>120</v>
      </c>
      <c r="E333" s="74">
        <f t="shared" si="94"/>
        <v>9.1287092917527679E-2</v>
      </c>
      <c r="F333" s="74">
        <f t="shared" si="95"/>
        <v>253</v>
      </c>
      <c r="G333" s="74">
        <v>1</v>
      </c>
      <c r="H333" s="74">
        <v>1</v>
      </c>
      <c r="M333" s="15">
        <v>254</v>
      </c>
      <c r="N333" s="15">
        <f t="shared" si="80"/>
        <v>5</v>
      </c>
      <c r="O333" s="15">
        <f>INDEX(卡牌消耗!$H$13:$H$33,世界BOSS专属武器!N333)</f>
        <v>1501005</v>
      </c>
      <c r="P333" s="49" t="s">
        <v>408</v>
      </c>
      <c r="Q333" s="15">
        <f t="shared" si="81"/>
        <v>49</v>
      </c>
      <c r="R333" s="49" t="str">
        <f t="shared" si="82"/>
        <v>金币</v>
      </c>
      <c r="S333" s="15">
        <f t="shared" si="83"/>
        <v>20000</v>
      </c>
      <c r="T333" s="15" t="str">
        <f t="shared" si="84"/>
        <v>高级专属强化石</v>
      </c>
      <c r="U333" s="15">
        <f t="shared" si="85"/>
        <v>10</v>
      </c>
      <c r="V333" s="15" t="str">
        <f t="shared" si="86"/>
        <v>[x]</v>
      </c>
      <c r="W333" s="15" t="str">
        <f t="shared" si="87"/>
        <v>[x]</v>
      </c>
      <c r="X333" s="15">
        <f t="shared" si="88"/>
        <v>0.1</v>
      </c>
      <c r="Y333" s="15">
        <f t="shared" si="89"/>
        <v>1</v>
      </c>
      <c r="Z333" s="15">
        <f t="shared" si="90"/>
        <v>120</v>
      </c>
      <c r="AA333" s="15">
        <f t="shared" si="91"/>
        <v>0.9667</v>
      </c>
    </row>
    <row r="334" spans="1:27" ht="16.5" x14ac:dyDescent="0.2">
      <c r="A334" s="115"/>
      <c r="B334" s="74" t="s">
        <v>628</v>
      </c>
      <c r="C334" s="74">
        <v>2</v>
      </c>
      <c r="D334" s="74">
        <f>INDEX(神器!$M$4:$M$7,世界BOSS专属武器!C334)</f>
        <v>120</v>
      </c>
      <c r="E334" s="74">
        <f t="shared" si="94"/>
        <v>9.1287092917527679E-2</v>
      </c>
      <c r="F334" s="74">
        <f t="shared" si="95"/>
        <v>253</v>
      </c>
      <c r="G334" s="74">
        <v>1</v>
      </c>
      <c r="H334" s="74">
        <v>1</v>
      </c>
      <c r="M334" s="15">
        <v>255</v>
      </c>
      <c r="N334" s="15">
        <f t="shared" si="80"/>
        <v>5</v>
      </c>
      <c r="O334" s="15">
        <f>INDEX(卡牌消耗!$H$13:$H$33,世界BOSS专属武器!N334)</f>
        <v>1501005</v>
      </c>
      <c r="P334" s="49" t="s">
        <v>408</v>
      </c>
      <c r="Q334" s="15">
        <f t="shared" si="81"/>
        <v>50</v>
      </c>
      <c r="R334" s="49" t="str">
        <f t="shared" si="82"/>
        <v>金币</v>
      </c>
      <c r="S334" s="15">
        <f t="shared" si="83"/>
        <v>20000</v>
      </c>
      <c r="T334" s="15" t="str">
        <f t="shared" si="84"/>
        <v>高级专属强化石</v>
      </c>
      <c r="U334" s="15">
        <f t="shared" si="85"/>
        <v>15</v>
      </c>
      <c r="V334" s="15" t="str">
        <f t="shared" si="86"/>
        <v>[x]</v>
      </c>
      <c r="W334" s="15" t="str">
        <f t="shared" si="87"/>
        <v>[x]</v>
      </c>
      <c r="X334" s="15">
        <f t="shared" si="88"/>
        <v>0.1</v>
      </c>
      <c r="Y334" s="15">
        <f t="shared" si="89"/>
        <v>1</v>
      </c>
      <c r="Z334" s="15">
        <f t="shared" si="90"/>
        <v>150</v>
      </c>
      <c r="AA334" s="15">
        <f t="shared" si="91"/>
        <v>1</v>
      </c>
    </row>
    <row r="335" spans="1:27" ht="16.5" x14ac:dyDescent="0.2">
      <c r="A335" s="115"/>
      <c r="B335" s="74" t="s">
        <v>629</v>
      </c>
      <c r="C335" s="74">
        <v>3</v>
      </c>
      <c r="D335" s="74">
        <f>INDEX(神器!$M$4:$M$7,世界BOSS专属武器!C335)</f>
        <v>280</v>
      </c>
      <c r="E335" s="74">
        <f t="shared" si="94"/>
        <v>5.9761430466719681E-2</v>
      </c>
      <c r="F335" s="74">
        <f t="shared" si="95"/>
        <v>166</v>
      </c>
      <c r="G335" s="74">
        <v>1</v>
      </c>
      <c r="H335" s="74">
        <v>1</v>
      </c>
      <c r="M335" s="15">
        <v>256</v>
      </c>
      <c r="N335" s="15">
        <f t="shared" si="80"/>
        <v>6</v>
      </c>
      <c r="O335" s="15">
        <f>INDEX(卡牌消耗!$H$13:$H$33,世界BOSS专属武器!N335)</f>
        <v>1501006</v>
      </c>
      <c r="P335" s="49" t="s">
        <v>408</v>
      </c>
      <c r="Q335" s="15">
        <f t="shared" si="81"/>
        <v>0</v>
      </c>
      <c r="R335" s="49" t="str">
        <f t="shared" si="82"/>
        <v>[x]</v>
      </c>
      <c r="S335" s="15" t="str">
        <f t="shared" si="83"/>
        <v>[x]</v>
      </c>
      <c r="T335" s="15" t="str">
        <f t="shared" si="84"/>
        <v>[x]</v>
      </c>
      <c r="U335" s="15" t="str">
        <f t="shared" si="85"/>
        <v>[x]</v>
      </c>
      <c r="V335" s="15" t="str">
        <f t="shared" si="86"/>
        <v>[x]</v>
      </c>
      <c r="W335" s="15" t="str">
        <f t="shared" si="87"/>
        <v>[x]</v>
      </c>
      <c r="X335" s="15" t="str">
        <f t="shared" si="88"/>
        <v>[x]</v>
      </c>
      <c r="Y335" s="15" t="str">
        <f t="shared" si="89"/>
        <v>[x]</v>
      </c>
      <c r="Z335" s="15" t="str">
        <f t="shared" si="90"/>
        <v>[x]</v>
      </c>
      <c r="AA335" s="15" t="str">
        <f t="shared" si="91"/>
        <v>[x]</v>
      </c>
    </row>
    <row r="336" spans="1:27" ht="16.5" x14ac:dyDescent="0.2">
      <c r="A336" s="115"/>
      <c r="B336" s="74" t="s">
        <v>630</v>
      </c>
      <c r="C336" s="74">
        <v>3</v>
      </c>
      <c r="D336" s="74">
        <f>INDEX(神器!$M$4:$M$7,世界BOSS专属武器!C336)</f>
        <v>280</v>
      </c>
      <c r="E336" s="74">
        <f t="shared" si="94"/>
        <v>5.9761430466719681E-2</v>
      </c>
      <c r="F336" s="74">
        <f t="shared" si="95"/>
        <v>166</v>
      </c>
      <c r="G336" s="74">
        <v>1</v>
      </c>
      <c r="H336" s="74">
        <v>1</v>
      </c>
      <c r="M336" s="15">
        <v>257</v>
      </c>
      <c r="N336" s="15">
        <f t="shared" si="80"/>
        <v>6</v>
      </c>
      <c r="O336" s="15">
        <f>INDEX(卡牌消耗!$H$13:$H$33,世界BOSS专属武器!N336)</f>
        <v>1501006</v>
      </c>
      <c r="P336" s="49" t="s">
        <v>408</v>
      </c>
      <c r="Q336" s="15">
        <f t="shared" si="81"/>
        <v>1</v>
      </c>
      <c r="R336" s="49" t="str">
        <f t="shared" si="82"/>
        <v>金币</v>
      </c>
      <c r="S336" s="15">
        <f t="shared" si="83"/>
        <v>100</v>
      </c>
      <c r="T336" s="15" t="str">
        <f t="shared" si="84"/>
        <v>低级专属强化石</v>
      </c>
      <c r="U336" s="15">
        <f t="shared" si="85"/>
        <v>1</v>
      </c>
      <c r="V336" s="15" t="str">
        <f t="shared" si="86"/>
        <v>[x]</v>
      </c>
      <c r="W336" s="15" t="str">
        <f t="shared" si="87"/>
        <v>[x]</v>
      </c>
      <c r="X336" s="15">
        <f t="shared" si="88"/>
        <v>1</v>
      </c>
      <c r="Y336" s="15">
        <f t="shared" si="89"/>
        <v>1</v>
      </c>
      <c r="Z336" s="15">
        <f t="shared" si="90"/>
        <v>1</v>
      </c>
      <c r="AA336" s="15">
        <f t="shared" si="91"/>
        <v>6.7000000000000002E-3</v>
      </c>
    </row>
    <row r="337" spans="1:27" ht="16.5" x14ac:dyDescent="0.2">
      <c r="A337" s="115"/>
      <c r="B337" s="74" t="s">
        <v>631</v>
      </c>
      <c r="C337" s="74">
        <v>4</v>
      </c>
      <c r="D337" s="74">
        <f>INDEX(神器!$M$4:$M$7,世界BOSS专属武器!C337)</f>
        <v>600</v>
      </c>
      <c r="E337" s="74">
        <f t="shared" si="94"/>
        <v>4.0824829046386304E-2</v>
      </c>
      <c r="F337" s="74">
        <f t="shared" si="95"/>
        <v>113</v>
      </c>
      <c r="G337" s="74">
        <v>1</v>
      </c>
      <c r="H337" s="74">
        <v>1</v>
      </c>
      <c r="M337" s="15">
        <v>258</v>
      </c>
      <c r="N337" s="15">
        <f t="shared" ref="N337:N400" si="96">INT((M337-1)/51)+1</f>
        <v>6</v>
      </c>
      <c r="O337" s="15">
        <f>INDEX(卡牌消耗!$H$13:$H$33,世界BOSS专属武器!N337)</f>
        <v>1501006</v>
      </c>
      <c r="P337" s="49" t="s">
        <v>408</v>
      </c>
      <c r="Q337" s="15">
        <f t="shared" ref="Q337:Q400" si="97">MOD(M337-1,51)</f>
        <v>2</v>
      </c>
      <c r="R337" s="49" t="str">
        <f t="shared" ref="R337:R400" si="98">IF(Q337&gt;0,"金币","[x]")</f>
        <v>金币</v>
      </c>
      <c r="S337" s="15">
        <f t="shared" ref="S337:S400" si="99">IF(Q337&gt;0,INDEX($V$27:$V$76,Q337),"[x]")</f>
        <v>200</v>
      </c>
      <c r="T337" s="15" t="str">
        <f t="shared" ref="T337:T400" si="100">IF(Q337&gt;0,INDEX($W$27:$W$76,Q337),"[x]")</f>
        <v>低级专属强化石</v>
      </c>
      <c r="U337" s="15">
        <f t="shared" ref="U337:U400" si="101">IF(Q337&gt;0,INDEX($AA$27:$AF$76,Q337,INDEX($Y$27:$Y$76,Q337)),"[x]")</f>
        <v>1</v>
      </c>
      <c r="V337" s="15" t="str">
        <f t="shared" ref="V337:V400" si="102">IF(AND(Q337&gt;=20,Q337&lt;40),INDEX($X$27:$X$76,Q337),"[x]")</f>
        <v>[x]</v>
      </c>
      <c r="W337" s="15" t="str">
        <f t="shared" ref="W337:W400" si="103">IF(AND(Q337&gt;=20,Q337&lt;40),INDEX($AA$27:$AF$76,Q337,INDEX($Z$27:$Z$76,Q337)),"[x]")</f>
        <v>[x]</v>
      </c>
      <c r="X337" s="15">
        <f t="shared" ref="X337:X400" si="104">IF(Q337&gt;0,INDEX($T$27:$T$76,Q337),"[x]")</f>
        <v>0.5</v>
      </c>
      <c r="Y337" s="15">
        <f t="shared" ref="Y337:Y400" si="105">IF(Q337&gt;0,1,"[x]")</f>
        <v>1</v>
      </c>
      <c r="Z337" s="15">
        <f t="shared" ref="Z337:Z400" si="106">IF(Q337&gt;0,INDEX($AG$27:$AG$76,Q337),"[x]")</f>
        <v>2</v>
      </c>
      <c r="AA337" s="15">
        <f t="shared" ref="AA337:AA400" si="107">IF(Q337&gt;0,INDEX($AL$27:$AL$76,Q337),"[x]")</f>
        <v>1.3299999999999999E-2</v>
      </c>
    </row>
    <row r="338" spans="1:27" ht="16.5" x14ac:dyDescent="0.2">
      <c r="A338" s="115"/>
      <c r="B338" s="74" t="s">
        <v>632</v>
      </c>
      <c r="C338" s="74">
        <v>1</v>
      </c>
      <c r="D338" s="74">
        <f>INDEX(神器!$M$4:$M$7,世界BOSS专属武器!C338)</f>
        <v>40</v>
      </c>
      <c r="E338" s="74">
        <f t="shared" si="94"/>
        <v>0.15811388300841897</v>
      </c>
      <c r="F338" s="74">
        <f t="shared" si="95"/>
        <v>439</v>
      </c>
      <c r="G338" s="74">
        <v>1</v>
      </c>
      <c r="H338" s="74">
        <v>1</v>
      </c>
      <c r="M338" s="15">
        <v>259</v>
      </c>
      <c r="N338" s="15">
        <f t="shared" si="96"/>
        <v>6</v>
      </c>
      <c r="O338" s="15">
        <f>INDEX(卡牌消耗!$H$13:$H$33,世界BOSS专属武器!N338)</f>
        <v>1501006</v>
      </c>
      <c r="P338" s="49" t="s">
        <v>408</v>
      </c>
      <c r="Q338" s="15">
        <f t="shared" si="97"/>
        <v>3</v>
      </c>
      <c r="R338" s="49" t="str">
        <f t="shared" si="98"/>
        <v>金币</v>
      </c>
      <c r="S338" s="15">
        <f t="shared" si="99"/>
        <v>300</v>
      </c>
      <c r="T338" s="15" t="str">
        <f t="shared" si="100"/>
        <v>低级专属强化石</v>
      </c>
      <c r="U338" s="15">
        <f t="shared" si="101"/>
        <v>2</v>
      </c>
      <c r="V338" s="15" t="str">
        <f t="shared" si="102"/>
        <v>[x]</v>
      </c>
      <c r="W338" s="15" t="str">
        <f t="shared" si="103"/>
        <v>[x]</v>
      </c>
      <c r="X338" s="15">
        <f t="shared" si="104"/>
        <v>0.48</v>
      </c>
      <c r="Y338" s="15">
        <f t="shared" si="105"/>
        <v>1</v>
      </c>
      <c r="Z338" s="15">
        <f t="shared" si="106"/>
        <v>3</v>
      </c>
      <c r="AA338" s="15">
        <f t="shared" si="107"/>
        <v>0.02</v>
      </c>
    </row>
    <row r="339" spans="1:27" ht="16.5" x14ac:dyDescent="0.2">
      <c r="A339" s="115"/>
      <c r="B339" s="74" t="s">
        <v>633</v>
      </c>
      <c r="C339" s="74">
        <v>2</v>
      </c>
      <c r="D339" s="74">
        <f>INDEX(神器!$M$4:$M$7,世界BOSS专属武器!C339)</f>
        <v>120</v>
      </c>
      <c r="E339" s="74">
        <f t="shared" si="94"/>
        <v>9.1287092917527679E-2</v>
      </c>
      <c r="F339" s="74">
        <f t="shared" si="95"/>
        <v>253</v>
      </c>
      <c r="G339" s="74">
        <v>1</v>
      </c>
      <c r="H339" s="74">
        <v>1</v>
      </c>
      <c r="M339" s="15">
        <v>260</v>
      </c>
      <c r="N339" s="15">
        <f t="shared" si="96"/>
        <v>6</v>
      </c>
      <c r="O339" s="15">
        <f>INDEX(卡牌消耗!$H$13:$H$33,世界BOSS专属武器!N339)</f>
        <v>1501006</v>
      </c>
      <c r="P339" s="49" t="s">
        <v>408</v>
      </c>
      <c r="Q339" s="15">
        <f t="shared" si="97"/>
        <v>4</v>
      </c>
      <c r="R339" s="49" t="str">
        <f t="shared" si="98"/>
        <v>金币</v>
      </c>
      <c r="S339" s="15">
        <f t="shared" si="99"/>
        <v>400</v>
      </c>
      <c r="T339" s="15" t="str">
        <f t="shared" si="100"/>
        <v>低级专属强化石</v>
      </c>
      <c r="U339" s="15">
        <f t="shared" si="101"/>
        <v>3</v>
      </c>
      <c r="V339" s="15" t="str">
        <f t="shared" si="102"/>
        <v>[x]</v>
      </c>
      <c r="W339" s="15" t="str">
        <f t="shared" si="103"/>
        <v>[x]</v>
      </c>
      <c r="X339" s="15">
        <f t="shared" si="104"/>
        <v>0.46</v>
      </c>
      <c r="Y339" s="15">
        <f t="shared" si="105"/>
        <v>1</v>
      </c>
      <c r="Z339" s="15">
        <f t="shared" si="106"/>
        <v>3</v>
      </c>
      <c r="AA339" s="15">
        <f t="shared" si="107"/>
        <v>2.6700000000000002E-2</v>
      </c>
    </row>
    <row r="340" spans="1:27" ht="16.5" x14ac:dyDescent="0.2">
      <c r="A340" s="115"/>
      <c r="B340" s="74" t="s">
        <v>634</v>
      </c>
      <c r="C340" s="74">
        <v>2</v>
      </c>
      <c r="D340" s="74">
        <f>INDEX(神器!$M$4:$M$7,世界BOSS专属武器!C340)</f>
        <v>120</v>
      </c>
      <c r="E340" s="74">
        <f t="shared" si="94"/>
        <v>9.1287092917527679E-2</v>
      </c>
      <c r="F340" s="74">
        <f t="shared" si="95"/>
        <v>253</v>
      </c>
      <c r="G340" s="74">
        <v>1</v>
      </c>
      <c r="H340" s="74">
        <v>1</v>
      </c>
      <c r="M340" s="15">
        <v>261</v>
      </c>
      <c r="N340" s="15">
        <f t="shared" si="96"/>
        <v>6</v>
      </c>
      <c r="O340" s="15">
        <f>INDEX(卡牌消耗!$H$13:$H$33,世界BOSS专属武器!N340)</f>
        <v>1501006</v>
      </c>
      <c r="P340" s="49" t="s">
        <v>408</v>
      </c>
      <c r="Q340" s="15">
        <f t="shared" si="97"/>
        <v>5</v>
      </c>
      <c r="R340" s="49" t="str">
        <f t="shared" si="98"/>
        <v>金币</v>
      </c>
      <c r="S340" s="15">
        <f t="shared" si="99"/>
        <v>500</v>
      </c>
      <c r="T340" s="15" t="str">
        <f t="shared" si="100"/>
        <v>低级专属强化石</v>
      </c>
      <c r="U340" s="15">
        <f t="shared" si="101"/>
        <v>4</v>
      </c>
      <c r="V340" s="15" t="str">
        <f t="shared" si="102"/>
        <v>[x]</v>
      </c>
      <c r="W340" s="15" t="str">
        <f t="shared" si="103"/>
        <v>[x]</v>
      </c>
      <c r="X340" s="15">
        <f t="shared" si="104"/>
        <v>0.44</v>
      </c>
      <c r="Y340" s="15">
        <f t="shared" si="105"/>
        <v>1</v>
      </c>
      <c r="Z340" s="15">
        <f t="shared" si="106"/>
        <v>3</v>
      </c>
      <c r="AA340" s="15">
        <f t="shared" si="107"/>
        <v>3.3300000000000003E-2</v>
      </c>
    </row>
    <row r="341" spans="1:27" ht="16.5" x14ac:dyDescent="0.2">
      <c r="A341" s="115"/>
      <c r="B341" s="74" t="s">
        <v>635</v>
      </c>
      <c r="C341" s="74">
        <v>3</v>
      </c>
      <c r="D341" s="74">
        <f>INDEX(神器!$M$4:$M$7,世界BOSS专属武器!C341)</f>
        <v>280</v>
      </c>
      <c r="E341" s="74">
        <f t="shared" si="94"/>
        <v>5.9761430466719681E-2</v>
      </c>
      <c r="F341" s="74">
        <f t="shared" si="95"/>
        <v>166</v>
      </c>
      <c r="G341" s="74">
        <v>1</v>
      </c>
      <c r="H341" s="74">
        <v>1</v>
      </c>
      <c r="M341" s="15">
        <v>262</v>
      </c>
      <c r="N341" s="15">
        <f t="shared" si="96"/>
        <v>6</v>
      </c>
      <c r="O341" s="15">
        <f>INDEX(卡牌消耗!$H$13:$H$33,世界BOSS专属武器!N341)</f>
        <v>1501006</v>
      </c>
      <c r="P341" s="49" t="s">
        <v>408</v>
      </c>
      <c r="Q341" s="15">
        <f t="shared" si="97"/>
        <v>6</v>
      </c>
      <c r="R341" s="49" t="str">
        <f t="shared" si="98"/>
        <v>金币</v>
      </c>
      <c r="S341" s="15">
        <f t="shared" si="99"/>
        <v>600</v>
      </c>
      <c r="T341" s="15" t="str">
        <f t="shared" si="100"/>
        <v>低级专属强化石</v>
      </c>
      <c r="U341" s="15">
        <f t="shared" si="101"/>
        <v>5</v>
      </c>
      <c r="V341" s="15" t="str">
        <f t="shared" si="102"/>
        <v>[x]</v>
      </c>
      <c r="W341" s="15" t="str">
        <f t="shared" si="103"/>
        <v>[x]</v>
      </c>
      <c r="X341" s="15">
        <f t="shared" si="104"/>
        <v>0.42</v>
      </c>
      <c r="Y341" s="15">
        <f t="shared" si="105"/>
        <v>1</v>
      </c>
      <c r="Z341" s="15">
        <f t="shared" si="106"/>
        <v>4</v>
      </c>
      <c r="AA341" s="15">
        <f t="shared" si="107"/>
        <v>0.04</v>
      </c>
    </row>
    <row r="342" spans="1:27" ht="16.5" x14ac:dyDescent="0.2">
      <c r="A342" s="115"/>
      <c r="B342" s="74" t="s">
        <v>636</v>
      </c>
      <c r="C342" s="74">
        <v>3</v>
      </c>
      <c r="D342" s="74">
        <f>INDEX(神器!$M$4:$M$7,世界BOSS专属武器!C342)</f>
        <v>280</v>
      </c>
      <c r="E342" s="74">
        <f t="shared" si="94"/>
        <v>5.9761430466719681E-2</v>
      </c>
      <c r="F342" s="74">
        <f t="shared" si="95"/>
        <v>166</v>
      </c>
      <c r="G342" s="74">
        <v>1</v>
      </c>
      <c r="H342" s="74">
        <v>1</v>
      </c>
      <c r="M342" s="15">
        <v>263</v>
      </c>
      <c r="N342" s="15">
        <f t="shared" si="96"/>
        <v>6</v>
      </c>
      <c r="O342" s="15">
        <f>INDEX(卡牌消耗!$H$13:$H$33,世界BOSS专属武器!N342)</f>
        <v>1501006</v>
      </c>
      <c r="P342" s="49" t="s">
        <v>408</v>
      </c>
      <c r="Q342" s="15">
        <f t="shared" si="97"/>
        <v>7</v>
      </c>
      <c r="R342" s="49" t="str">
        <f t="shared" si="98"/>
        <v>金币</v>
      </c>
      <c r="S342" s="15">
        <f t="shared" si="99"/>
        <v>700</v>
      </c>
      <c r="T342" s="15" t="str">
        <f t="shared" si="100"/>
        <v>低级专属强化石</v>
      </c>
      <c r="U342" s="15">
        <f t="shared" si="101"/>
        <v>5</v>
      </c>
      <c r="V342" s="15" t="str">
        <f t="shared" si="102"/>
        <v>[x]</v>
      </c>
      <c r="W342" s="15" t="str">
        <f t="shared" si="103"/>
        <v>[x]</v>
      </c>
      <c r="X342" s="15">
        <f t="shared" si="104"/>
        <v>0.4</v>
      </c>
      <c r="Y342" s="15">
        <f t="shared" si="105"/>
        <v>1</v>
      </c>
      <c r="Z342" s="15">
        <f t="shared" si="106"/>
        <v>4</v>
      </c>
      <c r="AA342" s="15">
        <f t="shared" si="107"/>
        <v>4.6699999999999998E-2</v>
      </c>
    </row>
    <row r="343" spans="1:27" ht="16.5" x14ac:dyDescent="0.2">
      <c r="A343" s="115"/>
      <c r="B343" s="74" t="s">
        <v>637</v>
      </c>
      <c r="C343" s="74">
        <v>4</v>
      </c>
      <c r="D343" s="74">
        <f>INDEX(神器!$M$4:$M$7,世界BOSS专属武器!C343)</f>
        <v>600</v>
      </c>
      <c r="E343" s="74">
        <f t="shared" si="94"/>
        <v>4.0824829046386304E-2</v>
      </c>
      <c r="F343" s="74">
        <f t="shared" si="95"/>
        <v>113</v>
      </c>
      <c r="G343" s="74">
        <v>1</v>
      </c>
      <c r="H343" s="74">
        <v>1</v>
      </c>
      <c r="M343" s="15">
        <v>264</v>
      </c>
      <c r="N343" s="15">
        <f t="shared" si="96"/>
        <v>6</v>
      </c>
      <c r="O343" s="15">
        <f>INDEX(卡牌消耗!$H$13:$H$33,世界BOSS专属武器!N343)</f>
        <v>1501006</v>
      </c>
      <c r="P343" s="49" t="s">
        <v>408</v>
      </c>
      <c r="Q343" s="15">
        <f t="shared" si="97"/>
        <v>8</v>
      </c>
      <c r="R343" s="49" t="str">
        <f t="shared" si="98"/>
        <v>金币</v>
      </c>
      <c r="S343" s="15">
        <f t="shared" si="99"/>
        <v>800</v>
      </c>
      <c r="T343" s="15" t="str">
        <f t="shared" si="100"/>
        <v>低级专属强化石</v>
      </c>
      <c r="U343" s="15">
        <f t="shared" si="101"/>
        <v>5</v>
      </c>
      <c r="V343" s="15" t="str">
        <f t="shared" si="102"/>
        <v>[x]</v>
      </c>
      <c r="W343" s="15" t="str">
        <f t="shared" si="103"/>
        <v>[x]</v>
      </c>
      <c r="X343" s="15">
        <f t="shared" si="104"/>
        <v>0.38</v>
      </c>
      <c r="Y343" s="15">
        <f t="shared" si="105"/>
        <v>1</v>
      </c>
      <c r="Z343" s="15">
        <f t="shared" si="106"/>
        <v>5</v>
      </c>
      <c r="AA343" s="15">
        <f t="shared" si="107"/>
        <v>5.33E-2</v>
      </c>
    </row>
    <row r="344" spans="1:27" ht="16.5" x14ac:dyDescent="0.2">
      <c r="A344" s="115"/>
      <c r="B344" s="74" t="s">
        <v>638</v>
      </c>
      <c r="C344" s="74">
        <v>1</v>
      </c>
      <c r="D344" s="74">
        <f>INDEX(神器!$M$4:$M$7,世界BOSS专属武器!C344)</f>
        <v>40</v>
      </c>
      <c r="E344" s="74">
        <f t="shared" si="94"/>
        <v>0.15811388300841897</v>
      </c>
      <c r="F344" s="74">
        <f t="shared" si="95"/>
        <v>439</v>
      </c>
      <c r="G344" s="74">
        <v>1</v>
      </c>
      <c r="H344" s="74">
        <v>1</v>
      </c>
      <c r="M344" s="15">
        <v>265</v>
      </c>
      <c r="N344" s="15">
        <f t="shared" si="96"/>
        <v>6</v>
      </c>
      <c r="O344" s="15">
        <f>INDEX(卡牌消耗!$H$13:$H$33,世界BOSS专属武器!N344)</f>
        <v>1501006</v>
      </c>
      <c r="P344" s="49" t="s">
        <v>408</v>
      </c>
      <c r="Q344" s="15">
        <f t="shared" si="97"/>
        <v>9</v>
      </c>
      <c r="R344" s="49" t="str">
        <f t="shared" si="98"/>
        <v>金币</v>
      </c>
      <c r="S344" s="15">
        <f t="shared" si="99"/>
        <v>900</v>
      </c>
      <c r="T344" s="15" t="str">
        <f t="shared" si="100"/>
        <v>低级专属强化石</v>
      </c>
      <c r="U344" s="15">
        <f t="shared" si="101"/>
        <v>5</v>
      </c>
      <c r="V344" s="15" t="str">
        <f t="shared" si="102"/>
        <v>[x]</v>
      </c>
      <c r="W344" s="15" t="str">
        <f t="shared" si="103"/>
        <v>[x]</v>
      </c>
      <c r="X344" s="15">
        <f t="shared" si="104"/>
        <v>0.36</v>
      </c>
      <c r="Y344" s="15">
        <f t="shared" si="105"/>
        <v>1</v>
      </c>
      <c r="Z344" s="15">
        <f t="shared" si="106"/>
        <v>5</v>
      </c>
      <c r="AA344" s="15">
        <f t="shared" si="107"/>
        <v>0.06</v>
      </c>
    </row>
    <row r="345" spans="1:27" ht="16.5" x14ac:dyDescent="0.2">
      <c r="A345" s="115"/>
      <c r="B345" s="74" t="s">
        <v>639</v>
      </c>
      <c r="C345" s="74">
        <v>2</v>
      </c>
      <c r="D345" s="74">
        <f>INDEX(神器!$M$4:$M$7,世界BOSS专属武器!C345)</f>
        <v>120</v>
      </c>
      <c r="E345" s="74">
        <f t="shared" si="94"/>
        <v>9.1287092917527679E-2</v>
      </c>
      <c r="F345" s="74">
        <f t="shared" si="95"/>
        <v>253</v>
      </c>
      <c r="G345" s="74">
        <v>1</v>
      </c>
      <c r="H345" s="74">
        <v>1</v>
      </c>
      <c r="M345" s="15">
        <v>266</v>
      </c>
      <c r="N345" s="15">
        <f t="shared" si="96"/>
        <v>6</v>
      </c>
      <c r="O345" s="15">
        <f>INDEX(卡牌消耗!$H$13:$H$33,世界BOSS专属武器!N345)</f>
        <v>1501006</v>
      </c>
      <c r="P345" s="49" t="s">
        <v>408</v>
      </c>
      <c r="Q345" s="15">
        <f t="shared" si="97"/>
        <v>10</v>
      </c>
      <c r="R345" s="49" t="str">
        <f t="shared" si="98"/>
        <v>金币</v>
      </c>
      <c r="S345" s="15">
        <f t="shared" si="99"/>
        <v>1000</v>
      </c>
      <c r="T345" s="15" t="str">
        <f t="shared" si="100"/>
        <v>低级专属强化石</v>
      </c>
      <c r="U345" s="15">
        <f t="shared" si="101"/>
        <v>7</v>
      </c>
      <c r="V345" s="15" t="str">
        <f t="shared" si="102"/>
        <v>[x]</v>
      </c>
      <c r="W345" s="15" t="str">
        <f t="shared" si="103"/>
        <v>[x]</v>
      </c>
      <c r="X345" s="15">
        <f t="shared" si="104"/>
        <v>0.35</v>
      </c>
      <c r="Y345" s="15">
        <f t="shared" si="105"/>
        <v>1</v>
      </c>
      <c r="Z345" s="15">
        <f t="shared" si="106"/>
        <v>5</v>
      </c>
      <c r="AA345" s="15">
        <f t="shared" si="107"/>
        <v>6.6699999999999995E-2</v>
      </c>
    </row>
    <row r="346" spans="1:27" ht="16.5" x14ac:dyDescent="0.2">
      <c r="A346" s="115"/>
      <c r="B346" s="74" t="s">
        <v>640</v>
      </c>
      <c r="C346" s="74">
        <v>2</v>
      </c>
      <c r="D346" s="74">
        <f>INDEX(神器!$M$4:$M$7,世界BOSS专属武器!C346)</f>
        <v>120</v>
      </c>
      <c r="E346" s="74">
        <f t="shared" si="94"/>
        <v>9.1287092917527679E-2</v>
      </c>
      <c r="F346" s="74">
        <f t="shared" si="95"/>
        <v>253</v>
      </c>
      <c r="G346" s="74">
        <v>1</v>
      </c>
      <c r="H346" s="74">
        <v>1</v>
      </c>
      <c r="M346" s="15">
        <v>267</v>
      </c>
      <c r="N346" s="15">
        <f t="shared" si="96"/>
        <v>6</v>
      </c>
      <c r="O346" s="15">
        <f>INDEX(卡牌消耗!$H$13:$H$33,世界BOSS专属武器!N346)</f>
        <v>1501006</v>
      </c>
      <c r="P346" s="49" t="s">
        <v>408</v>
      </c>
      <c r="Q346" s="15">
        <f t="shared" si="97"/>
        <v>11</v>
      </c>
      <c r="R346" s="49" t="str">
        <f t="shared" si="98"/>
        <v>金币</v>
      </c>
      <c r="S346" s="15">
        <f t="shared" si="99"/>
        <v>1000</v>
      </c>
      <c r="T346" s="15" t="str">
        <f t="shared" si="100"/>
        <v>低级专属强化石</v>
      </c>
      <c r="U346" s="15">
        <f t="shared" si="101"/>
        <v>7</v>
      </c>
      <c r="V346" s="15" t="str">
        <f t="shared" si="102"/>
        <v>[x]</v>
      </c>
      <c r="W346" s="15" t="str">
        <f t="shared" si="103"/>
        <v>[x]</v>
      </c>
      <c r="X346" s="15">
        <f t="shared" si="104"/>
        <v>0.33</v>
      </c>
      <c r="Y346" s="15">
        <f t="shared" si="105"/>
        <v>1</v>
      </c>
      <c r="Z346" s="15">
        <f t="shared" si="106"/>
        <v>6</v>
      </c>
      <c r="AA346" s="15">
        <f t="shared" si="107"/>
        <v>0.08</v>
      </c>
    </row>
    <row r="347" spans="1:27" ht="16.5" x14ac:dyDescent="0.2">
      <c r="A347" s="115"/>
      <c r="B347" s="74" t="s">
        <v>641</v>
      </c>
      <c r="C347" s="74">
        <v>3</v>
      </c>
      <c r="D347" s="74">
        <f>INDEX(神器!$M$4:$M$7,世界BOSS专属武器!C347)</f>
        <v>280</v>
      </c>
      <c r="E347" s="74">
        <f t="shared" si="94"/>
        <v>5.9761430466719681E-2</v>
      </c>
      <c r="F347" s="74">
        <f t="shared" si="95"/>
        <v>166</v>
      </c>
      <c r="G347" s="74">
        <v>1</v>
      </c>
      <c r="H347" s="74">
        <v>1</v>
      </c>
      <c r="M347" s="15">
        <v>268</v>
      </c>
      <c r="N347" s="15">
        <f t="shared" si="96"/>
        <v>6</v>
      </c>
      <c r="O347" s="15">
        <f>INDEX(卡牌消耗!$H$13:$H$33,世界BOSS专属武器!N347)</f>
        <v>1501006</v>
      </c>
      <c r="P347" s="49" t="s">
        <v>408</v>
      </c>
      <c r="Q347" s="15">
        <f t="shared" si="97"/>
        <v>12</v>
      </c>
      <c r="R347" s="49" t="str">
        <f t="shared" si="98"/>
        <v>金币</v>
      </c>
      <c r="S347" s="15">
        <f t="shared" si="99"/>
        <v>1000</v>
      </c>
      <c r="T347" s="15" t="str">
        <f t="shared" si="100"/>
        <v>低级专属强化石</v>
      </c>
      <c r="U347" s="15">
        <f t="shared" si="101"/>
        <v>7</v>
      </c>
      <c r="V347" s="15" t="str">
        <f t="shared" si="102"/>
        <v>[x]</v>
      </c>
      <c r="W347" s="15" t="str">
        <f t="shared" si="103"/>
        <v>[x]</v>
      </c>
      <c r="X347" s="15">
        <f t="shared" si="104"/>
        <v>0.31</v>
      </c>
      <c r="Y347" s="15">
        <f t="shared" si="105"/>
        <v>1</v>
      </c>
      <c r="Z347" s="15">
        <f t="shared" si="106"/>
        <v>6</v>
      </c>
      <c r="AA347" s="15">
        <f t="shared" si="107"/>
        <v>9.3299999999999994E-2</v>
      </c>
    </row>
    <row r="348" spans="1:27" ht="16.5" x14ac:dyDescent="0.2">
      <c r="A348" s="115"/>
      <c r="B348" s="74" t="s">
        <v>642</v>
      </c>
      <c r="C348" s="74">
        <v>3</v>
      </c>
      <c r="D348" s="74">
        <f>INDEX(神器!$M$4:$M$7,世界BOSS专属武器!C348)</f>
        <v>280</v>
      </c>
      <c r="E348" s="74">
        <f t="shared" si="94"/>
        <v>5.9761430466719681E-2</v>
      </c>
      <c r="F348" s="74">
        <f t="shared" si="95"/>
        <v>166</v>
      </c>
      <c r="G348" s="74">
        <v>1</v>
      </c>
      <c r="H348" s="74">
        <v>1</v>
      </c>
      <c r="M348" s="15">
        <v>269</v>
      </c>
      <c r="N348" s="15">
        <f t="shared" si="96"/>
        <v>6</v>
      </c>
      <c r="O348" s="15">
        <f>INDEX(卡牌消耗!$H$13:$H$33,世界BOSS专属武器!N348)</f>
        <v>1501006</v>
      </c>
      <c r="P348" s="49" t="s">
        <v>408</v>
      </c>
      <c r="Q348" s="15">
        <f t="shared" si="97"/>
        <v>13</v>
      </c>
      <c r="R348" s="49" t="str">
        <f t="shared" si="98"/>
        <v>金币</v>
      </c>
      <c r="S348" s="15">
        <f t="shared" si="99"/>
        <v>1000</v>
      </c>
      <c r="T348" s="15" t="str">
        <f t="shared" si="100"/>
        <v>低级专属强化石</v>
      </c>
      <c r="U348" s="15">
        <f t="shared" si="101"/>
        <v>7</v>
      </c>
      <c r="V348" s="15" t="str">
        <f t="shared" si="102"/>
        <v>[x]</v>
      </c>
      <c r="W348" s="15" t="str">
        <f t="shared" si="103"/>
        <v>[x]</v>
      </c>
      <c r="X348" s="15">
        <f t="shared" si="104"/>
        <v>0.28999999999999998</v>
      </c>
      <c r="Y348" s="15">
        <f t="shared" si="105"/>
        <v>1</v>
      </c>
      <c r="Z348" s="15">
        <f t="shared" si="106"/>
        <v>7</v>
      </c>
      <c r="AA348" s="15">
        <f t="shared" si="107"/>
        <v>0.1067</v>
      </c>
    </row>
    <row r="349" spans="1:27" ht="16.5" x14ac:dyDescent="0.2">
      <c r="A349" s="115"/>
      <c r="B349" s="74" t="s">
        <v>643</v>
      </c>
      <c r="C349" s="74">
        <v>4</v>
      </c>
      <c r="D349" s="74">
        <f>INDEX(神器!$M$4:$M$7,世界BOSS专属武器!C349)</f>
        <v>600</v>
      </c>
      <c r="E349" s="74">
        <f t="shared" si="94"/>
        <v>4.0824829046386304E-2</v>
      </c>
      <c r="F349" s="74">
        <f t="shared" si="95"/>
        <v>113</v>
      </c>
      <c r="G349" s="74">
        <v>1</v>
      </c>
      <c r="H349" s="74">
        <v>1</v>
      </c>
      <c r="M349" s="15">
        <v>270</v>
      </c>
      <c r="N349" s="15">
        <f t="shared" si="96"/>
        <v>6</v>
      </c>
      <c r="O349" s="15">
        <f>INDEX(卡牌消耗!$H$13:$H$33,世界BOSS专属武器!N349)</f>
        <v>1501006</v>
      </c>
      <c r="P349" s="49" t="s">
        <v>408</v>
      </c>
      <c r="Q349" s="15">
        <f t="shared" si="97"/>
        <v>14</v>
      </c>
      <c r="R349" s="49" t="str">
        <f t="shared" si="98"/>
        <v>金币</v>
      </c>
      <c r="S349" s="15">
        <f t="shared" si="99"/>
        <v>1000</v>
      </c>
      <c r="T349" s="15" t="str">
        <f t="shared" si="100"/>
        <v>低级专属强化石</v>
      </c>
      <c r="U349" s="15">
        <f t="shared" si="101"/>
        <v>7</v>
      </c>
      <c r="V349" s="15" t="str">
        <f t="shared" si="102"/>
        <v>[x]</v>
      </c>
      <c r="W349" s="15" t="str">
        <f t="shared" si="103"/>
        <v>[x]</v>
      </c>
      <c r="X349" s="15">
        <f t="shared" si="104"/>
        <v>0.27</v>
      </c>
      <c r="Y349" s="15">
        <f t="shared" si="105"/>
        <v>1</v>
      </c>
      <c r="Z349" s="15">
        <f t="shared" si="106"/>
        <v>7</v>
      </c>
      <c r="AA349" s="15">
        <f t="shared" si="107"/>
        <v>0.12</v>
      </c>
    </row>
    <row r="350" spans="1:27" ht="16.5" x14ac:dyDescent="0.2">
      <c r="A350" s="115"/>
      <c r="B350" s="74" t="s">
        <v>644</v>
      </c>
      <c r="C350" s="74">
        <v>2</v>
      </c>
      <c r="D350" s="74">
        <f>INDEX(神器!$M$4:$M$7,世界BOSS专属武器!C350)</f>
        <v>120</v>
      </c>
      <c r="E350" s="74">
        <f t="shared" si="94"/>
        <v>9.1287092917527679E-2</v>
      </c>
      <c r="F350" s="74">
        <f t="shared" si="95"/>
        <v>253</v>
      </c>
      <c r="G350" s="74">
        <v>1</v>
      </c>
      <c r="H350" s="74">
        <v>1</v>
      </c>
      <c r="M350" s="15">
        <v>271</v>
      </c>
      <c r="N350" s="15">
        <f t="shared" si="96"/>
        <v>6</v>
      </c>
      <c r="O350" s="15">
        <f>INDEX(卡牌消耗!$H$13:$H$33,世界BOSS专属武器!N350)</f>
        <v>1501006</v>
      </c>
      <c r="P350" s="49" t="s">
        <v>408</v>
      </c>
      <c r="Q350" s="15">
        <f t="shared" si="97"/>
        <v>15</v>
      </c>
      <c r="R350" s="49" t="str">
        <f t="shared" si="98"/>
        <v>金币</v>
      </c>
      <c r="S350" s="15">
        <f t="shared" si="99"/>
        <v>1000</v>
      </c>
      <c r="T350" s="15" t="str">
        <f t="shared" si="100"/>
        <v>低级专属强化石</v>
      </c>
      <c r="U350" s="15">
        <f t="shared" si="101"/>
        <v>10</v>
      </c>
      <c r="V350" s="15" t="str">
        <f t="shared" si="102"/>
        <v>[x]</v>
      </c>
      <c r="W350" s="15" t="str">
        <f t="shared" si="103"/>
        <v>[x]</v>
      </c>
      <c r="X350" s="15">
        <f t="shared" si="104"/>
        <v>0.25</v>
      </c>
      <c r="Y350" s="15">
        <f t="shared" si="105"/>
        <v>1</v>
      </c>
      <c r="Z350" s="15">
        <f t="shared" si="106"/>
        <v>8</v>
      </c>
      <c r="AA350" s="15">
        <f t="shared" si="107"/>
        <v>0.1333</v>
      </c>
    </row>
    <row r="351" spans="1:27" ht="16.5" x14ac:dyDescent="0.2">
      <c r="A351" s="115"/>
      <c r="B351" s="74" t="s">
        <v>645</v>
      </c>
      <c r="C351" s="74">
        <v>2</v>
      </c>
      <c r="D351" s="74">
        <f>INDEX(神器!$M$4:$M$7,世界BOSS专属武器!C351)</f>
        <v>120</v>
      </c>
      <c r="E351" s="74">
        <f t="shared" si="94"/>
        <v>9.1287092917527679E-2</v>
      </c>
      <c r="F351" s="74">
        <f t="shared" si="95"/>
        <v>253</v>
      </c>
      <c r="G351" s="74">
        <v>1</v>
      </c>
      <c r="H351" s="74">
        <v>1</v>
      </c>
      <c r="M351" s="15">
        <v>272</v>
      </c>
      <c r="N351" s="15">
        <f t="shared" si="96"/>
        <v>6</v>
      </c>
      <c r="O351" s="15">
        <f>INDEX(卡牌消耗!$H$13:$H$33,世界BOSS专属武器!N351)</f>
        <v>1501006</v>
      </c>
      <c r="P351" s="49" t="s">
        <v>408</v>
      </c>
      <c r="Q351" s="15">
        <f t="shared" si="97"/>
        <v>16</v>
      </c>
      <c r="R351" s="49" t="str">
        <f t="shared" si="98"/>
        <v>金币</v>
      </c>
      <c r="S351" s="15">
        <f t="shared" si="99"/>
        <v>1000</v>
      </c>
      <c r="T351" s="15" t="str">
        <f t="shared" si="100"/>
        <v>低级专属强化石</v>
      </c>
      <c r="U351" s="15">
        <f t="shared" si="101"/>
        <v>10</v>
      </c>
      <c r="V351" s="15" t="str">
        <f t="shared" si="102"/>
        <v>[x]</v>
      </c>
      <c r="W351" s="15" t="str">
        <f t="shared" si="103"/>
        <v>[x]</v>
      </c>
      <c r="X351" s="15">
        <f t="shared" si="104"/>
        <v>0.23</v>
      </c>
      <c r="Y351" s="15">
        <f t="shared" si="105"/>
        <v>1</v>
      </c>
      <c r="Z351" s="15">
        <f t="shared" si="106"/>
        <v>9</v>
      </c>
      <c r="AA351" s="15">
        <f t="shared" si="107"/>
        <v>0.1467</v>
      </c>
    </row>
    <row r="352" spans="1:27" ht="16.5" x14ac:dyDescent="0.2">
      <c r="A352" s="115"/>
      <c r="B352" s="74" t="s">
        <v>646</v>
      </c>
      <c r="C352" s="74">
        <v>2</v>
      </c>
      <c r="D352" s="74">
        <f>INDEX(神器!$M$4:$M$7,世界BOSS专属武器!C352)</f>
        <v>120</v>
      </c>
      <c r="E352" s="74">
        <f t="shared" si="94"/>
        <v>9.1287092917527679E-2</v>
      </c>
      <c r="F352" s="74">
        <f t="shared" si="95"/>
        <v>253</v>
      </c>
      <c r="G352" s="74">
        <v>1</v>
      </c>
      <c r="H352" s="74">
        <v>1</v>
      </c>
      <c r="M352" s="15">
        <v>273</v>
      </c>
      <c r="N352" s="15">
        <f t="shared" si="96"/>
        <v>6</v>
      </c>
      <c r="O352" s="15">
        <f>INDEX(卡牌消耗!$H$13:$H$33,世界BOSS专属武器!N352)</f>
        <v>1501006</v>
      </c>
      <c r="P352" s="49" t="s">
        <v>408</v>
      </c>
      <c r="Q352" s="15">
        <f t="shared" si="97"/>
        <v>17</v>
      </c>
      <c r="R352" s="49" t="str">
        <f t="shared" si="98"/>
        <v>金币</v>
      </c>
      <c r="S352" s="15">
        <f t="shared" si="99"/>
        <v>1000</v>
      </c>
      <c r="T352" s="15" t="str">
        <f t="shared" si="100"/>
        <v>低级专属强化石</v>
      </c>
      <c r="U352" s="15">
        <f t="shared" si="101"/>
        <v>10</v>
      </c>
      <c r="V352" s="15" t="str">
        <f t="shared" si="102"/>
        <v>[x]</v>
      </c>
      <c r="W352" s="15" t="str">
        <f t="shared" si="103"/>
        <v>[x]</v>
      </c>
      <c r="X352" s="15">
        <f t="shared" si="104"/>
        <v>0.21</v>
      </c>
      <c r="Y352" s="15">
        <f t="shared" si="105"/>
        <v>1</v>
      </c>
      <c r="Z352" s="15">
        <f t="shared" si="106"/>
        <v>10</v>
      </c>
      <c r="AA352" s="15">
        <f t="shared" si="107"/>
        <v>0.16</v>
      </c>
    </row>
    <row r="353" spans="1:27" ht="16.5" x14ac:dyDescent="0.2">
      <c r="A353" s="115"/>
      <c r="B353" s="74" t="s">
        <v>647</v>
      </c>
      <c r="C353" s="74">
        <v>3</v>
      </c>
      <c r="D353" s="74">
        <f>INDEX(神器!$M$4:$M$7,世界BOSS专属武器!C353)</f>
        <v>280</v>
      </c>
      <c r="E353" s="74">
        <f t="shared" si="94"/>
        <v>5.9761430466719681E-2</v>
      </c>
      <c r="F353" s="74">
        <f t="shared" si="95"/>
        <v>166</v>
      </c>
      <c r="G353" s="74">
        <v>1</v>
      </c>
      <c r="H353" s="74">
        <v>1</v>
      </c>
      <c r="M353" s="15">
        <v>274</v>
      </c>
      <c r="N353" s="15">
        <f t="shared" si="96"/>
        <v>6</v>
      </c>
      <c r="O353" s="15">
        <f>INDEX(卡牌消耗!$H$13:$H$33,世界BOSS专属武器!N353)</f>
        <v>1501006</v>
      </c>
      <c r="P353" s="49" t="s">
        <v>408</v>
      </c>
      <c r="Q353" s="15">
        <f t="shared" si="97"/>
        <v>18</v>
      </c>
      <c r="R353" s="49" t="str">
        <f t="shared" si="98"/>
        <v>金币</v>
      </c>
      <c r="S353" s="15">
        <f t="shared" si="99"/>
        <v>1000</v>
      </c>
      <c r="T353" s="15" t="str">
        <f t="shared" si="100"/>
        <v>低级专属强化石</v>
      </c>
      <c r="U353" s="15">
        <f t="shared" si="101"/>
        <v>10</v>
      </c>
      <c r="V353" s="15" t="str">
        <f t="shared" si="102"/>
        <v>[x]</v>
      </c>
      <c r="W353" s="15" t="str">
        <f t="shared" si="103"/>
        <v>[x]</v>
      </c>
      <c r="X353" s="15">
        <f t="shared" si="104"/>
        <v>0.19</v>
      </c>
      <c r="Y353" s="15">
        <f t="shared" si="105"/>
        <v>1</v>
      </c>
      <c r="Z353" s="15">
        <f t="shared" si="106"/>
        <v>11</v>
      </c>
      <c r="AA353" s="15">
        <f t="shared" si="107"/>
        <v>0.17330000000000001</v>
      </c>
    </row>
    <row r="354" spans="1:27" ht="16.5" x14ac:dyDescent="0.2">
      <c r="A354" s="115"/>
      <c r="B354" s="74" t="s">
        <v>648</v>
      </c>
      <c r="C354" s="74">
        <v>3</v>
      </c>
      <c r="D354" s="74">
        <f>INDEX(神器!$M$4:$M$7,世界BOSS专属武器!C354)</f>
        <v>280</v>
      </c>
      <c r="E354" s="74">
        <f t="shared" si="94"/>
        <v>5.9761430466719681E-2</v>
      </c>
      <c r="F354" s="74">
        <f t="shared" si="95"/>
        <v>166</v>
      </c>
      <c r="G354" s="74">
        <v>1</v>
      </c>
      <c r="H354" s="74">
        <v>1</v>
      </c>
      <c r="M354" s="15">
        <v>275</v>
      </c>
      <c r="N354" s="15">
        <f t="shared" si="96"/>
        <v>6</v>
      </c>
      <c r="O354" s="15">
        <f>INDEX(卡牌消耗!$H$13:$H$33,世界BOSS专属武器!N354)</f>
        <v>1501006</v>
      </c>
      <c r="P354" s="49" t="s">
        <v>408</v>
      </c>
      <c r="Q354" s="15">
        <f t="shared" si="97"/>
        <v>19</v>
      </c>
      <c r="R354" s="49" t="str">
        <f t="shared" si="98"/>
        <v>金币</v>
      </c>
      <c r="S354" s="15">
        <f t="shared" si="99"/>
        <v>1000</v>
      </c>
      <c r="T354" s="15" t="str">
        <f t="shared" si="100"/>
        <v>低级专属强化石</v>
      </c>
      <c r="U354" s="15">
        <f t="shared" si="101"/>
        <v>10</v>
      </c>
      <c r="V354" s="15" t="str">
        <f t="shared" si="102"/>
        <v>[x]</v>
      </c>
      <c r="W354" s="15" t="str">
        <f t="shared" si="103"/>
        <v>[x]</v>
      </c>
      <c r="X354" s="15">
        <f t="shared" si="104"/>
        <v>0.17</v>
      </c>
      <c r="Y354" s="15">
        <f t="shared" si="105"/>
        <v>1</v>
      </c>
      <c r="Z354" s="15">
        <f t="shared" si="106"/>
        <v>12</v>
      </c>
      <c r="AA354" s="15">
        <f t="shared" si="107"/>
        <v>0.1867</v>
      </c>
    </row>
    <row r="355" spans="1:27" ht="16.5" x14ac:dyDescent="0.2">
      <c r="A355" s="115"/>
      <c r="B355" s="74" t="s">
        <v>649</v>
      </c>
      <c r="C355" s="74">
        <v>3</v>
      </c>
      <c r="D355" s="74">
        <f>INDEX(神器!$M$4:$M$7,世界BOSS专属武器!C355)</f>
        <v>280</v>
      </c>
      <c r="E355" s="74">
        <f t="shared" si="94"/>
        <v>5.9761430466719681E-2</v>
      </c>
      <c r="F355" s="74">
        <f t="shared" si="95"/>
        <v>166</v>
      </c>
      <c r="G355" s="74">
        <v>1</v>
      </c>
      <c r="H355" s="74">
        <v>1</v>
      </c>
      <c r="M355" s="15">
        <v>276</v>
      </c>
      <c r="N355" s="15">
        <f t="shared" si="96"/>
        <v>6</v>
      </c>
      <c r="O355" s="15">
        <f>INDEX(卡牌消耗!$H$13:$H$33,世界BOSS专属武器!N355)</f>
        <v>1501006</v>
      </c>
      <c r="P355" s="49" t="s">
        <v>408</v>
      </c>
      <c r="Q355" s="15">
        <f t="shared" si="97"/>
        <v>20</v>
      </c>
      <c r="R355" s="49" t="str">
        <f t="shared" si="98"/>
        <v>金币</v>
      </c>
      <c r="S355" s="15">
        <f t="shared" si="99"/>
        <v>5000</v>
      </c>
      <c r="T355" s="15" t="str">
        <f t="shared" si="100"/>
        <v>低级专属强化石</v>
      </c>
      <c r="U355" s="15">
        <f t="shared" si="101"/>
        <v>15</v>
      </c>
      <c r="V355" s="15" t="str">
        <f t="shared" si="102"/>
        <v>中级专属强化石</v>
      </c>
      <c r="W355" s="15">
        <f t="shared" si="103"/>
        <v>7</v>
      </c>
      <c r="X355" s="15">
        <f t="shared" si="104"/>
        <v>0.15</v>
      </c>
      <c r="Y355" s="15">
        <f t="shared" si="105"/>
        <v>1</v>
      </c>
      <c r="Z355" s="15">
        <f t="shared" si="106"/>
        <v>15</v>
      </c>
      <c r="AA355" s="15">
        <f t="shared" si="107"/>
        <v>0.2</v>
      </c>
    </row>
    <row r="356" spans="1:27" ht="16.5" x14ac:dyDescent="0.2">
      <c r="A356" s="115"/>
      <c r="B356" s="74" t="s">
        <v>650</v>
      </c>
      <c r="C356" s="74">
        <v>4</v>
      </c>
      <c r="D356" s="74">
        <f>INDEX(神器!$M$4:$M$7,世界BOSS专属武器!C356)</f>
        <v>600</v>
      </c>
      <c r="E356" s="74">
        <f t="shared" si="94"/>
        <v>4.0824829046386304E-2</v>
      </c>
      <c r="F356" s="74">
        <f t="shared" si="95"/>
        <v>113</v>
      </c>
      <c r="G356" s="74">
        <v>1</v>
      </c>
      <c r="H356" s="74">
        <v>1</v>
      </c>
      <c r="M356" s="15">
        <v>277</v>
      </c>
      <c r="N356" s="15">
        <f t="shared" si="96"/>
        <v>6</v>
      </c>
      <c r="O356" s="15">
        <f>INDEX(卡牌消耗!$H$13:$H$33,世界BOSS专属武器!N356)</f>
        <v>1501006</v>
      </c>
      <c r="P356" s="49" t="s">
        <v>408</v>
      </c>
      <c r="Q356" s="15">
        <f t="shared" si="97"/>
        <v>21</v>
      </c>
      <c r="R356" s="49" t="str">
        <f t="shared" si="98"/>
        <v>金币</v>
      </c>
      <c r="S356" s="15">
        <f t="shared" si="99"/>
        <v>5000</v>
      </c>
      <c r="T356" s="15" t="str">
        <f t="shared" si="100"/>
        <v>低级专属强化石</v>
      </c>
      <c r="U356" s="15">
        <f t="shared" si="101"/>
        <v>15</v>
      </c>
      <c r="V356" s="15" t="str">
        <f t="shared" si="102"/>
        <v>中级专属强化石</v>
      </c>
      <c r="W356" s="15">
        <f t="shared" si="103"/>
        <v>7</v>
      </c>
      <c r="X356" s="15">
        <f t="shared" si="104"/>
        <v>0.15</v>
      </c>
      <c r="Y356" s="15">
        <f t="shared" si="105"/>
        <v>1</v>
      </c>
      <c r="Z356" s="15">
        <f t="shared" si="106"/>
        <v>15</v>
      </c>
      <c r="AA356" s="15">
        <f t="shared" si="107"/>
        <v>0.22</v>
      </c>
    </row>
    <row r="357" spans="1:27" ht="16.5" x14ac:dyDescent="0.2">
      <c r="A357" s="115"/>
      <c r="B357" s="74" t="s">
        <v>651</v>
      </c>
      <c r="C357" s="74">
        <v>4</v>
      </c>
      <c r="D357" s="74">
        <f>INDEX(神器!$M$4:$M$7,世界BOSS专属武器!C357)</f>
        <v>600</v>
      </c>
      <c r="E357" s="74">
        <f t="shared" si="94"/>
        <v>4.0824829046386304E-2</v>
      </c>
      <c r="F357" s="74">
        <f t="shared" si="95"/>
        <v>113</v>
      </c>
      <c r="G357" s="74">
        <v>1</v>
      </c>
      <c r="H357" s="74">
        <v>1</v>
      </c>
      <c r="M357" s="15">
        <v>278</v>
      </c>
      <c r="N357" s="15">
        <f t="shared" si="96"/>
        <v>6</v>
      </c>
      <c r="O357" s="15">
        <f>INDEX(卡牌消耗!$H$13:$H$33,世界BOSS专属武器!N357)</f>
        <v>1501006</v>
      </c>
      <c r="P357" s="49" t="s">
        <v>408</v>
      </c>
      <c r="Q357" s="15">
        <f t="shared" si="97"/>
        <v>22</v>
      </c>
      <c r="R357" s="49" t="str">
        <f t="shared" si="98"/>
        <v>金币</v>
      </c>
      <c r="S357" s="15">
        <f t="shared" si="99"/>
        <v>5000</v>
      </c>
      <c r="T357" s="15" t="str">
        <f t="shared" si="100"/>
        <v>低级专属强化石</v>
      </c>
      <c r="U357" s="15">
        <f t="shared" si="101"/>
        <v>15</v>
      </c>
      <c r="V357" s="15" t="str">
        <f t="shared" si="102"/>
        <v>中级专属强化石</v>
      </c>
      <c r="W357" s="15">
        <f t="shared" si="103"/>
        <v>7</v>
      </c>
      <c r="X357" s="15">
        <f t="shared" si="104"/>
        <v>0.15</v>
      </c>
      <c r="Y357" s="15">
        <f t="shared" si="105"/>
        <v>1</v>
      </c>
      <c r="Z357" s="15">
        <f t="shared" si="106"/>
        <v>15</v>
      </c>
      <c r="AA357" s="15">
        <f t="shared" si="107"/>
        <v>0.24</v>
      </c>
    </row>
    <row r="358" spans="1:27" ht="16.5" x14ac:dyDescent="0.2">
      <c r="A358" s="115"/>
      <c r="B358" s="74" t="s">
        <v>652</v>
      </c>
      <c r="C358" s="74">
        <v>2</v>
      </c>
      <c r="D358" s="74">
        <f>INDEX(神器!$M$4:$M$7,世界BOSS专属武器!C358)</f>
        <v>120</v>
      </c>
      <c r="E358" s="74">
        <f t="shared" si="94"/>
        <v>9.1287092917527679E-2</v>
      </c>
      <c r="F358" s="74">
        <f t="shared" si="95"/>
        <v>253</v>
      </c>
      <c r="G358" s="74">
        <v>1</v>
      </c>
      <c r="H358" s="74">
        <v>1</v>
      </c>
      <c r="M358" s="15">
        <v>279</v>
      </c>
      <c r="N358" s="15">
        <f t="shared" si="96"/>
        <v>6</v>
      </c>
      <c r="O358" s="15">
        <f>INDEX(卡牌消耗!$H$13:$H$33,世界BOSS专属武器!N358)</f>
        <v>1501006</v>
      </c>
      <c r="P358" s="49" t="s">
        <v>408</v>
      </c>
      <c r="Q358" s="15">
        <f t="shared" si="97"/>
        <v>23</v>
      </c>
      <c r="R358" s="49" t="str">
        <f t="shared" si="98"/>
        <v>金币</v>
      </c>
      <c r="S358" s="15">
        <f t="shared" si="99"/>
        <v>5000</v>
      </c>
      <c r="T358" s="15" t="str">
        <f t="shared" si="100"/>
        <v>低级专属强化石</v>
      </c>
      <c r="U358" s="15">
        <f t="shared" si="101"/>
        <v>15</v>
      </c>
      <c r="V358" s="15" t="str">
        <f t="shared" si="102"/>
        <v>中级专属强化石</v>
      </c>
      <c r="W358" s="15">
        <f t="shared" si="103"/>
        <v>7</v>
      </c>
      <c r="X358" s="15">
        <f t="shared" si="104"/>
        <v>0.15</v>
      </c>
      <c r="Y358" s="15">
        <f t="shared" si="105"/>
        <v>1</v>
      </c>
      <c r="Z358" s="15">
        <f t="shared" si="106"/>
        <v>18</v>
      </c>
      <c r="AA358" s="15">
        <f t="shared" si="107"/>
        <v>0.26</v>
      </c>
    </row>
    <row r="359" spans="1:27" ht="16.5" x14ac:dyDescent="0.2">
      <c r="A359" s="115"/>
      <c r="B359" s="74" t="s">
        <v>653</v>
      </c>
      <c r="C359" s="74">
        <v>2</v>
      </c>
      <c r="D359" s="74">
        <f>INDEX(神器!$M$4:$M$7,世界BOSS专属武器!C359)</f>
        <v>120</v>
      </c>
      <c r="E359" s="74">
        <f t="shared" si="94"/>
        <v>9.1287092917527679E-2</v>
      </c>
      <c r="F359" s="74">
        <f t="shared" si="95"/>
        <v>253</v>
      </c>
      <c r="G359" s="74">
        <v>1</v>
      </c>
      <c r="H359" s="74">
        <v>1</v>
      </c>
      <c r="M359" s="15">
        <v>280</v>
      </c>
      <c r="N359" s="15">
        <f t="shared" si="96"/>
        <v>6</v>
      </c>
      <c r="O359" s="15">
        <f>INDEX(卡牌消耗!$H$13:$H$33,世界BOSS专属武器!N359)</f>
        <v>1501006</v>
      </c>
      <c r="P359" s="49" t="s">
        <v>408</v>
      </c>
      <c r="Q359" s="15">
        <f t="shared" si="97"/>
        <v>24</v>
      </c>
      <c r="R359" s="49" t="str">
        <f t="shared" si="98"/>
        <v>金币</v>
      </c>
      <c r="S359" s="15">
        <f t="shared" si="99"/>
        <v>5000</v>
      </c>
      <c r="T359" s="15" t="str">
        <f t="shared" si="100"/>
        <v>低级专属强化石</v>
      </c>
      <c r="U359" s="15">
        <f t="shared" si="101"/>
        <v>15</v>
      </c>
      <c r="V359" s="15" t="str">
        <f t="shared" si="102"/>
        <v>中级专属强化石</v>
      </c>
      <c r="W359" s="15">
        <f t="shared" si="103"/>
        <v>7</v>
      </c>
      <c r="X359" s="15">
        <f t="shared" si="104"/>
        <v>0.15</v>
      </c>
      <c r="Y359" s="15">
        <f t="shared" si="105"/>
        <v>1</v>
      </c>
      <c r="Z359" s="15">
        <f t="shared" si="106"/>
        <v>18</v>
      </c>
      <c r="AA359" s="15">
        <f t="shared" si="107"/>
        <v>0.28000000000000003</v>
      </c>
    </row>
    <row r="360" spans="1:27" ht="16.5" x14ac:dyDescent="0.2">
      <c r="A360" s="115"/>
      <c r="B360" s="74" t="s">
        <v>654</v>
      </c>
      <c r="C360" s="74">
        <v>2</v>
      </c>
      <c r="D360" s="74">
        <f>INDEX(神器!$M$4:$M$7,世界BOSS专属武器!C360)</f>
        <v>120</v>
      </c>
      <c r="E360" s="74">
        <f t="shared" si="94"/>
        <v>9.1287092917527679E-2</v>
      </c>
      <c r="F360" s="74">
        <f t="shared" si="95"/>
        <v>253</v>
      </c>
      <c r="G360" s="74">
        <v>1</v>
      </c>
      <c r="H360" s="74">
        <v>1</v>
      </c>
      <c r="M360" s="15">
        <v>281</v>
      </c>
      <c r="N360" s="15">
        <f t="shared" si="96"/>
        <v>6</v>
      </c>
      <c r="O360" s="15">
        <f>INDEX(卡牌消耗!$H$13:$H$33,世界BOSS专属武器!N360)</f>
        <v>1501006</v>
      </c>
      <c r="P360" s="49" t="s">
        <v>408</v>
      </c>
      <c r="Q360" s="15">
        <f t="shared" si="97"/>
        <v>25</v>
      </c>
      <c r="R360" s="49" t="str">
        <f t="shared" si="98"/>
        <v>金币</v>
      </c>
      <c r="S360" s="15">
        <f t="shared" si="99"/>
        <v>5000</v>
      </c>
      <c r="T360" s="15" t="str">
        <f t="shared" si="100"/>
        <v>低级专属强化石</v>
      </c>
      <c r="U360" s="15">
        <f t="shared" si="101"/>
        <v>15</v>
      </c>
      <c r="V360" s="15" t="str">
        <f t="shared" si="102"/>
        <v>中级专属强化石</v>
      </c>
      <c r="W360" s="15">
        <f t="shared" si="103"/>
        <v>7</v>
      </c>
      <c r="X360" s="15">
        <f t="shared" si="104"/>
        <v>0.15</v>
      </c>
      <c r="Y360" s="15">
        <f t="shared" si="105"/>
        <v>1</v>
      </c>
      <c r="Z360" s="15">
        <f t="shared" si="106"/>
        <v>18</v>
      </c>
      <c r="AA360" s="15">
        <f t="shared" si="107"/>
        <v>0.3</v>
      </c>
    </row>
    <row r="361" spans="1:27" ht="16.5" x14ac:dyDescent="0.2">
      <c r="A361" s="115"/>
      <c r="B361" s="74" t="s">
        <v>655</v>
      </c>
      <c r="C361" s="74">
        <v>3</v>
      </c>
      <c r="D361" s="74">
        <f>INDEX(神器!$M$4:$M$7,世界BOSS专属武器!C361)</f>
        <v>280</v>
      </c>
      <c r="E361" s="74">
        <f t="shared" si="94"/>
        <v>5.9761430466719681E-2</v>
      </c>
      <c r="F361" s="74">
        <f t="shared" si="95"/>
        <v>166</v>
      </c>
      <c r="G361" s="74">
        <v>1</v>
      </c>
      <c r="H361" s="74">
        <v>1</v>
      </c>
      <c r="M361" s="15">
        <v>282</v>
      </c>
      <c r="N361" s="15">
        <f t="shared" si="96"/>
        <v>6</v>
      </c>
      <c r="O361" s="15">
        <f>INDEX(卡牌消耗!$H$13:$H$33,世界BOSS专属武器!N361)</f>
        <v>1501006</v>
      </c>
      <c r="P361" s="49" t="s">
        <v>408</v>
      </c>
      <c r="Q361" s="15">
        <f t="shared" si="97"/>
        <v>26</v>
      </c>
      <c r="R361" s="49" t="str">
        <f t="shared" si="98"/>
        <v>金币</v>
      </c>
      <c r="S361" s="15">
        <f t="shared" si="99"/>
        <v>5000</v>
      </c>
      <c r="T361" s="15" t="str">
        <f t="shared" si="100"/>
        <v>低级专属强化石</v>
      </c>
      <c r="U361" s="15">
        <f t="shared" si="101"/>
        <v>15</v>
      </c>
      <c r="V361" s="15" t="str">
        <f t="shared" si="102"/>
        <v>中级专属强化石</v>
      </c>
      <c r="W361" s="15">
        <f t="shared" si="103"/>
        <v>7</v>
      </c>
      <c r="X361" s="15">
        <f t="shared" si="104"/>
        <v>0.15</v>
      </c>
      <c r="Y361" s="15">
        <f t="shared" si="105"/>
        <v>1</v>
      </c>
      <c r="Z361" s="15">
        <f t="shared" si="106"/>
        <v>21</v>
      </c>
      <c r="AA361" s="15">
        <f t="shared" si="107"/>
        <v>0.32</v>
      </c>
    </row>
    <row r="362" spans="1:27" ht="16.5" x14ac:dyDescent="0.2">
      <c r="A362" s="115"/>
      <c r="B362" s="74" t="s">
        <v>656</v>
      </c>
      <c r="C362" s="74">
        <v>3</v>
      </c>
      <c r="D362" s="74">
        <f>INDEX(神器!$M$4:$M$7,世界BOSS专属武器!C362)</f>
        <v>280</v>
      </c>
      <c r="E362" s="74">
        <f t="shared" si="94"/>
        <v>5.9761430466719681E-2</v>
      </c>
      <c r="F362" s="74">
        <f t="shared" si="95"/>
        <v>166</v>
      </c>
      <c r="G362" s="74">
        <v>1</v>
      </c>
      <c r="H362" s="74">
        <v>1</v>
      </c>
      <c r="M362" s="15">
        <v>283</v>
      </c>
      <c r="N362" s="15">
        <f t="shared" si="96"/>
        <v>6</v>
      </c>
      <c r="O362" s="15">
        <f>INDEX(卡牌消耗!$H$13:$H$33,世界BOSS专属武器!N362)</f>
        <v>1501006</v>
      </c>
      <c r="P362" s="49" t="s">
        <v>408</v>
      </c>
      <c r="Q362" s="15">
        <f t="shared" si="97"/>
        <v>27</v>
      </c>
      <c r="R362" s="49" t="str">
        <f t="shared" si="98"/>
        <v>金币</v>
      </c>
      <c r="S362" s="15">
        <f t="shared" si="99"/>
        <v>5000</v>
      </c>
      <c r="T362" s="15" t="str">
        <f t="shared" si="100"/>
        <v>低级专属强化石</v>
      </c>
      <c r="U362" s="15">
        <f t="shared" si="101"/>
        <v>15</v>
      </c>
      <c r="V362" s="15" t="str">
        <f t="shared" si="102"/>
        <v>中级专属强化石</v>
      </c>
      <c r="W362" s="15">
        <f t="shared" si="103"/>
        <v>7</v>
      </c>
      <c r="X362" s="15">
        <f t="shared" si="104"/>
        <v>0.15</v>
      </c>
      <c r="Y362" s="15">
        <f t="shared" si="105"/>
        <v>1</v>
      </c>
      <c r="Z362" s="15">
        <f t="shared" si="106"/>
        <v>22</v>
      </c>
      <c r="AA362" s="15">
        <f t="shared" si="107"/>
        <v>0.34</v>
      </c>
    </row>
    <row r="363" spans="1:27" ht="16.5" x14ac:dyDescent="0.2">
      <c r="A363" s="115"/>
      <c r="B363" s="74" t="s">
        <v>657</v>
      </c>
      <c r="C363" s="74">
        <v>3</v>
      </c>
      <c r="D363" s="74">
        <f>INDEX(神器!$M$4:$M$7,世界BOSS专属武器!C363)</f>
        <v>280</v>
      </c>
      <c r="E363" s="74">
        <f t="shared" si="94"/>
        <v>5.9761430466719681E-2</v>
      </c>
      <c r="F363" s="74">
        <f t="shared" si="95"/>
        <v>166</v>
      </c>
      <c r="G363" s="74">
        <v>1</v>
      </c>
      <c r="H363" s="74">
        <v>1</v>
      </c>
      <c r="M363" s="15">
        <v>284</v>
      </c>
      <c r="N363" s="15">
        <f t="shared" si="96"/>
        <v>6</v>
      </c>
      <c r="O363" s="15">
        <f>INDEX(卡牌消耗!$H$13:$H$33,世界BOSS专属武器!N363)</f>
        <v>1501006</v>
      </c>
      <c r="P363" s="49" t="s">
        <v>408</v>
      </c>
      <c r="Q363" s="15">
        <f t="shared" si="97"/>
        <v>28</v>
      </c>
      <c r="R363" s="49" t="str">
        <f t="shared" si="98"/>
        <v>金币</v>
      </c>
      <c r="S363" s="15">
        <f t="shared" si="99"/>
        <v>5000</v>
      </c>
      <c r="T363" s="15" t="str">
        <f t="shared" si="100"/>
        <v>低级专属强化石</v>
      </c>
      <c r="U363" s="15">
        <f t="shared" si="101"/>
        <v>15</v>
      </c>
      <c r="V363" s="15" t="str">
        <f t="shared" si="102"/>
        <v>中级专属强化石</v>
      </c>
      <c r="W363" s="15">
        <f t="shared" si="103"/>
        <v>7</v>
      </c>
      <c r="X363" s="15">
        <f t="shared" si="104"/>
        <v>0.15</v>
      </c>
      <c r="Y363" s="15">
        <f t="shared" si="105"/>
        <v>1</v>
      </c>
      <c r="Z363" s="15">
        <f t="shared" si="106"/>
        <v>23</v>
      </c>
      <c r="AA363" s="15">
        <f t="shared" si="107"/>
        <v>0.36</v>
      </c>
    </row>
    <row r="364" spans="1:27" ht="16.5" x14ac:dyDescent="0.2">
      <c r="A364" s="115"/>
      <c r="B364" s="74" t="s">
        <v>658</v>
      </c>
      <c r="C364" s="74">
        <v>4</v>
      </c>
      <c r="D364" s="74">
        <f>INDEX(神器!$M$4:$M$7,世界BOSS专属武器!C364)</f>
        <v>600</v>
      </c>
      <c r="E364" s="74">
        <f t="shared" si="94"/>
        <v>4.0824829046386304E-2</v>
      </c>
      <c r="F364" s="74">
        <f t="shared" si="95"/>
        <v>113</v>
      </c>
      <c r="G364" s="74">
        <v>1</v>
      </c>
      <c r="H364" s="74">
        <v>1</v>
      </c>
      <c r="M364" s="15">
        <v>285</v>
      </c>
      <c r="N364" s="15">
        <f t="shared" si="96"/>
        <v>6</v>
      </c>
      <c r="O364" s="15">
        <f>INDEX(卡牌消耗!$H$13:$H$33,世界BOSS专属武器!N364)</f>
        <v>1501006</v>
      </c>
      <c r="P364" s="49" t="s">
        <v>408</v>
      </c>
      <c r="Q364" s="15">
        <f t="shared" si="97"/>
        <v>29</v>
      </c>
      <c r="R364" s="49" t="str">
        <f t="shared" si="98"/>
        <v>金币</v>
      </c>
      <c r="S364" s="15">
        <f t="shared" si="99"/>
        <v>5000</v>
      </c>
      <c r="T364" s="15" t="str">
        <f t="shared" si="100"/>
        <v>低级专属强化石</v>
      </c>
      <c r="U364" s="15">
        <f t="shared" si="101"/>
        <v>15</v>
      </c>
      <c r="V364" s="15" t="str">
        <f t="shared" si="102"/>
        <v>中级专属强化石</v>
      </c>
      <c r="W364" s="15">
        <f t="shared" si="103"/>
        <v>7</v>
      </c>
      <c r="X364" s="15">
        <f t="shared" si="104"/>
        <v>0.15</v>
      </c>
      <c r="Y364" s="15">
        <f t="shared" si="105"/>
        <v>1</v>
      </c>
      <c r="Z364" s="15">
        <f t="shared" si="106"/>
        <v>25</v>
      </c>
      <c r="AA364" s="15">
        <f t="shared" si="107"/>
        <v>0.38</v>
      </c>
    </row>
    <row r="365" spans="1:27" ht="16.5" x14ac:dyDescent="0.2">
      <c r="A365" s="115"/>
      <c r="B365" s="74" t="s">
        <v>659</v>
      </c>
      <c r="C365" s="74">
        <v>4</v>
      </c>
      <c r="D365" s="74">
        <f>INDEX(神器!$M$4:$M$7,世界BOSS专属武器!C365)</f>
        <v>600</v>
      </c>
      <c r="E365" s="74">
        <f t="shared" si="94"/>
        <v>4.0824829046386304E-2</v>
      </c>
      <c r="F365" s="74">
        <f>10000-SUM(F324:F364)</f>
        <v>110</v>
      </c>
      <c r="G365" s="74">
        <v>1</v>
      </c>
      <c r="H365" s="74">
        <v>1</v>
      </c>
      <c r="M365" s="15">
        <v>286</v>
      </c>
      <c r="N365" s="15">
        <f t="shared" si="96"/>
        <v>6</v>
      </c>
      <c r="O365" s="15">
        <f>INDEX(卡牌消耗!$H$13:$H$33,世界BOSS专属武器!N365)</f>
        <v>1501006</v>
      </c>
      <c r="P365" s="49" t="s">
        <v>408</v>
      </c>
      <c r="Q365" s="15">
        <f t="shared" si="97"/>
        <v>30</v>
      </c>
      <c r="R365" s="49" t="str">
        <f t="shared" si="98"/>
        <v>金币</v>
      </c>
      <c r="S365" s="15">
        <f t="shared" si="99"/>
        <v>10000</v>
      </c>
      <c r="T365" s="15" t="str">
        <f t="shared" si="100"/>
        <v>中级专属强化石</v>
      </c>
      <c r="U365" s="15">
        <f t="shared" si="101"/>
        <v>8</v>
      </c>
      <c r="V365" s="15" t="str">
        <f t="shared" si="102"/>
        <v>高级专属强化石</v>
      </c>
      <c r="W365" s="15">
        <f t="shared" si="103"/>
        <v>3</v>
      </c>
      <c r="X365" s="15">
        <f t="shared" si="104"/>
        <v>0.1</v>
      </c>
      <c r="Y365" s="15">
        <f t="shared" si="105"/>
        <v>1</v>
      </c>
      <c r="Z365" s="15">
        <f t="shared" si="106"/>
        <v>30</v>
      </c>
      <c r="AA365" s="15">
        <f t="shared" si="107"/>
        <v>0.4</v>
      </c>
    </row>
    <row r="366" spans="1:27" ht="16.5" x14ac:dyDescent="0.2">
      <c r="M366" s="15">
        <v>287</v>
      </c>
      <c r="N366" s="15">
        <f t="shared" si="96"/>
        <v>6</v>
      </c>
      <c r="O366" s="15">
        <f>INDEX(卡牌消耗!$H$13:$H$33,世界BOSS专属武器!N366)</f>
        <v>1501006</v>
      </c>
      <c r="P366" s="49" t="s">
        <v>408</v>
      </c>
      <c r="Q366" s="15">
        <f t="shared" si="97"/>
        <v>31</v>
      </c>
      <c r="R366" s="49" t="str">
        <f t="shared" si="98"/>
        <v>金币</v>
      </c>
      <c r="S366" s="15">
        <f t="shared" si="99"/>
        <v>10000</v>
      </c>
      <c r="T366" s="15" t="str">
        <f t="shared" si="100"/>
        <v>中级专属强化石</v>
      </c>
      <c r="U366" s="15">
        <f t="shared" si="101"/>
        <v>8</v>
      </c>
      <c r="V366" s="15" t="str">
        <f t="shared" si="102"/>
        <v>高级专属强化石</v>
      </c>
      <c r="W366" s="15">
        <f t="shared" si="103"/>
        <v>3</v>
      </c>
      <c r="X366" s="15">
        <f t="shared" si="104"/>
        <v>0.1</v>
      </c>
      <c r="Y366" s="15">
        <f t="shared" si="105"/>
        <v>1</v>
      </c>
      <c r="Z366" s="15">
        <f t="shared" si="106"/>
        <v>30</v>
      </c>
      <c r="AA366" s="15">
        <f t="shared" si="107"/>
        <v>0.42670000000000002</v>
      </c>
    </row>
    <row r="367" spans="1:27" ht="16.5" x14ac:dyDescent="0.2">
      <c r="M367" s="15">
        <v>288</v>
      </c>
      <c r="N367" s="15">
        <f t="shared" si="96"/>
        <v>6</v>
      </c>
      <c r="O367" s="15">
        <f>INDEX(卡牌消耗!$H$13:$H$33,世界BOSS专属武器!N367)</f>
        <v>1501006</v>
      </c>
      <c r="P367" s="49" t="s">
        <v>408</v>
      </c>
      <c r="Q367" s="15">
        <f t="shared" si="97"/>
        <v>32</v>
      </c>
      <c r="R367" s="49" t="str">
        <f t="shared" si="98"/>
        <v>金币</v>
      </c>
      <c r="S367" s="15">
        <f t="shared" si="99"/>
        <v>10000</v>
      </c>
      <c r="T367" s="15" t="str">
        <f t="shared" si="100"/>
        <v>中级专属强化石</v>
      </c>
      <c r="U367" s="15">
        <f t="shared" si="101"/>
        <v>8</v>
      </c>
      <c r="V367" s="15" t="str">
        <f t="shared" si="102"/>
        <v>高级专属强化石</v>
      </c>
      <c r="W367" s="15">
        <f t="shared" si="103"/>
        <v>3</v>
      </c>
      <c r="X367" s="15">
        <f t="shared" si="104"/>
        <v>0.1</v>
      </c>
      <c r="Y367" s="15">
        <f t="shared" si="105"/>
        <v>1</v>
      </c>
      <c r="Z367" s="15">
        <f t="shared" si="106"/>
        <v>30</v>
      </c>
      <c r="AA367" s="15">
        <f t="shared" si="107"/>
        <v>0.45329999999999998</v>
      </c>
    </row>
    <row r="368" spans="1:27" ht="16.5" x14ac:dyDescent="0.2">
      <c r="M368" s="15">
        <v>289</v>
      </c>
      <c r="N368" s="15">
        <f t="shared" si="96"/>
        <v>6</v>
      </c>
      <c r="O368" s="15">
        <f>INDEX(卡牌消耗!$H$13:$H$33,世界BOSS专属武器!N368)</f>
        <v>1501006</v>
      </c>
      <c r="P368" s="49" t="s">
        <v>408</v>
      </c>
      <c r="Q368" s="15">
        <f t="shared" si="97"/>
        <v>33</v>
      </c>
      <c r="R368" s="49" t="str">
        <f t="shared" si="98"/>
        <v>金币</v>
      </c>
      <c r="S368" s="15">
        <f t="shared" si="99"/>
        <v>10000</v>
      </c>
      <c r="T368" s="15" t="str">
        <f t="shared" si="100"/>
        <v>中级专属强化石</v>
      </c>
      <c r="U368" s="15">
        <f t="shared" si="101"/>
        <v>8</v>
      </c>
      <c r="V368" s="15" t="str">
        <f t="shared" si="102"/>
        <v>高级专属强化石</v>
      </c>
      <c r="W368" s="15">
        <f t="shared" si="103"/>
        <v>3</v>
      </c>
      <c r="X368" s="15">
        <f t="shared" si="104"/>
        <v>0.1</v>
      </c>
      <c r="Y368" s="15">
        <f t="shared" si="105"/>
        <v>1</v>
      </c>
      <c r="Z368" s="15">
        <f t="shared" si="106"/>
        <v>30</v>
      </c>
      <c r="AA368" s="15">
        <f t="shared" si="107"/>
        <v>0.48</v>
      </c>
    </row>
    <row r="369" spans="13:27" ht="16.5" x14ac:dyDescent="0.2">
      <c r="M369" s="15">
        <v>290</v>
      </c>
      <c r="N369" s="15">
        <f t="shared" si="96"/>
        <v>6</v>
      </c>
      <c r="O369" s="15">
        <f>INDEX(卡牌消耗!$H$13:$H$33,世界BOSS专属武器!N369)</f>
        <v>1501006</v>
      </c>
      <c r="P369" s="49" t="s">
        <v>408</v>
      </c>
      <c r="Q369" s="15">
        <f t="shared" si="97"/>
        <v>34</v>
      </c>
      <c r="R369" s="49" t="str">
        <f t="shared" si="98"/>
        <v>金币</v>
      </c>
      <c r="S369" s="15">
        <f t="shared" si="99"/>
        <v>10000</v>
      </c>
      <c r="T369" s="15" t="str">
        <f t="shared" si="100"/>
        <v>中级专属强化石</v>
      </c>
      <c r="U369" s="15">
        <f t="shared" si="101"/>
        <v>8</v>
      </c>
      <c r="V369" s="15" t="str">
        <f t="shared" si="102"/>
        <v>高级专属强化石</v>
      </c>
      <c r="W369" s="15">
        <f t="shared" si="103"/>
        <v>3</v>
      </c>
      <c r="X369" s="15">
        <f t="shared" si="104"/>
        <v>0.1</v>
      </c>
      <c r="Y369" s="15">
        <f t="shared" si="105"/>
        <v>1</v>
      </c>
      <c r="Z369" s="15">
        <f t="shared" si="106"/>
        <v>30</v>
      </c>
      <c r="AA369" s="15">
        <f t="shared" si="107"/>
        <v>0.50670000000000004</v>
      </c>
    </row>
    <row r="370" spans="13:27" ht="16.5" x14ac:dyDescent="0.2">
      <c r="M370" s="15">
        <v>291</v>
      </c>
      <c r="N370" s="15">
        <f t="shared" si="96"/>
        <v>6</v>
      </c>
      <c r="O370" s="15">
        <f>INDEX(卡牌消耗!$H$13:$H$33,世界BOSS专属武器!N370)</f>
        <v>1501006</v>
      </c>
      <c r="P370" s="49" t="s">
        <v>408</v>
      </c>
      <c r="Q370" s="15">
        <f t="shared" si="97"/>
        <v>35</v>
      </c>
      <c r="R370" s="49" t="str">
        <f t="shared" si="98"/>
        <v>金币</v>
      </c>
      <c r="S370" s="15">
        <f t="shared" si="99"/>
        <v>10000</v>
      </c>
      <c r="T370" s="15" t="str">
        <f t="shared" si="100"/>
        <v>中级专属强化石</v>
      </c>
      <c r="U370" s="15">
        <f t="shared" si="101"/>
        <v>8</v>
      </c>
      <c r="V370" s="15" t="str">
        <f t="shared" si="102"/>
        <v>高级专属强化石</v>
      </c>
      <c r="W370" s="15">
        <f t="shared" si="103"/>
        <v>3</v>
      </c>
      <c r="X370" s="15">
        <f t="shared" si="104"/>
        <v>0.1</v>
      </c>
      <c r="Y370" s="15">
        <f t="shared" si="105"/>
        <v>1</v>
      </c>
      <c r="Z370" s="15">
        <f t="shared" si="106"/>
        <v>30</v>
      </c>
      <c r="AA370" s="15">
        <f t="shared" si="107"/>
        <v>0.5333</v>
      </c>
    </row>
    <row r="371" spans="13:27" ht="16.5" x14ac:dyDescent="0.2">
      <c r="M371" s="15">
        <v>292</v>
      </c>
      <c r="N371" s="15">
        <f t="shared" si="96"/>
        <v>6</v>
      </c>
      <c r="O371" s="15">
        <f>INDEX(卡牌消耗!$H$13:$H$33,世界BOSS专属武器!N371)</f>
        <v>1501006</v>
      </c>
      <c r="P371" s="49" t="s">
        <v>408</v>
      </c>
      <c r="Q371" s="15">
        <f t="shared" si="97"/>
        <v>36</v>
      </c>
      <c r="R371" s="49" t="str">
        <f t="shared" si="98"/>
        <v>金币</v>
      </c>
      <c r="S371" s="15">
        <f t="shared" si="99"/>
        <v>10000</v>
      </c>
      <c r="T371" s="15" t="str">
        <f t="shared" si="100"/>
        <v>中级专属强化石</v>
      </c>
      <c r="U371" s="15">
        <f t="shared" si="101"/>
        <v>8</v>
      </c>
      <c r="V371" s="15" t="str">
        <f t="shared" si="102"/>
        <v>高级专属强化石</v>
      </c>
      <c r="W371" s="15">
        <f t="shared" si="103"/>
        <v>3</v>
      </c>
      <c r="X371" s="15">
        <f t="shared" si="104"/>
        <v>0.1</v>
      </c>
      <c r="Y371" s="15">
        <f t="shared" si="105"/>
        <v>1</v>
      </c>
      <c r="Z371" s="15">
        <f t="shared" si="106"/>
        <v>30</v>
      </c>
      <c r="AA371" s="15">
        <f t="shared" si="107"/>
        <v>0.56000000000000005</v>
      </c>
    </row>
    <row r="372" spans="13:27" ht="16.5" x14ac:dyDescent="0.2">
      <c r="M372" s="15">
        <v>293</v>
      </c>
      <c r="N372" s="15">
        <f t="shared" si="96"/>
        <v>6</v>
      </c>
      <c r="O372" s="15">
        <f>INDEX(卡牌消耗!$H$13:$H$33,世界BOSS专属武器!N372)</f>
        <v>1501006</v>
      </c>
      <c r="P372" s="49" t="s">
        <v>408</v>
      </c>
      <c r="Q372" s="15">
        <f t="shared" si="97"/>
        <v>37</v>
      </c>
      <c r="R372" s="49" t="str">
        <f t="shared" si="98"/>
        <v>金币</v>
      </c>
      <c r="S372" s="15">
        <f t="shared" si="99"/>
        <v>10000</v>
      </c>
      <c r="T372" s="15" t="str">
        <f t="shared" si="100"/>
        <v>中级专属强化石</v>
      </c>
      <c r="U372" s="15">
        <f t="shared" si="101"/>
        <v>8</v>
      </c>
      <c r="V372" s="15" t="str">
        <f t="shared" si="102"/>
        <v>高级专属强化石</v>
      </c>
      <c r="W372" s="15">
        <f t="shared" si="103"/>
        <v>3</v>
      </c>
      <c r="X372" s="15">
        <f t="shared" si="104"/>
        <v>0.1</v>
      </c>
      <c r="Y372" s="15">
        <f t="shared" si="105"/>
        <v>1</v>
      </c>
      <c r="Z372" s="15">
        <f t="shared" si="106"/>
        <v>30</v>
      </c>
      <c r="AA372" s="15">
        <f t="shared" si="107"/>
        <v>0.5867</v>
      </c>
    </row>
    <row r="373" spans="13:27" ht="16.5" x14ac:dyDescent="0.2">
      <c r="M373" s="15">
        <v>294</v>
      </c>
      <c r="N373" s="15">
        <f t="shared" si="96"/>
        <v>6</v>
      </c>
      <c r="O373" s="15">
        <f>INDEX(卡牌消耗!$H$13:$H$33,世界BOSS专属武器!N373)</f>
        <v>1501006</v>
      </c>
      <c r="P373" s="49" t="s">
        <v>408</v>
      </c>
      <c r="Q373" s="15">
        <f t="shared" si="97"/>
        <v>38</v>
      </c>
      <c r="R373" s="49" t="str">
        <f t="shared" si="98"/>
        <v>金币</v>
      </c>
      <c r="S373" s="15">
        <f t="shared" si="99"/>
        <v>10000</v>
      </c>
      <c r="T373" s="15" t="str">
        <f t="shared" si="100"/>
        <v>中级专属强化石</v>
      </c>
      <c r="U373" s="15">
        <f t="shared" si="101"/>
        <v>8</v>
      </c>
      <c r="V373" s="15" t="str">
        <f t="shared" si="102"/>
        <v>高级专属强化石</v>
      </c>
      <c r="W373" s="15">
        <f t="shared" si="103"/>
        <v>3</v>
      </c>
      <c r="X373" s="15">
        <f t="shared" si="104"/>
        <v>0.1</v>
      </c>
      <c r="Y373" s="15">
        <f t="shared" si="105"/>
        <v>1</v>
      </c>
      <c r="Z373" s="15">
        <f t="shared" si="106"/>
        <v>30</v>
      </c>
      <c r="AA373" s="15">
        <f t="shared" si="107"/>
        <v>0.61329999999999996</v>
      </c>
    </row>
    <row r="374" spans="13:27" ht="16.5" x14ac:dyDescent="0.2">
      <c r="M374" s="15">
        <v>295</v>
      </c>
      <c r="N374" s="15">
        <f t="shared" si="96"/>
        <v>6</v>
      </c>
      <c r="O374" s="15">
        <f>INDEX(卡牌消耗!$H$13:$H$33,世界BOSS专属武器!N374)</f>
        <v>1501006</v>
      </c>
      <c r="P374" s="49" t="s">
        <v>408</v>
      </c>
      <c r="Q374" s="15">
        <f t="shared" si="97"/>
        <v>39</v>
      </c>
      <c r="R374" s="49" t="str">
        <f t="shared" si="98"/>
        <v>金币</v>
      </c>
      <c r="S374" s="15">
        <f t="shared" si="99"/>
        <v>10000</v>
      </c>
      <c r="T374" s="15" t="str">
        <f t="shared" si="100"/>
        <v>中级专属强化石</v>
      </c>
      <c r="U374" s="15">
        <f t="shared" si="101"/>
        <v>8</v>
      </c>
      <c r="V374" s="15" t="str">
        <f t="shared" si="102"/>
        <v>高级专属强化石</v>
      </c>
      <c r="W374" s="15">
        <f t="shared" si="103"/>
        <v>3</v>
      </c>
      <c r="X374" s="15">
        <f t="shared" si="104"/>
        <v>0.1</v>
      </c>
      <c r="Y374" s="15">
        <f t="shared" si="105"/>
        <v>1</v>
      </c>
      <c r="Z374" s="15">
        <f t="shared" si="106"/>
        <v>30</v>
      </c>
      <c r="AA374" s="15">
        <f t="shared" si="107"/>
        <v>0.64</v>
      </c>
    </row>
    <row r="375" spans="13:27" ht="16.5" x14ac:dyDescent="0.2">
      <c r="M375" s="15">
        <v>296</v>
      </c>
      <c r="N375" s="15">
        <f t="shared" si="96"/>
        <v>6</v>
      </c>
      <c r="O375" s="15">
        <f>INDEX(卡牌消耗!$H$13:$H$33,世界BOSS专属武器!N375)</f>
        <v>1501006</v>
      </c>
      <c r="P375" s="49" t="s">
        <v>408</v>
      </c>
      <c r="Q375" s="15">
        <f t="shared" si="97"/>
        <v>40</v>
      </c>
      <c r="R375" s="49" t="str">
        <f t="shared" si="98"/>
        <v>金币</v>
      </c>
      <c r="S375" s="15">
        <f t="shared" si="99"/>
        <v>20000</v>
      </c>
      <c r="T375" s="15" t="str">
        <f t="shared" si="100"/>
        <v>高级专属强化石</v>
      </c>
      <c r="U375" s="15">
        <f t="shared" si="101"/>
        <v>5</v>
      </c>
      <c r="V375" s="15" t="str">
        <f t="shared" si="102"/>
        <v>[x]</v>
      </c>
      <c r="W375" s="15" t="str">
        <f t="shared" si="103"/>
        <v>[x]</v>
      </c>
      <c r="X375" s="15">
        <f t="shared" si="104"/>
        <v>0.1</v>
      </c>
      <c r="Y375" s="15">
        <f t="shared" si="105"/>
        <v>1</v>
      </c>
      <c r="Z375" s="15">
        <f t="shared" si="106"/>
        <v>35</v>
      </c>
      <c r="AA375" s="15">
        <f t="shared" si="107"/>
        <v>0.66669999999999996</v>
      </c>
    </row>
    <row r="376" spans="13:27" ht="16.5" x14ac:dyDescent="0.2">
      <c r="M376" s="15">
        <v>297</v>
      </c>
      <c r="N376" s="15">
        <f t="shared" si="96"/>
        <v>6</v>
      </c>
      <c r="O376" s="15">
        <f>INDEX(卡牌消耗!$H$13:$H$33,世界BOSS专属武器!N376)</f>
        <v>1501006</v>
      </c>
      <c r="P376" s="49" t="s">
        <v>408</v>
      </c>
      <c r="Q376" s="15">
        <f t="shared" si="97"/>
        <v>41</v>
      </c>
      <c r="R376" s="49" t="str">
        <f t="shared" si="98"/>
        <v>金币</v>
      </c>
      <c r="S376" s="15">
        <f t="shared" si="99"/>
        <v>20000</v>
      </c>
      <c r="T376" s="15" t="str">
        <f t="shared" si="100"/>
        <v>高级专属强化石</v>
      </c>
      <c r="U376" s="15">
        <f t="shared" si="101"/>
        <v>5</v>
      </c>
      <c r="V376" s="15" t="str">
        <f t="shared" si="102"/>
        <v>[x]</v>
      </c>
      <c r="W376" s="15" t="str">
        <f t="shared" si="103"/>
        <v>[x]</v>
      </c>
      <c r="X376" s="15">
        <f t="shared" si="104"/>
        <v>0.1</v>
      </c>
      <c r="Y376" s="15">
        <f t="shared" si="105"/>
        <v>1</v>
      </c>
      <c r="Z376" s="15">
        <f t="shared" si="106"/>
        <v>40</v>
      </c>
      <c r="AA376" s="15">
        <f t="shared" si="107"/>
        <v>0.7</v>
      </c>
    </row>
    <row r="377" spans="13:27" ht="16.5" x14ac:dyDescent="0.2">
      <c r="M377" s="15">
        <v>298</v>
      </c>
      <c r="N377" s="15">
        <f t="shared" si="96"/>
        <v>6</v>
      </c>
      <c r="O377" s="15">
        <f>INDEX(卡牌消耗!$H$13:$H$33,世界BOSS专属武器!N377)</f>
        <v>1501006</v>
      </c>
      <c r="P377" s="49" t="s">
        <v>408</v>
      </c>
      <c r="Q377" s="15">
        <f t="shared" si="97"/>
        <v>42</v>
      </c>
      <c r="R377" s="49" t="str">
        <f t="shared" si="98"/>
        <v>金币</v>
      </c>
      <c r="S377" s="15">
        <f t="shared" si="99"/>
        <v>20000</v>
      </c>
      <c r="T377" s="15" t="str">
        <f t="shared" si="100"/>
        <v>高级专属强化石</v>
      </c>
      <c r="U377" s="15">
        <f t="shared" si="101"/>
        <v>5</v>
      </c>
      <c r="V377" s="15" t="str">
        <f t="shared" si="102"/>
        <v>[x]</v>
      </c>
      <c r="W377" s="15" t="str">
        <f t="shared" si="103"/>
        <v>[x]</v>
      </c>
      <c r="X377" s="15">
        <f t="shared" si="104"/>
        <v>0.1</v>
      </c>
      <c r="Y377" s="15">
        <f t="shared" si="105"/>
        <v>1</v>
      </c>
      <c r="Z377" s="15">
        <f t="shared" si="106"/>
        <v>45</v>
      </c>
      <c r="AA377" s="15">
        <f t="shared" si="107"/>
        <v>0.73329999999999995</v>
      </c>
    </row>
    <row r="378" spans="13:27" ht="16.5" x14ac:dyDescent="0.2">
      <c r="M378" s="15">
        <v>299</v>
      </c>
      <c r="N378" s="15">
        <f t="shared" si="96"/>
        <v>6</v>
      </c>
      <c r="O378" s="15">
        <f>INDEX(卡牌消耗!$H$13:$H$33,世界BOSS专属武器!N378)</f>
        <v>1501006</v>
      </c>
      <c r="P378" s="49" t="s">
        <v>408</v>
      </c>
      <c r="Q378" s="15">
        <f t="shared" si="97"/>
        <v>43</v>
      </c>
      <c r="R378" s="49" t="str">
        <f t="shared" si="98"/>
        <v>金币</v>
      </c>
      <c r="S378" s="15">
        <f t="shared" si="99"/>
        <v>20000</v>
      </c>
      <c r="T378" s="15" t="str">
        <f t="shared" si="100"/>
        <v>高级专属强化石</v>
      </c>
      <c r="U378" s="15">
        <f t="shared" si="101"/>
        <v>5</v>
      </c>
      <c r="V378" s="15" t="str">
        <f t="shared" si="102"/>
        <v>[x]</v>
      </c>
      <c r="W378" s="15" t="str">
        <f t="shared" si="103"/>
        <v>[x]</v>
      </c>
      <c r="X378" s="15">
        <f t="shared" si="104"/>
        <v>0.1</v>
      </c>
      <c r="Y378" s="15">
        <f t="shared" si="105"/>
        <v>1</v>
      </c>
      <c r="Z378" s="15">
        <f t="shared" si="106"/>
        <v>50</v>
      </c>
      <c r="AA378" s="15">
        <f t="shared" si="107"/>
        <v>0.76670000000000005</v>
      </c>
    </row>
    <row r="379" spans="13:27" ht="16.5" x14ac:dyDescent="0.2">
      <c r="M379" s="15">
        <v>300</v>
      </c>
      <c r="N379" s="15">
        <f t="shared" si="96"/>
        <v>6</v>
      </c>
      <c r="O379" s="15">
        <f>INDEX(卡牌消耗!$H$13:$H$33,世界BOSS专属武器!N379)</f>
        <v>1501006</v>
      </c>
      <c r="P379" s="49" t="s">
        <v>408</v>
      </c>
      <c r="Q379" s="15">
        <f t="shared" si="97"/>
        <v>44</v>
      </c>
      <c r="R379" s="49" t="str">
        <f t="shared" si="98"/>
        <v>金币</v>
      </c>
      <c r="S379" s="15">
        <f t="shared" si="99"/>
        <v>20000</v>
      </c>
      <c r="T379" s="15" t="str">
        <f t="shared" si="100"/>
        <v>高级专属强化石</v>
      </c>
      <c r="U379" s="15">
        <f t="shared" si="101"/>
        <v>5</v>
      </c>
      <c r="V379" s="15" t="str">
        <f t="shared" si="102"/>
        <v>[x]</v>
      </c>
      <c r="W379" s="15" t="str">
        <f t="shared" si="103"/>
        <v>[x]</v>
      </c>
      <c r="X379" s="15">
        <f t="shared" si="104"/>
        <v>0.1</v>
      </c>
      <c r="Y379" s="15">
        <f t="shared" si="105"/>
        <v>1</v>
      </c>
      <c r="Z379" s="15">
        <f t="shared" si="106"/>
        <v>55</v>
      </c>
      <c r="AA379" s="15">
        <f t="shared" si="107"/>
        <v>0.8</v>
      </c>
    </row>
    <row r="380" spans="13:27" ht="16.5" x14ac:dyDescent="0.2">
      <c r="M380" s="15">
        <v>301</v>
      </c>
      <c r="N380" s="15">
        <f t="shared" si="96"/>
        <v>6</v>
      </c>
      <c r="O380" s="15">
        <f>INDEX(卡牌消耗!$H$13:$H$33,世界BOSS专属武器!N380)</f>
        <v>1501006</v>
      </c>
      <c r="P380" s="49" t="s">
        <v>408</v>
      </c>
      <c r="Q380" s="15">
        <f t="shared" si="97"/>
        <v>45</v>
      </c>
      <c r="R380" s="49" t="str">
        <f t="shared" si="98"/>
        <v>金币</v>
      </c>
      <c r="S380" s="15">
        <f t="shared" si="99"/>
        <v>20000</v>
      </c>
      <c r="T380" s="15" t="str">
        <f t="shared" si="100"/>
        <v>高级专属强化石</v>
      </c>
      <c r="U380" s="15">
        <f t="shared" si="101"/>
        <v>6</v>
      </c>
      <c r="V380" s="15" t="str">
        <f t="shared" si="102"/>
        <v>[x]</v>
      </c>
      <c r="W380" s="15" t="str">
        <f t="shared" si="103"/>
        <v>[x]</v>
      </c>
      <c r="X380" s="15">
        <f t="shared" si="104"/>
        <v>0.1</v>
      </c>
      <c r="Y380" s="15">
        <f t="shared" si="105"/>
        <v>1</v>
      </c>
      <c r="Z380" s="15">
        <f t="shared" si="106"/>
        <v>60</v>
      </c>
      <c r="AA380" s="15">
        <f t="shared" si="107"/>
        <v>0.83330000000000004</v>
      </c>
    </row>
    <row r="381" spans="13:27" ht="16.5" x14ac:dyDescent="0.2">
      <c r="M381" s="15">
        <v>302</v>
      </c>
      <c r="N381" s="15">
        <f t="shared" si="96"/>
        <v>6</v>
      </c>
      <c r="O381" s="15">
        <f>INDEX(卡牌消耗!$H$13:$H$33,世界BOSS专属武器!N381)</f>
        <v>1501006</v>
      </c>
      <c r="P381" s="49" t="s">
        <v>408</v>
      </c>
      <c r="Q381" s="15">
        <f t="shared" si="97"/>
        <v>46</v>
      </c>
      <c r="R381" s="49" t="str">
        <f t="shared" si="98"/>
        <v>金币</v>
      </c>
      <c r="S381" s="15">
        <f t="shared" si="99"/>
        <v>20000</v>
      </c>
      <c r="T381" s="15" t="str">
        <f t="shared" si="100"/>
        <v>高级专属强化石</v>
      </c>
      <c r="U381" s="15">
        <f t="shared" si="101"/>
        <v>7</v>
      </c>
      <c r="V381" s="15" t="str">
        <f t="shared" si="102"/>
        <v>[x]</v>
      </c>
      <c r="W381" s="15" t="str">
        <f t="shared" si="103"/>
        <v>[x]</v>
      </c>
      <c r="X381" s="15">
        <f t="shared" si="104"/>
        <v>0.1</v>
      </c>
      <c r="Y381" s="15">
        <f t="shared" si="105"/>
        <v>1</v>
      </c>
      <c r="Z381" s="15">
        <f t="shared" si="106"/>
        <v>70</v>
      </c>
      <c r="AA381" s="15">
        <f t="shared" si="107"/>
        <v>0.86670000000000003</v>
      </c>
    </row>
    <row r="382" spans="13:27" ht="16.5" x14ac:dyDescent="0.2">
      <c r="M382" s="15">
        <v>303</v>
      </c>
      <c r="N382" s="15">
        <f t="shared" si="96"/>
        <v>6</v>
      </c>
      <c r="O382" s="15">
        <f>INDEX(卡牌消耗!$H$13:$H$33,世界BOSS专属武器!N382)</f>
        <v>1501006</v>
      </c>
      <c r="P382" s="49" t="s">
        <v>408</v>
      </c>
      <c r="Q382" s="15">
        <f t="shared" si="97"/>
        <v>47</v>
      </c>
      <c r="R382" s="49" t="str">
        <f t="shared" si="98"/>
        <v>金币</v>
      </c>
      <c r="S382" s="15">
        <f t="shared" si="99"/>
        <v>20000</v>
      </c>
      <c r="T382" s="15" t="str">
        <f t="shared" si="100"/>
        <v>高级专属强化石</v>
      </c>
      <c r="U382" s="15">
        <f t="shared" si="101"/>
        <v>8</v>
      </c>
      <c r="V382" s="15" t="str">
        <f t="shared" si="102"/>
        <v>[x]</v>
      </c>
      <c r="W382" s="15" t="str">
        <f t="shared" si="103"/>
        <v>[x]</v>
      </c>
      <c r="X382" s="15">
        <f t="shared" si="104"/>
        <v>0.1</v>
      </c>
      <c r="Y382" s="15">
        <f t="shared" si="105"/>
        <v>1</v>
      </c>
      <c r="Z382" s="15">
        <f t="shared" si="106"/>
        <v>80</v>
      </c>
      <c r="AA382" s="15">
        <f t="shared" si="107"/>
        <v>0.9</v>
      </c>
    </row>
    <row r="383" spans="13:27" ht="16.5" x14ac:dyDescent="0.2">
      <c r="M383" s="15">
        <v>304</v>
      </c>
      <c r="N383" s="15">
        <f t="shared" si="96"/>
        <v>6</v>
      </c>
      <c r="O383" s="15">
        <f>INDEX(卡牌消耗!$H$13:$H$33,世界BOSS专属武器!N383)</f>
        <v>1501006</v>
      </c>
      <c r="P383" s="49" t="s">
        <v>408</v>
      </c>
      <c r="Q383" s="15">
        <f t="shared" si="97"/>
        <v>48</v>
      </c>
      <c r="R383" s="49" t="str">
        <f t="shared" si="98"/>
        <v>金币</v>
      </c>
      <c r="S383" s="15">
        <f t="shared" si="99"/>
        <v>20000</v>
      </c>
      <c r="T383" s="15" t="str">
        <f t="shared" si="100"/>
        <v>高级专属强化石</v>
      </c>
      <c r="U383" s="15">
        <f t="shared" si="101"/>
        <v>9</v>
      </c>
      <c r="V383" s="15" t="str">
        <f t="shared" si="102"/>
        <v>[x]</v>
      </c>
      <c r="W383" s="15" t="str">
        <f t="shared" si="103"/>
        <v>[x]</v>
      </c>
      <c r="X383" s="15">
        <f t="shared" si="104"/>
        <v>0.1</v>
      </c>
      <c r="Y383" s="15">
        <f t="shared" si="105"/>
        <v>1</v>
      </c>
      <c r="Z383" s="15">
        <f t="shared" si="106"/>
        <v>100</v>
      </c>
      <c r="AA383" s="15">
        <f t="shared" si="107"/>
        <v>0.93330000000000002</v>
      </c>
    </row>
    <row r="384" spans="13:27" ht="16.5" x14ac:dyDescent="0.2">
      <c r="M384" s="15">
        <v>305</v>
      </c>
      <c r="N384" s="15">
        <f t="shared" si="96"/>
        <v>6</v>
      </c>
      <c r="O384" s="15">
        <f>INDEX(卡牌消耗!$H$13:$H$33,世界BOSS专属武器!N384)</f>
        <v>1501006</v>
      </c>
      <c r="P384" s="49" t="s">
        <v>408</v>
      </c>
      <c r="Q384" s="15">
        <f t="shared" si="97"/>
        <v>49</v>
      </c>
      <c r="R384" s="49" t="str">
        <f t="shared" si="98"/>
        <v>金币</v>
      </c>
      <c r="S384" s="15">
        <f t="shared" si="99"/>
        <v>20000</v>
      </c>
      <c r="T384" s="15" t="str">
        <f t="shared" si="100"/>
        <v>高级专属强化石</v>
      </c>
      <c r="U384" s="15">
        <f t="shared" si="101"/>
        <v>10</v>
      </c>
      <c r="V384" s="15" t="str">
        <f t="shared" si="102"/>
        <v>[x]</v>
      </c>
      <c r="W384" s="15" t="str">
        <f t="shared" si="103"/>
        <v>[x]</v>
      </c>
      <c r="X384" s="15">
        <f t="shared" si="104"/>
        <v>0.1</v>
      </c>
      <c r="Y384" s="15">
        <f t="shared" si="105"/>
        <v>1</v>
      </c>
      <c r="Z384" s="15">
        <f t="shared" si="106"/>
        <v>120</v>
      </c>
      <c r="AA384" s="15">
        <f t="shared" si="107"/>
        <v>0.9667</v>
      </c>
    </row>
    <row r="385" spans="13:27" ht="16.5" x14ac:dyDescent="0.2">
      <c r="M385" s="15">
        <v>306</v>
      </c>
      <c r="N385" s="15">
        <f t="shared" si="96"/>
        <v>6</v>
      </c>
      <c r="O385" s="15">
        <f>INDEX(卡牌消耗!$H$13:$H$33,世界BOSS专属武器!N385)</f>
        <v>1501006</v>
      </c>
      <c r="P385" s="49" t="s">
        <v>408</v>
      </c>
      <c r="Q385" s="15">
        <f t="shared" si="97"/>
        <v>50</v>
      </c>
      <c r="R385" s="49" t="str">
        <f t="shared" si="98"/>
        <v>金币</v>
      </c>
      <c r="S385" s="15">
        <f t="shared" si="99"/>
        <v>20000</v>
      </c>
      <c r="T385" s="15" t="str">
        <f t="shared" si="100"/>
        <v>高级专属强化石</v>
      </c>
      <c r="U385" s="15">
        <f t="shared" si="101"/>
        <v>15</v>
      </c>
      <c r="V385" s="15" t="str">
        <f t="shared" si="102"/>
        <v>[x]</v>
      </c>
      <c r="W385" s="15" t="str">
        <f t="shared" si="103"/>
        <v>[x]</v>
      </c>
      <c r="X385" s="15">
        <f t="shared" si="104"/>
        <v>0.1</v>
      </c>
      <c r="Y385" s="15">
        <f t="shared" si="105"/>
        <v>1</v>
      </c>
      <c r="Z385" s="15">
        <f t="shared" si="106"/>
        <v>150</v>
      </c>
      <c r="AA385" s="15">
        <f t="shared" si="107"/>
        <v>1</v>
      </c>
    </row>
    <row r="386" spans="13:27" ht="16.5" x14ac:dyDescent="0.2">
      <c r="M386" s="15">
        <v>307</v>
      </c>
      <c r="N386" s="15">
        <f t="shared" si="96"/>
        <v>7</v>
      </c>
      <c r="O386" s="15">
        <f>INDEX(卡牌消耗!$H$13:$H$33,世界BOSS专属武器!N386)</f>
        <v>1501007</v>
      </c>
      <c r="P386" s="49" t="s">
        <v>408</v>
      </c>
      <c r="Q386" s="15">
        <f t="shared" si="97"/>
        <v>0</v>
      </c>
      <c r="R386" s="49" t="str">
        <f t="shared" si="98"/>
        <v>[x]</v>
      </c>
      <c r="S386" s="15" t="str">
        <f t="shared" si="99"/>
        <v>[x]</v>
      </c>
      <c r="T386" s="15" t="str">
        <f t="shared" si="100"/>
        <v>[x]</v>
      </c>
      <c r="U386" s="15" t="str">
        <f t="shared" si="101"/>
        <v>[x]</v>
      </c>
      <c r="V386" s="15" t="str">
        <f t="shared" si="102"/>
        <v>[x]</v>
      </c>
      <c r="W386" s="15" t="str">
        <f t="shared" si="103"/>
        <v>[x]</v>
      </c>
      <c r="X386" s="15" t="str">
        <f t="shared" si="104"/>
        <v>[x]</v>
      </c>
      <c r="Y386" s="15" t="str">
        <f t="shared" si="105"/>
        <v>[x]</v>
      </c>
      <c r="Z386" s="15" t="str">
        <f t="shared" si="106"/>
        <v>[x]</v>
      </c>
      <c r="AA386" s="15" t="str">
        <f t="shared" si="107"/>
        <v>[x]</v>
      </c>
    </row>
    <row r="387" spans="13:27" ht="16.5" x14ac:dyDescent="0.2">
      <c r="M387" s="15">
        <v>308</v>
      </c>
      <c r="N387" s="15">
        <f t="shared" si="96"/>
        <v>7</v>
      </c>
      <c r="O387" s="15">
        <f>INDEX(卡牌消耗!$H$13:$H$33,世界BOSS专属武器!N387)</f>
        <v>1501007</v>
      </c>
      <c r="P387" s="49" t="s">
        <v>408</v>
      </c>
      <c r="Q387" s="15">
        <f t="shared" si="97"/>
        <v>1</v>
      </c>
      <c r="R387" s="49" t="str">
        <f t="shared" si="98"/>
        <v>金币</v>
      </c>
      <c r="S387" s="15">
        <f t="shared" si="99"/>
        <v>100</v>
      </c>
      <c r="T387" s="15" t="str">
        <f t="shared" si="100"/>
        <v>低级专属强化石</v>
      </c>
      <c r="U387" s="15">
        <f t="shared" si="101"/>
        <v>1</v>
      </c>
      <c r="V387" s="15" t="str">
        <f t="shared" si="102"/>
        <v>[x]</v>
      </c>
      <c r="W387" s="15" t="str">
        <f t="shared" si="103"/>
        <v>[x]</v>
      </c>
      <c r="X387" s="15">
        <f t="shared" si="104"/>
        <v>1</v>
      </c>
      <c r="Y387" s="15">
        <f t="shared" si="105"/>
        <v>1</v>
      </c>
      <c r="Z387" s="15">
        <f t="shared" si="106"/>
        <v>1</v>
      </c>
      <c r="AA387" s="15">
        <f t="shared" si="107"/>
        <v>6.7000000000000002E-3</v>
      </c>
    </row>
    <row r="388" spans="13:27" ht="16.5" x14ac:dyDescent="0.2">
      <c r="M388" s="15">
        <v>309</v>
      </c>
      <c r="N388" s="15">
        <f t="shared" si="96"/>
        <v>7</v>
      </c>
      <c r="O388" s="15">
        <f>INDEX(卡牌消耗!$H$13:$H$33,世界BOSS专属武器!N388)</f>
        <v>1501007</v>
      </c>
      <c r="P388" s="49" t="s">
        <v>408</v>
      </c>
      <c r="Q388" s="15">
        <f t="shared" si="97"/>
        <v>2</v>
      </c>
      <c r="R388" s="49" t="str">
        <f t="shared" si="98"/>
        <v>金币</v>
      </c>
      <c r="S388" s="15">
        <f t="shared" si="99"/>
        <v>200</v>
      </c>
      <c r="T388" s="15" t="str">
        <f t="shared" si="100"/>
        <v>低级专属强化石</v>
      </c>
      <c r="U388" s="15">
        <f t="shared" si="101"/>
        <v>1</v>
      </c>
      <c r="V388" s="15" t="str">
        <f t="shared" si="102"/>
        <v>[x]</v>
      </c>
      <c r="W388" s="15" t="str">
        <f t="shared" si="103"/>
        <v>[x]</v>
      </c>
      <c r="X388" s="15">
        <f t="shared" si="104"/>
        <v>0.5</v>
      </c>
      <c r="Y388" s="15">
        <f t="shared" si="105"/>
        <v>1</v>
      </c>
      <c r="Z388" s="15">
        <f t="shared" si="106"/>
        <v>2</v>
      </c>
      <c r="AA388" s="15">
        <f t="shared" si="107"/>
        <v>1.3299999999999999E-2</v>
      </c>
    </row>
    <row r="389" spans="13:27" ht="16.5" x14ac:dyDescent="0.2">
      <c r="M389" s="15">
        <v>310</v>
      </c>
      <c r="N389" s="15">
        <f t="shared" si="96"/>
        <v>7</v>
      </c>
      <c r="O389" s="15">
        <f>INDEX(卡牌消耗!$H$13:$H$33,世界BOSS专属武器!N389)</f>
        <v>1501007</v>
      </c>
      <c r="P389" s="49" t="s">
        <v>408</v>
      </c>
      <c r="Q389" s="15">
        <f t="shared" si="97"/>
        <v>3</v>
      </c>
      <c r="R389" s="49" t="str">
        <f t="shared" si="98"/>
        <v>金币</v>
      </c>
      <c r="S389" s="15">
        <f t="shared" si="99"/>
        <v>300</v>
      </c>
      <c r="T389" s="15" t="str">
        <f t="shared" si="100"/>
        <v>低级专属强化石</v>
      </c>
      <c r="U389" s="15">
        <f t="shared" si="101"/>
        <v>2</v>
      </c>
      <c r="V389" s="15" t="str">
        <f t="shared" si="102"/>
        <v>[x]</v>
      </c>
      <c r="W389" s="15" t="str">
        <f t="shared" si="103"/>
        <v>[x]</v>
      </c>
      <c r="X389" s="15">
        <f t="shared" si="104"/>
        <v>0.48</v>
      </c>
      <c r="Y389" s="15">
        <f t="shared" si="105"/>
        <v>1</v>
      </c>
      <c r="Z389" s="15">
        <f t="shared" si="106"/>
        <v>3</v>
      </c>
      <c r="AA389" s="15">
        <f t="shared" si="107"/>
        <v>0.02</v>
      </c>
    </row>
    <row r="390" spans="13:27" ht="16.5" x14ac:dyDescent="0.2">
      <c r="M390" s="15">
        <v>311</v>
      </c>
      <c r="N390" s="15">
        <f t="shared" si="96"/>
        <v>7</v>
      </c>
      <c r="O390" s="15">
        <f>INDEX(卡牌消耗!$H$13:$H$33,世界BOSS专属武器!N390)</f>
        <v>1501007</v>
      </c>
      <c r="P390" s="49" t="s">
        <v>408</v>
      </c>
      <c r="Q390" s="15">
        <f t="shared" si="97"/>
        <v>4</v>
      </c>
      <c r="R390" s="49" t="str">
        <f t="shared" si="98"/>
        <v>金币</v>
      </c>
      <c r="S390" s="15">
        <f t="shared" si="99"/>
        <v>400</v>
      </c>
      <c r="T390" s="15" t="str">
        <f t="shared" si="100"/>
        <v>低级专属强化石</v>
      </c>
      <c r="U390" s="15">
        <f t="shared" si="101"/>
        <v>3</v>
      </c>
      <c r="V390" s="15" t="str">
        <f t="shared" si="102"/>
        <v>[x]</v>
      </c>
      <c r="W390" s="15" t="str">
        <f t="shared" si="103"/>
        <v>[x]</v>
      </c>
      <c r="X390" s="15">
        <f t="shared" si="104"/>
        <v>0.46</v>
      </c>
      <c r="Y390" s="15">
        <f t="shared" si="105"/>
        <v>1</v>
      </c>
      <c r="Z390" s="15">
        <f t="shared" si="106"/>
        <v>3</v>
      </c>
      <c r="AA390" s="15">
        <f t="shared" si="107"/>
        <v>2.6700000000000002E-2</v>
      </c>
    </row>
    <row r="391" spans="13:27" ht="16.5" x14ac:dyDescent="0.2">
      <c r="M391" s="15">
        <v>312</v>
      </c>
      <c r="N391" s="15">
        <f t="shared" si="96"/>
        <v>7</v>
      </c>
      <c r="O391" s="15">
        <f>INDEX(卡牌消耗!$H$13:$H$33,世界BOSS专属武器!N391)</f>
        <v>1501007</v>
      </c>
      <c r="P391" s="49" t="s">
        <v>408</v>
      </c>
      <c r="Q391" s="15">
        <f t="shared" si="97"/>
        <v>5</v>
      </c>
      <c r="R391" s="49" t="str">
        <f t="shared" si="98"/>
        <v>金币</v>
      </c>
      <c r="S391" s="15">
        <f t="shared" si="99"/>
        <v>500</v>
      </c>
      <c r="T391" s="15" t="str">
        <f t="shared" si="100"/>
        <v>低级专属强化石</v>
      </c>
      <c r="U391" s="15">
        <f t="shared" si="101"/>
        <v>4</v>
      </c>
      <c r="V391" s="15" t="str">
        <f t="shared" si="102"/>
        <v>[x]</v>
      </c>
      <c r="W391" s="15" t="str">
        <f t="shared" si="103"/>
        <v>[x]</v>
      </c>
      <c r="X391" s="15">
        <f t="shared" si="104"/>
        <v>0.44</v>
      </c>
      <c r="Y391" s="15">
        <f t="shared" si="105"/>
        <v>1</v>
      </c>
      <c r="Z391" s="15">
        <f t="shared" si="106"/>
        <v>3</v>
      </c>
      <c r="AA391" s="15">
        <f t="shared" si="107"/>
        <v>3.3300000000000003E-2</v>
      </c>
    </row>
    <row r="392" spans="13:27" ht="16.5" x14ac:dyDescent="0.2">
      <c r="M392" s="15">
        <v>313</v>
      </c>
      <c r="N392" s="15">
        <f t="shared" si="96"/>
        <v>7</v>
      </c>
      <c r="O392" s="15">
        <f>INDEX(卡牌消耗!$H$13:$H$33,世界BOSS专属武器!N392)</f>
        <v>1501007</v>
      </c>
      <c r="P392" s="49" t="s">
        <v>408</v>
      </c>
      <c r="Q392" s="15">
        <f t="shared" si="97"/>
        <v>6</v>
      </c>
      <c r="R392" s="49" t="str">
        <f t="shared" si="98"/>
        <v>金币</v>
      </c>
      <c r="S392" s="15">
        <f t="shared" si="99"/>
        <v>600</v>
      </c>
      <c r="T392" s="15" t="str">
        <f t="shared" si="100"/>
        <v>低级专属强化石</v>
      </c>
      <c r="U392" s="15">
        <f t="shared" si="101"/>
        <v>5</v>
      </c>
      <c r="V392" s="15" t="str">
        <f t="shared" si="102"/>
        <v>[x]</v>
      </c>
      <c r="W392" s="15" t="str">
        <f t="shared" si="103"/>
        <v>[x]</v>
      </c>
      <c r="X392" s="15">
        <f t="shared" si="104"/>
        <v>0.42</v>
      </c>
      <c r="Y392" s="15">
        <f t="shared" si="105"/>
        <v>1</v>
      </c>
      <c r="Z392" s="15">
        <f t="shared" si="106"/>
        <v>4</v>
      </c>
      <c r="AA392" s="15">
        <f t="shared" si="107"/>
        <v>0.04</v>
      </c>
    </row>
    <row r="393" spans="13:27" ht="16.5" x14ac:dyDescent="0.2">
      <c r="M393" s="15">
        <v>314</v>
      </c>
      <c r="N393" s="15">
        <f t="shared" si="96"/>
        <v>7</v>
      </c>
      <c r="O393" s="15">
        <f>INDEX(卡牌消耗!$H$13:$H$33,世界BOSS专属武器!N393)</f>
        <v>1501007</v>
      </c>
      <c r="P393" s="49" t="s">
        <v>408</v>
      </c>
      <c r="Q393" s="15">
        <f t="shared" si="97"/>
        <v>7</v>
      </c>
      <c r="R393" s="49" t="str">
        <f t="shared" si="98"/>
        <v>金币</v>
      </c>
      <c r="S393" s="15">
        <f t="shared" si="99"/>
        <v>700</v>
      </c>
      <c r="T393" s="15" t="str">
        <f t="shared" si="100"/>
        <v>低级专属强化石</v>
      </c>
      <c r="U393" s="15">
        <f t="shared" si="101"/>
        <v>5</v>
      </c>
      <c r="V393" s="15" t="str">
        <f t="shared" si="102"/>
        <v>[x]</v>
      </c>
      <c r="W393" s="15" t="str">
        <f t="shared" si="103"/>
        <v>[x]</v>
      </c>
      <c r="X393" s="15">
        <f t="shared" si="104"/>
        <v>0.4</v>
      </c>
      <c r="Y393" s="15">
        <f t="shared" si="105"/>
        <v>1</v>
      </c>
      <c r="Z393" s="15">
        <f t="shared" si="106"/>
        <v>4</v>
      </c>
      <c r="AA393" s="15">
        <f t="shared" si="107"/>
        <v>4.6699999999999998E-2</v>
      </c>
    </row>
    <row r="394" spans="13:27" ht="16.5" x14ac:dyDescent="0.2">
      <c r="M394" s="15">
        <v>315</v>
      </c>
      <c r="N394" s="15">
        <f t="shared" si="96"/>
        <v>7</v>
      </c>
      <c r="O394" s="15">
        <f>INDEX(卡牌消耗!$H$13:$H$33,世界BOSS专属武器!N394)</f>
        <v>1501007</v>
      </c>
      <c r="P394" s="49" t="s">
        <v>408</v>
      </c>
      <c r="Q394" s="15">
        <f t="shared" si="97"/>
        <v>8</v>
      </c>
      <c r="R394" s="49" t="str">
        <f t="shared" si="98"/>
        <v>金币</v>
      </c>
      <c r="S394" s="15">
        <f t="shared" si="99"/>
        <v>800</v>
      </c>
      <c r="T394" s="15" t="str">
        <f t="shared" si="100"/>
        <v>低级专属强化石</v>
      </c>
      <c r="U394" s="15">
        <f t="shared" si="101"/>
        <v>5</v>
      </c>
      <c r="V394" s="15" t="str">
        <f t="shared" si="102"/>
        <v>[x]</v>
      </c>
      <c r="W394" s="15" t="str">
        <f t="shared" si="103"/>
        <v>[x]</v>
      </c>
      <c r="X394" s="15">
        <f t="shared" si="104"/>
        <v>0.38</v>
      </c>
      <c r="Y394" s="15">
        <f t="shared" si="105"/>
        <v>1</v>
      </c>
      <c r="Z394" s="15">
        <f t="shared" si="106"/>
        <v>5</v>
      </c>
      <c r="AA394" s="15">
        <f t="shared" si="107"/>
        <v>5.33E-2</v>
      </c>
    </row>
    <row r="395" spans="13:27" ht="16.5" x14ac:dyDescent="0.2">
      <c r="M395" s="15">
        <v>316</v>
      </c>
      <c r="N395" s="15">
        <f t="shared" si="96"/>
        <v>7</v>
      </c>
      <c r="O395" s="15">
        <f>INDEX(卡牌消耗!$H$13:$H$33,世界BOSS专属武器!N395)</f>
        <v>1501007</v>
      </c>
      <c r="P395" s="49" t="s">
        <v>408</v>
      </c>
      <c r="Q395" s="15">
        <f t="shared" si="97"/>
        <v>9</v>
      </c>
      <c r="R395" s="49" t="str">
        <f t="shared" si="98"/>
        <v>金币</v>
      </c>
      <c r="S395" s="15">
        <f t="shared" si="99"/>
        <v>900</v>
      </c>
      <c r="T395" s="15" t="str">
        <f t="shared" si="100"/>
        <v>低级专属强化石</v>
      </c>
      <c r="U395" s="15">
        <f t="shared" si="101"/>
        <v>5</v>
      </c>
      <c r="V395" s="15" t="str">
        <f t="shared" si="102"/>
        <v>[x]</v>
      </c>
      <c r="W395" s="15" t="str">
        <f t="shared" si="103"/>
        <v>[x]</v>
      </c>
      <c r="X395" s="15">
        <f t="shared" si="104"/>
        <v>0.36</v>
      </c>
      <c r="Y395" s="15">
        <f t="shared" si="105"/>
        <v>1</v>
      </c>
      <c r="Z395" s="15">
        <f t="shared" si="106"/>
        <v>5</v>
      </c>
      <c r="AA395" s="15">
        <f t="shared" si="107"/>
        <v>0.06</v>
      </c>
    </row>
    <row r="396" spans="13:27" ht="16.5" x14ac:dyDescent="0.2">
      <c r="M396" s="15">
        <v>317</v>
      </c>
      <c r="N396" s="15">
        <f t="shared" si="96"/>
        <v>7</v>
      </c>
      <c r="O396" s="15">
        <f>INDEX(卡牌消耗!$H$13:$H$33,世界BOSS专属武器!N396)</f>
        <v>1501007</v>
      </c>
      <c r="P396" s="49" t="s">
        <v>408</v>
      </c>
      <c r="Q396" s="15">
        <f t="shared" si="97"/>
        <v>10</v>
      </c>
      <c r="R396" s="49" t="str">
        <f t="shared" si="98"/>
        <v>金币</v>
      </c>
      <c r="S396" s="15">
        <f t="shared" si="99"/>
        <v>1000</v>
      </c>
      <c r="T396" s="15" t="str">
        <f t="shared" si="100"/>
        <v>低级专属强化石</v>
      </c>
      <c r="U396" s="15">
        <f t="shared" si="101"/>
        <v>7</v>
      </c>
      <c r="V396" s="15" t="str">
        <f t="shared" si="102"/>
        <v>[x]</v>
      </c>
      <c r="W396" s="15" t="str">
        <f t="shared" si="103"/>
        <v>[x]</v>
      </c>
      <c r="X396" s="15">
        <f t="shared" si="104"/>
        <v>0.35</v>
      </c>
      <c r="Y396" s="15">
        <f t="shared" si="105"/>
        <v>1</v>
      </c>
      <c r="Z396" s="15">
        <f t="shared" si="106"/>
        <v>5</v>
      </c>
      <c r="AA396" s="15">
        <f t="shared" si="107"/>
        <v>6.6699999999999995E-2</v>
      </c>
    </row>
    <row r="397" spans="13:27" ht="16.5" x14ac:dyDescent="0.2">
      <c r="M397" s="15">
        <v>318</v>
      </c>
      <c r="N397" s="15">
        <f t="shared" si="96"/>
        <v>7</v>
      </c>
      <c r="O397" s="15">
        <f>INDEX(卡牌消耗!$H$13:$H$33,世界BOSS专属武器!N397)</f>
        <v>1501007</v>
      </c>
      <c r="P397" s="49" t="s">
        <v>408</v>
      </c>
      <c r="Q397" s="15">
        <f t="shared" si="97"/>
        <v>11</v>
      </c>
      <c r="R397" s="49" t="str">
        <f t="shared" si="98"/>
        <v>金币</v>
      </c>
      <c r="S397" s="15">
        <f t="shared" si="99"/>
        <v>1000</v>
      </c>
      <c r="T397" s="15" t="str">
        <f t="shared" si="100"/>
        <v>低级专属强化石</v>
      </c>
      <c r="U397" s="15">
        <f t="shared" si="101"/>
        <v>7</v>
      </c>
      <c r="V397" s="15" t="str">
        <f t="shared" si="102"/>
        <v>[x]</v>
      </c>
      <c r="W397" s="15" t="str">
        <f t="shared" si="103"/>
        <v>[x]</v>
      </c>
      <c r="X397" s="15">
        <f t="shared" si="104"/>
        <v>0.33</v>
      </c>
      <c r="Y397" s="15">
        <f t="shared" si="105"/>
        <v>1</v>
      </c>
      <c r="Z397" s="15">
        <f t="shared" si="106"/>
        <v>6</v>
      </c>
      <c r="AA397" s="15">
        <f t="shared" si="107"/>
        <v>0.08</v>
      </c>
    </row>
    <row r="398" spans="13:27" ht="16.5" x14ac:dyDescent="0.2">
      <c r="M398" s="15">
        <v>319</v>
      </c>
      <c r="N398" s="15">
        <f t="shared" si="96"/>
        <v>7</v>
      </c>
      <c r="O398" s="15">
        <f>INDEX(卡牌消耗!$H$13:$H$33,世界BOSS专属武器!N398)</f>
        <v>1501007</v>
      </c>
      <c r="P398" s="49" t="s">
        <v>408</v>
      </c>
      <c r="Q398" s="15">
        <f t="shared" si="97"/>
        <v>12</v>
      </c>
      <c r="R398" s="49" t="str">
        <f t="shared" si="98"/>
        <v>金币</v>
      </c>
      <c r="S398" s="15">
        <f t="shared" si="99"/>
        <v>1000</v>
      </c>
      <c r="T398" s="15" t="str">
        <f t="shared" si="100"/>
        <v>低级专属强化石</v>
      </c>
      <c r="U398" s="15">
        <f t="shared" si="101"/>
        <v>7</v>
      </c>
      <c r="V398" s="15" t="str">
        <f t="shared" si="102"/>
        <v>[x]</v>
      </c>
      <c r="W398" s="15" t="str">
        <f t="shared" si="103"/>
        <v>[x]</v>
      </c>
      <c r="X398" s="15">
        <f t="shared" si="104"/>
        <v>0.31</v>
      </c>
      <c r="Y398" s="15">
        <f t="shared" si="105"/>
        <v>1</v>
      </c>
      <c r="Z398" s="15">
        <f t="shared" si="106"/>
        <v>6</v>
      </c>
      <c r="AA398" s="15">
        <f t="shared" si="107"/>
        <v>9.3299999999999994E-2</v>
      </c>
    </row>
    <row r="399" spans="13:27" ht="16.5" x14ac:dyDescent="0.2">
      <c r="M399" s="15">
        <v>320</v>
      </c>
      <c r="N399" s="15">
        <f t="shared" si="96"/>
        <v>7</v>
      </c>
      <c r="O399" s="15">
        <f>INDEX(卡牌消耗!$H$13:$H$33,世界BOSS专属武器!N399)</f>
        <v>1501007</v>
      </c>
      <c r="P399" s="49" t="s">
        <v>408</v>
      </c>
      <c r="Q399" s="15">
        <f t="shared" si="97"/>
        <v>13</v>
      </c>
      <c r="R399" s="49" t="str">
        <f t="shared" si="98"/>
        <v>金币</v>
      </c>
      <c r="S399" s="15">
        <f t="shared" si="99"/>
        <v>1000</v>
      </c>
      <c r="T399" s="15" t="str">
        <f t="shared" si="100"/>
        <v>低级专属强化石</v>
      </c>
      <c r="U399" s="15">
        <f t="shared" si="101"/>
        <v>7</v>
      </c>
      <c r="V399" s="15" t="str">
        <f t="shared" si="102"/>
        <v>[x]</v>
      </c>
      <c r="W399" s="15" t="str">
        <f t="shared" si="103"/>
        <v>[x]</v>
      </c>
      <c r="X399" s="15">
        <f t="shared" si="104"/>
        <v>0.28999999999999998</v>
      </c>
      <c r="Y399" s="15">
        <f t="shared" si="105"/>
        <v>1</v>
      </c>
      <c r="Z399" s="15">
        <f t="shared" si="106"/>
        <v>7</v>
      </c>
      <c r="AA399" s="15">
        <f t="shared" si="107"/>
        <v>0.1067</v>
      </c>
    </row>
    <row r="400" spans="13:27" ht="16.5" x14ac:dyDescent="0.2">
      <c r="M400" s="15">
        <v>321</v>
      </c>
      <c r="N400" s="15">
        <f t="shared" si="96"/>
        <v>7</v>
      </c>
      <c r="O400" s="15">
        <f>INDEX(卡牌消耗!$H$13:$H$33,世界BOSS专属武器!N400)</f>
        <v>1501007</v>
      </c>
      <c r="P400" s="49" t="s">
        <v>408</v>
      </c>
      <c r="Q400" s="15">
        <f t="shared" si="97"/>
        <v>14</v>
      </c>
      <c r="R400" s="49" t="str">
        <f t="shared" si="98"/>
        <v>金币</v>
      </c>
      <c r="S400" s="15">
        <f t="shared" si="99"/>
        <v>1000</v>
      </c>
      <c r="T400" s="15" t="str">
        <f t="shared" si="100"/>
        <v>低级专属强化石</v>
      </c>
      <c r="U400" s="15">
        <f t="shared" si="101"/>
        <v>7</v>
      </c>
      <c r="V400" s="15" t="str">
        <f t="shared" si="102"/>
        <v>[x]</v>
      </c>
      <c r="W400" s="15" t="str">
        <f t="shared" si="103"/>
        <v>[x]</v>
      </c>
      <c r="X400" s="15">
        <f t="shared" si="104"/>
        <v>0.27</v>
      </c>
      <c r="Y400" s="15">
        <f t="shared" si="105"/>
        <v>1</v>
      </c>
      <c r="Z400" s="15">
        <f t="shared" si="106"/>
        <v>7</v>
      </c>
      <c r="AA400" s="15">
        <f t="shared" si="107"/>
        <v>0.12</v>
      </c>
    </row>
    <row r="401" spans="13:27" ht="16.5" x14ac:dyDescent="0.2">
      <c r="M401" s="15">
        <v>322</v>
      </c>
      <c r="N401" s="15">
        <f t="shared" ref="N401:N464" si="108">INT((M401-1)/51)+1</f>
        <v>7</v>
      </c>
      <c r="O401" s="15">
        <f>INDEX(卡牌消耗!$H$13:$H$33,世界BOSS专属武器!N401)</f>
        <v>1501007</v>
      </c>
      <c r="P401" s="49" t="s">
        <v>408</v>
      </c>
      <c r="Q401" s="15">
        <f t="shared" ref="Q401:Q464" si="109">MOD(M401-1,51)</f>
        <v>15</v>
      </c>
      <c r="R401" s="49" t="str">
        <f t="shared" ref="R401:R464" si="110">IF(Q401&gt;0,"金币","[x]")</f>
        <v>金币</v>
      </c>
      <c r="S401" s="15">
        <f t="shared" ref="S401:S464" si="111">IF(Q401&gt;0,INDEX($V$27:$V$76,Q401),"[x]")</f>
        <v>1000</v>
      </c>
      <c r="T401" s="15" t="str">
        <f t="shared" ref="T401:T464" si="112">IF(Q401&gt;0,INDEX($W$27:$W$76,Q401),"[x]")</f>
        <v>低级专属强化石</v>
      </c>
      <c r="U401" s="15">
        <f t="shared" ref="U401:U464" si="113">IF(Q401&gt;0,INDEX($AA$27:$AF$76,Q401,INDEX($Y$27:$Y$76,Q401)),"[x]")</f>
        <v>10</v>
      </c>
      <c r="V401" s="15" t="str">
        <f t="shared" ref="V401:V464" si="114">IF(AND(Q401&gt;=20,Q401&lt;40),INDEX($X$27:$X$76,Q401),"[x]")</f>
        <v>[x]</v>
      </c>
      <c r="W401" s="15" t="str">
        <f t="shared" ref="W401:W464" si="115">IF(AND(Q401&gt;=20,Q401&lt;40),INDEX($AA$27:$AF$76,Q401,INDEX($Z$27:$Z$76,Q401)),"[x]")</f>
        <v>[x]</v>
      </c>
      <c r="X401" s="15">
        <f t="shared" ref="X401:X464" si="116">IF(Q401&gt;0,INDEX($T$27:$T$76,Q401),"[x]")</f>
        <v>0.25</v>
      </c>
      <c r="Y401" s="15">
        <f t="shared" ref="Y401:Y464" si="117">IF(Q401&gt;0,1,"[x]")</f>
        <v>1</v>
      </c>
      <c r="Z401" s="15">
        <f t="shared" ref="Z401:Z464" si="118">IF(Q401&gt;0,INDEX($AG$27:$AG$76,Q401),"[x]")</f>
        <v>8</v>
      </c>
      <c r="AA401" s="15">
        <f t="shared" ref="AA401:AA464" si="119">IF(Q401&gt;0,INDEX($AL$27:$AL$76,Q401),"[x]")</f>
        <v>0.1333</v>
      </c>
    </row>
    <row r="402" spans="13:27" ht="16.5" x14ac:dyDescent="0.2">
      <c r="M402" s="15">
        <v>323</v>
      </c>
      <c r="N402" s="15">
        <f t="shared" si="108"/>
        <v>7</v>
      </c>
      <c r="O402" s="15">
        <f>INDEX(卡牌消耗!$H$13:$H$33,世界BOSS专属武器!N402)</f>
        <v>1501007</v>
      </c>
      <c r="P402" s="49" t="s">
        <v>408</v>
      </c>
      <c r="Q402" s="15">
        <f t="shared" si="109"/>
        <v>16</v>
      </c>
      <c r="R402" s="49" t="str">
        <f t="shared" si="110"/>
        <v>金币</v>
      </c>
      <c r="S402" s="15">
        <f t="shared" si="111"/>
        <v>1000</v>
      </c>
      <c r="T402" s="15" t="str">
        <f t="shared" si="112"/>
        <v>低级专属强化石</v>
      </c>
      <c r="U402" s="15">
        <f t="shared" si="113"/>
        <v>10</v>
      </c>
      <c r="V402" s="15" t="str">
        <f t="shared" si="114"/>
        <v>[x]</v>
      </c>
      <c r="W402" s="15" t="str">
        <f t="shared" si="115"/>
        <v>[x]</v>
      </c>
      <c r="X402" s="15">
        <f t="shared" si="116"/>
        <v>0.23</v>
      </c>
      <c r="Y402" s="15">
        <f t="shared" si="117"/>
        <v>1</v>
      </c>
      <c r="Z402" s="15">
        <f t="shared" si="118"/>
        <v>9</v>
      </c>
      <c r="AA402" s="15">
        <f t="shared" si="119"/>
        <v>0.1467</v>
      </c>
    </row>
    <row r="403" spans="13:27" ht="16.5" x14ac:dyDescent="0.2">
      <c r="M403" s="15">
        <v>324</v>
      </c>
      <c r="N403" s="15">
        <f t="shared" si="108"/>
        <v>7</v>
      </c>
      <c r="O403" s="15">
        <f>INDEX(卡牌消耗!$H$13:$H$33,世界BOSS专属武器!N403)</f>
        <v>1501007</v>
      </c>
      <c r="P403" s="49" t="s">
        <v>408</v>
      </c>
      <c r="Q403" s="15">
        <f t="shared" si="109"/>
        <v>17</v>
      </c>
      <c r="R403" s="49" t="str">
        <f t="shared" si="110"/>
        <v>金币</v>
      </c>
      <c r="S403" s="15">
        <f t="shared" si="111"/>
        <v>1000</v>
      </c>
      <c r="T403" s="15" t="str">
        <f t="shared" si="112"/>
        <v>低级专属强化石</v>
      </c>
      <c r="U403" s="15">
        <f t="shared" si="113"/>
        <v>10</v>
      </c>
      <c r="V403" s="15" t="str">
        <f t="shared" si="114"/>
        <v>[x]</v>
      </c>
      <c r="W403" s="15" t="str">
        <f t="shared" si="115"/>
        <v>[x]</v>
      </c>
      <c r="X403" s="15">
        <f t="shared" si="116"/>
        <v>0.21</v>
      </c>
      <c r="Y403" s="15">
        <f t="shared" si="117"/>
        <v>1</v>
      </c>
      <c r="Z403" s="15">
        <f t="shared" si="118"/>
        <v>10</v>
      </c>
      <c r="AA403" s="15">
        <f t="shared" si="119"/>
        <v>0.16</v>
      </c>
    </row>
    <row r="404" spans="13:27" ht="16.5" x14ac:dyDescent="0.2">
      <c r="M404" s="15">
        <v>325</v>
      </c>
      <c r="N404" s="15">
        <f t="shared" si="108"/>
        <v>7</v>
      </c>
      <c r="O404" s="15">
        <f>INDEX(卡牌消耗!$H$13:$H$33,世界BOSS专属武器!N404)</f>
        <v>1501007</v>
      </c>
      <c r="P404" s="49" t="s">
        <v>408</v>
      </c>
      <c r="Q404" s="15">
        <f t="shared" si="109"/>
        <v>18</v>
      </c>
      <c r="R404" s="49" t="str">
        <f t="shared" si="110"/>
        <v>金币</v>
      </c>
      <c r="S404" s="15">
        <f t="shared" si="111"/>
        <v>1000</v>
      </c>
      <c r="T404" s="15" t="str">
        <f t="shared" si="112"/>
        <v>低级专属强化石</v>
      </c>
      <c r="U404" s="15">
        <f t="shared" si="113"/>
        <v>10</v>
      </c>
      <c r="V404" s="15" t="str">
        <f t="shared" si="114"/>
        <v>[x]</v>
      </c>
      <c r="W404" s="15" t="str">
        <f t="shared" si="115"/>
        <v>[x]</v>
      </c>
      <c r="X404" s="15">
        <f t="shared" si="116"/>
        <v>0.19</v>
      </c>
      <c r="Y404" s="15">
        <f t="shared" si="117"/>
        <v>1</v>
      </c>
      <c r="Z404" s="15">
        <f t="shared" si="118"/>
        <v>11</v>
      </c>
      <c r="AA404" s="15">
        <f t="shared" si="119"/>
        <v>0.17330000000000001</v>
      </c>
    </row>
    <row r="405" spans="13:27" ht="16.5" x14ac:dyDescent="0.2">
      <c r="M405" s="15">
        <v>326</v>
      </c>
      <c r="N405" s="15">
        <f t="shared" si="108"/>
        <v>7</v>
      </c>
      <c r="O405" s="15">
        <f>INDEX(卡牌消耗!$H$13:$H$33,世界BOSS专属武器!N405)</f>
        <v>1501007</v>
      </c>
      <c r="P405" s="49" t="s">
        <v>408</v>
      </c>
      <c r="Q405" s="15">
        <f t="shared" si="109"/>
        <v>19</v>
      </c>
      <c r="R405" s="49" t="str">
        <f t="shared" si="110"/>
        <v>金币</v>
      </c>
      <c r="S405" s="15">
        <f t="shared" si="111"/>
        <v>1000</v>
      </c>
      <c r="T405" s="15" t="str">
        <f t="shared" si="112"/>
        <v>低级专属强化石</v>
      </c>
      <c r="U405" s="15">
        <f t="shared" si="113"/>
        <v>10</v>
      </c>
      <c r="V405" s="15" t="str">
        <f t="shared" si="114"/>
        <v>[x]</v>
      </c>
      <c r="W405" s="15" t="str">
        <f t="shared" si="115"/>
        <v>[x]</v>
      </c>
      <c r="X405" s="15">
        <f t="shared" si="116"/>
        <v>0.17</v>
      </c>
      <c r="Y405" s="15">
        <f t="shared" si="117"/>
        <v>1</v>
      </c>
      <c r="Z405" s="15">
        <f t="shared" si="118"/>
        <v>12</v>
      </c>
      <c r="AA405" s="15">
        <f t="shared" si="119"/>
        <v>0.1867</v>
      </c>
    </row>
    <row r="406" spans="13:27" ht="16.5" x14ac:dyDescent="0.2">
      <c r="M406" s="15">
        <v>327</v>
      </c>
      <c r="N406" s="15">
        <f t="shared" si="108"/>
        <v>7</v>
      </c>
      <c r="O406" s="15">
        <f>INDEX(卡牌消耗!$H$13:$H$33,世界BOSS专属武器!N406)</f>
        <v>1501007</v>
      </c>
      <c r="P406" s="49" t="s">
        <v>408</v>
      </c>
      <c r="Q406" s="15">
        <f t="shared" si="109"/>
        <v>20</v>
      </c>
      <c r="R406" s="49" t="str">
        <f t="shared" si="110"/>
        <v>金币</v>
      </c>
      <c r="S406" s="15">
        <f t="shared" si="111"/>
        <v>5000</v>
      </c>
      <c r="T406" s="15" t="str">
        <f t="shared" si="112"/>
        <v>低级专属强化石</v>
      </c>
      <c r="U406" s="15">
        <f t="shared" si="113"/>
        <v>15</v>
      </c>
      <c r="V406" s="15" t="str">
        <f t="shared" si="114"/>
        <v>中级专属强化石</v>
      </c>
      <c r="W406" s="15">
        <f t="shared" si="115"/>
        <v>7</v>
      </c>
      <c r="X406" s="15">
        <f t="shared" si="116"/>
        <v>0.15</v>
      </c>
      <c r="Y406" s="15">
        <f t="shared" si="117"/>
        <v>1</v>
      </c>
      <c r="Z406" s="15">
        <f t="shared" si="118"/>
        <v>15</v>
      </c>
      <c r="AA406" s="15">
        <f t="shared" si="119"/>
        <v>0.2</v>
      </c>
    </row>
    <row r="407" spans="13:27" ht="16.5" x14ac:dyDescent="0.2">
      <c r="M407" s="15">
        <v>328</v>
      </c>
      <c r="N407" s="15">
        <f t="shared" si="108"/>
        <v>7</v>
      </c>
      <c r="O407" s="15">
        <f>INDEX(卡牌消耗!$H$13:$H$33,世界BOSS专属武器!N407)</f>
        <v>1501007</v>
      </c>
      <c r="P407" s="49" t="s">
        <v>408</v>
      </c>
      <c r="Q407" s="15">
        <f t="shared" si="109"/>
        <v>21</v>
      </c>
      <c r="R407" s="49" t="str">
        <f t="shared" si="110"/>
        <v>金币</v>
      </c>
      <c r="S407" s="15">
        <f t="shared" si="111"/>
        <v>5000</v>
      </c>
      <c r="T407" s="15" t="str">
        <f t="shared" si="112"/>
        <v>低级专属强化石</v>
      </c>
      <c r="U407" s="15">
        <f t="shared" si="113"/>
        <v>15</v>
      </c>
      <c r="V407" s="15" t="str">
        <f t="shared" si="114"/>
        <v>中级专属强化石</v>
      </c>
      <c r="W407" s="15">
        <f t="shared" si="115"/>
        <v>7</v>
      </c>
      <c r="X407" s="15">
        <f t="shared" si="116"/>
        <v>0.15</v>
      </c>
      <c r="Y407" s="15">
        <f t="shared" si="117"/>
        <v>1</v>
      </c>
      <c r="Z407" s="15">
        <f t="shared" si="118"/>
        <v>15</v>
      </c>
      <c r="AA407" s="15">
        <f t="shared" si="119"/>
        <v>0.22</v>
      </c>
    </row>
    <row r="408" spans="13:27" ht="16.5" x14ac:dyDescent="0.2">
      <c r="M408" s="15">
        <v>329</v>
      </c>
      <c r="N408" s="15">
        <f t="shared" si="108"/>
        <v>7</v>
      </c>
      <c r="O408" s="15">
        <f>INDEX(卡牌消耗!$H$13:$H$33,世界BOSS专属武器!N408)</f>
        <v>1501007</v>
      </c>
      <c r="P408" s="49" t="s">
        <v>408</v>
      </c>
      <c r="Q408" s="15">
        <f t="shared" si="109"/>
        <v>22</v>
      </c>
      <c r="R408" s="49" t="str">
        <f t="shared" si="110"/>
        <v>金币</v>
      </c>
      <c r="S408" s="15">
        <f t="shared" si="111"/>
        <v>5000</v>
      </c>
      <c r="T408" s="15" t="str">
        <f t="shared" si="112"/>
        <v>低级专属强化石</v>
      </c>
      <c r="U408" s="15">
        <f t="shared" si="113"/>
        <v>15</v>
      </c>
      <c r="V408" s="15" t="str">
        <f t="shared" si="114"/>
        <v>中级专属强化石</v>
      </c>
      <c r="W408" s="15">
        <f t="shared" si="115"/>
        <v>7</v>
      </c>
      <c r="X408" s="15">
        <f t="shared" si="116"/>
        <v>0.15</v>
      </c>
      <c r="Y408" s="15">
        <f t="shared" si="117"/>
        <v>1</v>
      </c>
      <c r="Z408" s="15">
        <f t="shared" si="118"/>
        <v>15</v>
      </c>
      <c r="AA408" s="15">
        <f t="shared" si="119"/>
        <v>0.24</v>
      </c>
    </row>
    <row r="409" spans="13:27" ht="16.5" x14ac:dyDescent="0.2">
      <c r="M409" s="15">
        <v>330</v>
      </c>
      <c r="N409" s="15">
        <f t="shared" si="108"/>
        <v>7</v>
      </c>
      <c r="O409" s="15">
        <f>INDEX(卡牌消耗!$H$13:$H$33,世界BOSS专属武器!N409)</f>
        <v>1501007</v>
      </c>
      <c r="P409" s="49" t="s">
        <v>408</v>
      </c>
      <c r="Q409" s="15">
        <f t="shared" si="109"/>
        <v>23</v>
      </c>
      <c r="R409" s="49" t="str">
        <f t="shared" si="110"/>
        <v>金币</v>
      </c>
      <c r="S409" s="15">
        <f t="shared" si="111"/>
        <v>5000</v>
      </c>
      <c r="T409" s="15" t="str">
        <f t="shared" si="112"/>
        <v>低级专属强化石</v>
      </c>
      <c r="U409" s="15">
        <f t="shared" si="113"/>
        <v>15</v>
      </c>
      <c r="V409" s="15" t="str">
        <f t="shared" si="114"/>
        <v>中级专属强化石</v>
      </c>
      <c r="W409" s="15">
        <f t="shared" si="115"/>
        <v>7</v>
      </c>
      <c r="X409" s="15">
        <f t="shared" si="116"/>
        <v>0.15</v>
      </c>
      <c r="Y409" s="15">
        <f t="shared" si="117"/>
        <v>1</v>
      </c>
      <c r="Z409" s="15">
        <f t="shared" si="118"/>
        <v>18</v>
      </c>
      <c r="AA409" s="15">
        <f t="shared" si="119"/>
        <v>0.26</v>
      </c>
    </row>
    <row r="410" spans="13:27" ht="16.5" x14ac:dyDescent="0.2">
      <c r="M410" s="15">
        <v>331</v>
      </c>
      <c r="N410" s="15">
        <f t="shared" si="108"/>
        <v>7</v>
      </c>
      <c r="O410" s="15">
        <f>INDEX(卡牌消耗!$H$13:$H$33,世界BOSS专属武器!N410)</f>
        <v>1501007</v>
      </c>
      <c r="P410" s="49" t="s">
        <v>408</v>
      </c>
      <c r="Q410" s="15">
        <f t="shared" si="109"/>
        <v>24</v>
      </c>
      <c r="R410" s="49" t="str">
        <f t="shared" si="110"/>
        <v>金币</v>
      </c>
      <c r="S410" s="15">
        <f t="shared" si="111"/>
        <v>5000</v>
      </c>
      <c r="T410" s="15" t="str">
        <f t="shared" si="112"/>
        <v>低级专属强化石</v>
      </c>
      <c r="U410" s="15">
        <f t="shared" si="113"/>
        <v>15</v>
      </c>
      <c r="V410" s="15" t="str">
        <f t="shared" si="114"/>
        <v>中级专属强化石</v>
      </c>
      <c r="W410" s="15">
        <f t="shared" si="115"/>
        <v>7</v>
      </c>
      <c r="X410" s="15">
        <f t="shared" si="116"/>
        <v>0.15</v>
      </c>
      <c r="Y410" s="15">
        <f t="shared" si="117"/>
        <v>1</v>
      </c>
      <c r="Z410" s="15">
        <f t="shared" si="118"/>
        <v>18</v>
      </c>
      <c r="AA410" s="15">
        <f t="shared" si="119"/>
        <v>0.28000000000000003</v>
      </c>
    </row>
    <row r="411" spans="13:27" ht="16.5" x14ac:dyDescent="0.2">
      <c r="M411" s="15">
        <v>332</v>
      </c>
      <c r="N411" s="15">
        <f t="shared" si="108"/>
        <v>7</v>
      </c>
      <c r="O411" s="15">
        <f>INDEX(卡牌消耗!$H$13:$H$33,世界BOSS专属武器!N411)</f>
        <v>1501007</v>
      </c>
      <c r="P411" s="49" t="s">
        <v>408</v>
      </c>
      <c r="Q411" s="15">
        <f t="shared" si="109"/>
        <v>25</v>
      </c>
      <c r="R411" s="49" t="str">
        <f t="shared" si="110"/>
        <v>金币</v>
      </c>
      <c r="S411" s="15">
        <f t="shared" si="111"/>
        <v>5000</v>
      </c>
      <c r="T411" s="15" t="str">
        <f t="shared" si="112"/>
        <v>低级专属强化石</v>
      </c>
      <c r="U411" s="15">
        <f t="shared" si="113"/>
        <v>15</v>
      </c>
      <c r="V411" s="15" t="str">
        <f t="shared" si="114"/>
        <v>中级专属强化石</v>
      </c>
      <c r="W411" s="15">
        <f t="shared" si="115"/>
        <v>7</v>
      </c>
      <c r="X411" s="15">
        <f t="shared" si="116"/>
        <v>0.15</v>
      </c>
      <c r="Y411" s="15">
        <f t="shared" si="117"/>
        <v>1</v>
      </c>
      <c r="Z411" s="15">
        <f t="shared" si="118"/>
        <v>18</v>
      </c>
      <c r="AA411" s="15">
        <f t="shared" si="119"/>
        <v>0.3</v>
      </c>
    </row>
    <row r="412" spans="13:27" ht="16.5" x14ac:dyDescent="0.2">
      <c r="M412" s="15">
        <v>333</v>
      </c>
      <c r="N412" s="15">
        <f t="shared" si="108"/>
        <v>7</v>
      </c>
      <c r="O412" s="15">
        <f>INDEX(卡牌消耗!$H$13:$H$33,世界BOSS专属武器!N412)</f>
        <v>1501007</v>
      </c>
      <c r="P412" s="49" t="s">
        <v>408</v>
      </c>
      <c r="Q412" s="15">
        <f t="shared" si="109"/>
        <v>26</v>
      </c>
      <c r="R412" s="49" t="str">
        <f t="shared" si="110"/>
        <v>金币</v>
      </c>
      <c r="S412" s="15">
        <f t="shared" si="111"/>
        <v>5000</v>
      </c>
      <c r="T412" s="15" t="str">
        <f t="shared" si="112"/>
        <v>低级专属强化石</v>
      </c>
      <c r="U412" s="15">
        <f t="shared" si="113"/>
        <v>15</v>
      </c>
      <c r="V412" s="15" t="str">
        <f t="shared" si="114"/>
        <v>中级专属强化石</v>
      </c>
      <c r="W412" s="15">
        <f t="shared" si="115"/>
        <v>7</v>
      </c>
      <c r="X412" s="15">
        <f t="shared" si="116"/>
        <v>0.15</v>
      </c>
      <c r="Y412" s="15">
        <f t="shared" si="117"/>
        <v>1</v>
      </c>
      <c r="Z412" s="15">
        <f t="shared" si="118"/>
        <v>21</v>
      </c>
      <c r="AA412" s="15">
        <f t="shared" si="119"/>
        <v>0.32</v>
      </c>
    </row>
    <row r="413" spans="13:27" ht="16.5" x14ac:dyDescent="0.2">
      <c r="M413" s="15">
        <v>334</v>
      </c>
      <c r="N413" s="15">
        <f t="shared" si="108"/>
        <v>7</v>
      </c>
      <c r="O413" s="15">
        <f>INDEX(卡牌消耗!$H$13:$H$33,世界BOSS专属武器!N413)</f>
        <v>1501007</v>
      </c>
      <c r="P413" s="49" t="s">
        <v>408</v>
      </c>
      <c r="Q413" s="15">
        <f t="shared" si="109"/>
        <v>27</v>
      </c>
      <c r="R413" s="49" t="str">
        <f t="shared" si="110"/>
        <v>金币</v>
      </c>
      <c r="S413" s="15">
        <f t="shared" si="111"/>
        <v>5000</v>
      </c>
      <c r="T413" s="15" t="str">
        <f t="shared" si="112"/>
        <v>低级专属强化石</v>
      </c>
      <c r="U413" s="15">
        <f t="shared" si="113"/>
        <v>15</v>
      </c>
      <c r="V413" s="15" t="str">
        <f t="shared" si="114"/>
        <v>中级专属强化石</v>
      </c>
      <c r="W413" s="15">
        <f t="shared" si="115"/>
        <v>7</v>
      </c>
      <c r="X413" s="15">
        <f t="shared" si="116"/>
        <v>0.15</v>
      </c>
      <c r="Y413" s="15">
        <f t="shared" si="117"/>
        <v>1</v>
      </c>
      <c r="Z413" s="15">
        <f t="shared" si="118"/>
        <v>22</v>
      </c>
      <c r="AA413" s="15">
        <f t="shared" si="119"/>
        <v>0.34</v>
      </c>
    </row>
    <row r="414" spans="13:27" ht="16.5" x14ac:dyDescent="0.2">
      <c r="M414" s="15">
        <v>335</v>
      </c>
      <c r="N414" s="15">
        <f t="shared" si="108"/>
        <v>7</v>
      </c>
      <c r="O414" s="15">
        <f>INDEX(卡牌消耗!$H$13:$H$33,世界BOSS专属武器!N414)</f>
        <v>1501007</v>
      </c>
      <c r="P414" s="49" t="s">
        <v>408</v>
      </c>
      <c r="Q414" s="15">
        <f t="shared" si="109"/>
        <v>28</v>
      </c>
      <c r="R414" s="49" t="str">
        <f t="shared" si="110"/>
        <v>金币</v>
      </c>
      <c r="S414" s="15">
        <f t="shared" si="111"/>
        <v>5000</v>
      </c>
      <c r="T414" s="15" t="str">
        <f t="shared" si="112"/>
        <v>低级专属强化石</v>
      </c>
      <c r="U414" s="15">
        <f t="shared" si="113"/>
        <v>15</v>
      </c>
      <c r="V414" s="15" t="str">
        <f t="shared" si="114"/>
        <v>中级专属强化石</v>
      </c>
      <c r="W414" s="15">
        <f t="shared" si="115"/>
        <v>7</v>
      </c>
      <c r="X414" s="15">
        <f t="shared" si="116"/>
        <v>0.15</v>
      </c>
      <c r="Y414" s="15">
        <f t="shared" si="117"/>
        <v>1</v>
      </c>
      <c r="Z414" s="15">
        <f t="shared" si="118"/>
        <v>23</v>
      </c>
      <c r="AA414" s="15">
        <f t="shared" si="119"/>
        <v>0.36</v>
      </c>
    </row>
    <row r="415" spans="13:27" ht="16.5" x14ac:dyDescent="0.2">
      <c r="M415" s="15">
        <v>336</v>
      </c>
      <c r="N415" s="15">
        <f t="shared" si="108"/>
        <v>7</v>
      </c>
      <c r="O415" s="15">
        <f>INDEX(卡牌消耗!$H$13:$H$33,世界BOSS专属武器!N415)</f>
        <v>1501007</v>
      </c>
      <c r="P415" s="49" t="s">
        <v>408</v>
      </c>
      <c r="Q415" s="15">
        <f t="shared" si="109"/>
        <v>29</v>
      </c>
      <c r="R415" s="49" t="str">
        <f t="shared" si="110"/>
        <v>金币</v>
      </c>
      <c r="S415" s="15">
        <f t="shared" si="111"/>
        <v>5000</v>
      </c>
      <c r="T415" s="15" t="str">
        <f t="shared" si="112"/>
        <v>低级专属强化石</v>
      </c>
      <c r="U415" s="15">
        <f t="shared" si="113"/>
        <v>15</v>
      </c>
      <c r="V415" s="15" t="str">
        <f t="shared" si="114"/>
        <v>中级专属强化石</v>
      </c>
      <c r="W415" s="15">
        <f t="shared" si="115"/>
        <v>7</v>
      </c>
      <c r="X415" s="15">
        <f t="shared" si="116"/>
        <v>0.15</v>
      </c>
      <c r="Y415" s="15">
        <f t="shared" si="117"/>
        <v>1</v>
      </c>
      <c r="Z415" s="15">
        <f t="shared" si="118"/>
        <v>25</v>
      </c>
      <c r="AA415" s="15">
        <f t="shared" si="119"/>
        <v>0.38</v>
      </c>
    </row>
    <row r="416" spans="13:27" ht="16.5" x14ac:dyDescent="0.2">
      <c r="M416" s="15">
        <v>337</v>
      </c>
      <c r="N416" s="15">
        <f t="shared" si="108"/>
        <v>7</v>
      </c>
      <c r="O416" s="15">
        <f>INDEX(卡牌消耗!$H$13:$H$33,世界BOSS专属武器!N416)</f>
        <v>1501007</v>
      </c>
      <c r="P416" s="49" t="s">
        <v>408</v>
      </c>
      <c r="Q416" s="15">
        <f t="shared" si="109"/>
        <v>30</v>
      </c>
      <c r="R416" s="49" t="str">
        <f t="shared" si="110"/>
        <v>金币</v>
      </c>
      <c r="S416" s="15">
        <f t="shared" si="111"/>
        <v>10000</v>
      </c>
      <c r="T416" s="15" t="str">
        <f t="shared" si="112"/>
        <v>中级专属强化石</v>
      </c>
      <c r="U416" s="15">
        <f t="shared" si="113"/>
        <v>8</v>
      </c>
      <c r="V416" s="15" t="str">
        <f t="shared" si="114"/>
        <v>高级专属强化石</v>
      </c>
      <c r="W416" s="15">
        <f t="shared" si="115"/>
        <v>3</v>
      </c>
      <c r="X416" s="15">
        <f t="shared" si="116"/>
        <v>0.1</v>
      </c>
      <c r="Y416" s="15">
        <f t="shared" si="117"/>
        <v>1</v>
      </c>
      <c r="Z416" s="15">
        <f t="shared" si="118"/>
        <v>30</v>
      </c>
      <c r="AA416" s="15">
        <f t="shared" si="119"/>
        <v>0.4</v>
      </c>
    </row>
    <row r="417" spans="13:27" ht="16.5" x14ac:dyDescent="0.2">
      <c r="M417" s="15">
        <v>338</v>
      </c>
      <c r="N417" s="15">
        <f t="shared" si="108"/>
        <v>7</v>
      </c>
      <c r="O417" s="15">
        <f>INDEX(卡牌消耗!$H$13:$H$33,世界BOSS专属武器!N417)</f>
        <v>1501007</v>
      </c>
      <c r="P417" s="49" t="s">
        <v>408</v>
      </c>
      <c r="Q417" s="15">
        <f t="shared" si="109"/>
        <v>31</v>
      </c>
      <c r="R417" s="49" t="str">
        <f t="shared" si="110"/>
        <v>金币</v>
      </c>
      <c r="S417" s="15">
        <f t="shared" si="111"/>
        <v>10000</v>
      </c>
      <c r="T417" s="15" t="str">
        <f t="shared" si="112"/>
        <v>中级专属强化石</v>
      </c>
      <c r="U417" s="15">
        <f t="shared" si="113"/>
        <v>8</v>
      </c>
      <c r="V417" s="15" t="str">
        <f t="shared" si="114"/>
        <v>高级专属强化石</v>
      </c>
      <c r="W417" s="15">
        <f t="shared" si="115"/>
        <v>3</v>
      </c>
      <c r="X417" s="15">
        <f t="shared" si="116"/>
        <v>0.1</v>
      </c>
      <c r="Y417" s="15">
        <f t="shared" si="117"/>
        <v>1</v>
      </c>
      <c r="Z417" s="15">
        <f t="shared" si="118"/>
        <v>30</v>
      </c>
      <c r="AA417" s="15">
        <f t="shared" si="119"/>
        <v>0.42670000000000002</v>
      </c>
    </row>
    <row r="418" spans="13:27" ht="16.5" x14ac:dyDescent="0.2">
      <c r="M418" s="15">
        <v>339</v>
      </c>
      <c r="N418" s="15">
        <f t="shared" si="108"/>
        <v>7</v>
      </c>
      <c r="O418" s="15">
        <f>INDEX(卡牌消耗!$H$13:$H$33,世界BOSS专属武器!N418)</f>
        <v>1501007</v>
      </c>
      <c r="P418" s="49" t="s">
        <v>408</v>
      </c>
      <c r="Q418" s="15">
        <f t="shared" si="109"/>
        <v>32</v>
      </c>
      <c r="R418" s="49" t="str">
        <f t="shared" si="110"/>
        <v>金币</v>
      </c>
      <c r="S418" s="15">
        <f t="shared" si="111"/>
        <v>10000</v>
      </c>
      <c r="T418" s="15" t="str">
        <f t="shared" si="112"/>
        <v>中级专属强化石</v>
      </c>
      <c r="U418" s="15">
        <f t="shared" si="113"/>
        <v>8</v>
      </c>
      <c r="V418" s="15" t="str">
        <f t="shared" si="114"/>
        <v>高级专属强化石</v>
      </c>
      <c r="W418" s="15">
        <f t="shared" si="115"/>
        <v>3</v>
      </c>
      <c r="X418" s="15">
        <f t="shared" si="116"/>
        <v>0.1</v>
      </c>
      <c r="Y418" s="15">
        <f t="shared" si="117"/>
        <v>1</v>
      </c>
      <c r="Z418" s="15">
        <f t="shared" si="118"/>
        <v>30</v>
      </c>
      <c r="AA418" s="15">
        <f t="shared" si="119"/>
        <v>0.45329999999999998</v>
      </c>
    </row>
    <row r="419" spans="13:27" ht="16.5" x14ac:dyDescent="0.2">
      <c r="M419" s="15">
        <v>340</v>
      </c>
      <c r="N419" s="15">
        <f t="shared" si="108"/>
        <v>7</v>
      </c>
      <c r="O419" s="15">
        <f>INDEX(卡牌消耗!$H$13:$H$33,世界BOSS专属武器!N419)</f>
        <v>1501007</v>
      </c>
      <c r="P419" s="49" t="s">
        <v>408</v>
      </c>
      <c r="Q419" s="15">
        <f t="shared" si="109"/>
        <v>33</v>
      </c>
      <c r="R419" s="49" t="str">
        <f t="shared" si="110"/>
        <v>金币</v>
      </c>
      <c r="S419" s="15">
        <f t="shared" si="111"/>
        <v>10000</v>
      </c>
      <c r="T419" s="15" t="str">
        <f t="shared" si="112"/>
        <v>中级专属强化石</v>
      </c>
      <c r="U419" s="15">
        <f t="shared" si="113"/>
        <v>8</v>
      </c>
      <c r="V419" s="15" t="str">
        <f t="shared" si="114"/>
        <v>高级专属强化石</v>
      </c>
      <c r="W419" s="15">
        <f t="shared" si="115"/>
        <v>3</v>
      </c>
      <c r="X419" s="15">
        <f t="shared" si="116"/>
        <v>0.1</v>
      </c>
      <c r="Y419" s="15">
        <f t="shared" si="117"/>
        <v>1</v>
      </c>
      <c r="Z419" s="15">
        <f t="shared" si="118"/>
        <v>30</v>
      </c>
      <c r="AA419" s="15">
        <f t="shared" si="119"/>
        <v>0.48</v>
      </c>
    </row>
    <row r="420" spans="13:27" ht="16.5" x14ac:dyDescent="0.2">
      <c r="M420" s="15">
        <v>341</v>
      </c>
      <c r="N420" s="15">
        <f t="shared" si="108"/>
        <v>7</v>
      </c>
      <c r="O420" s="15">
        <f>INDEX(卡牌消耗!$H$13:$H$33,世界BOSS专属武器!N420)</f>
        <v>1501007</v>
      </c>
      <c r="P420" s="49" t="s">
        <v>408</v>
      </c>
      <c r="Q420" s="15">
        <f t="shared" si="109"/>
        <v>34</v>
      </c>
      <c r="R420" s="49" t="str">
        <f t="shared" si="110"/>
        <v>金币</v>
      </c>
      <c r="S420" s="15">
        <f t="shared" si="111"/>
        <v>10000</v>
      </c>
      <c r="T420" s="15" t="str">
        <f t="shared" si="112"/>
        <v>中级专属强化石</v>
      </c>
      <c r="U420" s="15">
        <f t="shared" si="113"/>
        <v>8</v>
      </c>
      <c r="V420" s="15" t="str">
        <f t="shared" si="114"/>
        <v>高级专属强化石</v>
      </c>
      <c r="W420" s="15">
        <f t="shared" si="115"/>
        <v>3</v>
      </c>
      <c r="X420" s="15">
        <f t="shared" si="116"/>
        <v>0.1</v>
      </c>
      <c r="Y420" s="15">
        <f t="shared" si="117"/>
        <v>1</v>
      </c>
      <c r="Z420" s="15">
        <f t="shared" si="118"/>
        <v>30</v>
      </c>
      <c r="AA420" s="15">
        <f t="shared" si="119"/>
        <v>0.50670000000000004</v>
      </c>
    </row>
    <row r="421" spans="13:27" ht="16.5" x14ac:dyDescent="0.2">
      <c r="M421" s="15">
        <v>342</v>
      </c>
      <c r="N421" s="15">
        <f t="shared" si="108"/>
        <v>7</v>
      </c>
      <c r="O421" s="15">
        <f>INDEX(卡牌消耗!$H$13:$H$33,世界BOSS专属武器!N421)</f>
        <v>1501007</v>
      </c>
      <c r="P421" s="49" t="s">
        <v>408</v>
      </c>
      <c r="Q421" s="15">
        <f t="shared" si="109"/>
        <v>35</v>
      </c>
      <c r="R421" s="49" t="str">
        <f t="shared" si="110"/>
        <v>金币</v>
      </c>
      <c r="S421" s="15">
        <f t="shared" si="111"/>
        <v>10000</v>
      </c>
      <c r="T421" s="15" t="str">
        <f t="shared" si="112"/>
        <v>中级专属强化石</v>
      </c>
      <c r="U421" s="15">
        <f t="shared" si="113"/>
        <v>8</v>
      </c>
      <c r="V421" s="15" t="str">
        <f t="shared" si="114"/>
        <v>高级专属强化石</v>
      </c>
      <c r="W421" s="15">
        <f t="shared" si="115"/>
        <v>3</v>
      </c>
      <c r="X421" s="15">
        <f t="shared" si="116"/>
        <v>0.1</v>
      </c>
      <c r="Y421" s="15">
        <f t="shared" si="117"/>
        <v>1</v>
      </c>
      <c r="Z421" s="15">
        <f t="shared" si="118"/>
        <v>30</v>
      </c>
      <c r="AA421" s="15">
        <f t="shared" si="119"/>
        <v>0.5333</v>
      </c>
    </row>
    <row r="422" spans="13:27" ht="16.5" x14ac:dyDescent="0.2">
      <c r="M422" s="15">
        <v>343</v>
      </c>
      <c r="N422" s="15">
        <f t="shared" si="108"/>
        <v>7</v>
      </c>
      <c r="O422" s="15">
        <f>INDEX(卡牌消耗!$H$13:$H$33,世界BOSS专属武器!N422)</f>
        <v>1501007</v>
      </c>
      <c r="P422" s="49" t="s">
        <v>408</v>
      </c>
      <c r="Q422" s="15">
        <f t="shared" si="109"/>
        <v>36</v>
      </c>
      <c r="R422" s="49" t="str">
        <f t="shared" si="110"/>
        <v>金币</v>
      </c>
      <c r="S422" s="15">
        <f t="shared" si="111"/>
        <v>10000</v>
      </c>
      <c r="T422" s="15" t="str">
        <f t="shared" si="112"/>
        <v>中级专属强化石</v>
      </c>
      <c r="U422" s="15">
        <f t="shared" si="113"/>
        <v>8</v>
      </c>
      <c r="V422" s="15" t="str">
        <f t="shared" si="114"/>
        <v>高级专属强化石</v>
      </c>
      <c r="W422" s="15">
        <f t="shared" si="115"/>
        <v>3</v>
      </c>
      <c r="X422" s="15">
        <f t="shared" si="116"/>
        <v>0.1</v>
      </c>
      <c r="Y422" s="15">
        <f t="shared" si="117"/>
        <v>1</v>
      </c>
      <c r="Z422" s="15">
        <f t="shared" si="118"/>
        <v>30</v>
      </c>
      <c r="AA422" s="15">
        <f t="shared" si="119"/>
        <v>0.56000000000000005</v>
      </c>
    </row>
    <row r="423" spans="13:27" ht="16.5" x14ac:dyDescent="0.2">
      <c r="M423" s="15">
        <v>344</v>
      </c>
      <c r="N423" s="15">
        <f t="shared" si="108"/>
        <v>7</v>
      </c>
      <c r="O423" s="15">
        <f>INDEX(卡牌消耗!$H$13:$H$33,世界BOSS专属武器!N423)</f>
        <v>1501007</v>
      </c>
      <c r="P423" s="49" t="s">
        <v>408</v>
      </c>
      <c r="Q423" s="15">
        <f t="shared" si="109"/>
        <v>37</v>
      </c>
      <c r="R423" s="49" t="str">
        <f t="shared" si="110"/>
        <v>金币</v>
      </c>
      <c r="S423" s="15">
        <f t="shared" si="111"/>
        <v>10000</v>
      </c>
      <c r="T423" s="15" t="str">
        <f t="shared" si="112"/>
        <v>中级专属强化石</v>
      </c>
      <c r="U423" s="15">
        <f t="shared" si="113"/>
        <v>8</v>
      </c>
      <c r="V423" s="15" t="str">
        <f t="shared" si="114"/>
        <v>高级专属强化石</v>
      </c>
      <c r="W423" s="15">
        <f t="shared" si="115"/>
        <v>3</v>
      </c>
      <c r="X423" s="15">
        <f t="shared" si="116"/>
        <v>0.1</v>
      </c>
      <c r="Y423" s="15">
        <f t="shared" si="117"/>
        <v>1</v>
      </c>
      <c r="Z423" s="15">
        <f t="shared" si="118"/>
        <v>30</v>
      </c>
      <c r="AA423" s="15">
        <f t="shared" si="119"/>
        <v>0.5867</v>
      </c>
    </row>
    <row r="424" spans="13:27" ht="16.5" x14ac:dyDescent="0.2">
      <c r="M424" s="15">
        <v>345</v>
      </c>
      <c r="N424" s="15">
        <f t="shared" si="108"/>
        <v>7</v>
      </c>
      <c r="O424" s="15">
        <f>INDEX(卡牌消耗!$H$13:$H$33,世界BOSS专属武器!N424)</f>
        <v>1501007</v>
      </c>
      <c r="P424" s="49" t="s">
        <v>408</v>
      </c>
      <c r="Q424" s="15">
        <f t="shared" si="109"/>
        <v>38</v>
      </c>
      <c r="R424" s="49" t="str">
        <f t="shared" si="110"/>
        <v>金币</v>
      </c>
      <c r="S424" s="15">
        <f t="shared" si="111"/>
        <v>10000</v>
      </c>
      <c r="T424" s="15" t="str">
        <f t="shared" si="112"/>
        <v>中级专属强化石</v>
      </c>
      <c r="U424" s="15">
        <f t="shared" si="113"/>
        <v>8</v>
      </c>
      <c r="V424" s="15" t="str">
        <f t="shared" si="114"/>
        <v>高级专属强化石</v>
      </c>
      <c r="W424" s="15">
        <f t="shared" si="115"/>
        <v>3</v>
      </c>
      <c r="X424" s="15">
        <f t="shared" si="116"/>
        <v>0.1</v>
      </c>
      <c r="Y424" s="15">
        <f t="shared" si="117"/>
        <v>1</v>
      </c>
      <c r="Z424" s="15">
        <f t="shared" si="118"/>
        <v>30</v>
      </c>
      <c r="AA424" s="15">
        <f t="shared" si="119"/>
        <v>0.61329999999999996</v>
      </c>
    </row>
    <row r="425" spans="13:27" ht="16.5" x14ac:dyDescent="0.2">
      <c r="M425" s="15">
        <v>346</v>
      </c>
      <c r="N425" s="15">
        <f t="shared" si="108"/>
        <v>7</v>
      </c>
      <c r="O425" s="15">
        <f>INDEX(卡牌消耗!$H$13:$H$33,世界BOSS专属武器!N425)</f>
        <v>1501007</v>
      </c>
      <c r="P425" s="49" t="s">
        <v>408</v>
      </c>
      <c r="Q425" s="15">
        <f t="shared" si="109"/>
        <v>39</v>
      </c>
      <c r="R425" s="49" t="str">
        <f t="shared" si="110"/>
        <v>金币</v>
      </c>
      <c r="S425" s="15">
        <f t="shared" si="111"/>
        <v>10000</v>
      </c>
      <c r="T425" s="15" t="str">
        <f t="shared" si="112"/>
        <v>中级专属强化石</v>
      </c>
      <c r="U425" s="15">
        <f t="shared" si="113"/>
        <v>8</v>
      </c>
      <c r="V425" s="15" t="str">
        <f t="shared" si="114"/>
        <v>高级专属强化石</v>
      </c>
      <c r="W425" s="15">
        <f t="shared" si="115"/>
        <v>3</v>
      </c>
      <c r="X425" s="15">
        <f t="shared" si="116"/>
        <v>0.1</v>
      </c>
      <c r="Y425" s="15">
        <f t="shared" si="117"/>
        <v>1</v>
      </c>
      <c r="Z425" s="15">
        <f t="shared" si="118"/>
        <v>30</v>
      </c>
      <c r="AA425" s="15">
        <f t="shared" si="119"/>
        <v>0.64</v>
      </c>
    </row>
    <row r="426" spans="13:27" ht="16.5" x14ac:dyDescent="0.2">
      <c r="M426" s="15">
        <v>347</v>
      </c>
      <c r="N426" s="15">
        <f t="shared" si="108"/>
        <v>7</v>
      </c>
      <c r="O426" s="15">
        <f>INDEX(卡牌消耗!$H$13:$H$33,世界BOSS专属武器!N426)</f>
        <v>1501007</v>
      </c>
      <c r="P426" s="49" t="s">
        <v>408</v>
      </c>
      <c r="Q426" s="15">
        <f t="shared" si="109"/>
        <v>40</v>
      </c>
      <c r="R426" s="49" t="str">
        <f t="shared" si="110"/>
        <v>金币</v>
      </c>
      <c r="S426" s="15">
        <f t="shared" si="111"/>
        <v>20000</v>
      </c>
      <c r="T426" s="15" t="str">
        <f t="shared" si="112"/>
        <v>高级专属强化石</v>
      </c>
      <c r="U426" s="15">
        <f t="shared" si="113"/>
        <v>5</v>
      </c>
      <c r="V426" s="15" t="str">
        <f t="shared" si="114"/>
        <v>[x]</v>
      </c>
      <c r="W426" s="15" t="str">
        <f t="shared" si="115"/>
        <v>[x]</v>
      </c>
      <c r="X426" s="15">
        <f t="shared" si="116"/>
        <v>0.1</v>
      </c>
      <c r="Y426" s="15">
        <f t="shared" si="117"/>
        <v>1</v>
      </c>
      <c r="Z426" s="15">
        <f t="shared" si="118"/>
        <v>35</v>
      </c>
      <c r="AA426" s="15">
        <f t="shared" si="119"/>
        <v>0.66669999999999996</v>
      </c>
    </row>
    <row r="427" spans="13:27" ht="16.5" x14ac:dyDescent="0.2">
      <c r="M427" s="15">
        <v>348</v>
      </c>
      <c r="N427" s="15">
        <f t="shared" si="108"/>
        <v>7</v>
      </c>
      <c r="O427" s="15">
        <f>INDEX(卡牌消耗!$H$13:$H$33,世界BOSS专属武器!N427)</f>
        <v>1501007</v>
      </c>
      <c r="P427" s="49" t="s">
        <v>408</v>
      </c>
      <c r="Q427" s="15">
        <f t="shared" si="109"/>
        <v>41</v>
      </c>
      <c r="R427" s="49" t="str">
        <f t="shared" si="110"/>
        <v>金币</v>
      </c>
      <c r="S427" s="15">
        <f t="shared" si="111"/>
        <v>20000</v>
      </c>
      <c r="T427" s="15" t="str">
        <f t="shared" si="112"/>
        <v>高级专属强化石</v>
      </c>
      <c r="U427" s="15">
        <f t="shared" si="113"/>
        <v>5</v>
      </c>
      <c r="V427" s="15" t="str">
        <f t="shared" si="114"/>
        <v>[x]</v>
      </c>
      <c r="W427" s="15" t="str">
        <f t="shared" si="115"/>
        <v>[x]</v>
      </c>
      <c r="X427" s="15">
        <f t="shared" si="116"/>
        <v>0.1</v>
      </c>
      <c r="Y427" s="15">
        <f t="shared" si="117"/>
        <v>1</v>
      </c>
      <c r="Z427" s="15">
        <f t="shared" si="118"/>
        <v>40</v>
      </c>
      <c r="AA427" s="15">
        <f t="shared" si="119"/>
        <v>0.7</v>
      </c>
    </row>
    <row r="428" spans="13:27" ht="16.5" x14ac:dyDescent="0.2">
      <c r="M428" s="15">
        <v>349</v>
      </c>
      <c r="N428" s="15">
        <f t="shared" si="108"/>
        <v>7</v>
      </c>
      <c r="O428" s="15">
        <f>INDEX(卡牌消耗!$H$13:$H$33,世界BOSS专属武器!N428)</f>
        <v>1501007</v>
      </c>
      <c r="P428" s="49" t="s">
        <v>408</v>
      </c>
      <c r="Q428" s="15">
        <f t="shared" si="109"/>
        <v>42</v>
      </c>
      <c r="R428" s="49" t="str">
        <f t="shared" si="110"/>
        <v>金币</v>
      </c>
      <c r="S428" s="15">
        <f t="shared" si="111"/>
        <v>20000</v>
      </c>
      <c r="T428" s="15" t="str">
        <f t="shared" si="112"/>
        <v>高级专属强化石</v>
      </c>
      <c r="U428" s="15">
        <f t="shared" si="113"/>
        <v>5</v>
      </c>
      <c r="V428" s="15" t="str">
        <f t="shared" si="114"/>
        <v>[x]</v>
      </c>
      <c r="W428" s="15" t="str">
        <f t="shared" si="115"/>
        <v>[x]</v>
      </c>
      <c r="X428" s="15">
        <f t="shared" si="116"/>
        <v>0.1</v>
      </c>
      <c r="Y428" s="15">
        <f t="shared" si="117"/>
        <v>1</v>
      </c>
      <c r="Z428" s="15">
        <f t="shared" si="118"/>
        <v>45</v>
      </c>
      <c r="AA428" s="15">
        <f t="shared" si="119"/>
        <v>0.73329999999999995</v>
      </c>
    </row>
    <row r="429" spans="13:27" ht="16.5" x14ac:dyDescent="0.2">
      <c r="M429" s="15">
        <v>350</v>
      </c>
      <c r="N429" s="15">
        <f t="shared" si="108"/>
        <v>7</v>
      </c>
      <c r="O429" s="15">
        <f>INDEX(卡牌消耗!$H$13:$H$33,世界BOSS专属武器!N429)</f>
        <v>1501007</v>
      </c>
      <c r="P429" s="49" t="s">
        <v>408</v>
      </c>
      <c r="Q429" s="15">
        <f t="shared" si="109"/>
        <v>43</v>
      </c>
      <c r="R429" s="49" t="str">
        <f t="shared" si="110"/>
        <v>金币</v>
      </c>
      <c r="S429" s="15">
        <f t="shared" si="111"/>
        <v>20000</v>
      </c>
      <c r="T429" s="15" t="str">
        <f t="shared" si="112"/>
        <v>高级专属强化石</v>
      </c>
      <c r="U429" s="15">
        <f t="shared" si="113"/>
        <v>5</v>
      </c>
      <c r="V429" s="15" t="str">
        <f t="shared" si="114"/>
        <v>[x]</v>
      </c>
      <c r="W429" s="15" t="str">
        <f t="shared" si="115"/>
        <v>[x]</v>
      </c>
      <c r="X429" s="15">
        <f t="shared" si="116"/>
        <v>0.1</v>
      </c>
      <c r="Y429" s="15">
        <f t="shared" si="117"/>
        <v>1</v>
      </c>
      <c r="Z429" s="15">
        <f t="shared" si="118"/>
        <v>50</v>
      </c>
      <c r="AA429" s="15">
        <f t="shared" si="119"/>
        <v>0.76670000000000005</v>
      </c>
    </row>
    <row r="430" spans="13:27" ht="16.5" x14ac:dyDescent="0.2">
      <c r="M430" s="15">
        <v>351</v>
      </c>
      <c r="N430" s="15">
        <f t="shared" si="108"/>
        <v>7</v>
      </c>
      <c r="O430" s="15">
        <f>INDEX(卡牌消耗!$H$13:$H$33,世界BOSS专属武器!N430)</f>
        <v>1501007</v>
      </c>
      <c r="P430" s="49" t="s">
        <v>408</v>
      </c>
      <c r="Q430" s="15">
        <f t="shared" si="109"/>
        <v>44</v>
      </c>
      <c r="R430" s="49" t="str">
        <f t="shared" si="110"/>
        <v>金币</v>
      </c>
      <c r="S430" s="15">
        <f t="shared" si="111"/>
        <v>20000</v>
      </c>
      <c r="T430" s="15" t="str">
        <f t="shared" si="112"/>
        <v>高级专属强化石</v>
      </c>
      <c r="U430" s="15">
        <f t="shared" si="113"/>
        <v>5</v>
      </c>
      <c r="V430" s="15" t="str">
        <f t="shared" si="114"/>
        <v>[x]</v>
      </c>
      <c r="W430" s="15" t="str">
        <f t="shared" si="115"/>
        <v>[x]</v>
      </c>
      <c r="X430" s="15">
        <f t="shared" si="116"/>
        <v>0.1</v>
      </c>
      <c r="Y430" s="15">
        <f t="shared" si="117"/>
        <v>1</v>
      </c>
      <c r="Z430" s="15">
        <f t="shared" si="118"/>
        <v>55</v>
      </c>
      <c r="AA430" s="15">
        <f t="shared" si="119"/>
        <v>0.8</v>
      </c>
    </row>
    <row r="431" spans="13:27" ht="16.5" x14ac:dyDescent="0.2">
      <c r="M431" s="15">
        <v>352</v>
      </c>
      <c r="N431" s="15">
        <f t="shared" si="108"/>
        <v>7</v>
      </c>
      <c r="O431" s="15">
        <f>INDEX(卡牌消耗!$H$13:$H$33,世界BOSS专属武器!N431)</f>
        <v>1501007</v>
      </c>
      <c r="P431" s="49" t="s">
        <v>408</v>
      </c>
      <c r="Q431" s="15">
        <f t="shared" si="109"/>
        <v>45</v>
      </c>
      <c r="R431" s="49" t="str">
        <f t="shared" si="110"/>
        <v>金币</v>
      </c>
      <c r="S431" s="15">
        <f t="shared" si="111"/>
        <v>20000</v>
      </c>
      <c r="T431" s="15" t="str">
        <f t="shared" si="112"/>
        <v>高级专属强化石</v>
      </c>
      <c r="U431" s="15">
        <f t="shared" si="113"/>
        <v>6</v>
      </c>
      <c r="V431" s="15" t="str">
        <f t="shared" si="114"/>
        <v>[x]</v>
      </c>
      <c r="W431" s="15" t="str">
        <f t="shared" si="115"/>
        <v>[x]</v>
      </c>
      <c r="X431" s="15">
        <f t="shared" si="116"/>
        <v>0.1</v>
      </c>
      <c r="Y431" s="15">
        <f t="shared" si="117"/>
        <v>1</v>
      </c>
      <c r="Z431" s="15">
        <f t="shared" si="118"/>
        <v>60</v>
      </c>
      <c r="AA431" s="15">
        <f t="shared" si="119"/>
        <v>0.83330000000000004</v>
      </c>
    </row>
    <row r="432" spans="13:27" ht="16.5" x14ac:dyDescent="0.2">
      <c r="M432" s="15">
        <v>353</v>
      </c>
      <c r="N432" s="15">
        <f t="shared" si="108"/>
        <v>7</v>
      </c>
      <c r="O432" s="15">
        <f>INDEX(卡牌消耗!$H$13:$H$33,世界BOSS专属武器!N432)</f>
        <v>1501007</v>
      </c>
      <c r="P432" s="49" t="s">
        <v>408</v>
      </c>
      <c r="Q432" s="15">
        <f t="shared" si="109"/>
        <v>46</v>
      </c>
      <c r="R432" s="49" t="str">
        <f t="shared" si="110"/>
        <v>金币</v>
      </c>
      <c r="S432" s="15">
        <f t="shared" si="111"/>
        <v>20000</v>
      </c>
      <c r="T432" s="15" t="str">
        <f t="shared" si="112"/>
        <v>高级专属强化石</v>
      </c>
      <c r="U432" s="15">
        <f t="shared" si="113"/>
        <v>7</v>
      </c>
      <c r="V432" s="15" t="str">
        <f t="shared" si="114"/>
        <v>[x]</v>
      </c>
      <c r="W432" s="15" t="str">
        <f t="shared" si="115"/>
        <v>[x]</v>
      </c>
      <c r="X432" s="15">
        <f t="shared" si="116"/>
        <v>0.1</v>
      </c>
      <c r="Y432" s="15">
        <f t="shared" si="117"/>
        <v>1</v>
      </c>
      <c r="Z432" s="15">
        <f t="shared" si="118"/>
        <v>70</v>
      </c>
      <c r="AA432" s="15">
        <f t="shared" si="119"/>
        <v>0.86670000000000003</v>
      </c>
    </row>
    <row r="433" spans="13:27" ht="16.5" x14ac:dyDescent="0.2">
      <c r="M433" s="15">
        <v>354</v>
      </c>
      <c r="N433" s="15">
        <f t="shared" si="108"/>
        <v>7</v>
      </c>
      <c r="O433" s="15">
        <f>INDEX(卡牌消耗!$H$13:$H$33,世界BOSS专属武器!N433)</f>
        <v>1501007</v>
      </c>
      <c r="P433" s="49" t="s">
        <v>408</v>
      </c>
      <c r="Q433" s="15">
        <f t="shared" si="109"/>
        <v>47</v>
      </c>
      <c r="R433" s="49" t="str">
        <f t="shared" si="110"/>
        <v>金币</v>
      </c>
      <c r="S433" s="15">
        <f t="shared" si="111"/>
        <v>20000</v>
      </c>
      <c r="T433" s="15" t="str">
        <f t="shared" si="112"/>
        <v>高级专属强化石</v>
      </c>
      <c r="U433" s="15">
        <f t="shared" si="113"/>
        <v>8</v>
      </c>
      <c r="V433" s="15" t="str">
        <f t="shared" si="114"/>
        <v>[x]</v>
      </c>
      <c r="W433" s="15" t="str">
        <f t="shared" si="115"/>
        <v>[x]</v>
      </c>
      <c r="X433" s="15">
        <f t="shared" si="116"/>
        <v>0.1</v>
      </c>
      <c r="Y433" s="15">
        <f t="shared" si="117"/>
        <v>1</v>
      </c>
      <c r="Z433" s="15">
        <f t="shared" si="118"/>
        <v>80</v>
      </c>
      <c r="AA433" s="15">
        <f t="shared" si="119"/>
        <v>0.9</v>
      </c>
    </row>
    <row r="434" spans="13:27" ht="16.5" x14ac:dyDescent="0.2">
      <c r="M434" s="15">
        <v>355</v>
      </c>
      <c r="N434" s="15">
        <f t="shared" si="108"/>
        <v>7</v>
      </c>
      <c r="O434" s="15">
        <f>INDEX(卡牌消耗!$H$13:$H$33,世界BOSS专属武器!N434)</f>
        <v>1501007</v>
      </c>
      <c r="P434" s="49" t="s">
        <v>408</v>
      </c>
      <c r="Q434" s="15">
        <f t="shared" si="109"/>
        <v>48</v>
      </c>
      <c r="R434" s="49" t="str">
        <f t="shared" si="110"/>
        <v>金币</v>
      </c>
      <c r="S434" s="15">
        <f t="shared" si="111"/>
        <v>20000</v>
      </c>
      <c r="T434" s="15" t="str">
        <f t="shared" si="112"/>
        <v>高级专属强化石</v>
      </c>
      <c r="U434" s="15">
        <f t="shared" si="113"/>
        <v>9</v>
      </c>
      <c r="V434" s="15" t="str">
        <f t="shared" si="114"/>
        <v>[x]</v>
      </c>
      <c r="W434" s="15" t="str">
        <f t="shared" si="115"/>
        <v>[x]</v>
      </c>
      <c r="X434" s="15">
        <f t="shared" si="116"/>
        <v>0.1</v>
      </c>
      <c r="Y434" s="15">
        <f t="shared" si="117"/>
        <v>1</v>
      </c>
      <c r="Z434" s="15">
        <f t="shared" si="118"/>
        <v>100</v>
      </c>
      <c r="AA434" s="15">
        <f t="shared" si="119"/>
        <v>0.93330000000000002</v>
      </c>
    </row>
    <row r="435" spans="13:27" ht="16.5" x14ac:dyDescent="0.2">
      <c r="M435" s="15">
        <v>356</v>
      </c>
      <c r="N435" s="15">
        <f t="shared" si="108"/>
        <v>7</v>
      </c>
      <c r="O435" s="15">
        <f>INDEX(卡牌消耗!$H$13:$H$33,世界BOSS专属武器!N435)</f>
        <v>1501007</v>
      </c>
      <c r="P435" s="49" t="s">
        <v>408</v>
      </c>
      <c r="Q435" s="15">
        <f t="shared" si="109"/>
        <v>49</v>
      </c>
      <c r="R435" s="49" t="str">
        <f t="shared" si="110"/>
        <v>金币</v>
      </c>
      <c r="S435" s="15">
        <f t="shared" si="111"/>
        <v>20000</v>
      </c>
      <c r="T435" s="15" t="str">
        <f t="shared" si="112"/>
        <v>高级专属强化石</v>
      </c>
      <c r="U435" s="15">
        <f t="shared" si="113"/>
        <v>10</v>
      </c>
      <c r="V435" s="15" t="str">
        <f t="shared" si="114"/>
        <v>[x]</v>
      </c>
      <c r="W435" s="15" t="str">
        <f t="shared" si="115"/>
        <v>[x]</v>
      </c>
      <c r="X435" s="15">
        <f t="shared" si="116"/>
        <v>0.1</v>
      </c>
      <c r="Y435" s="15">
        <f t="shared" si="117"/>
        <v>1</v>
      </c>
      <c r="Z435" s="15">
        <f t="shared" si="118"/>
        <v>120</v>
      </c>
      <c r="AA435" s="15">
        <f t="shared" si="119"/>
        <v>0.9667</v>
      </c>
    </row>
    <row r="436" spans="13:27" ht="16.5" x14ac:dyDescent="0.2">
      <c r="M436" s="15">
        <v>357</v>
      </c>
      <c r="N436" s="15">
        <f t="shared" si="108"/>
        <v>7</v>
      </c>
      <c r="O436" s="15">
        <f>INDEX(卡牌消耗!$H$13:$H$33,世界BOSS专属武器!N436)</f>
        <v>1501007</v>
      </c>
      <c r="P436" s="49" t="s">
        <v>408</v>
      </c>
      <c r="Q436" s="15">
        <f t="shared" si="109"/>
        <v>50</v>
      </c>
      <c r="R436" s="49" t="str">
        <f t="shared" si="110"/>
        <v>金币</v>
      </c>
      <c r="S436" s="15">
        <f t="shared" si="111"/>
        <v>20000</v>
      </c>
      <c r="T436" s="15" t="str">
        <f t="shared" si="112"/>
        <v>高级专属强化石</v>
      </c>
      <c r="U436" s="15">
        <f t="shared" si="113"/>
        <v>15</v>
      </c>
      <c r="V436" s="15" t="str">
        <f t="shared" si="114"/>
        <v>[x]</v>
      </c>
      <c r="W436" s="15" t="str">
        <f t="shared" si="115"/>
        <v>[x]</v>
      </c>
      <c r="X436" s="15">
        <f t="shared" si="116"/>
        <v>0.1</v>
      </c>
      <c r="Y436" s="15">
        <f t="shared" si="117"/>
        <v>1</v>
      </c>
      <c r="Z436" s="15">
        <f t="shared" si="118"/>
        <v>150</v>
      </c>
      <c r="AA436" s="15">
        <f t="shared" si="119"/>
        <v>1</v>
      </c>
    </row>
    <row r="437" spans="13:27" ht="16.5" x14ac:dyDescent="0.2">
      <c r="M437" s="15">
        <v>358</v>
      </c>
      <c r="N437" s="15">
        <f t="shared" si="108"/>
        <v>8</v>
      </c>
      <c r="O437" s="15">
        <f>INDEX(卡牌消耗!$H$13:$H$33,世界BOSS专属武器!N437)</f>
        <v>1501008</v>
      </c>
      <c r="P437" s="49" t="s">
        <v>408</v>
      </c>
      <c r="Q437" s="15">
        <f t="shared" si="109"/>
        <v>0</v>
      </c>
      <c r="R437" s="49" t="str">
        <f t="shared" si="110"/>
        <v>[x]</v>
      </c>
      <c r="S437" s="15" t="str">
        <f t="shared" si="111"/>
        <v>[x]</v>
      </c>
      <c r="T437" s="15" t="str">
        <f t="shared" si="112"/>
        <v>[x]</v>
      </c>
      <c r="U437" s="15" t="str">
        <f t="shared" si="113"/>
        <v>[x]</v>
      </c>
      <c r="V437" s="15" t="str">
        <f t="shared" si="114"/>
        <v>[x]</v>
      </c>
      <c r="W437" s="15" t="str">
        <f t="shared" si="115"/>
        <v>[x]</v>
      </c>
      <c r="X437" s="15" t="str">
        <f t="shared" si="116"/>
        <v>[x]</v>
      </c>
      <c r="Y437" s="15" t="str">
        <f t="shared" si="117"/>
        <v>[x]</v>
      </c>
      <c r="Z437" s="15" t="str">
        <f t="shared" si="118"/>
        <v>[x]</v>
      </c>
      <c r="AA437" s="15" t="str">
        <f t="shared" si="119"/>
        <v>[x]</v>
      </c>
    </row>
    <row r="438" spans="13:27" ht="16.5" x14ac:dyDescent="0.2">
      <c r="M438" s="15">
        <v>359</v>
      </c>
      <c r="N438" s="15">
        <f t="shared" si="108"/>
        <v>8</v>
      </c>
      <c r="O438" s="15">
        <f>INDEX(卡牌消耗!$H$13:$H$33,世界BOSS专属武器!N438)</f>
        <v>1501008</v>
      </c>
      <c r="P438" s="49" t="s">
        <v>408</v>
      </c>
      <c r="Q438" s="15">
        <f t="shared" si="109"/>
        <v>1</v>
      </c>
      <c r="R438" s="49" t="str">
        <f t="shared" si="110"/>
        <v>金币</v>
      </c>
      <c r="S438" s="15">
        <f t="shared" si="111"/>
        <v>100</v>
      </c>
      <c r="T438" s="15" t="str">
        <f t="shared" si="112"/>
        <v>低级专属强化石</v>
      </c>
      <c r="U438" s="15">
        <f t="shared" si="113"/>
        <v>1</v>
      </c>
      <c r="V438" s="15" t="str">
        <f t="shared" si="114"/>
        <v>[x]</v>
      </c>
      <c r="W438" s="15" t="str">
        <f t="shared" si="115"/>
        <v>[x]</v>
      </c>
      <c r="X438" s="15">
        <f t="shared" si="116"/>
        <v>1</v>
      </c>
      <c r="Y438" s="15">
        <f t="shared" si="117"/>
        <v>1</v>
      </c>
      <c r="Z438" s="15">
        <f t="shared" si="118"/>
        <v>1</v>
      </c>
      <c r="AA438" s="15">
        <f t="shared" si="119"/>
        <v>6.7000000000000002E-3</v>
      </c>
    </row>
    <row r="439" spans="13:27" ht="16.5" x14ac:dyDescent="0.2">
      <c r="M439" s="15">
        <v>360</v>
      </c>
      <c r="N439" s="15">
        <f t="shared" si="108"/>
        <v>8</v>
      </c>
      <c r="O439" s="15">
        <f>INDEX(卡牌消耗!$H$13:$H$33,世界BOSS专属武器!N439)</f>
        <v>1501008</v>
      </c>
      <c r="P439" s="49" t="s">
        <v>408</v>
      </c>
      <c r="Q439" s="15">
        <f t="shared" si="109"/>
        <v>2</v>
      </c>
      <c r="R439" s="49" t="str">
        <f t="shared" si="110"/>
        <v>金币</v>
      </c>
      <c r="S439" s="15">
        <f t="shared" si="111"/>
        <v>200</v>
      </c>
      <c r="T439" s="15" t="str">
        <f t="shared" si="112"/>
        <v>低级专属强化石</v>
      </c>
      <c r="U439" s="15">
        <f t="shared" si="113"/>
        <v>1</v>
      </c>
      <c r="V439" s="15" t="str">
        <f t="shared" si="114"/>
        <v>[x]</v>
      </c>
      <c r="W439" s="15" t="str">
        <f t="shared" si="115"/>
        <v>[x]</v>
      </c>
      <c r="X439" s="15">
        <f t="shared" si="116"/>
        <v>0.5</v>
      </c>
      <c r="Y439" s="15">
        <f t="shared" si="117"/>
        <v>1</v>
      </c>
      <c r="Z439" s="15">
        <f t="shared" si="118"/>
        <v>2</v>
      </c>
      <c r="AA439" s="15">
        <f t="shared" si="119"/>
        <v>1.3299999999999999E-2</v>
      </c>
    </row>
    <row r="440" spans="13:27" ht="16.5" x14ac:dyDescent="0.2">
      <c r="M440" s="15">
        <v>361</v>
      </c>
      <c r="N440" s="15">
        <f t="shared" si="108"/>
        <v>8</v>
      </c>
      <c r="O440" s="15">
        <f>INDEX(卡牌消耗!$H$13:$H$33,世界BOSS专属武器!N440)</f>
        <v>1501008</v>
      </c>
      <c r="P440" s="49" t="s">
        <v>408</v>
      </c>
      <c r="Q440" s="15">
        <f t="shared" si="109"/>
        <v>3</v>
      </c>
      <c r="R440" s="49" t="str">
        <f t="shared" si="110"/>
        <v>金币</v>
      </c>
      <c r="S440" s="15">
        <f t="shared" si="111"/>
        <v>300</v>
      </c>
      <c r="T440" s="15" t="str">
        <f t="shared" si="112"/>
        <v>低级专属强化石</v>
      </c>
      <c r="U440" s="15">
        <f t="shared" si="113"/>
        <v>2</v>
      </c>
      <c r="V440" s="15" t="str">
        <f t="shared" si="114"/>
        <v>[x]</v>
      </c>
      <c r="W440" s="15" t="str">
        <f t="shared" si="115"/>
        <v>[x]</v>
      </c>
      <c r="X440" s="15">
        <f t="shared" si="116"/>
        <v>0.48</v>
      </c>
      <c r="Y440" s="15">
        <f t="shared" si="117"/>
        <v>1</v>
      </c>
      <c r="Z440" s="15">
        <f t="shared" si="118"/>
        <v>3</v>
      </c>
      <c r="AA440" s="15">
        <f t="shared" si="119"/>
        <v>0.02</v>
      </c>
    </row>
    <row r="441" spans="13:27" ht="16.5" x14ac:dyDescent="0.2">
      <c r="M441" s="15">
        <v>362</v>
      </c>
      <c r="N441" s="15">
        <f t="shared" si="108"/>
        <v>8</v>
      </c>
      <c r="O441" s="15">
        <f>INDEX(卡牌消耗!$H$13:$H$33,世界BOSS专属武器!N441)</f>
        <v>1501008</v>
      </c>
      <c r="P441" s="49" t="s">
        <v>408</v>
      </c>
      <c r="Q441" s="15">
        <f t="shared" si="109"/>
        <v>4</v>
      </c>
      <c r="R441" s="49" t="str">
        <f t="shared" si="110"/>
        <v>金币</v>
      </c>
      <c r="S441" s="15">
        <f t="shared" si="111"/>
        <v>400</v>
      </c>
      <c r="T441" s="15" t="str">
        <f t="shared" si="112"/>
        <v>低级专属强化石</v>
      </c>
      <c r="U441" s="15">
        <f t="shared" si="113"/>
        <v>3</v>
      </c>
      <c r="V441" s="15" t="str">
        <f t="shared" si="114"/>
        <v>[x]</v>
      </c>
      <c r="W441" s="15" t="str">
        <f t="shared" si="115"/>
        <v>[x]</v>
      </c>
      <c r="X441" s="15">
        <f t="shared" si="116"/>
        <v>0.46</v>
      </c>
      <c r="Y441" s="15">
        <f t="shared" si="117"/>
        <v>1</v>
      </c>
      <c r="Z441" s="15">
        <f t="shared" si="118"/>
        <v>3</v>
      </c>
      <c r="AA441" s="15">
        <f t="shared" si="119"/>
        <v>2.6700000000000002E-2</v>
      </c>
    </row>
    <row r="442" spans="13:27" ht="16.5" x14ac:dyDescent="0.2">
      <c r="M442" s="15">
        <v>363</v>
      </c>
      <c r="N442" s="15">
        <f t="shared" si="108"/>
        <v>8</v>
      </c>
      <c r="O442" s="15">
        <f>INDEX(卡牌消耗!$H$13:$H$33,世界BOSS专属武器!N442)</f>
        <v>1501008</v>
      </c>
      <c r="P442" s="49" t="s">
        <v>408</v>
      </c>
      <c r="Q442" s="15">
        <f t="shared" si="109"/>
        <v>5</v>
      </c>
      <c r="R442" s="49" t="str">
        <f t="shared" si="110"/>
        <v>金币</v>
      </c>
      <c r="S442" s="15">
        <f t="shared" si="111"/>
        <v>500</v>
      </c>
      <c r="T442" s="15" t="str">
        <f t="shared" si="112"/>
        <v>低级专属强化石</v>
      </c>
      <c r="U442" s="15">
        <f t="shared" si="113"/>
        <v>4</v>
      </c>
      <c r="V442" s="15" t="str">
        <f t="shared" si="114"/>
        <v>[x]</v>
      </c>
      <c r="W442" s="15" t="str">
        <f t="shared" si="115"/>
        <v>[x]</v>
      </c>
      <c r="X442" s="15">
        <f t="shared" si="116"/>
        <v>0.44</v>
      </c>
      <c r="Y442" s="15">
        <f t="shared" si="117"/>
        <v>1</v>
      </c>
      <c r="Z442" s="15">
        <f t="shared" si="118"/>
        <v>3</v>
      </c>
      <c r="AA442" s="15">
        <f t="shared" si="119"/>
        <v>3.3300000000000003E-2</v>
      </c>
    </row>
    <row r="443" spans="13:27" ht="16.5" x14ac:dyDescent="0.2">
      <c r="M443" s="15">
        <v>364</v>
      </c>
      <c r="N443" s="15">
        <f t="shared" si="108"/>
        <v>8</v>
      </c>
      <c r="O443" s="15">
        <f>INDEX(卡牌消耗!$H$13:$H$33,世界BOSS专属武器!N443)</f>
        <v>1501008</v>
      </c>
      <c r="P443" s="49" t="s">
        <v>408</v>
      </c>
      <c r="Q443" s="15">
        <f t="shared" si="109"/>
        <v>6</v>
      </c>
      <c r="R443" s="49" t="str">
        <f t="shared" si="110"/>
        <v>金币</v>
      </c>
      <c r="S443" s="15">
        <f t="shared" si="111"/>
        <v>600</v>
      </c>
      <c r="T443" s="15" t="str">
        <f t="shared" si="112"/>
        <v>低级专属强化石</v>
      </c>
      <c r="U443" s="15">
        <f t="shared" si="113"/>
        <v>5</v>
      </c>
      <c r="V443" s="15" t="str">
        <f t="shared" si="114"/>
        <v>[x]</v>
      </c>
      <c r="W443" s="15" t="str">
        <f t="shared" si="115"/>
        <v>[x]</v>
      </c>
      <c r="X443" s="15">
        <f t="shared" si="116"/>
        <v>0.42</v>
      </c>
      <c r="Y443" s="15">
        <f t="shared" si="117"/>
        <v>1</v>
      </c>
      <c r="Z443" s="15">
        <f t="shared" si="118"/>
        <v>4</v>
      </c>
      <c r="AA443" s="15">
        <f t="shared" si="119"/>
        <v>0.04</v>
      </c>
    </row>
    <row r="444" spans="13:27" ht="16.5" x14ac:dyDescent="0.2">
      <c r="M444" s="15">
        <v>365</v>
      </c>
      <c r="N444" s="15">
        <f t="shared" si="108"/>
        <v>8</v>
      </c>
      <c r="O444" s="15">
        <f>INDEX(卡牌消耗!$H$13:$H$33,世界BOSS专属武器!N444)</f>
        <v>1501008</v>
      </c>
      <c r="P444" s="49" t="s">
        <v>408</v>
      </c>
      <c r="Q444" s="15">
        <f t="shared" si="109"/>
        <v>7</v>
      </c>
      <c r="R444" s="49" t="str">
        <f t="shared" si="110"/>
        <v>金币</v>
      </c>
      <c r="S444" s="15">
        <f t="shared" si="111"/>
        <v>700</v>
      </c>
      <c r="T444" s="15" t="str">
        <f t="shared" si="112"/>
        <v>低级专属强化石</v>
      </c>
      <c r="U444" s="15">
        <f t="shared" si="113"/>
        <v>5</v>
      </c>
      <c r="V444" s="15" t="str">
        <f t="shared" si="114"/>
        <v>[x]</v>
      </c>
      <c r="W444" s="15" t="str">
        <f t="shared" si="115"/>
        <v>[x]</v>
      </c>
      <c r="X444" s="15">
        <f t="shared" si="116"/>
        <v>0.4</v>
      </c>
      <c r="Y444" s="15">
        <f t="shared" si="117"/>
        <v>1</v>
      </c>
      <c r="Z444" s="15">
        <f t="shared" si="118"/>
        <v>4</v>
      </c>
      <c r="AA444" s="15">
        <f t="shared" si="119"/>
        <v>4.6699999999999998E-2</v>
      </c>
    </row>
    <row r="445" spans="13:27" ht="16.5" x14ac:dyDescent="0.2">
      <c r="M445" s="15">
        <v>366</v>
      </c>
      <c r="N445" s="15">
        <f t="shared" si="108"/>
        <v>8</v>
      </c>
      <c r="O445" s="15">
        <f>INDEX(卡牌消耗!$H$13:$H$33,世界BOSS专属武器!N445)</f>
        <v>1501008</v>
      </c>
      <c r="P445" s="49" t="s">
        <v>408</v>
      </c>
      <c r="Q445" s="15">
        <f t="shared" si="109"/>
        <v>8</v>
      </c>
      <c r="R445" s="49" t="str">
        <f t="shared" si="110"/>
        <v>金币</v>
      </c>
      <c r="S445" s="15">
        <f t="shared" si="111"/>
        <v>800</v>
      </c>
      <c r="T445" s="15" t="str">
        <f t="shared" si="112"/>
        <v>低级专属强化石</v>
      </c>
      <c r="U445" s="15">
        <f t="shared" si="113"/>
        <v>5</v>
      </c>
      <c r="V445" s="15" t="str">
        <f t="shared" si="114"/>
        <v>[x]</v>
      </c>
      <c r="W445" s="15" t="str">
        <f t="shared" si="115"/>
        <v>[x]</v>
      </c>
      <c r="X445" s="15">
        <f t="shared" si="116"/>
        <v>0.38</v>
      </c>
      <c r="Y445" s="15">
        <f t="shared" si="117"/>
        <v>1</v>
      </c>
      <c r="Z445" s="15">
        <f t="shared" si="118"/>
        <v>5</v>
      </c>
      <c r="AA445" s="15">
        <f t="shared" si="119"/>
        <v>5.33E-2</v>
      </c>
    </row>
    <row r="446" spans="13:27" ht="16.5" x14ac:dyDescent="0.2">
      <c r="M446" s="15">
        <v>367</v>
      </c>
      <c r="N446" s="15">
        <f t="shared" si="108"/>
        <v>8</v>
      </c>
      <c r="O446" s="15">
        <f>INDEX(卡牌消耗!$H$13:$H$33,世界BOSS专属武器!N446)</f>
        <v>1501008</v>
      </c>
      <c r="P446" s="49" t="s">
        <v>408</v>
      </c>
      <c r="Q446" s="15">
        <f t="shared" si="109"/>
        <v>9</v>
      </c>
      <c r="R446" s="49" t="str">
        <f t="shared" si="110"/>
        <v>金币</v>
      </c>
      <c r="S446" s="15">
        <f t="shared" si="111"/>
        <v>900</v>
      </c>
      <c r="T446" s="15" t="str">
        <f t="shared" si="112"/>
        <v>低级专属强化石</v>
      </c>
      <c r="U446" s="15">
        <f t="shared" si="113"/>
        <v>5</v>
      </c>
      <c r="V446" s="15" t="str">
        <f t="shared" si="114"/>
        <v>[x]</v>
      </c>
      <c r="W446" s="15" t="str">
        <f t="shared" si="115"/>
        <v>[x]</v>
      </c>
      <c r="X446" s="15">
        <f t="shared" si="116"/>
        <v>0.36</v>
      </c>
      <c r="Y446" s="15">
        <f t="shared" si="117"/>
        <v>1</v>
      </c>
      <c r="Z446" s="15">
        <f t="shared" si="118"/>
        <v>5</v>
      </c>
      <c r="AA446" s="15">
        <f t="shared" si="119"/>
        <v>0.06</v>
      </c>
    </row>
    <row r="447" spans="13:27" ht="16.5" x14ac:dyDescent="0.2">
      <c r="M447" s="15">
        <v>368</v>
      </c>
      <c r="N447" s="15">
        <f t="shared" si="108"/>
        <v>8</v>
      </c>
      <c r="O447" s="15">
        <f>INDEX(卡牌消耗!$H$13:$H$33,世界BOSS专属武器!N447)</f>
        <v>1501008</v>
      </c>
      <c r="P447" s="49" t="s">
        <v>408</v>
      </c>
      <c r="Q447" s="15">
        <f t="shared" si="109"/>
        <v>10</v>
      </c>
      <c r="R447" s="49" t="str">
        <f t="shared" si="110"/>
        <v>金币</v>
      </c>
      <c r="S447" s="15">
        <f t="shared" si="111"/>
        <v>1000</v>
      </c>
      <c r="T447" s="15" t="str">
        <f t="shared" si="112"/>
        <v>低级专属强化石</v>
      </c>
      <c r="U447" s="15">
        <f t="shared" si="113"/>
        <v>7</v>
      </c>
      <c r="V447" s="15" t="str">
        <f t="shared" si="114"/>
        <v>[x]</v>
      </c>
      <c r="W447" s="15" t="str">
        <f t="shared" si="115"/>
        <v>[x]</v>
      </c>
      <c r="X447" s="15">
        <f t="shared" si="116"/>
        <v>0.35</v>
      </c>
      <c r="Y447" s="15">
        <f t="shared" si="117"/>
        <v>1</v>
      </c>
      <c r="Z447" s="15">
        <f t="shared" si="118"/>
        <v>5</v>
      </c>
      <c r="AA447" s="15">
        <f t="shared" si="119"/>
        <v>6.6699999999999995E-2</v>
      </c>
    </row>
    <row r="448" spans="13:27" ht="16.5" x14ac:dyDescent="0.2">
      <c r="M448" s="15">
        <v>369</v>
      </c>
      <c r="N448" s="15">
        <f t="shared" si="108"/>
        <v>8</v>
      </c>
      <c r="O448" s="15">
        <f>INDEX(卡牌消耗!$H$13:$H$33,世界BOSS专属武器!N448)</f>
        <v>1501008</v>
      </c>
      <c r="P448" s="49" t="s">
        <v>408</v>
      </c>
      <c r="Q448" s="15">
        <f t="shared" si="109"/>
        <v>11</v>
      </c>
      <c r="R448" s="49" t="str">
        <f t="shared" si="110"/>
        <v>金币</v>
      </c>
      <c r="S448" s="15">
        <f t="shared" si="111"/>
        <v>1000</v>
      </c>
      <c r="T448" s="15" t="str">
        <f t="shared" si="112"/>
        <v>低级专属强化石</v>
      </c>
      <c r="U448" s="15">
        <f t="shared" si="113"/>
        <v>7</v>
      </c>
      <c r="V448" s="15" t="str">
        <f t="shared" si="114"/>
        <v>[x]</v>
      </c>
      <c r="W448" s="15" t="str">
        <f t="shared" si="115"/>
        <v>[x]</v>
      </c>
      <c r="X448" s="15">
        <f t="shared" si="116"/>
        <v>0.33</v>
      </c>
      <c r="Y448" s="15">
        <f t="shared" si="117"/>
        <v>1</v>
      </c>
      <c r="Z448" s="15">
        <f t="shared" si="118"/>
        <v>6</v>
      </c>
      <c r="AA448" s="15">
        <f t="shared" si="119"/>
        <v>0.08</v>
      </c>
    </row>
    <row r="449" spans="13:27" ht="16.5" x14ac:dyDescent="0.2">
      <c r="M449" s="15">
        <v>370</v>
      </c>
      <c r="N449" s="15">
        <f t="shared" si="108"/>
        <v>8</v>
      </c>
      <c r="O449" s="15">
        <f>INDEX(卡牌消耗!$H$13:$H$33,世界BOSS专属武器!N449)</f>
        <v>1501008</v>
      </c>
      <c r="P449" s="49" t="s">
        <v>408</v>
      </c>
      <c r="Q449" s="15">
        <f t="shared" si="109"/>
        <v>12</v>
      </c>
      <c r="R449" s="49" t="str">
        <f t="shared" si="110"/>
        <v>金币</v>
      </c>
      <c r="S449" s="15">
        <f t="shared" si="111"/>
        <v>1000</v>
      </c>
      <c r="T449" s="15" t="str">
        <f t="shared" si="112"/>
        <v>低级专属强化石</v>
      </c>
      <c r="U449" s="15">
        <f t="shared" si="113"/>
        <v>7</v>
      </c>
      <c r="V449" s="15" t="str">
        <f t="shared" si="114"/>
        <v>[x]</v>
      </c>
      <c r="W449" s="15" t="str">
        <f t="shared" si="115"/>
        <v>[x]</v>
      </c>
      <c r="X449" s="15">
        <f t="shared" si="116"/>
        <v>0.31</v>
      </c>
      <c r="Y449" s="15">
        <f t="shared" si="117"/>
        <v>1</v>
      </c>
      <c r="Z449" s="15">
        <f t="shared" si="118"/>
        <v>6</v>
      </c>
      <c r="AA449" s="15">
        <f t="shared" si="119"/>
        <v>9.3299999999999994E-2</v>
      </c>
    </row>
    <row r="450" spans="13:27" ht="16.5" x14ac:dyDescent="0.2">
      <c r="M450" s="15">
        <v>371</v>
      </c>
      <c r="N450" s="15">
        <f t="shared" si="108"/>
        <v>8</v>
      </c>
      <c r="O450" s="15">
        <f>INDEX(卡牌消耗!$H$13:$H$33,世界BOSS专属武器!N450)</f>
        <v>1501008</v>
      </c>
      <c r="P450" s="49" t="s">
        <v>408</v>
      </c>
      <c r="Q450" s="15">
        <f t="shared" si="109"/>
        <v>13</v>
      </c>
      <c r="R450" s="49" t="str">
        <f t="shared" si="110"/>
        <v>金币</v>
      </c>
      <c r="S450" s="15">
        <f t="shared" si="111"/>
        <v>1000</v>
      </c>
      <c r="T450" s="15" t="str">
        <f t="shared" si="112"/>
        <v>低级专属强化石</v>
      </c>
      <c r="U450" s="15">
        <f t="shared" si="113"/>
        <v>7</v>
      </c>
      <c r="V450" s="15" t="str">
        <f t="shared" si="114"/>
        <v>[x]</v>
      </c>
      <c r="W450" s="15" t="str">
        <f t="shared" si="115"/>
        <v>[x]</v>
      </c>
      <c r="X450" s="15">
        <f t="shared" si="116"/>
        <v>0.28999999999999998</v>
      </c>
      <c r="Y450" s="15">
        <f t="shared" si="117"/>
        <v>1</v>
      </c>
      <c r="Z450" s="15">
        <f t="shared" si="118"/>
        <v>7</v>
      </c>
      <c r="AA450" s="15">
        <f t="shared" si="119"/>
        <v>0.1067</v>
      </c>
    </row>
    <row r="451" spans="13:27" ht="16.5" x14ac:dyDescent="0.2">
      <c r="M451" s="15">
        <v>372</v>
      </c>
      <c r="N451" s="15">
        <f t="shared" si="108"/>
        <v>8</v>
      </c>
      <c r="O451" s="15">
        <f>INDEX(卡牌消耗!$H$13:$H$33,世界BOSS专属武器!N451)</f>
        <v>1501008</v>
      </c>
      <c r="P451" s="49" t="s">
        <v>408</v>
      </c>
      <c r="Q451" s="15">
        <f t="shared" si="109"/>
        <v>14</v>
      </c>
      <c r="R451" s="49" t="str">
        <f t="shared" si="110"/>
        <v>金币</v>
      </c>
      <c r="S451" s="15">
        <f t="shared" si="111"/>
        <v>1000</v>
      </c>
      <c r="T451" s="15" t="str">
        <f t="shared" si="112"/>
        <v>低级专属强化石</v>
      </c>
      <c r="U451" s="15">
        <f t="shared" si="113"/>
        <v>7</v>
      </c>
      <c r="V451" s="15" t="str">
        <f t="shared" si="114"/>
        <v>[x]</v>
      </c>
      <c r="W451" s="15" t="str">
        <f t="shared" si="115"/>
        <v>[x]</v>
      </c>
      <c r="X451" s="15">
        <f t="shared" si="116"/>
        <v>0.27</v>
      </c>
      <c r="Y451" s="15">
        <f t="shared" si="117"/>
        <v>1</v>
      </c>
      <c r="Z451" s="15">
        <f t="shared" si="118"/>
        <v>7</v>
      </c>
      <c r="AA451" s="15">
        <f t="shared" si="119"/>
        <v>0.12</v>
      </c>
    </row>
    <row r="452" spans="13:27" ht="16.5" x14ac:dyDescent="0.2">
      <c r="M452" s="15">
        <v>373</v>
      </c>
      <c r="N452" s="15">
        <f t="shared" si="108"/>
        <v>8</v>
      </c>
      <c r="O452" s="15">
        <f>INDEX(卡牌消耗!$H$13:$H$33,世界BOSS专属武器!N452)</f>
        <v>1501008</v>
      </c>
      <c r="P452" s="49" t="s">
        <v>408</v>
      </c>
      <c r="Q452" s="15">
        <f t="shared" si="109"/>
        <v>15</v>
      </c>
      <c r="R452" s="49" t="str">
        <f t="shared" si="110"/>
        <v>金币</v>
      </c>
      <c r="S452" s="15">
        <f t="shared" si="111"/>
        <v>1000</v>
      </c>
      <c r="T452" s="15" t="str">
        <f t="shared" si="112"/>
        <v>低级专属强化石</v>
      </c>
      <c r="U452" s="15">
        <f t="shared" si="113"/>
        <v>10</v>
      </c>
      <c r="V452" s="15" t="str">
        <f t="shared" si="114"/>
        <v>[x]</v>
      </c>
      <c r="W452" s="15" t="str">
        <f t="shared" si="115"/>
        <v>[x]</v>
      </c>
      <c r="X452" s="15">
        <f t="shared" si="116"/>
        <v>0.25</v>
      </c>
      <c r="Y452" s="15">
        <f t="shared" si="117"/>
        <v>1</v>
      </c>
      <c r="Z452" s="15">
        <f t="shared" si="118"/>
        <v>8</v>
      </c>
      <c r="AA452" s="15">
        <f t="shared" si="119"/>
        <v>0.1333</v>
      </c>
    </row>
    <row r="453" spans="13:27" ht="16.5" x14ac:dyDescent="0.2">
      <c r="M453" s="15">
        <v>374</v>
      </c>
      <c r="N453" s="15">
        <f t="shared" si="108"/>
        <v>8</v>
      </c>
      <c r="O453" s="15">
        <f>INDEX(卡牌消耗!$H$13:$H$33,世界BOSS专属武器!N453)</f>
        <v>1501008</v>
      </c>
      <c r="P453" s="49" t="s">
        <v>408</v>
      </c>
      <c r="Q453" s="15">
        <f t="shared" si="109"/>
        <v>16</v>
      </c>
      <c r="R453" s="49" t="str">
        <f t="shared" si="110"/>
        <v>金币</v>
      </c>
      <c r="S453" s="15">
        <f t="shared" si="111"/>
        <v>1000</v>
      </c>
      <c r="T453" s="15" t="str">
        <f t="shared" si="112"/>
        <v>低级专属强化石</v>
      </c>
      <c r="U453" s="15">
        <f t="shared" si="113"/>
        <v>10</v>
      </c>
      <c r="V453" s="15" t="str">
        <f t="shared" si="114"/>
        <v>[x]</v>
      </c>
      <c r="W453" s="15" t="str">
        <f t="shared" si="115"/>
        <v>[x]</v>
      </c>
      <c r="X453" s="15">
        <f t="shared" si="116"/>
        <v>0.23</v>
      </c>
      <c r="Y453" s="15">
        <f t="shared" si="117"/>
        <v>1</v>
      </c>
      <c r="Z453" s="15">
        <f t="shared" si="118"/>
        <v>9</v>
      </c>
      <c r="AA453" s="15">
        <f t="shared" si="119"/>
        <v>0.1467</v>
      </c>
    </row>
    <row r="454" spans="13:27" ht="16.5" x14ac:dyDescent="0.2">
      <c r="M454" s="15">
        <v>375</v>
      </c>
      <c r="N454" s="15">
        <f t="shared" si="108"/>
        <v>8</v>
      </c>
      <c r="O454" s="15">
        <f>INDEX(卡牌消耗!$H$13:$H$33,世界BOSS专属武器!N454)</f>
        <v>1501008</v>
      </c>
      <c r="P454" s="49" t="s">
        <v>408</v>
      </c>
      <c r="Q454" s="15">
        <f t="shared" si="109"/>
        <v>17</v>
      </c>
      <c r="R454" s="49" t="str">
        <f t="shared" si="110"/>
        <v>金币</v>
      </c>
      <c r="S454" s="15">
        <f t="shared" si="111"/>
        <v>1000</v>
      </c>
      <c r="T454" s="15" t="str">
        <f t="shared" si="112"/>
        <v>低级专属强化石</v>
      </c>
      <c r="U454" s="15">
        <f t="shared" si="113"/>
        <v>10</v>
      </c>
      <c r="V454" s="15" t="str">
        <f t="shared" si="114"/>
        <v>[x]</v>
      </c>
      <c r="W454" s="15" t="str">
        <f t="shared" si="115"/>
        <v>[x]</v>
      </c>
      <c r="X454" s="15">
        <f t="shared" si="116"/>
        <v>0.21</v>
      </c>
      <c r="Y454" s="15">
        <f t="shared" si="117"/>
        <v>1</v>
      </c>
      <c r="Z454" s="15">
        <f t="shared" si="118"/>
        <v>10</v>
      </c>
      <c r="AA454" s="15">
        <f t="shared" si="119"/>
        <v>0.16</v>
      </c>
    </row>
    <row r="455" spans="13:27" ht="16.5" x14ac:dyDescent="0.2">
      <c r="M455" s="15">
        <v>376</v>
      </c>
      <c r="N455" s="15">
        <f t="shared" si="108"/>
        <v>8</v>
      </c>
      <c r="O455" s="15">
        <f>INDEX(卡牌消耗!$H$13:$H$33,世界BOSS专属武器!N455)</f>
        <v>1501008</v>
      </c>
      <c r="P455" s="49" t="s">
        <v>408</v>
      </c>
      <c r="Q455" s="15">
        <f t="shared" si="109"/>
        <v>18</v>
      </c>
      <c r="R455" s="49" t="str">
        <f t="shared" si="110"/>
        <v>金币</v>
      </c>
      <c r="S455" s="15">
        <f t="shared" si="111"/>
        <v>1000</v>
      </c>
      <c r="T455" s="15" t="str">
        <f t="shared" si="112"/>
        <v>低级专属强化石</v>
      </c>
      <c r="U455" s="15">
        <f t="shared" si="113"/>
        <v>10</v>
      </c>
      <c r="V455" s="15" t="str">
        <f t="shared" si="114"/>
        <v>[x]</v>
      </c>
      <c r="W455" s="15" t="str">
        <f t="shared" si="115"/>
        <v>[x]</v>
      </c>
      <c r="X455" s="15">
        <f t="shared" si="116"/>
        <v>0.19</v>
      </c>
      <c r="Y455" s="15">
        <f t="shared" si="117"/>
        <v>1</v>
      </c>
      <c r="Z455" s="15">
        <f t="shared" si="118"/>
        <v>11</v>
      </c>
      <c r="AA455" s="15">
        <f t="shared" si="119"/>
        <v>0.17330000000000001</v>
      </c>
    </row>
    <row r="456" spans="13:27" ht="16.5" x14ac:dyDescent="0.2">
      <c r="M456" s="15">
        <v>377</v>
      </c>
      <c r="N456" s="15">
        <f t="shared" si="108"/>
        <v>8</v>
      </c>
      <c r="O456" s="15">
        <f>INDEX(卡牌消耗!$H$13:$H$33,世界BOSS专属武器!N456)</f>
        <v>1501008</v>
      </c>
      <c r="P456" s="49" t="s">
        <v>408</v>
      </c>
      <c r="Q456" s="15">
        <f t="shared" si="109"/>
        <v>19</v>
      </c>
      <c r="R456" s="49" t="str">
        <f t="shared" si="110"/>
        <v>金币</v>
      </c>
      <c r="S456" s="15">
        <f t="shared" si="111"/>
        <v>1000</v>
      </c>
      <c r="T456" s="15" t="str">
        <f t="shared" si="112"/>
        <v>低级专属强化石</v>
      </c>
      <c r="U456" s="15">
        <f t="shared" si="113"/>
        <v>10</v>
      </c>
      <c r="V456" s="15" t="str">
        <f t="shared" si="114"/>
        <v>[x]</v>
      </c>
      <c r="W456" s="15" t="str">
        <f t="shared" si="115"/>
        <v>[x]</v>
      </c>
      <c r="X456" s="15">
        <f t="shared" si="116"/>
        <v>0.17</v>
      </c>
      <c r="Y456" s="15">
        <f t="shared" si="117"/>
        <v>1</v>
      </c>
      <c r="Z456" s="15">
        <f t="shared" si="118"/>
        <v>12</v>
      </c>
      <c r="AA456" s="15">
        <f t="shared" si="119"/>
        <v>0.1867</v>
      </c>
    </row>
    <row r="457" spans="13:27" ht="16.5" x14ac:dyDescent="0.2">
      <c r="M457" s="15">
        <v>378</v>
      </c>
      <c r="N457" s="15">
        <f t="shared" si="108"/>
        <v>8</v>
      </c>
      <c r="O457" s="15">
        <f>INDEX(卡牌消耗!$H$13:$H$33,世界BOSS专属武器!N457)</f>
        <v>1501008</v>
      </c>
      <c r="P457" s="49" t="s">
        <v>408</v>
      </c>
      <c r="Q457" s="15">
        <f t="shared" si="109"/>
        <v>20</v>
      </c>
      <c r="R457" s="49" t="str">
        <f t="shared" si="110"/>
        <v>金币</v>
      </c>
      <c r="S457" s="15">
        <f t="shared" si="111"/>
        <v>5000</v>
      </c>
      <c r="T457" s="15" t="str">
        <f t="shared" si="112"/>
        <v>低级专属强化石</v>
      </c>
      <c r="U457" s="15">
        <f t="shared" si="113"/>
        <v>15</v>
      </c>
      <c r="V457" s="15" t="str">
        <f t="shared" si="114"/>
        <v>中级专属强化石</v>
      </c>
      <c r="W457" s="15">
        <f t="shared" si="115"/>
        <v>7</v>
      </c>
      <c r="X457" s="15">
        <f t="shared" si="116"/>
        <v>0.15</v>
      </c>
      <c r="Y457" s="15">
        <f t="shared" si="117"/>
        <v>1</v>
      </c>
      <c r="Z457" s="15">
        <f t="shared" si="118"/>
        <v>15</v>
      </c>
      <c r="AA457" s="15">
        <f t="shared" si="119"/>
        <v>0.2</v>
      </c>
    </row>
    <row r="458" spans="13:27" ht="16.5" x14ac:dyDescent="0.2">
      <c r="M458" s="15">
        <v>379</v>
      </c>
      <c r="N458" s="15">
        <f t="shared" si="108"/>
        <v>8</v>
      </c>
      <c r="O458" s="15">
        <f>INDEX(卡牌消耗!$H$13:$H$33,世界BOSS专属武器!N458)</f>
        <v>1501008</v>
      </c>
      <c r="P458" s="49" t="s">
        <v>408</v>
      </c>
      <c r="Q458" s="15">
        <f t="shared" si="109"/>
        <v>21</v>
      </c>
      <c r="R458" s="49" t="str">
        <f t="shared" si="110"/>
        <v>金币</v>
      </c>
      <c r="S458" s="15">
        <f t="shared" si="111"/>
        <v>5000</v>
      </c>
      <c r="T458" s="15" t="str">
        <f t="shared" si="112"/>
        <v>低级专属强化石</v>
      </c>
      <c r="U458" s="15">
        <f t="shared" si="113"/>
        <v>15</v>
      </c>
      <c r="V458" s="15" t="str">
        <f t="shared" si="114"/>
        <v>中级专属强化石</v>
      </c>
      <c r="W458" s="15">
        <f t="shared" si="115"/>
        <v>7</v>
      </c>
      <c r="X458" s="15">
        <f t="shared" si="116"/>
        <v>0.15</v>
      </c>
      <c r="Y458" s="15">
        <f t="shared" si="117"/>
        <v>1</v>
      </c>
      <c r="Z458" s="15">
        <f t="shared" si="118"/>
        <v>15</v>
      </c>
      <c r="AA458" s="15">
        <f t="shared" si="119"/>
        <v>0.22</v>
      </c>
    </row>
    <row r="459" spans="13:27" ht="16.5" x14ac:dyDescent="0.2">
      <c r="M459" s="15">
        <v>380</v>
      </c>
      <c r="N459" s="15">
        <f t="shared" si="108"/>
        <v>8</v>
      </c>
      <c r="O459" s="15">
        <f>INDEX(卡牌消耗!$H$13:$H$33,世界BOSS专属武器!N459)</f>
        <v>1501008</v>
      </c>
      <c r="P459" s="49" t="s">
        <v>408</v>
      </c>
      <c r="Q459" s="15">
        <f t="shared" si="109"/>
        <v>22</v>
      </c>
      <c r="R459" s="49" t="str">
        <f t="shared" si="110"/>
        <v>金币</v>
      </c>
      <c r="S459" s="15">
        <f t="shared" si="111"/>
        <v>5000</v>
      </c>
      <c r="T459" s="15" t="str">
        <f t="shared" si="112"/>
        <v>低级专属强化石</v>
      </c>
      <c r="U459" s="15">
        <f t="shared" si="113"/>
        <v>15</v>
      </c>
      <c r="V459" s="15" t="str">
        <f t="shared" si="114"/>
        <v>中级专属强化石</v>
      </c>
      <c r="W459" s="15">
        <f t="shared" si="115"/>
        <v>7</v>
      </c>
      <c r="X459" s="15">
        <f t="shared" si="116"/>
        <v>0.15</v>
      </c>
      <c r="Y459" s="15">
        <f t="shared" si="117"/>
        <v>1</v>
      </c>
      <c r="Z459" s="15">
        <f t="shared" si="118"/>
        <v>15</v>
      </c>
      <c r="AA459" s="15">
        <f t="shared" si="119"/>
        <v>0.24</v>
      </c>
    </row>
    <row r="460" spans="13:27" ht="16.5" x14ac:dyDescent="0.2">
      <c r="M460" s="15">
        <v>381</v>
      </c>
      <c r="N460" s="15">
        <f t="shared" si="108"/>
        <v>8</v>
      </c>
      <c r="O460" s="15">
        <f>INDEX(卡牌消耗!$H$13:$H$33,世界BOSS专属武器!N460)</f>
        <v>1501008</v>
      </c>
      <c r="P460" s="49" t="s">
        <v>408</v>
      </c>
      <c r="Q460" s="15">
        <f t="shared" si="109"/>
        <v>23</v>
      </c>
      <c r="R460" s="49" t="str">
        <f t="shared" si="110"/>
        <v>金币</v>
      </c>
      <c r="S460" s="15">
        <f t="shared" si="111"/>
        <v>5000</v>
      </c>
      <c r="T460" s="15" t="str">
        <f t="shared" si="112"/>
        <v>低级专属强化石</v>
      </c>
      <c r="U460" s="15">
        <f t="shared" si="113"/>
        <v>15</v>
      </c>
      <c r="V460" s="15" t="str">
        <f t="shared" si="114"/>
        <v>中级专属强化石</v>
      </c>
      <c r="W460" s="15">
        <f t="shared" si="115"/>
        <v>7</v>
      </c>
      <c r="X460" s="15">
        <f t="shared" si="116"/>
        <v>0.15</v>
      </c>
      <c r="Y460" s="15">
        <f t="shared" si="117"/>
        <v>1</v>
      </c>
      <c r="Z460" s="15">
        <f t="shared" si="118"/>
        <v>18</v>
      </c>
      <c r="AA460" s="15">
        <f t="shared" si="119"/>
        <v>0.26</v>
      </c>
    </row>
    <row r="461" spans="13:27" ht="16.5" x14ac:dyDescent="0.2">
      <c r="M461" s="15">
        <v>382</v>
      </c>
      <c r="N461" s="15">
        <f t="shared" si="108"/>
        <v>8</v>
      </c>
      <c r="O461" s="15">
        <f>INDEX(卡牌消耗!$H$13:$H$33,世界BOSS专属武器!N461)</f>
        <v>1501008</v>
      </c>
      <c r="P461" s="49" t="s">
        <v>408</v>
      </c>
      <c r="Q461" s="15">
        <f t="shared" si="109"/>
        <v>24</v>
      </c>
      <c r="R461" s="49" t="str">
        <f t="shared" si="110"/>
        <v>金币</v>
      </c>
      <c r="S461" s="15">
        <f t="shared" si="111"/>
        <v>5000</v>
      </c>
      <c r="T461" s="15" t="str">
        <f t="shared" si="112"/>
        <v>低级专属强化石</v>
      </c>
      <c r="U461" s="15">
        <f t="shared" si="113"/>
        <v>15</v>
      </c>
      <c r="V461" s="15" t="str">
        <f t="shared" si="114"/>
        <v>中级专属强化石</v>
      </c>
      <c r="W461" s="15">
        <f t="shared" si="115"/>
        <v>7</v>
      </c>
      <c r="X461" s="15">
        <f t="shared" si="116"/>
        <v>0.15</v>
      </c>
      <c r="Y461" s="15">
        <f t="shared" si="117"/>
        <v>1</v>
      </c>
      <c r="Z461" s="15">
        <f t="shared" si="118"/>
        <v>18</v>
      </c>
      <c r="AA461" s="15">
        <f t="shared" si="119"/>
        <v>0.28000000000000003</v>
      </c>
    </row>
    <row r="462" spans="13:27" ht="16.5" x14ac:dyDescent="0.2">
      <c r="M462" s="15">
        <v>383</v>
      </c>
      <c r="N462" s="15">
        <f t="shared" si="108"/>
        <v>8</v>
      </c>
      <c r="O462" s="15">
        <f>INDEX(卡牌消耗!$H$13:$H$33,世界BOSS专属武器!N462)</f>
        <v>1501008</v>
      </c>
      <c r="P462" s="49" t="s">
        <v>408</v>
      </c>
      <c r="Q462" s="15">
        <f t="shared" si="109"/>
        <v>25</v>
      </c>
      <c r="R462" s="49" t="str">
        <f t="shared" si="110"/>
        <v>金币</v>
      </c>
      <c r="S462" s="15">
        <f t="shared" si="111"/>
        <v>5000</v>
      </c>
      <c r="T462" s="15" t="str">
        <f t="shared" si="112"/>
        <v>低级专属强化石</v>
      </c>
      <c r="U462" s="15">
        <f t="shared" si="113"/>
        <v>15</v>
      </c>
      <c r="V462" s="15" t="str">
        <f t="shared" si="114"/>
        <v>中级专属强化石</v>
      </c>
      <c r="W462" s="15">
        <f t="shared" si="115"/>
        <v>7</v>
      </c>
      <c r="X462" s="15">
        <f t="shared" si="116"/>
        <v>0.15</v>
      </c>
      <c r="Y462" s="15">
        <f t="shared" si="117"/>
        <v>1</v>
      </c>
      <c r="Z462" s="15">
        <f t="shared" si="118"/>
        <v>18</v>
      </c>
      <c r="AA462" s="15">
        <f t="shared" si="119"/>
        <v>0.3</v>
      </c>
    </row>
    <row r="463" spans="13:27" ht="16.5" x14ac:dyDescent="0.2">
      <c r="M463" s="15">
        <v>384</v>
      </c>
      <c r="N463" s="15">
        <f t="shared" si="108"/>
        <v>8</v>
      </c>
      <c r="O463" s="15">
        <f>INDEX(卡牌消耗!$H$13:$H$33,世界BOSS专属武器!N463)</f>
        <v>1501008</v>
      </c>
      <c r="P463" s="49" t="s">
        <v>408</v>
      </c>
      <c r="Q463" s="15">
        <f t="shared" si="109"/>
        <v>26</v>
      </c>
      <c r="R463" s="49" t="str">
        <f t="shared" si="110"/>
        <v>金币</v>
      </c>
      <c r="S463" s="15">
        <f t="shared" si="111"/>
        <v>5000</v>
      </c>
      <c r="T463" s="15" t="str">
        <f t="shared" si="112"/>
        <v>低级专属强化石</v>
      </c>
      <c r="U463" s="15">
        <f t="shared" si="113"/>
        <v>15</v>
      </c>
      <c r="V463" s="15" t="str">
        <f t="shared" si="114"/>
        <v>中级专属强化石</v>
      </c>
      <c r="W463" s="15">
        <f t="shared" si="115"/>
        <v>7</v>
      </c>
      <c r="X463" s="15">
        <f t="shared" si="116"/>
        <v>0.15</v>
      </c>
      <c r="Y463" s="15">
        <f t="shared" si="117"/>
        <v>1</v>
      </c>
      <c r="Z463" s="15">
        <f t="shared" si="118"/>
        <v>21</v>
      </c>
      <c r="AA463" s="15">
        <f t="shared" si="119"/>
        <v>0.32</v>
      </c>
    </row>
    <row r="464" spans="13:27" ht="16.5" x14ac:dyDescent="0.2">
      <c r="M464" s="15">
        <v>385</v>
      </c>
      <c r="N464" s="15">
        <f t="shared" si="108"/>
        <v>8</v>
      </c>
      <c r="O464" s="15">
        <f>INDEX(卡牌消耗!$H$13:$H$33,世界BOSS专属武器!N464)</f>
        <v>1501008</v>
      </c>
      <c r="P464" s="49" t="s">
        <v>408</v>
      </c>
      <c r="Q464" s="15">
        <f t="shared" si="109"/>
        <v>27</v>
      </c>
      <c r="R464" s="49" t="str">
        <f t="shared" si="110"/>
        <v>金币</v>
      </c>
      <c r="S464" s="15">
        <f t="shared" si="111"/>
        <v>5000</v>
      </c>
      <c r="T464" s="15" t="str">
        <f t="shared" si="112"/>
        <v>低级专属强化石</v>
      </c>
      <c r="U464" s="15">
        <f t="shared" si="113"/>
        <v>15</v>
      </c>
      <c r="V464" s="15" t="str">
        <f t="shared" si="114"/>
        <v>中级专属强化石</v>
      </c>
      <c r="W464" s="15">
        <f t="shared" si="115"/>
        <v>7</v>
      </c>
      <c r="X464" s="15">
        <f t="shared" si="116"/>
        <v>0.15</v>
      </c>
      <c r="Y464" s="15">
        <f t="shared" si="117"/>
        <v>1</v>
      </c>
      <c r="Z464" s="15">
        <f t="shared" si="118"/>
        <v>22</v>
      </c>
      <c r="AA464" s="15">
        <f t="shared" si="119"/>
        <v>0.34</v>
      </c>
    </row>
    <row r="465" spans="13:27" ht="16.5" x14ac:dyDescent="0.2">
      <c r="M465" s="15">
        <v>386</v>
      </c>
      <c r="N465" s="15">
        <f t="shared" ref="N465:N528" si="120">INT((M465-1)/51)+1</f>
        <v>8</v>
      </c>
      <c r="O465" s="15">
        <f>INDEX(卡牌消耗!$H$13:$H$33,世界BOSS专属武器!N465)</f>
        <v>1501008</v>
      </c>
      <c r="P465" s="49" t="s">
        <v>408</v>
      </c>
      <c r="Q465" s="15">
        <f t="shared" ref="Q465:Q528" si="121">MOD(M465-1,51)</f>
        <v>28</v>
      </c>
      <c r="R465" s="49" t="str">
        <f t="shared" ref="R465:R528" si="122">IF(Q465&gt;0,"金币","[x]")</f>
        <v>金币</v>
      </c>
      <c r="S465" s="15">
        <f t="shared" ref="S465:S528" si="123">IF(Q465&gt;0,INDEX($V$27:$V$76,Q465),"[x]")</f>
        <v>5000</v>
      </c>
      <c r="T465" s="15" t="str">
        <f t="shared" ref="T465:T528" si="124">IF(Q465&gt;0,INDEX($W$27:$W$76,Q465),"[x]")</f>
        <v>低级专属强化石</v>
      </c>
      <c r="U465" s="15">
        <f t="shared" ref="U465:U528" si="125">IF(Q465&gt;0,INDEX($AA$27:$AF$76,Q465,INDEX($Y$27:$Y$76,Q465)),"[x]")</f>
        <v>15</v>
      </c>
      <c r="V465" s="15" t="str">
        <f t="shared" ref="V465:V528" si="126">IF(AND(Q465&gt;=20,Q465&lt;40),INDEX($X$27:$X$76,Q465),"[x]")</f>
        <v>中级专属强化石</v>
      </c>
      <c r="W465" s="15">
        <f t="shared" ref="W465:W528" si="127">IF(AND(Q465&gt;=20,Q465&lt;40),INDEX($AA$27:$AF$76,Q465,INDEX($Z$27:$Z$76,Q465)),"[x]")</f>
        <v>7</v>
      </c>
      <c r="X465" s="15">
        <f t="shared" ref="X465:X528" si="128">IF(Q465&gt;0,INDEX($T$27:$T$76,Q465),"[x]")</f>
        <v>0.15</v>
      </c>
      <c r="Y465" s="15">
        <f t="shared" ref="Y465:Y528" si="129">IF(Q465&gt;0,1,"[x]")</f>
        <v>1</v>
      </c>
      <c r="Z465" s="15">
        <f t="shared" ref="Z465:Z528" si="130">IF(Q465&gt;0,INDEX($AG$27:$AG$76,Q465),"[x]")</f>
        <v>23</v>
      </c>
      <c r="AA465" s="15">
        <f t="shared" ref="AA465:AA528" si="131">IF(Q465&gt;0,INDEX($AL$27:$AL$76,Q465),"[x]")</f>
        <v>0.36</v>
      </c>
    </row>
    <row r="466" spans="13:27" ht="16.5" x14ac:dyDescent="0.2">
      <c r="M466" s="15">
        <v>387</v>
      </c>
      <c r="N466" s="15">
        <f t="shared" si="120"/>
        <v>8</v>
      </c>
      <c r="O466" s="15">
        <f>INDEX(卡牌消耗!$H$13:$H$33,世界BOSS专属武器!N466)</f>
        <v>1501008</v>
      </c>
      <c r="P466" s="49" t="s">
        <v>408</v>
      </c>
      <c r="Q466" s="15">
        <f t="shared" si="121"/>
        <v>29</v>
      </c>
      <c r="R466" s="49" t="str">
        <f t="shared" si="122"/>
        <v>金币</v>
      </c>
      <c r="S466" s="15">
        <f t="shared" si="123"/>
        <v>5000</v>
      </c>
      <c r="T466" s="15" t="str">
        <f t="shared" si="124"/>
        <v>低级专属强化石</v>
      </c>
      <c r="U466" s="15">
        <f t="shared" si="125"/>
        <v>15</v>
      </c>
      <c r="V466" s="15" t="str">
        <f t="shared" si="126"/>
        <v>中级专属强化石</v>
      </c>
      <c r="W466" s="15">
        <f t="shared" si="127"/>
        <v>7</v>
      </c>
      <c r="X466" s="15">
        <f t="shared" si="128"/>
        <v>0.15</v>
      </c>
      <c r="Y466" s="15">
        <f t="shared" si="129"/>
        <v>1</v>
      </c>
      <c r="Z466" s="15">
        <f t="shared" si="130"/>
        <v>25</v>
      </c>
      <c r="AA466" s="15">
        <f t="shared" si="131"/>
        <v>0.38</v>
      </c>
    </row>
    <row r="467" spans="13:27" ht="16.5" x14ac:dyDescent="0.2">
      <c r="M467" s="15">
        <v>388</v>
      </c>
      <c r="N467" s="15">
        <f t="shared" si="120"/>
        <v>8</v>
      </c>
      <c r="O467" s="15">
        <f>INDEX(卡牌消耗!$H$13:$H$33,世界BOSS专属武器!N467)</f>
        <v>1501008</v>
      </c>
      <c r="P467" s="49" t="s">
        <v>408</v>
      </c>
      <c r="Q467" s="15">
        <f t="shared" si="121"/>
        <v>30</v>
      </c>
      <c r="R467" s="49" t="str">
        <f t="shared" si="122"/>
        <v>金币</v>
      </c>
      <c r="S467" s="15">
        <f t="shared" si="123"/>
        <v>10000</v>
      </c>
      <c r="T467" s="15" t="str">
        <f t="shared" si="124"/>
        <v>中级专属强化石</v>
      </c>
      <c r="U467" s="15">
        <f t="shared" si="125"/>
        <v>8</v>
      </c>
      <c r="V467" s="15" t="str">
        <f t="shared" si="126"/>
        <v>高级专属强化石</v>
      </c>
      <c r="W467" s="15">
        <f t="shared" si="127"/>
        <v>3</v>
      </c>
      <c r="X467" s="15">
        <f t="shared" si="128"/>
        <v>0.1</v>
      </c>
      <c r="Y467" s="15">
        <f t="shared" si="129"/>
        <v>1</v>
      </c>
      <c r="Z467" s="15">
        <f t="shared" si="130"/>
        <v>30</v>
      </c>
      <c r="AA467" s="15">
        <f t="shared" si="131"/>
        <v>0.4</v>
      </c>
    </row>
    <row r="468" spans="13:27" ht="16.5" x14ac:dyDescent="0.2">
      <c r="M468" s="15">
        <v>389</v>
      </c>
      <c r="N468" s="15">
        <f t="shared" si="120"/>
        <v>8</v>
      </c>
      <c r="O468" s="15">
        <f>INDEX(卡牌消耗!$H$13:$H$33,世界BOSS专属武器!N468)</f>
        <v>1501008</v>
      </c>
      <c r="P468" s="49" t="s">
        <v>408</v>
      </c>
      <c r="Q468" s="15">
        <f t="shared" si="121"/>
        <v>31</v>
      </c>
      <c r="R468" s="49" t="str">
        <f t="shared" si="122"/>
        <v>金币</v>
      </c>
      <c r="S468" s="15">
        <f t="shared" si="123"/>
        <v>10000</v>
      </c>
      <c r="T468" s="15" t="str">
        <f t="shared" si="124"/>
        <v>中级专属强化石</v>
      </c>
      <c r="U468" s="15">
        <f t="shared" si="125"/>
        <v>8</v>
      </c>
      <c r="V468" s="15" t="str">
        <f t="shared" si="126"/>
        <v>高级专属强化石</v>
      </c>
      <c r="W468" s="15">
        <f t="shared" si="127"/>
        <v>3</v>
      </c>
      <c r="X468" s="15">
        <f t="shared" si="128"/>
        <v>0.1</v>
      </c>
      <c r="Y468" s="15">
        <f t="shared" si="129"/>
        <v>1</v>
      </c>
      <c r="Z468" s="15">
        <f t="shared" si="130"/>
        <v>30</v>
      </c>
      <c r="AA468" s="15">
        <f t="shared" si="131"/>
        <v>0.42670000000000002</v>
      </c>
    </row>
    <row r="469" spans="13:27" ht="16.5" x14ac:dyDescent="0.2">
      <c r="M469" s="15">
        <v>390</v>
      </c>
      <c r="N469" s="15">
        <f t="shared" si="120"/>
        <v>8</v>
      </c>
      <c r="O469" s="15">
        <f>INDEX(卡牌消耗!$H$13:$H$33,世界BOSS专属武器!N469)</f>
        <v>1501008</v>
      </c>
      <c r="P469" s="49" t="s">
        <v>408</v>
      </c>
      <c r="Q469" s="15">
        <f t="shared" si="121"/>
        <v>32</v>
      </c>
      <c r="R469" s="49" t="str">
        <f t="shared" si="122"/>
        <v>金币</v>
      </c>
      <c r="S469" s="15">
        <f t="shared" si="123"/>
        <v>10000</v>
      </c>
      <c r="T469" s="15" t="str">
        <f t="shared" si="124"/>
        <v>中级专属强化石</v>
      </c>
      <c r="U469" s="15">
        <f t="shared" si="125"/>
        <v>8</v>
      </c>
      <c r="V469" s="15" t="str">
        <f t="shared" si="126"/>
        <v>高级专属强化石</v>
      </c>
      <c r="W469" s="15">
        <f t="shared" si="127"/>
        <v>3</v>
      </c>
      <c r="X469" s="15">
        <f t="shared" si="128"/>
        <v>0.1</v>
      </c>
      <c r="Y469" s="15">
        <f t="shared" si="129"/>
        <v>1</v>
      </c>
      <c r="Z469" s="15">
        <f t="shared" si="130"/>
        <v>30</v>
      </c>
      <c r="AA469" s="15">
        <f t="shared" si="131"/>
        <v>0.45329999999999998</v>
      </c>
    </row>
    <row r="470" spans="13:27" ht="16.5" x14ac:dyDescent="0.2">
      <c r="M470" s="15">
        <v>391</v>
      </c>
      <c r="N470" s="15">
        <f t="shared" si="120"/>
        <v>8</v>
      </c>
      <c r="O470" s="15">
        <f>INDEX(卡牌消耗!$H$13:$H$33,世界BOSS专属武器!N470)</f>
        <v>1501008</v>
      </c>
      <c r="P470" s="49" t="s">
        <v>408</v>
      </c>
      <c r="Q470" s="15">
        <f t="shared" si="121"/>
        <v>33</v>
      </c>
      <c r="R470" s="49" t="str">
        <f t="shared" si="122"/>
        <v>金币</v>
      </c>
      <c r="S470" s="15">
        <f t="shared" si="123"/>
        <v>10000</v>
      </c>
      <c r="T470" s="15" t="str">
        <f t="shared" si="124"/>
        <v>中级专属强化石</v>
      </c>
      <c r="U470" s="15">
        <f t="shared" si="125"/>
        <v>8</v>
      </c>
      <c r="V470" s="15" t="str">
        <f t="shared" si="126"/>
        <v>高级专属强化石</v>
      </c>
      <c r="W470" s="15">
        <f t="shared" si="127"/>
        <v>3</v>
      </c>
      <c r="X470" s="15">
        <f t="shared" si="128"/>
        <v>0.1</v>
      </c>
      <c r="Y470" s="15">
        <f t="shared" si="129"/>
        <v>1</v>
      </c>
      <c r="Z470" s="15">
        <f t="shared" si="130"/>
        <v>30</v>
      </c>
      <c r="AA470" s="15">
        <f t="shared" si="131"/>
        <v>0.48</v>
      </c>
    </row>
    <row r="471" spans="13:27" ht="16.5" x14ac:dyDescent="0.2">
      <c r="M471" s="15">
        <v>392</v>
      </c>
      <c r="N471" s="15">
        <f t="shared" si="120"/>
        <v>8</v>
      </c>
      <c r="O471" s="15">
        <f>INDEX(卡牌消耗!$H$13:$H$33,世界BOSS专属武器!N471)</f>
        <v>1501008</v>
      </c>
      <c r="P471" s="49" t="s">
        <v>408</v>
      </c>
      <c r="Q471" s="15">
        <f t="shared" si="121"/>
        <v>34</v>
      </c>
      <c r="R471" s="49" t="str">
        <f t="shared" si="122"/>
        <v>金币</v>
      </c>
      <c r="S471" s="15">
        <f t="shared" si="123"/>
        <v>10000</v>
      </c>
      <c r="T471" s="15" t="str">
        <f t="shared" si="124"/>
        <v>中级专属强化石</v>
      </c>
      <c r="U471" s="15">
        <f t="shared" si="125"/>
        <v>8</v>
      </c>
      <c r="V471" s="15" t="str">
        <f t="shared" si="126"/>
        <v>高级专属强化石</v>
      </c>
      <c r="W471" s="15">
        <f t="shared" si="127"/>
        <v>3</v>
      </c>
      <c r="X471" s="15">
        <f t="shared" si="128"/>
        <v>0.1</v>
      </c>
      <c r="Y471" s="15">
        <f t="shared" si="129"/>
        <v>1</v>
      </c>
      <c r="Z471" s="15">
        <f t="shared" si="130"/>
        <v>30</v>
      </c>
      <c r="AA471" s="15">
        <f t="shared" si="131"/>
        <v>0.50670000000000004</v>
      </c>
    </row>
    <row r="472" spans="13:27" ht="16.5" x14ac:dyDescent="0.2">
      <c r="M472" s="15">
        <v>393</v>
      </c>
      <c r="N472" s="15">
        <f t="shared" si="120"/>
        <v>8</v>
      </c>
      <c r="O472" s="15">
        <f>INDEX(卡牌消耗!$H$13:$H$33,世界BOSS专属武器!N472)</f>
        <v>1501008</v>
      </c>
      <c r="P472" s="49" t="s">
        <v>408</v>
      </c>
      <c r="Q472" s="15">
        <f t="shared" si="121"/>
        <v>35</v>
      </c>
      <c r="R472" s="49" t="str">
        <f t="shared" si="122"/>
        <v>金币</v>
      </c>
      <c r="S472" s="15">
        <f t="shared" si="123"/>
        <v>10000</v>
      </c>
      <c r="T472" s="15" t="str">
        <f t="shared" si="124"/>
        <v>中级专属强化石</v>
      </c>
      <c r="U472" s="15">
        <f t="shared" si="125"/>
        <v>8</v>
      </c>
      <c r="V472" s="15" t="str">
        <f t="shared" si="126"/>
        <v>高级专属强化石</v>
      </c>
      <c r="W472" s="15">
        <f t="shared" si="127"/>
        <v>3</v>
      </c>
      <c r="X472" s="15">
        <f t="shared" si="128"/>
        <v>0.1</v>
      </c>
      <c r="Y472" s="15">
        <f t="shared" si="129"/>
        <v>1</v>
      </c>
      <c r="Z472" s="15">
        <f t="shared" si="130"/>
        <v>30</v>
      </c>
      <c r="AA472" s="15">
        <f t="shared" si="131"/>
        <v>0.5333</v>
      </c>
    </row>
    <row r="473" spans="13:27" ht="16.5" x14ac:dyDescent="0.2">
      <c r="M473" s="15">
        <v>394</v>
      </c>
      <c r="N473" s="15">
        <f t="shared" si="120"/>
        <v>8</v>
      </c>
      <c r="O473" s="15">
        <f>INDEX(卡牌消耗!$H$13:$H$33,世界BOSS专属武器!N473)</f>
        <v>1501008</v>
      </c>
      <c r="P473" s="49" t="s">
        <v>408</v>
      </c>
      <c r="Q473" s="15">
        <f t="shared" si="121"/>
        <v>36</v>
      </c>
      <c r="R473" s="49" t="str">
        <f t="shared" si="122"/>
        <v>金币</v>
      </c>
      <c r="S473" s="15">
        <f t="shared" si="123"/>
        <v>10000</v>
      </c>
      <c r="T473" s="15" t="str">
        <f t="shared" si="124"/>
        <v>中级专属强化石</v>
      </c>
      <c r="U473" s="15">
        <f t="shared" si="125"/>
        <v>8</v>
      </c>
      <c r="V473" s="15" t="str">
        <f t="shared" si="126"/>
        <v>高级专属强化石</v>
      </c>
      <c r="W473" s="15">
        <f t="shared" si="127"/>
        <v>3</v>
      </c>
      <c r="X473" s="15">
        <f t="shared" si="128"/>
        <v>0.1</v>
      </c>
      <c r="Y473" s="15">
        <f t="shared" si="129"/>
        <v>1</v>
      </c>
      <c r="Z473" s="15">
        <f t="shared" si="130"/>
        <v>30</v>
      </c>
      <c r="AA473" s="15">
        <f t="shared" si="131"/>
        <v>0.56000000000000005</v>
      </c>
    </row>
    <row r="474" spans="13:27" ht="16.5" x14ac:dyDescent="0.2">
      <c r="M474" s="15">
        <v>395</v>
      </c>
      <c r="N474" s="15">
        <f t="shared" si="120"/>
        <v>8</v>
      </c>
      <c r="O474" s="15">
        <f>INDEX(卡牌消耗!$H$13:$H$33,世界BOSS专属武器!N474)</f>
        <v>1501008</v>
      </c>
      <c r="P474" s="49" t="s">
        <v>408</v>
      </c>
      <c r="Q474" s="15">
        <f t="shared" si="121"/>
        <v>37</v>
      </c>
      <c r="R474" s="49" t="str">
        <f t="shared" si="122"/>
        <v>金币</v>
      </c>
      <c r="S474" s="15">
        <f t="shared" si="123"/>
        <v>10000</v>
      </c>
      <c r="T474" s="15" t="str">
        <f t="shared" si="124"/>
        <v>中级专属强化石</v>
      </c>
      <c r="U474" s="15">
        <f t="shared" si="125"/>
        <v>8</v>
      </c>
      <c r="V474" s="15" t="str">
        <f t="shared" si="126"/>
        <v>高级专属强化石</v>
      </c>
      <c r="W474" s="15">
        <f t="shared" si="127"/>
        <v>3</v>
      </c>
      <c r="X474" s="15">
        <f t="shared" si="128"/>
        <v>0.1</v>
      </c>
      <c r="Y474" s="15">
        <f t="shared" si="129"/>
        <v>1</v>
      </c>
      <c r="Z474" s="15">
        <f t="shared" si="130"/>
        <v>30</v>
      </c>
      <c r="AA474" s="15">
        <f t="shared" si="131"/>
        <v>0.5867</v>
      </c>
    </row>
    <row r="475" spans="13:27" ht="16.5" x14ac:dyDescent="0.2">
      <c r="M475" s="15">
        <v>396</v>
      </c>
      <c r="N475" s="15">
        <f t="shared" si="120"/>
        <v>8</v>
      </c>
      <c r="O475" s="15">
        <f>INDEX(卡牌消耗!$H$13:$H$33,世界BOSS专属武器!N475)</f>
        <v>1501008</v>
      </c>
      <c r="P475" s="49" t="s">
        <v>408</v>
      </c>
      <c r="Q475" s="15">
        <f t="shared" si="121"/>
        <v>38</v>
      </c>
      <c r="R475" s="49" t="str">
        <f t="shared" si="122"/>
        <v>金币</v>
      </c>
      <c r="S475" s="15">
        <f t="shared" si="123"/>
        <v>10000</v>
      </c>
      <c r="T475" s="15" t="str">
        <f t="shared" si="124"/>
        <v>中级专属强化石</v>
      </c>
      <c r="U475" s="15">
        <f t="shared" si="125"/>
        <v>8</v>
      </c>
      <c r="V475" s="15" t="str">
        <f t="shared" si="126"/>
        <v>高级专属强化石</v>
      </c>
      <c r="W475" s="15">
        <f t="shared" si="127"/>
        <v>3</v>
      </c>
      <c r="X475" s="15">
        <f t="shared" si="128"/>
        <v>0.1</v>
      </c>
      <c r="Y475" s="15">
        <f t="shared" si="129"/>
        <v>1</v>
      </c>
      <c r="Z475" s="15">
        <f t="shared" si="130"/>
        <v>30</v>
      </c>
      <c r="AA475" s="15">
        <f t="shared" si="131"/>
        <v>0.61329999999999996</v>
      </c>
    </row>
    <row r="476" spans="13:27" ht="16.5" x14ac:dyDescent="0.2">
      <c r="M476" s="15">
        <v>397</v>
      </c>
      <c r="N476" s="15">
        <f t="shared" si="120"/>
        <v>8</v>
      </c>
      <c r="O476" s="15">
        <f>INDEX(卡牌消耗!$H$13:$H$33,世界BOSS专属武器!N476)</f>
        <v>1501008</v>
      </c>
      <c r="P476" s="49" t="s">
        <v>408</v>
      </c>
      <c r="Q476" s="15">
        <f t="shared" si="121"/>
        <v>39</v>
      </c>
      <c r="R476" s="49" t="str">
        <f t="shared" si="122"/>
        <v>金币</v>
      </c>
      <c r="S476" s="15">
        <f t="shared" si="123"/>
        <v>10000</v>
      </c>
      <c r="T476" s="15" t="str">
        <f t="shared" si="124"/>
        <v>中级专属强化石</v>
      </c>
      <c r="U476" s="15">
        <f t="shared" si="125"/>
        <v>8</v>
      </c>
      <c r="V476" s="15" t="str">
        <f t="shared" si="126"/>
        <v>高级专属强化石</v>
      </c>
      <c r="W476" s="15">
        <f t="shared" si="127"/>
        <v>3</v>
      </c>
      <c r="X476" s="15">
        <f t="shared" si="128"/>
        <v>0.1</v>
      </c>
      <c r="Y476" s="15">
        <f t="shared" si="129"/>
        <v>1</v>
      </c>
      <c r="Z476" s="15">
        <f t="shared" si="130"/>
        <v>30</v>
      </c>
      <c r="AA476" s="15">
        <f t="shared" si="131"/>
        <v>0.64</v>
      </c>
    </row>
    <row r="477" spans="13:27" ht="16.5" x14ac:dyDescent="0.2">
      <c r="M477" s="15">
        <v>398</v>
      </c>
      <c r="N477" s="15">
        <f t="shared" si="120"/>
        <v>8</v>
      </c>
      <c r="O477" s="15">
        <f>INDEX(卡牌消耗!$H$13:$H$33,世界BOSS专属武器!N477)</f>
        <v>1501008</v>
      </c>
      <c r="P477" s="49" t="s">
        <v>408</v>
      </c>
      <c r="Q477" s="15">
        <f t="shared" si="121"/>
        <v>40</v>
      </c>
      <c r="R477" s="49" t="str">
        <f t="shared" si="122"/>
        <v>金币</v>
      </c>
      <c r="S477" s="15">
        <f t="shared" si="123"/>
        <v>20000</v>
      </c>
      <c r="T477" s="15" t="str">
        <f t="shared" si="124"/>
        <v>高级专属强化石</v>
      </c>
      <c r="U477" s="15">
        <f t="shared" si="125"/>
        <v>5</v>
      </c>
      <c r="V477" s="15" t="str">
        <f t="shared" si="126"/>
        <v>[x]</v>
      </c>
      <c r="W477" s="15" t="str">
        <f t="shared" si="127"/>
        <v>[x]</v>
      </c>
      <c r="X477" s="15">
        <f t="shared" si="128"/>
        <v>0.1</v>
      </c>
      <c r="Y477" s="15">
        <f t="shared" si="129"/>
        <v>1</v>
      </c>
      <c r="Z477" s="15">
        <f t="shared" si="130"/>
        <v>35</v>
      </c>
      <c r="AA477" s="15">
        <f t="shared" si="131"/>
        <v>0.66669999999999996</v>
      </c>
    </row>
    <row r="478" spans="13:27" ht="16.5" x14ac:dyDescent="0.2">
      <c r="M478" s="15">
        <v>399</v>
      </c>
      <c r="N478" s="15">
        <f t="shared" si="120"/>
        <v>8</v>
      </c>
      <c r="O478" s="15">
        <f>INDEX(卡牌消耗!$H$13:$H$33,世界BOSS专属武器!N478)</f>
        <v>1501008</v>
      </c>
      <c r="P478" s="49" t="s">
        <v>408</v>
      </c>
      <c r="Q478" s="15">
        <f t="shared" si="121"/>
        <v>41</v>
      </c>
      <c r="R478" s="49" t="str">
        <f t="shared" si="122"/>
        <v>金币</v>
      </c>
      <c r="S478" s="15">
        <f t="shared" si="123"/>
        <v>20000</v>
      </c>
      <c r="T478" s="15" t="str">
        <f t="shared" si="124"/>
        <v>高级专属强化石</v>
      </c>
      <c r="U478" s="15">
        <f t="shared" si="125"/>
        <v>5</v>
      </c>
      <c r="V478" s="15" t="str">
        <f t="shared" si="126"/>
        <v>[x]</v>
      </c>
      <c r="W478" s="15" t="str">
        <f t="shared" si="127"/>
        <v>[x]</v>
      </c>
      <c r="X478" s="15">
        <f t="shared" si="128"/>
        <v>0.1</v>
      </c>
      <c r="Y478" s="15">
        <f t="shared" si="129"/>
        <v>1</v>
      </c>
      <c r="Z478" s="15">
        <f t="shared" si="130"/>
        <v>40</v>
      </c>
      <c r="AA478" s="15">
        <f t="shared" si="131"/>
        <v>0.7</v>
      </c>
    </row>
    <row r="479" spans="13:27" ht="16.5" x14ac:dyDescent="0.2">
      <c r="M479" s="15">
        <v>400</v>
      </c>
      <c r="N479" s="15">
        <f t="shared" si="120"/>
        <v>8</v>
      </c>
      <c r="O479" s="15">
        <f>INDEX(卡牌消耗!$H$13:$H$33,世界BOSS专属武器!N479)</f>
        <v>1501008</v>
      </c>
      <c r="P479" s="49" t="s">
        <v>408</v>
      </c>
      <c r="Q479" s="15">
        <f t="shared" si="121"/>
        <v>42</v>
      </c>
      <c r="R479" s="49" t="str">
        <f t="shared" si="122"/>
        <v>金币</v>
      </c>
      <c r="S479" s="15">
        <f t="shared" si="123"/>
        <v>20000</v>
      </c>
      <c r="T479" s="15" t="str">
        <f t="shared" si="124"/>
        <v>高级专属强化石</v>
      </c>
      <c r="U479" s="15">
        <f t="shared" si="125"/>
        <v>5</v>
      </c>
      <c r="V479" s="15" t="str">
        <f t="shared" si="126"/>
        <v>[x]</v>
      </c>
      <c r="W479" s="15" t="str">
        <f t="shared" si="127"/>
        <v>[x]</v>
      </c>
      <c r="X479" s="15">
        <f t="shared" si="128"/>
        <v>0.1</v>
      </c>
      <c r="Y479" s="15">
        <f t="shared" si="129"/>
        <v>1</v>
      </c>
      <c r="Z479" s="15">
        <f t="shared" si="130"/>
        <v>45</v>
      </c>
      <c r="AA479" s="15">
        <f t="shared" si="131"/>
        <v>0.73329999999999995</v>
      </c>
    </row>
    <row r="480" spans="13:27" ht="16.5" x14ac:dyDescent="0.2">
      <c r="M480" s="15">
        <v>401</v>
      </c>
      <c r="N480" s="15">
        <f t="shared" si="120"/>
        <v>8</v>
      </c>
      <c r="O480" s="15">
        <f>INDEX(卡牌消耗!$H$13:$H$33,世界BOSS专属武器!N480)</f>
        <v>1501008</v>
      </c>
      <c r="P480" s="49" t="s">
        <v>408</v>
      </c>
      <c r="Q480" s="15">
        <f t="shared" si="121"/>
        <v>43</v>
      </c>
      <c r="R480" s="49" t="str">
        <f t="shared" si="122"/>
        <v>金币</v>
      </c>
      <c r="S480" s="15">
        <f t="shared" si="123"/>
        <v>20000</v>
      </c>
      <c r="T480" s="15" t="str">
        <f t="shared" si="124"/>
        <v>高级专属强化石</v>
      </c>
      <c r="U480" s="15">
        <f t="shared" si="125"/>
        <v>5</v>
      </c>
      <c r="V480" s="15" t="str">
        <f t="shared" si="126"/>
        <v>[x]</v>
      </c>
      <c r="W480" s="15" t="str">
        <f t="shared" si="127"/>
        <v>[x]</v>
      </c>
      <c r="X480" s="15">
        <f t="shared" si="128"/>
        <v>0.1</v>
      </c>
      <c r="Y480" s="15">
        <f t="shared" si="129"/>
        <v>1</v>
      </c>
      <c r="Z480" s="15">
        <f t="shared" si="130"/>
        <v>50</v>
      </c>
      <c r="AA480" s="15">
        <f t="shared" si="131"/>
        <v>0.76670000000000005</v>
      </c>
    </row>
    <row r="481" spans="13:27" ht="16.5" x14ac:dyDescent="0.2">
      <c r="M481" s="15">
        <v>402</v>
      </c>
      <c r="N481" s="15">
        <f t="shared" si="120"/>
        <v>8</v>
      </c>
      <c r="O481" s="15">
        <f>INDEX(卡牌消耗!$H$13:$H$33,世界BOSS专属武器!N481)</f>
        <v>1501008</v>
      </c>
      <c r="P481" s="49" t="s">
        <v>408</v>
      </c>
      <c r="Q481" s="15">
        <f t="shared" si="121"/>
        <v>44</v>
      </c>
      <c r="R481" s="49" t="str">
        <f t="shared" si="122"/>
        <v>金币</v>
      </c>
      <c r="S481" s="15">
        <f t="shared" si="123"/>
        <v>20000</v>
      </c>
      <c r="T481" s="15" t="str">
        <f t="shared" si="124"/>
        <v>高级专属强化石</v>
      </c>
      <c r="U481" s="15">
        <f t="shared" si="125"/>
        <v>5</v>
      </c>
      <c r="V481" s="15" t="str">
        <f t="shared" si="126"/>
        <v>[x]</v>
      </c>
      <c r="W481" s="15" t="str">
        <f t="shared" si="127"/>
        <v>[x]</v>
      </c>
      <c r="X481" s="15">
        <f t="shared" si="128"/>
        <v>0.1</v>
      </c>
      <c r="Y481" s="15">
        <f t="shared" si="129"/>
        <v>1</v>
      </c>
      <c r="Z481" s="15">
        <f t="shared" si="130"/>
        <v>55</v>
      </c>
      <c r="AA481" s="15">
        <f t="shared" si="131"/>
        <v>0.8</v>
      </c>
    </row>
    <row r="482" spans="13:27" ht="16.5" x14ac:dyDescent="0.2">
      <c r="M482" s="15">
        <v>403</v>
      </c>
      <c r="N482" s="15">
        <f t="shared" si="120"/>
        <v>8</v>
      </c>
      <c r="O482" s="15">
        <f>INDEX(卡牌消耗!$H$13:$H$33,世界BOSS专属武器!N482)</f>
        <v>1501008</v>
      </c>
      <c r="P482" s="49" t="s">
        <v>408</v>
      </c>
      <c r="Q482" s="15">
        <f t="shared" si="121"/>
        <v>45</v>
      </c>
      <c r="R482" s="49" t="str">
        <f t="shared" si="122"/>
        <v>金币</v>
      </c>
      <c r="S482" s="15">
        <f t="shared" si="123"/>
        <v>20000</v>
      </c>
      <c r="T482" s="15" t="str">
        <f t="shared" si="124"/>
        <v>高级专属强化石</v>
      </c>
      <c r="U482" s="15">
        <f t="shared" si="125"/>
        <v>6</v>
      </c>
      <c r="V482" s="15" t="str">
        <f t="shared" si="126"/>
        <v>[x]</v>
      </c>
      <c r="W482" s="15" t="str">
        <f t="shared" si="127"/>
        <v>[x]</v>
      </c>
      <c r="X482" s="15">
        <f t="shared" si="128"/>
        <v>0.1</v>
      </c>
      <c r="Y482" s="15">
        <f t="shared" si="129"/>
        <v>1</v>
      </c>
      <c r="Z482" s="15">
        <f t="shared" si="130"/>
        <v>60</v>
      </c>
      <c r="AA482" s="15">
        <f t="shared" si="131"/>
        <v>0.83330000000000004</v>
      </c>
    </row>
    <row r="483" spans="13:27" ht="16.5" x14ac:dyDescent="0.2">
      <c r="M483" s="15">
        <v>404</v>
      </c>
      <c r="N483" s="15">
        <f t="shared" si="120"/>
        <v>8</v>
      </c>
      <c r="O483" s="15">
        <f>INDEX(卡牌消耗!$H$13:$H$33,世界BOSS专属武器!N483)</f>
        <v>1501008</v>
      </c>
      <c r="P483" s="49" t="s">
        <v>408</v>
      </c>
      <c r="Q483" s="15">
        <f t="shared" si="121"/>
        <v>46</v>
      </c>
      <c r="R483" s="49" t="str">
        <f t="shared" si="122"/>
        <v>金币</v>
      </c>
      <c r="S483" s="15">
        <f t="shared" si="123"/>
        <v>20000</v>
      </c>
      <c r="T483" s="15" t="str">
        <f t="shared" si="124"/>
        <v>高级专属强化石</v>
      </c>
      <c r="U483" s="15">
        <f t="shared" si="125"/>
        <v>7</v>
      </c>
      <c r="V483" s="15" t="str">
        <f t="shared" si="126"/>
        <v>[x]</v>
      </c>
      <c r="W483" s="15" t="str">
        <f t="shared" si="127"/>
        <v>[x]</v>
      </c>
      <c r="X483" s="15">
        <f t="shared" si="128"/>
        <v>0.1</v>
      </c>
      <c r="Y483" s="15">
        <f t="shared" si="129"/>
        <v>1</v>
      </c>
      <c r="Z483" s="15">
        <f t="shared" si="130"/>
        <v>70</v>
      </c>
      <c r="AA483" s="15">
        <f t="shared" si="131"/>
        <v>0.86670000000000003</v>
      </c>
    </row>
    <row r="484" spans="13:27" ht="16.5" x14ac:dyDescent="0.2">
      <c r="M484" s="15">
        <v>405</v>
      </c>
      <c r="N484" s="15">
        <f t="shared" si="120"/>
        <v>8</v>
      </c>
      <c r="O484" s="15">
        <f>INDEX(卡牌消耗!$H$13:$H$33,世界BOSS专属武器!N484)</f>
        <v>1501008</v>
      </c>
      <c r="P484" s="49" t="s">
        <v>408</v>
      </c>
      <c r="Q484" s="15">
        <f t="shared" si="121"/>
        <v>47</v>
      </c>
      <c r="R484" s="49" t="str">
        <f t="shared" si="122"/>
        <v>金币</v>
      </c>
      <c r="S484" s="15">
        <f t="shared" si="123"/>
        <v>20000</v>
      </c>
      <c r="T484" s="15" t="str">
        <f t="shared" si="124"/>
        <v>高级专属强化石</v>
      </c>
      <c r="U484" s="15">
        <f t="shared" si="125"/>
        <v>8</v>
      </c>
      <c r="V484" s="15" t="str">
        <f t="shared" si="126"/>
        <v>[x]</v>
      </c>
      <c r="W484" s="15" t="str">
        <f t="shared" si="127"/>
        <v>[x]</v>
      </c>
      <c r="X484" s="15">
        <f t="shared" si="128"/>
        <v>0.1</v>
      </c>
      <c r="Y484" s="15">
        <f t="shared" si="129"/>
        <v>1</v>
      </c>
      <c r="Z484" s="15">
        <f t="shared" si="130"/>
        <v>80</v>
      </c>
      <c r="AA484" s="15">
        <f t="shared" si="131"/>
        <v>0.9</v>
      </c>
    </row>
    <row r="485" spans="13:27" ht="16.5" x14ac:dyDescent="0.2">
      <c r="M485" s="15">
        <v>406</v>
      </c>
      <c r="N485" s="15">
        <f t="shared" si="120"/>
        <v>8</v>
      </c>
      <c r="O485" s="15">
        <f>INDEX(卡牌消耗!$H$13:$H$33,世界BOSS专属武器!N485)</f>
        <v>1501008</v>
      </c>
      <c r="P485" s="49" t="s">
        <v>408</v>
      </c>
      <c r="Q485" s="15">
        <f t="shared" si="121"/>
        <v>48</v>
      </c>
      <c r="R485" s="49" t="str">
        <f t="shared" si="122"/>
        <v>金币</v>
      </c>
      <c r="S485" s="15">
        <f t="shared" si="123"/>
        <v>20000</v>
      </c>
      <c r="T485" s="15" t="str">
        <f t="shared" si="124"/>
        <v>高级专属强化石</v>
      </c>
      <c r="U485" s="15">
        <f t="shared" si="125"/>
        <v>9</v>
      </c>
      <c r="V485" s="15" t="str">
        <f t="shared" si="126"/>
        <v>[x]</v>
      </c>
      <c r="W485" s="15" t="str">
        <f t="shared" si="127"/>
        <v>[x]</v>
      </c>
      <c r="X485" s="15">
        <f t="shared" si="128"/>
        <v>0.1</v>
      </c>
      <c r="Y485" s="15">
        <f t="shared" si="129"/>
        <v>1</v>
      </c>
      <c r="Z485" s="15">
        <f t="shared" si="130"/>
        <v>100</v>
      </c>
      <c r="AA485" s="15">
        <f t="shared" si="131"/>
        <v>0.93330000000000002</v>
      </c>
    </row>
    <row r="486" spans="13:27" ht="16.5" x14ac:dyDescent="0.2">
      <c r="M486" s="15">
        <v>407</v>
      </c>
      <c r="N486" s="15">
        <f t="shared" si="120"/>
        <v>8</v>
      </c>
      <c r="O486" s="15">
        <f>INDEX(卡牌消耗!$H$13:$H$33,世界BOSS专属武器!N486)</f>
        <v>1501008</v>
      </c>
      <c r="P486" s="49" t="s">
        <v>408</v>
      </c>
      <c r="Q486" s="15">
        <f t="shared" si="121"/>
        <v>49</v>
      </c>
      <c r="R486" s="49" t="str">
        <f t="shared" si="122"/>
        <v>金币</v>
      </c>
      <c r="S486" s="15">
        <f t="shared" si="123"/>
        <v>20000</v>
      </c>
      <c r="T486" s="15" t="str">
        <f t="shared" si="124"/>
        <v>高级专属强化石</v>
      </c>
      <c r="U486" s="15">
        <f t="shared" si="125"/>
        <v>10</v>
      </c>
      <c r="V486" s="15" t="str">
        <f t="shared" si="126"/>
        <v>[x]</v>
      </c>
      <c r="W486" s="15" t="str">
        <f t="shared" si="127"/>
        <v>[x]</v>
      </c>
      <c r="X486" s="15">
        <f t="shared" si="128"/>
        <v>0.1</v>
      </c>
      <c r="Y486" s="15">
        <f t="shared" si="129"/>
        <v>1</v>
      </c>
      <c r="Z486" s="15">
        <f t="shared" si="130"/>
        <v>120</v>
      </c>
      <c r="AA486" s="15">
        <f t="shared" si="131"/>
        <v>0.9667</v>
      </c>
    </row>
    <row r="487" spans="13:27" ht="16.5" x14ac:dyDescent="0.2">
      <c r="M487" s="15">
        <v>408</v>
      </c>
      <c r="N487" s="15">
        <f t="shared" si="120"/>
        <v>8</v>
      </c>
      <c r="O487" s="15">
        <f>INDEX(卡牌消耗!$H$13:$H$33,世界BOSS专属武器!N487)</f>
        <v>1501008</v>
      </c>
      <c r="P487" s="49" t="s">
        <v>408</v>
      </c>
      <c r="Q487" s="15">
        <f t="shared" si="121"/>
        <v>50</v>
      </c>
      <c r="R487" s="49" t="str">
        <f t="shared" si="122"/>
        <v>金币</v>
      </c>
      <c r="S487" s="15">
        <f t="shared" si="123"/>
        <v>20000</v>
      </c>
      <c r="T487" s="15" t="str">
        <f t="shared" si="124"/>
        <v>高级专属强化石</v>
      </c>
      <c r="U487" s="15">
        <f t="shared" si="125"/>
        <v>15</v>
      </c>
      <c r="V487" s="15" t="str">
        <f t="shared" si="126"/>
        <v>[x]</v>
      </c>
      <c r="W487" s="15" t="str">
        <f t="shared" si="127"/>
        <v>[x]</v>
      </c>
      <c r="X487" s="15">
        <f t="shared" si="128"/>
        <v>0.1</v>
      </c>
      <c r="Y487" s="15">
        <f t="shared" si="129"/>
        <v>1</v>
      </c>
      <c r="Z487" s="15">
        <f t="shared" si="130"/>
        <v>150</v>
      </c>
      <c r="AA487" s="15">
        <f t="shared" si="131"/>
        <v>1</v>
      </c>
    </row>
    <row r="488" spans="13:27" ht="16.5" x14ac:dyDescent="0.2">
      <c r="M488" s="15">
        <v>409</v>
      </c>
      <c r="N488" s="15">
        <f t="shared" si="120"/>
        <v>9</v>
      </c>
      <c r="O488" s="15">
        <f>INDEX(卡牌消耗!$H$13:$H$33,世界BOSS专属武器!N488)</f>
        <v>1501009</v>
      </c>
      <c r="P488" s="49" t="s">
        <v>408</v>
      </c>
      <c r="Q488" s="15">
        <f t="shared" si="121"/>
        <v>0</v>
      </c>
      <c r="R488" s="49" t="str">
        <f t="shared" si="122"/>
        <v>[x]</v>
      </c>
      <c r="S488" s="15" t="str">
        <f t="shared" si="123"/>
        <v>[x]</v>
      </c>
      <c r="T488" s="15" t="str">
        <f t="shared" si="124"/>
        <v>[x]</v>
      </c>
      <c r="U488" s="15" t="str">
        <f t="shared" si="125"/>
        <v>[x]</v>
      </c>
      <c r="V488" s="15" t="str">
        <f t="shared" si="126"/>
        <v>[x]</v>
      </c>
      <c r="W488" s="15" t="str">
        <f t="shared" si="127"/>
        <v>[x]</v>
      </c>
      <c r="X488" s="15" t="str">
        <f t="shared" si="128"/>
        <v>[x]</v>
      </c>
      <c r="Y488" s="15" t="str">
        <f t="shared" si="129"/>
        <v>[x]</v>
      </c>
      <c r="Z488" s="15" t="str">
        <f t="shared" si="130"/>
        <v>[x]</v>
      </c>
      <c r="AA488" s="15" t="str">
        <f t="shared" si="131"/>
        <v>[x]</v>
      </c>
    </row>
    <row r="489" spans="13:27" ht="16.5" x14ac:dyDescent="0.2">
      <c r="M489" s="15">
        <v>410</v>
      </c>
      <c r="N489" s="15">
        <f t="shared" si="120"/>
        <v>9</v>
      </c>
      <c r="O489" s="15">
        <f>INDEX(卡牌消耗!$H$13:$H$33,世界BOSS专属武器!N489)</f>
        <v>1501009</v>
      </c>
      <c r="P489" s="49" t="s">
        <v>408</v>
      </c>
      <c r="Q489" s="15">
        <f t="shared" si="121"/>
        <v>1</v>
      </c>
      <c r="R489" s="49" t="str">
        <f t="shared" si="122"/>
        <v>金币</v>
      </c>
      <c r="S489" s="15">
        <f t="shared" si="123"/>
        <v>100</v>
      </c>
      <c r="T489" s="15" t="str">
        <f t="shared" si="124"/>
        <v>低级专属强化石</v>
      </c>
      <c r="U489" s="15">
        <f t="shared" si="125"/>
        <v>1</v>
      </c>
      <c r="V489" s="15" t="str">
        <f t="shared" si="126"/>
        <v>[x]</v>
      </c>
      <c r="W489" s="15" t="str">
        <f t="shared" si="127"/>
        <v>[x]</v>
      </c>
      <c r="X489" s="15">
        <f t="shared" si="128"/>
        <v>1</v>
      </c>
      <c r="Y489" s="15">
        <f t="shared" si="129"/>
        <v>1</v>
      </c>
      <c r="Z489" s="15">
        <f t="shared" si="130"/>
        <v>1</v>
      </c>
      <c r="AA489" s="15">
        <f t="shared" si="131"/>
        <v>6.7000000000000002E-3</v>
      </c>
    </row>
    <row r="490" spans="13:27" ht="16.5" x14ac:dyDescent="0.2">
      <c r="M490" s="15">
        <v>411</v>
      </c>
      <c r="N490" s="15">
        <f t="shared" si="120"/>
        <v>9</v>
      </c>
      <c r="O490" s="15">
        <f>INDEX(卡牌消耗!$H$13:$H$33,世界BOSS专属武器!N490)</f>
        <v>1501009</v>
      </c>
      <c r="P490" s="49" t="s">
        <v>408</v>
      </c>
      <c r="Q490" s="15">
        <f t="shared" si="121"/>
        <v>2</v>
      </c>
      <c r="R490" s="49" t="str">
        <f t="shared" si="122"/>
        <v>金币</v>
      </c>
      <c r="S490" s="15">
        <f t="shared" si="123"/>
        <v>200</v>
      </c>
      <c r="T490" s="15" t="str">
        <f t="shared" si="124"/>
        <v>低级专属强化石</v>
      </c>
      <c r="U490" s="15">
        <f t="shared" si="125"/>
        <v>1</v>
      </c>
      <c r="V490" s="15" t="str">
        <f t="shared" si="126"/>
        <v>[x]</v>
      </c>
      <c r="W490" s="15" t="str">
        <f t="shared" si="127"/>
        <v>[x]</v>
      </c>
      <c r="X490" s="15">
        <f t="shared" si="128"/>
        <v>0.5</v>
      </c>
      <c r="Y490" s="15">
        <f t="shared" si="129"/>
        <v>1</v>
      </c>
      <c r="Z490" s="15">
        <f t="shared" si="130"/>
        <v>2</v>
      </c>
      <c r="AA490" s="15">
        <f t="shared" si="131"/>
        <v>1.3299999999999999E-2</v>
      </c>
    </row>
    <row r="491" spans="13:27" ht="16.5" x14ac:dyDescent="0.2">
      <c r="M491" s="15">
        <v>412</v>
      </c>
      <c r="N491" s="15">
        <f t="shared" si="120"/>
        <v>9</v>
      </c>
      <c r="O491" s="15">
        <f>INDEX(卡牌消耗!$H$13:$H$33,世界BOSS专属武器!N491)</f>
        <v>1501009</v>
      </c>
      <c r="P491" s="49" t="s">
        <v>408</v>
      </c>
      <c r="Q491" s="15">
        <f t="shared" si="121"/>
        <v>3</v>
      </c>
      <c r="R491" s="49" t="str">
        <f t="shared" si="122"/>
        <v>金币</v>
      </c>
      <c r="S491" s="15">
        <f t="shared" si="123"/>
        <v>300</v>
      </c>
      <c r="T491" s="15" t="str">
        <f t="shared" si="124"/>
        <v>低级专属强化石</v>
      </c>
      <c r="U491" s="15">
        <f t="shared" si="125"/>
        <v>2</v>
      </c>
      <c r="V491" s="15" t="str">
        <f t="shared" si="126"/>
        <v>[x]</v>
      </c>
      <c r="W491" s="15" t="str">
        <f t="shared" si="127"/>
        <v>[x]</v>
      </c>
      <c r="X491" s="15">
        <f t="shared" si="128"/>
        <v>0.48</v>
      </c>
      <c r="Y491" s="15">
        <f t="shared" si="129"/>
        <v>1</v>
      </c>
      <c r="Z491" s="15">
        <f t="shared" si="130"/>
        <v>3</v>
      </c>
      <c r="AA491" s="15">
        <f t="shared" si="131"/>
        <v>0.02</v>
      </c>
    </row>
    <row r="492" spans="13:27" ht="16.5" x14ac:dyDescent="0.2">
      <c r="M492" s="15">
        <v>413</v>
      </c>
      <c r="N492" s="15">
        <f t="shared" si="120"/>
        <v>9</v>
      </c>
      <c r="O492" s="15">
        <f>INDEX(卡牌消耗!$H$13:$H$33,世界BOSS专属武器!N492)</f>
        <v>1501009</v>
      </c>
      <c r="P492" s="49" t="s">
        <v>408</v>
      </c>
      <c r="Q492" s="15">
        <f t="shared" si="121"/>
        <v>4</v>
      </c>
      <c r="R492" s="49" t="str">
        <f t="shared" si="122"/>
        <v>金币</v>
      </c>
      <c r="S492" s="15">
        <f t="shared" si="123"/>
        <v>400</v>
      </c>
      <c r="T492" s="15" t="str">
        <f t="shared" si="124"/>
        <v>低级专属强化石</v>
      </c>
      <c r="U492" s="15">
        <f t="shared" si="125"/>
        <v>3</v>
      </c>
      <c r="V492" s="15" t="str">
        <f t="shared" si="126"/>
        <v>[x]</v>
      </c>
      <c r="W492" s="15" t="str">
        <f t="shared" si="127"/>
        <v>[x]</v>
      </c>
      <c r="X492" s="15">
        <f t="shared" si="128"/>
        <v>0.46</v>
      </c>
      <c r="Y492" s="15">
        <f t="shared" si="129"/>
        <v>1</v>
      </c>
      <c r="Z492" s="15">
        <f t="shared" si="130"/>
        <v>3</v>
      </c>
      <c r="AA492" s="15">
        <f t="shared" si="131"/>
        <v>2.6700000000000002E-2</v>
      </c>
    </row>
    <row r="493" spans="13:27" ht="16.5" x14ac:dyDescent="0.2">
      <c r="M493" s="15">
        <v>414</v>
      </c>
      <c r="N493" s="15">
        <f t="shared" si="120"/>
        <v>9</v>
      </c>
      <c r="O493" s="15">
        <f>INDEX(卡牌消耗!$H$13:$H$33,世界BOSS专属武器!N493)</f>
        <v>1501009</v>
      </c>
      <c r="P493" s="49" t="s">
        <v>408</v>
      </c>
      <c r="Q493" s="15">
        <f t="shared" si="121"/>
        <v>5</v>
      </c>
      <c r="R493" s="49" t="str">
        <f t="shared" si="122"/>
        <v>金币</v>
      </c>
      <c r="S493" s="15">
        <f t="shared" si="123"/>
        <v>500</v>
      </c>
      <c r="T493" s="15" t="str">
        <f t="shared" si="124"/>
        <v>低级专属强化石</v>
      </c>
      <c r="U493" s="15">
        <f t="shared" si="125"/>
        <v>4</v>
      </c>
      <c r="V493" s="15" t="str">
        <f t="shared" si="126"/>
        <v>[x]</v>
      </c>
      <c r="W493" s="15" t="str">
        <f t="shared" si="127"/>
        <v>[x]</v>
      </c>
      <c r="X493" s="15">
        <f t="shared" si="128"/>
        <v>0.44</v>
      </c>
      <c r="Y493" s="15">
        <f t="shared" si="129"/>
        <v>1</v>
      </c>
      <c r="Z493" s="15">
        <f t="shared" si="130"/>
        <v>3</v>
      </c>
      <c r="AA493" s="15">
        <f t="shared" si="131"/>
        <v>3.3300000000000003E-2</v>
      </c>
    </row>
    <row r="494" spans="13:27" ht="16.5" x14ac:dyDescent="0.2">
      <c r="M494" s="15">
        <v>415</v>
      </c>
      <c r="N494" s="15">
        <f t="shared" si="120"/>
        <v>9</v>
      </c>
      <c r="O494" s="15">
        <f>INDEX(卡牌消耗!$H$13:$H$33,世界BOSS专属武器!N494)</f>
        <v>1501009</v>
      </c>
      <c r="P494" s="49" t="s">
        <v>408</v>
      </c>
      <c r="Q494" s="15">
        <f t="shared" si="121"/>
        <v>6</v>
      </c>
      <c r="R494" s="49" t="str">
        <f t="shared" si="122"/>
        <v>金币</v>
      </c>
      <c r="S494" s="15">
        <f t="shared" si="123"/>
        <v>600</v>
      </c>
      <c r="T494" s="15" t="str">
        <f t="shared" si="124"/>
        <v>低级专属强化石</v>
      </c>
      <c r="U494" s="15">
        <f t="shared" si="125"/>
        <v>5</v>
      </c>
      <c r="V494" s="15" t="str">
        <f t="shared" si="126"/>
        <v>[x]</v>
      </c>
      <c r="W494" s="15" t="str">
        <f t="shared" si="127"/>
        <v>[x]</v>
      </c>
      <c r="X494" s="15">
        <f t="shared" si="128"/>
        <v>0.42</v>
      </c>
      <c r="Y494" s="15">
        <f t="shared" si="129"/>
        <v>1</v>
      </c>
      <c r="Z494" s="15">
        <f t="shared" si="130"/>
        <v>4</v>
      </c>
      <c r="AA494" s="15">
        <f t="shared" si="131"/>
        <v>0.04</v>
      </c>
    </row>
    <row r="495" spans="13:27" ht="16.5" x14ac:dyDescent="0.2">
      <c r="M495" s="15">
        <v>416</v>
      </c>
      <c r="N495" s="15">
        <f t="shared" si="120"/>
        <v>9</v>
      </c>
      <c r="O495" s="15">
        <f>INDEX(卡牌消耗!$H$13:$H$33,世界BOSS专属武器!N495)</f>
        <v>1501009</v>
      </c>
      <c r="P495" s="49" t="s">
        <v>408</v>
      </c>
      <c r="Q495" s="15">
        <f t="shared" si="121"/>
        <v>7</v>
      </c>
      <c r="R495" s="49" t="str">
        <f t="shared" si="122"/>
        <v>金币</v>
      </c>
      <c r="S495" s="15">
        <f t="shared" si="123"/>
        <v>700</v>
      </c>
      <c r="T495" s="15" t="str">
        <f t="shared" si="124"/>
        <v>低级专属强化石</v>
      </c>
      <c r="U495" s="15">
        <f t="shared" si="125"/>
        <v>5</v>
      </c>
      <c r="V495" s="15" t="str">
        <f t="shared" si="126"/>
        <v>[x]</v>
      </c>
      <c r="W495" s="15" t="str">
        <f t="shared" si="127"/>
        <v>[x]</v>
      </c>
      <c r="X495" s="15">
        <f t="shared" si="128"/>
        <v>0.4</v>
      </c>
      <c r="Y495" s="15">
        <f t="shared" si="129"/>
        <v>1</v>
      </c>
      <c r="Z495" s="15">
        <f t="shared" si="130"/>
        <v>4</v>
      </c>
      <c r="AA495" s="15">
        <f t="shared" si="131"/>
        <v>4.6699999999999998E-2</v>
      </c>
    </row>
    <row r="496" spans="13:27" ht="16.5" x14ac:dyDescent="0.2">
      <c r="M496" s="15">
        <v>417</v>
      </c>
      <c r="N496" s="15">
        <f t="shared" si="120"/>
        <v>9</v>
      </c>
      <c r="O496" s="15">
        <f>INDEX(卡牌消耗!$H$13:$H$33,世界BOSS专属武器!N496)</f>
        <v>1501009</v>
      </c>
      <c r="P496" s="49" t="s">
        <v>408</v>
      </c>
      <c r="Q496" s="15">
        <f t="shared" si="121"/>
        <v>8</v>
      </c>
      <c r="R496" s="49" t="str">
        <f t="shared" si="122"/>
        <v>金币</v>
      </c>
      <c r="S496" s="15">
        <f t="shared" si="123"/>
        <v>800</v>
      </c>
      <c r="T496" s="15" t="str">
        <f t="shared" si="124"/>
        <v>低级专属强化石</v>
      </c>
      <c r="U496" s="15">
        <f t="shared" si="125"/>
        <v>5</v>
      </c>
      <c r="V496" s="15" t="str">
        <f t="shared" si="126"/>
        <v>[x]</v>
      </c>
      <c r="W496" s="15" t="str">
        <f t="shared" si="127"/>
        <v>[x]</v>
      </c>
      <c r="X496" s="15">
        <f t="shared" si="128"/>
        <v>0.38</v>
      </c>
      <c r="Y496" s="15">
        <f t="shared" si="129"/>
        <v>1</v>
      </c>
      <c r="Z496" s="15">
        <f t="shared" si="130"/>
        <v>5</v>
      </c>
      <c r="AA496" s="15">
        <f t="shared" si="131"/>
        <v>5.33E-2</v>
      </c>
    </row>
    <row r="497" spans="13:27" ht="16.5" x14ac:dyDescent="0.2">
      <c r="M497" s="15">
        <v>418</v>
      </c>
      <c r="N497" s="15">
        <f t="shared" si="120"/>
        <v>9</v>
      </c>
      <c r="O497" s="15">
        <f>INDEX(卡牌消耗!$H$13:$H$33,世界BOSS专属武器!N497)</f>
        <v>1501009</v>
      </c>
      <c r="P497" s="49" t="s">
        <v>408</v>
      </c>
      <c r="Q497" s="15">
        <f t="shared" si="121"/>
        <v>9</v>
      </c>
      <c r="R497" s="49" t="str">
        <f t="shared" si="122"/>
        <v>金币</v>
      </c>
      <c r="S497" s="15">
        <f t="shared" si="123"/>
        <v>900</v>
      </c>
      <c r="T497" s="15" t="str">
        <f t="shared" si="124"/>
        <v>低级专属强化石</v>
      </c>
      <c r="U497" s="15">
        <f t="shared" si="125"/>
        <v>5</v>
      </c>
      <c r="V497" s="15" t="str">
        <f t="shared" si="126"/>
        <v>[x]</v>
      </c>
      <c r="W497" s="15" t="str">
        <f t="shared" si="127"/>
        <v>[x]</v>
      </c>
      <c r="X497" s="15">
        <f t="shared" si="128"/>
        <v>0.36</v>
      </c>
      <c r="Y497" s="15">
        <f t="shared" si="129"/>
        <v>1</v>
      </c>
      <c r="Z497" s="15">
        <f t="shared" si="130"/>
        <v>5</v>
      </c>
      <c r="AA497" s="15">
        <f t="shared" si="131"/>
        <v>0.06</v>
      </c>
    </row>
    <row r="498" spans="13:27" ht="16.5" x14ac:dyDescent="0.2">
      <c r="M498" s="15">
        <v>419</v>
      </c>
      <c r="N498" s="15">
        <f t="shared" si="120"/>
        <v>9</v>
      </c>
      <c r="O498" s="15">
        <f>INDEX(卡牌消耗!$H$13:$H$33,世界BOSS专属武器!N498)</f>
        <v>1501009</v>
      </c>
      <c r="P498" s="49" t="s">
        <v>408</v>
      </c>
      <c r="Q498" s="15">
        <f t="shared" si="121"/>
        <v>10</v>
      </c>
      <c r="R498" s="49" t="str">
        <f t="shared" si="122"/>
        <v>金币</v>
      </c>
      <c r="S498" s="15">
        <f t="shared" si="123"/>
        <v>1000</v>
      </c>
      <c r="T498" s="15" t="str">
        <f t="shared" si="124"/>
        <v>低级专属强化石</v>
      </c>
      <c r="U498" s="15">
        <f t="shared" si="125"/>
        <v>7</v>
      </c>
      <c r="V498" s="15" t="str">
        <f t="shared" si="126"/>
        <v>[x]</v>
      </c>
      <c r="W498" s="15" t="str">
        <f t="shared" si="127"/>
        <v>[x]</v>
      </c>
      <c r="X498" s="15">
        <f t="shared" si="128"/>
        <v>0.35</v>
      </c>
      <c r="Y498" s="15">
        <f t="shared" si="129"/>
        <v>1</v>
      </c>
      <c r="Z498" s="15">
        <f t="shared" si="130"/>
        <v>5</v>
      </c>
      <c r="AA498" s="15">
        <f t="shared" si="131"/>
        <v>6.6699999999999995E-2</v>
      </c>
    </row>
    <row r="499" spans="13:27" ht="16.5" x14ac:dyDescent="0.2">
      <c r="M499" s="15">
        <v>420</v>
      </c>
      <c r="N499" s="15">
        <f t="shared" si="120"/>
        <v>9</v>
      </c>
      <c r="O499" s="15">
        <f>INDEX(卡牌消耗!$H$13:$H$33,世界BOSS专属武器!N499)</f>
        <v>1501009</v>
      </c>
      <c r="P499" s="49" t="s">
        <v>408</v>
      </c>
      <c r="Q499" s="15">
        <f t="shared" si="121"/>
        <v>11</v>
      </c>
      <c r="R499" s="49" t="str">
        <f t="shared" si="122"/>
        <v>金币</v>
      </c>
      <c r="S499" s="15">
        <f t="shared" si="123"/>
        <v>1000</v>
      </c>
      <c r="T499" s="15" t="str">
        <f t="shared" si="124"/>
        <v>低级专属强化石</v>
      </c>
      <c r="U499" s="15">
        <f t="shared" si="125"/>
        <v>7</v>
      </c>
      <c r="V499" s="15" t="str">
        <f t="shared" si="126"/>
        <v>[x]</v>
      </c>
      <c r="W499" s="15" t="str">
        <f t="shared" si="127"/>
        <v>[x]</v>
      </c>
      <c r="X499" s="15">
        <f t="shared" si="128"/>
        <v>0.33</v>
      </c>
      <c r="Y499" s="15">
        <f t="shared" si="129"/>
        <v>1</v>
      </c>
      <c r="Z499" s="15">
        <f t="shared" si="130"/>
        <v>6</v>
      </c>
      <c r="AA499" s="15">
        <f t="shared" si="131"/>
        <v>0.08</v>
      </c>
    </row>
    <row r="500" spans="13:27" ht="16.5" x14ac:dyDescent="0.2">
      <c r="M500" s="15">
        <v>421</v>
      </c>
      <c r="N500" s="15">
        <f t="shared" si="120"/>
        <v>9</v>
      </c>
      <c r="O500" s="15">
        <f>INDEX(卡牌消耗!$H$13:$H$33,世界BOSS专属武器!N500)</f>
        <v>1501009</v>
      </c>
      <c r="P500" s="49" t="s">
        <v>408</v>
      </c>
      <c r="Q500" s="15">
        <f t="shared" si="121"/>
        <v>12</v>
      </c>
      <c r="R500" s="49" t="str">
        <f t="shared" si="122"/>
        <v>金币</v>
      </c>
      <c r="S500" s="15">
        <f t="shared" si="123"/>
        <v>1000</v>
      </c>
      <c r="T500" s="15" t="str">
        <f t="shared" si="124"/>
        <v>低级专属强化石</v>
      </c>
      <c r="U500" s="15">
        <f t="shared" si="125"/>
        <v>7</v>
      </c>
      <c r="V500" s="15" t="str">
        <f t="shared" si="126"/>
        <v>[x]</v>
      </c>
      <c r="W500" s="15" t="str">
        <f t="shared" si="127"/>
        <v>[x]</v>
      </c>
      <c r="X500" s="15">
        <f t="shared" si="128"/>
        <v>0.31</v>
      </c>
      <c r="Y500" s="15">
        <f t="shared" si="129"/>
        <v>1</v>
      </c>
      <c r="Z500" s="15">
        <f t="shared" si="130"/>
        <v>6</v>
      </c>
      <c r="AA500" s="15">
        <f t="shared" si="131"/>
        <v>9.3299999999999994E-2</v>
      </c>
    </row>
    <row r="501" spans="13:27" ht="16.5" x14ac:dyDescent="0.2">
      <c r="M501" s="15">
        <v>422</v>
      </c>
      <c r="N501" s="15">
        <f t="shared" si="120"/>
        <v>9</v>
      </c>
      <c r="O501" s="15">
        <f>INDEX(卡牌消耗!$H$13:$H$33,世界BOSS专属武器!N501)</f>
        <v>1501009</v>
      </c>
      <c r="P501" s="49" t="s">
        <v>408</v>
      </c>
      <c r="Q501" s="15">
        <f t="shared" si="121"/>
        <v>13</v>
      </c>
      <c r="R501" s="49" t="str">
        <f t="shared" si="122"/>
        <v>金币</v>
      </c>
      <c r="S501" s="15">
        <f t="shared" si="123"/>
        <v>1000</v>
      </c>
      <c r="T501" s="15" t="str">
        <f t="shared" si="124"/>
        <v>低级专属强化石</v>
      </c>
      <c r="U501" s="15">
        <f t="shared" si="125"/>
        <v>7</v>
      </c>
      <c r="V501" s="15" t="str">
        <f t="shared" si="126"/>
        <v>[x]</v>
      </c>
      <c r="W501" s="15" t="str">
        <f t="shared" si="127"/>
        <v>[x]</v>
      </c>
      <c r="X501" s="15">
        <f t="shared" si="128"/>
        <v>0.28999999999999998</v>
      </c>
      <c r="Y501" s="15">
        <f t="shared" si="129"/>
        <v>1</v>
      </c>
      <c r="Z501" s="15">
        <f t="shared" si="130"/>
        <v>7</v>
      </c>
      <c r="AA501" s="15">
        <f t="shared" si="131"/>
        <v>0.1067</v>
      </c>
    </row>
    <row r="502" spans="13:27" ht="16.5" x14ac:dyDescent="0.2">
      <c r="M502" s="15">
        <v>423</v>
      </c>
      <c r="N502" s="15">
        <f t="shared" si="120"/>
        <v>9</v>
      </c>
      <c r="O502" s="15">
        <f>INDEX(卡牌消耗!$H$13:$H$33,世界BOSS专属武器!N502)</f>
        <v>1501009</v>
      </c>
      <c r="P502" s="49" t="s">
        <v>408</v>
      </c>
      <c r="Q502" s="15">
        <f t="shared" si="121"/>
        <v>14</v>
      </c>
      <c r="R502" s="49" t="str">
        <f t="shared" si="122"/>
        <v>金币</v>
      </c>
      <c r="S502" s="15">
        <f t="shared" si="123"/>
        <v>1000</v>
      </c>
      <c r="T502" s="15" t="str">
        <f t="shared" si="124"/>
        <v>低级专属强化石</v>
      </c>
      <c r="U502" s="15">
        <f t="shared" si="125"/>
        <v>7</v>
      </c>
      <c r="V502" s="15" t="str">
        <f t="shared" si="126"/>
        <v>[x]</v>
      </c>
      <c r="W502" s="15" t="str">
        <f t="shared" si="127"/>
        <v>[x]</v>
      </c>
      <c r="X502" s="15">
        <f t="shared" si="128"/>
        <v>0.27</v>
      </c>
      <c r="Y502" s="15">
        <f t="shared" si="129"/>
        <v>1</v>
      </c>
      <c r="Z502" s="15">
        <f t="shared" si="130"/>
        <v>7</v>
      </c>
      <c r="AA502" s="15">
        <f t="shared" si="131"/>
        <v>0.12</v>
      </c>
    </row>
    <row r="503" spans="13:27" ht="16.5" x14ac:dyDescent="0.2">
      <c r="M503" s="15">
        <v>424</v>
      </c>
      <c r="N503" s="15">
        <f t="shared" si="120"/>
        <v>9</v>
      </c>
      <c r="O503" s="15">
        <f>INDEX(卡牌消耗!$H$13:$H$33,世界BOSS专属武器!N503)</f>
        <v>1501009</v>
      </c>
      <c r="P503" s="49" t="s">
        <v>408</v>
      </c>
      <c r="Q503" s="15">
        <f t="shared" si="121"/>
        <v>15</v>
      </c>
      <c r="R503" s="49" t="str">
        <f t="shared" si="122"/>
        <v>金币</v>
      </c>
      <c r="S503" s="15">
        <f t="shared" si="123"/>
        <v>1000</v>
      </c>
      <c r="T503" s="15" t="str">
        <f t="shared" si="124"/>
        <v>低级专属强化石</v>
      </c>
      <c r="U503" s="15">
        <f t="shared" si="125"/>
        <v>10</v>
      </c>
      <c r="V503" s="15" t="str">
        <f t="shared" si="126"/>
        <v>[x]</v>
      </c>
      <c r="W503" s="15" t="str">
        <f t="shared" si="127"/>
        <v>[x]</v>
      </c>
      <c r="X503" s="15">
        <f t="shared" si="128"/>
        <v>0.25</v>
      </c>
      <c r="Y503" s="15">
        <f t="shared" si="129"/>
        <v>1</v>
      </c>
      <c r="Z503" s="15">
        <f t="shared" si="130"/>
        <v>8</v>
      </c>
      <c r="AA503" s="15">
        <f t="shared" si="131"/>
        <v>0.1333</v>
      </c>
    </row>
    <row r="504" spans="13:27" ht="16.5" x14ac:dyDescent="0.2">
      <c r="M504" s="15">
        <v>425</v>
      </c>
      <c r="N504" s="15">
        <f t="shared" si="120"/>
        <v>9</v>
      </c>
      <c r="O504" s="15">
        <f>INDEX(卡牌消耗!$H$13:$H$33,世界BOSS专属武器!N504)</f>
        <v>1501009</v>
      </c>
      <c r="P504" s="49" t="s">
        <v>408</v>
      </c>
      <c r="Q504" s="15">
        <f t="shared" si="121"/>
        <v>16</v>
      </c>
      <c r="R504" s="49" t="str">
        <f t="shared" si="122"/>
        <v>金币</v>
      </c>
      <c r="S504" s="15">
        <f t="shared" si="123"/>
        <v>1000</v>
      </c>
      <c r="T504" s="15" t="str">
        <f t="shared" si="124"/>
        <v>低级专属强化石</v>
      </c>
      <c r="U504" s="15">
        <f t="shared" si="125"/>
        <v>10</v>
      </c>
      <c r="V504" s="15" t="str">
        <f t="shared" si="126"/>
        <v>[x]</v>
      </c>
      <c r="W504" s="15" t="str">
        <f t="shared" si="127"/>
        <v>[x]</v>
      </c>
      <c r="X504" s="15">
        <f t="shared" si="128"/>
        <v>0.23</v>
      </c>
      <c r="Y504" s="15">
        <f t="shared" si="129"/>
        <v>1</v>
      </c>
      <c r="Z504" s="15">
        <f t="shared" si="130"/>
        <v>9</v>
      </c>
      <c r="AA504" s="15">
        <f t="shared" si="131"/>
        <v>0.1467</v>
      </c>
    </row>
    <row r="505" spans="13:27" ht="16.5" x14ac:dyDescent="0.2">
      <c r="M505" s="15">
        <v>426</v>
      </c>
      <c r="N505" s="15">
        <f t="shared" si="120"/>
        <v>9</v>
      </c>
      <c r="O505" s="15">
        <f>INDEX(卡牌消耗!$H$13:$H$33,世界BOSS专属武器!N505)</f>
        <v>1501009</v>
      </c>
      <c r="P505" s="49" t="s">
        <v>408</v>
      </c>
      <c r="Q505" s="15">
        <f t="shared" si="121"/>
        <v>17</v>
      </c>
      <c r="R505" s="49" t="str">
        <f t="shared" si="122"/>
        <v>金币</v>
      </c>
      <c r="S505" s="15">
        <f t="shared" si="123"/>
        <v>1000</v>
      </c>
      <c r="T505" s="15" t="str">
        <f t="shared" si="124"/>
        <v>低级专属强化石</v>
      </c>
      <c r="U505" s="15">
        <f t="shared" si="125"/>
        <v>10</v>
      </c>
      <c r="V505" s="15" t="str">
        <f t="shared" si="126"/>
        <v>[x]</v>
      </c>
      <c r="W505" s="15" t="str">
        <f t="shared" si="127"/>
        <v>[x]</v>
      </c>
      <c r="X505" s="15">
        <f t="shared" si="128"/>
        <v>0.21</v>
      </c>
      <c r="Y505" s="15">
        <f t="shared" si="129"/>
        <v>1</v>
      </c>
      <c r="Z505" s="15">
        <f t="shared" si="130"/>
        <v>10</v>
      </c>
      <c r="AA505" s="15">
        <f t="shared" si="131"/>
        <v>0.16</v>
      </c>
    </row>
    <row r="506" spans="13:27" ht="16.5" x14ac:dyDescent="0.2">
      <c r="M506" s="15">
        <v>427</v>
      </c>
      <c r="N506" s="15">
        <f t="shared" si="120"/>
        <v>9</v>
      </c>
      <c r="O506" s="15">
        <f>INDEX(卡牌消耗!$H$13:$H$33,世界BOSS专属武器!N506)</f>
        <v>1501009</v>
      </c>
      <c r="P506" s="49" t="s">
        <v>408</v>
      </c>
      <c r="Q506" s="15">
        <f t="shared" si="121"/>
        <v>18</v>
      </c>
      <c r="R506" s="49" t="str">
        <f t="shared" si="122"/>
        <v>金币</v>
      </c>
      <c r="S506" s="15">
        <f t="shared" si="123"/>
        <v>1000</v>
      </c>
      <c r="T506" s="15" t="str">
        <f t="shared" si="124"/>
        <v>低级专属强化石</v>
      </c>
      <c r="U506" s="15">
        <f t="shared" si="125"/>
        <v>10</v>
      </c>
      <c r="V506" s="15" t="str">
        <f t="shared" si="126"/>
        <v>[x]</v>
      </c>
      <c r="W506" s="15" t="str">
        <f t="shared" si="127"/>
        <v>[x]</v>
      </c>
      <c r="X506" s="15">
        <f t="shared" si="128"/>
        <v>0.19</v>
      </c>
      <c r="Y506" s="15">
        <f t="shared" si="129"/>
        <v>1</v>
      </c>
      <c r="Z506" s="15">
        <f t="shared" si="130"/>
        <v>11</v>
      </c>
      <c r="AA506" s="15">
        <f t="shared" si="131"/>
        <v>0.17330000000000001</v>
      </c>
    </row>
    <row r="507" spans="13:27" ht="16.5" x14ac:dyDescent="0.2">
      <c r="M507" s="15">
        <v>428</v>
      </c>
      <c r="N507" s="15">
        <f t="shared" si="120"/>
        <v>9</v>
      </c>
      <c r="O507" s="15">
        <f>INDEX(卡牌消耗!$H$13:$H$33,世界BOSS专属武器!N507)</f>
        <v>1501009</v>
      </c>
      <c r="P507" s="49" t="s">
        <v>408</v>
      </c>
      <c r="Q507" s="15">
        <f t="shared" si="121"/>
        <v>19</v>
      </c>
      <c r="R507" s="49" t="str">
        <f t="shared" si="122"/>
        <v>金币</v>
      </c>
      <c r="S507" s="15">
        <f t="shared" si="123"/>
        <v>1000</v>
      </c>
      <c r="T507" s="15" t="str">
        <f t="shared" si="124"/>
        <v>低级专属强化石</v>
      </c>
      <c r="U507" s="15">
        <f t="shared" si="125"/>
        <v>10</v>
      </c>
      <c r="V507" s="15" t="str">
        <f t="shared" si="126"/>
        <v>[x]</v>
      </c>
      <c r="W507" s="15" t="str">
        <f t="shared" si="127"/>
        <v>[x]</v>
      </c>
      <c r="X507" s="15">
        <f t="shared" si="128"/>
        <v>0.17</v>
      </c>
      <c r="Y507" s="15">
        <f t="shared" si="129"/>
        <v>1</v>
      </c>
      <c r="Z507" s="15">
        <f t="shared" si="130"/>
        <v>12</v>
      </c>
      <c r="AA507" s="15">
        <f t="shared" si="131"/>
        <v>0.1867</v>
      </c>
    </row>
    <row r="508" spans="13:27" ht="16.5" x14ac:dyDescent="0.2">
      <c r="M508" s="15">
        <v>429</v>
      </c>
      <c r="N508" s="15">
        <f t="shared" si="120"/>
        <v>9</v>
      </c>
      <c r="O508" s="15">
        <f>INDEX(卡牌消耗!$H$13:$H$33,世界BOSS专属武器!N508)</f>
        <v>1501009</v>
      </c>
      <c r="P508" s="49" t="s">
        <v>408</v>
      </c>
      <c r="Q508" s="15">
        <f t="shared" si="121"/>
        <v>20</v>
      </c>
      <c r="R508" s="49" t="str">
        <f t="shared" si="122"/>
        <v>金币</v>
      </c>
      <c r="S508" s="15">
        <f t="shared" si="123"/>
        <v>5000</v>
      </c>
      <c r="T508" s="15" t="str">
        <f t="shared" si="124"/>
        <v>低级专属强化石</v>
      </c>
      <c r="U508" s="15">
        <f t="shared" si="125"/>
        <v>15</v>
      </c>
      <c r="V508" s="15" t="str">
        <f t="shared" si="126"/>
        <v>中级专属强化石</v>
      </c>
      <c r="W508" s="15">
        <f t="shared" si="127"/>
        <v>7</v>
      </c>
      <c r="X508" s="15">
        <f t="shared" si="128"/>
        <v>0.15</v>
      </c>
      <c r="Y508" s="15">
        <f t="shared" si="129"/>
        <v>1</v>
      </c>
      <c r="Z508" s="15">
        <f t="shared" si="130"/>
        <v>15</v>
      </c>
      <c r="AA508" s="15">
        <f t="shared" si="131"/>
        <v>0.2</v>
      </c>
    </row>
    <row r="509" spans="13:27" ht="16.5" x14ac:dyDescent="0.2">
      <c r="M509" s="15">
        <v>430</v>
      </c>
      <c r="N509" s="15">
        <f t="shared" si="120"/>
        <v>9</v>
      </c>
      <c r="O509" s="15">
        <f>INDEX(卡牌消耗!$H$13:$H$33,世界BOSS专属武器!N509)</f>
        <v>1501009</v>
      </c>
      <c r="P509" s="49" t="s">
        <v>408</v>
      </c>
      <c r="Q509" s="15">
        <f t="shared" si="121"/>
        <v>21</v>
      </c>
      <c r="R509" s="49" t="str">
        <f t="shared" si="122"/>
        <v>金币</v>
      </c>
      <c r="S509" s="15">
        <f t="shared" si="123"/>
        <v>5000</v>
      </c>
      <c r="T509" s="15" t="str">
        <f t="shared" si="124"/>
        <v>低级专属强化石</v>
      </c>
      <c r="U509" s="15">
        <f t="shared" si="125"/>
        <v>15</v>
      </c>
      <c r="V509" s="15" t="str">
        <f t="shared" si="126"/>
        <v>中级专属强化石</v>
      </c>
      <c r="W509" s="15">
        <f t="shared" si="127"/>
        <v>7</v>
      </c>
      <c r="X509" s="15">
        <f t="shared" si="128"/>
        <v>0.15</v>
      </c>
      <c r="Y509" s="15">
        <f t="shared" si="129"/>
        <v>1</v>
      </c>
      <c r="Z509" s="15">
        <f t="shared" si="130"/>
        <v>15</v>
      </c>
      <c r="AA509" s="15">
        <f t="shared" si="131"/>
        <v>0.22</v>
      </c>
    </row>
    <row r="510" spans="13:27" ht="16.5" x14ac:dyDescent="0.2">
      <c r="M510" s="15">
        <v>431</v>
      </c>
      <c r="N510" s="15">
        <f t="shared" si="120"/>
        <v>9</v>
      </c>
      <c r="O510" s="15">
        <f>INDEX(卡牌消耗!$H$13:$H$33,世界BOSS专属武器!N510)</f>
        <v>1501009</v>
      </c>
      <c r="P510" s="49" t="s">
        <v>408</v>
      </c>
      <c r="Q510" s="15">
        <f t="shared" si="121"/>
        <v>22</v>
      </c>
      <c r="R510" s="49" t="str">
        <f t="shared" si="122"/>
        <v>金币</v>
      </c>
      <c r="S510" s="15">
        <f t="shared" si="123"/>
        <v>5000</v>
      </c>
      <c r="T510" s="15" t="str">
        <f t="shared" si="124"/>
        <v>低级专属强化石</v>
      </c>
      <c r="U510" s="15">
        <f t="shared" si="125"/>
        <v>15</v>
      </c>
      <c r="V510" s="15" t="str">
        <f t="shared" si="126"/>
        <v>中级专属强化石</v>
      </c>
      <c r="W510" s="15">
        <f t="shared" si="127"/>
        <v>7</v>
      </c>
      <c r="X510" s="15">
        <f t="shared" si="128"/>
        <v>0.15</v>
      </c>
      <c r="Y510" s="15">
        <f t="shared" si="129"/>
        <v>1</v>
      </c>
      <c r="Z510" s="15">
        <f t="shared" si="130"/>
        <v>15</v>
      </c>
      <c r="AA510" s="15">
        <f t="shared" si="131"/>
        <v>0.24</v>
      </c>
    </row>
    <row r="511" spans="13:27" ht="16.5" x14ac:dyDescent="0.2">
      <c r="M511" s="15">
        <v>432</v>
      </c>
      <c r="N511" s="15">
        <f t="shared" si="120"/>
        <v>9</v>
      </c>
      <c r="O511" s="15">
        <f>INDEX(卡牌消耗!$H$13:$H$33,世界BOSS专属武器!N511)</f>
        <v>1501009</v>
      </c>
      <c r="P511" s="49" t="s">
        <v>408</v>
      </c>
      <c r="Q511" s="15">
        <f t="shared" si="121"/>
        <v>23</v>
      </c>
      <c r="R511" s="49" t="str">
        <f t="shared" si="122"/>
        <v>金币</v>
      </c>
      <c r="S511" s="15">
        <f t="shared" si="123"/>
        <v>5000</v>
      </c>
      <c r="T511" s="15" t="str">
        <f t="shared" si="124"/>
        <v>低级专属强化石</v>
      </c>
      <c r="U511" s="15">
        <f t="shared" si="125"/>
        <v>15</v>
      </c>
      <c r="V511" s="15" t="str">
        <f t="shared" si="126"/>
        <v>中级专属强化石</v>
      </c>
      <c r="W511" s="15">
        <f t="shared" si="127"/>
        <v>7</v>
      </c>
      <c r="X511" s="15">
        <f t="shared" si="128"/>
        <v>0.15</v>
      </c>
      <c r="Y511" s="15">
        <f t="shared" si="129"/>
        <v>1</v>
      </c>
      <c r="Z511" s="15">
        <f t="shared" si="130"/>
        <v>18</v>
      </c>
      <c r="AA511" s="15">
        <f t="shared" si="131"/>
        <v>0.26</v>
      </c>
    </row>
    <row r="512" spans="13:27" ht="16.5" x14ac:dyDescent="0.2">
      <c r="M512" s="15">
        <v>433</v>
      </c>
      <c r="N512" s="15">
        <f t="shared" si="120"/>
        <v>9</v>
      </c>
      <c r="O512" s="15">
        <f>INDEX(卡牌消耗!$H$13:$H$33,世界BOSS专属武器!N512)</f>
        <v>1501009</v>
      </c>
      <c r="P512" s="49" t="s">
        <v>408</v>
      </c>
      <c r="Q512" s="15">
        <f t="shared" si="121"/>
        <v>24</v>
      </c>
      <c r="R512" s="49" t="str">
        <f t="shared" si="122"/>
        <v>金币</v>
      </c>
      <c r="S512" s="15">
        <f t="shared" si="123"/>
        <v>5000</v>
      </c>
      <c r="T512" s="15" t="str">
        <f t="shared" si="124"/>
        <v>低级专属强化石</v>
      </c>
      <c r="U512" s="15">
        <f t="shared" si="125"/>
        <v>15</v>
      </c>
      <c r="V512" s="15" t="str">
        <f t="shared" si="126"/>
        <v>中级专属强化石</v>
      </c>
      <c r="W512" s="15">
        <f t="shared" si="127"/>
        <v>7</v>
      </c>
      <c r="X512" s="15">
        <f t="shared" si="128"/>
        <v>0.15</v>
      </c>
      <c r="Y512" s="15">
        <f t="shared" si="129"/>
        <v>1</v>
      </c>
      <c r="Z512" s="15">
        <f t="shared" si="130"/>
        <v>18</v>
      </c>
      <c r="AA512" s="15">
        <f t="shared" si="131"/>
        <v>0.28000000000000003</v>
      </c>
    </row>
    <row r="513" spans="13:27" ht="16.5" x14ac:dyDescent="0.2">
      <c r="M513" s="15">
        <v>434</v>
      </c>
      <c r="N513" s="15">
        <f t="shared" si="120"/>
        <v>9</v>
      </c>
      <c r="O513" s="15">
        <f>INDEX(卡牌消耗!$H$13:$H$33,世界BOSS专属武器!N513)</f>
        <v>1501009</v>
      </c>
      <c r="P513" s="49" t="s">
        <v>408</v>
      </c>
      <c r="Q513" s="15">
        <f t="shared" si="121"/>
        <v>25</v>
      </c>
      <c r="R513" s="49" t="str">
        <f t="shared" si="122"/>
        <v>金币</v>
      </c>
      <c r="S513" s="15">
        <f t="shared" si="123"/>
        <v>5000</v>
      </c>
      <c r="T513" s="15" t="str">
        <f t="shared" si="124"/>
        <v>低级专属强化石</v>
      </c>
      <c r="U513" s="15">
        <f t="shared" si="125"/>
        <v>15</v>
      </c>
      <c r="V513" s="15" t="str">
        <f t="shared" si="126"/>
        <v>中级专属强化石</v>
      </c>
      <c r="W513" s="15">
        <f t="shared" si="127"/>
        <v>7</v>
      </c>
      <c r="X513" s="15">
        <f t="shared" si="128"/>
        <v>0.15</v>
      </c>
      <c r="Y513" s="15">
        <f t="shared" si="129"/>
        <v>1</v>
      </c>
      <c r="Z513" s="15">
        <f t="shared" si="130"/>
        <v>18</v>
      </c>
      <c r="AA513" s="15">
        <f t="shared" si="131"/>
        <v>0.3</v>
      </c>
    </row>
    <row r="514" spans="13:27" ht="16.5" x14ac:dyDescent="0.2">
      <c r="M514" s="15">
        <v>435</v>
      </c>
      <c r="N514" s="15">
        <f t="shared" si="120"/>
        <v>9</v>
      </c>
      <c r="O514" s="15">
        <f>INDEX(卡牌消耗!$H$13:$H$33,世界BOSS专属武器!N514)</f>
        <v>1501009</v>
      </c>
      <c r="P514" s="49" t="s">
        <v>408</v>
      </c>
      <c r="Q514" s="15">
        <f t="shared" si="121"/>
        <v>26</v>
      </c>
      <c r="R514" s="49" t="str">
        <f t="shared" si="122"/>
        <v>金币</v>
      </c>
      <c r="S514" s="15">
        <f t="shared" si="123"/>
        <v>5000</v>
      </c>
      <c r="T514" s="15" t="str">
        <f t="shared" si="124"/>
        <v>低级专属强化石</v>
      </c>
      <c r="U514" s="15">
        <f t="shared" si="125"/>
        <v>15</v>
      </c>
      <c r="V514" s="15" t="str">
        <f t="shared" si="126"/>
        <v>中级专属强化石</v>
      </c>
      <c r="W514" s="15">
        <f t="shared" si="127"/>
        <v>7</v>
      </c>
      <c r="X514" s="15">
        <f t="shared" si="128"/>
        <v>0.15</v>
      </c>
      <c r="Y514" s="15">
        <f t="shared" si="129"/>
        <v>1</v>
      </c>
      <c r="Z514" s="15">
        <f t="shared" si="130"/>
        <v>21</v>
      </c>
      <c r="AA514" s="15">
        <f t="shared" si="131"/>
        <v>0.32</v>
      </c>
    </row>
    <row r="515" spans="13:27" ht="16.5" x14ac:dyDescent="0.2">
      <c r="M515" s="15">
        <v>436</v>
      </c>
      <c r="N515" s="15">
        <f t="shared" si="120"/>
        <v>9</v>
      </c>
      <c r="O515" s="15">
        <f>INDEX(卡牌消耗!$H$13:$H$33,世界BOSS专属武器!N515)</f>
        <v>1501009</v>
      </c>
      <c r="P515" s="49" t="s">
        <v>408</v>
      </c>
      <c r="Q515" s="15">
        <f t="shared" si="121"/>
        <v>27</v>
      </c>
      <c r="R515" s="49" t="str">
        <f t="shared" si="122"/>
        <v>金币</v>
      </c>
      <c r="S515" s="15">
        <f t="shared" si="123"/>
        <v>5000</v>
      </c>
      <c r="T515" s="15" t="str">
        <f t="shared" si="124"/>
        <v>低级专属强化石</v>
      </c>
      <c r="U515" s="15">
        <f t="shared" si="125"/>
        <v>15</v>
      </c>
      <c r="V515" s="15" t="str">
        <f t="shared" si="126"/>
        <v>中级专属强化石</v>
      </c>
      <c r="W515" s="15">
        <f t="shared" si="127"/>
        <v>7</v>
      </c>
      <c r="X515" s="15">
        <f t="shared" si="128"/>
        <v>0.15</v>
      </c>
      <c r="Y515" s="15">
        <f t="shared" si="129"/>
        <v>1</v>
      </c>
      <c r="Z515" s="15">
        <f t="shared" si="130"/>
        <v>22</v>
      </c>
      <c r="AA515" s="15">
        <f t="shared" si="131"/>
        <v>0.34</v>
      </c>
    </row>
    <row r="516" spans="13:27" ht="16.5" x14ac:dyDescent="0.2">
      <c r="M516" s="15">
        <v>437</v>
      </c>
      <c r="N516" s="15">
        <f t="shared" si="120"/>
        <v>9</v>
      </c>
      <c r="O516" s="15">
        <f>INDEX(卡牌消耗!$H$13:$H$33,世界BOSS专属武器!N516)</f>
        <v>1501009</v>
      </c>
      <c r="P516" s="49" t="s">
        <v>408</v>
      </c>
      <c r="Q516" s="15">
        <f t="shared" si="121"/>
        <v>28</v>
      </c>
      <c r="R516" s="49" t="str">
        <f t="shared" si="122"/>
        <v>金币</v>
      </c>
      <c r="S516" s="15">
        <f t="shared" si="123"/>
        <v>5000</v>
      </c>
      <c r="T516" s="15" t="str">
        <f t="shared" si="124"/>
        <v>低级专属强化石</v>
      </c>
      <c r="U516" s="15">
        <f t="shared" si="125"/>
        <v>15</v>
      </c>
      <c r="V516" s="15" t="str">
        <f t="shared" si="126"/>
        <v>中级专属强化石</v>
      </c>
      <c r="W516" s="15">
        <f t="shared" si="127"/>
        <v>7</v>
      </c>
      <c r="X516" s="15">
        <f t="shared" si="128"/>
        <v>0.15</v>
      </c>
      <c r="Y516" s="15">
        <f t="shared" si="129"/>
        <v>1</v>
      </c>
      <c r="Z516" s="15">
        <f t="shared" si="130"/>
        <v>23</v>
      </c>
      <c r="AA516" s="15">
        <f t="shared" si="131"/>
        <v>0.36</v>
      </c>
    </row>
    <row r="517" spans="13:27" ht="16.5" x14ac:dyDescent="0.2">
      <c r="M517" s="15">
        <v>438</v>
      </c>
      <c r="N517" s="15">
        <f t="shared" si="120"/>
        <v>9</v>
      </c>
      <c r="O517" s="15">
        <f>INDEX(卡牌消耗!$H$13:$H$33,世界BOSS专属武器!N517)</f>
        <v>1501009</v>
      </c>
      <c r="P517" s="49" t="s">
        <v>408</v>
      </c>
      <c r="Q517" s="15">
        <f t="shared" si="121"/>
        <v>29</v>
      </c>
      <c r="R517" s="49" t="str">
        <f t="shared" si="122"/>
        <v>金币</v>
      </c>
      <c r="S517" s="15">
        <f t="shared" si="123"/>
        <v>5000</v>
      </c>
      <c r="T517" s="15" t="str">
        <f t="shared" si="124"/>
        <v>低级专属强化石</v>
      </c>
      <c r="U517" s="15">
        <f t="shared" si="125"/>
        <v>15</v>
      </c>
      <c r="V517" s="15" t="str">
        <f t="shared" si="126"/>
        <v>中级专属强化石</v>
      </c>
      <c r="W517" s="15">
        <f t="shared" si="127"/>
        <v>7</v>
      </c>
      <c r="X517" s="15">
        <f t="shared" si="128"/>
        <v>0.15</v>
      </c>
      <c r="Y517" s="15">
        <f t="shared" si="129"/>
        <v>1</v>
      </c>
      <c r="Z517" s="15">
        <f t="shared" si="130"/>
        <v>25</v>
      </c>
      <c r="AA517" s="15">
        <f t="shared" si="131"/>
        <v>0.38</v>
      </c>
    </row>
    <row r="518" spans="13:27" ht="16.5" x14ac:dyDescent="0.2">
      <c r="M518" s="15">
        <v>439</v>
      </c>
      <c r="N518" s="15">
        <f t="shared" si="120"/>
        <v>9</v>
      </c>
      <c r="O518" s="15">
        <f>INDEX(卡牌消耗!$H$13:$H$33,世界BOSS专属武器!N518)</f>
        <v>1501009</v>
      </c>
      <c r="P518" s="49" t="s">
        <v>408</v>
      </c>
      <c r="Q518" s="15">
        <f t="shared" si="121"/>
        <v>30</v>
      </c>
      <c r="R518" s="49" t="str">
        <f t="shared" si="122"/>
        <v>金币</v>
      </c>
      <c r="S518" s="15">
        <f t="shared" si="123"/>
        <v>10000</v>
      </c>
      <c r="T518" s="15" t="str">
        <f t="shared" si="124"/>
        <v>中级专属强化石</v>
      </c>
      <c r="U518" s="15">
        <f t="shared" si="125"/>
        <v>8</v>
      </c>
      <c r="V518" s="15" t="str">
        <f t="shared" si="126"/>
        <v>高级专属强化石</v>
      </c>
      <c r="W518" s="15">
        <f t="shared" si="127"/>
        <v>3</v>
      </c>
      <c r="X518" s="15">
        <f t="shared" si="128"/>
        <v>0.1</v>
      </c>
      <c r="Y518" s="15">
        <f t="shared" si="129"/>
        <v>1</v>
      </c>
      <c r="Z518" s="15">
        <f t="shared" si="130"/>
        <v>30</v>
      </c>
      <c r="AA518" s="15">
        <f t="shared" si="131"/>
        <v>0.4</v>
      </c>
    </row>
    <row r="519" spans="13:27" ht="16.5" x14ac:dyDescent="0.2">
      <c r="M519" s="15">
        <v>440</v>
      </c>
      <c r="N519" s="15">
        <f t="shared" si="120"/>
        <v>9</v>
      </c>
      <c r="O519" s="15">
        <f>INDEX(卡牌消耗!$H$13:$H$33,世界BOSS专属武器!N519)</f>
        <v>1501009</v>
      </c>
      <c r="P519" s="49" t="s">
        <v>408</v>
      </c>
      <c r="Q519" s="15">
        <f t="shared" si="121"/>
        <v>31</v>
      </c>
      <c r="R519" s="49" t="str">
        <f t="shared" si="122"/>
        <v>金币</v>
      </c>
      <c r="S519" s="15">
        <f t="shared" si="123"/>
        <v>10000</v>
      </c>
      <c r="T519" s="15" t="str">
        <f t="shared" si="124"/>
        <v>中级专属强化石</v>
      </c>
      <c r="U519" s="15">
        <f t="shared" si="125"/>
        <v>8</v>
      </c>
      <c r="V519" s="15" t="str">
        <f t="shared" si="126"/>
        <v>高级专属强化石</v>
      </c>
      <c r="W519" s="15">
        <f t="shared" si="127"/>
        <v>3</v>
      </c>
      <c r="X519" s="15">
        <f t="shared" si="128"/>
        <v>0.1</v>
      </c>
      <c r="Y519" s="15">
        <f t="shared" si="129"/>
        <v>1</v>
      </c>
      <c r="Z519" s="15">
        <f t="shared" si="130"/>
        <v>30</v>
      </c>
      <c r="AA519" s="15">
        <f t="shared" si="131"/>
        <v>0.42670000000000002</v>
      </c>
    </row>
    <row r="520" spans="13:27" ht="16.5" x14ac:dyDescent="0.2">
      <c r="M520" s="15">
        <v>441</v>
      </c>
      <c r="N520" s="15">
        <f t="shared" si="120"/>
        <v>9</v>
      </c>
      <c r="O520" s="15">
        <f>INDEX(卡牌消耗!$H$13:$H$33,世界BOSS专属武器!N520)</f>
        <v>1501009</v>
      </c>
      <c r="P520" s="49" t="s">
        <v>408</v>
      </c>
      <c r="Q520" s="15">
        <f t="shared" si="121"/>
        <v>32</v>
      </c>
      <c r="R520" s="49" t="str">
        <f t="shared" si="122"/>
        <v>金币</v>
      </c>
      <c r="S520" s="15">
        <f t="shared" si="123"/>
        <v>10000</v>
      </c>
      <c r="T520" s="15" t="str">
        <f t="shared" si="124"/>
        <v>中级专属强化石</v>
      </c>
      <c r="U520" s="15">
        <f t="shared" si="125"/>
        <v>8</v>
      </c>
      <c r="V520" s="15" t="str">
        <f t="shared" si="126"/>
        <v>高级专属强化石</v>
      </c>
      <c r="W520" s="15">
        <f t="shared" si="127"/>
        <v>3</v>
      </c>
      <c r="X520" s="15">
        <f t="shared" si="128"/>
        <v>0.1</v>
      </c>
      <c r="Y520" s="15">
        <f t="shared" si="129"/>
        <v>1</v>
      </c>
      <c r="Z520" s="15">
        <f t="shared" si="130"/>
        <v>30</v>
      </c>
      <c r="AA520" s="15">
        <f t="shared" si="131"/>
        <v>0.45329999999999998</v>
      </c>
    </row>
    <row r="521" spans="13:27" ht="16.5" x14ac:dyDescent="0.2">
      <c r="M521" s="15">
        <v>442</v>
      </c>
      <c r="N521" s="15">
        <f t="shared" si="120"/>
        <v>9</v>
      </c>
      <c r="O521" s="15">
        <f>INDEX(卡牌消耗!$H$13:$H$33,世界BOSS专属武器!N521)</f>
        <v>1501009</v>
      </c>
      <c r="P521" s="49" t="s">
        <v>408</v>
      </c>
      <c r="Q521" s="15">
        <f t="shared" si="121"/>
        <v>33</v>
      </c>
      <c r="R521" s="49" t="str">
        <f t="shared" si="122"/>
        <v>金币</v>
      </c>
      <c r="S521" s="15">
        <f t="shared" si="123"/>
        <v>10000</v>
      </c>
      <c r="T521" s="15" t="str">
        <f t="shared" si="124"/>
        <v>中级专属强化石</v>
      </c>
      <c r="U521" s="15">
        <f t="shared" si="125"/>
        <v>8</v>
      </c>
      <c r="V521" s="15" t="str">
        <f t="shared" si="126"/>
        <v>高级专属强化石</v>
      </c>
      <c r="W521" s="15">
        <f t="shared" si="127"/>
        <v>3</v>
      </c>
      <c r="X521" s="15">
        <f t="shared" si="128"/>
        <v>0.1</v>
      </c>
      <c r="Y521" s="15">
        <f t="shared" si="129"/>
        <v>1</v>
      </c>
      <c r="Z521" s="15">
        <f t="shared" si="130"/>
        <v>30</v>
      </c>
      <c r="AA521" s="15">
        <f t="shared" si="131"/>
        <v>0.48</v>
      </c>
    </row>
    <row r="522" spans="13:27" ht="16.5" x14ac:dyDescent="0.2">
      <c r="M522" s="15">
        <v>443</v>
      </c>
      <c r="N522" s="15">
        <f t="shared" si="120"/>
        <v>9</v>
      </c>
      <c r="O522" s="15">
        <f>INDEX(卡牌消耗!$H$13:$H$33,世界BOSS专属武器!N522)</f>
        <v>1501009</v>
      </c>
      <c r="P522" s="49" t="s">
        <v>408</v>
      </c>
      <c r="Q522" s="15">
        <f t="shared" si="121"/>
        <v>34</v>
      </c>
      <c r="R522" s="49" t="str">
        <f t="shared" si="122"/>
        <v>金币</v>
      </c>
      <c r="S522" s="15">
        <f t="shared" si="123"/>
        <v>10000</v>
      </c>
      <c r="T522" s="15" t="str">
        <f t="shared" si="124"/>
        <v>中级专属强化石</v>
      </c>
      <c r="U522" s="15">
        <f t="shared" si="125"/>
        <v>8</v>
      </c>
      <c r="V522" s="15" t="str">
        <f t="shared" si="126"/>
        <v>高级专属强化石</v>
      </c>
      <c r="W522" s="15">
        <f t="shared" si="127"/>
        <v>3</v>
      </c>
      <c r="X522" s="15">
        <f t="shared" si="128"/>
        <v>0.1</v>
      </c>
      <c r="Y522" s="15">
        <f t="shared" si="129"/>
        <v>1</v>
      </c>
      <c r="Z522" s="15">
        <f t="shared" si="130"/>
        <v>30</v>
      </c>
      <c r="AA522" s="15">
        <f t="shared" si="131"/>
        <v>0.50670000000000004</v>
      </c>
    </row>
    <row r="523" spans="13:27" ht="16.5" x14ac:dyDescent="0.2">
      <c r="M523" s="15">
        <v>444</v>
      </c>
      <c r="N523" s="15">
        <f t="shared" si="120"/>
        <v>9</v>
      </c>
      <c r="O523" s="15">
        <f>INDEX(卡牌消耗!$H$13:$H$33,世界BOSS专属武器!N523)</f>
        <v>1501009</v>
      </c>
      <c r="P523" s="49" t="s">
        <v>408</v>
      </c>
      <c r="Q523" s="15">
        <f t="shared" si="121"/>
        <v>35</v>
      </c>
      <c r="R523" s="49" t="str">
        <f t="shared" si="122"/>
        <v>金币</v>
      </c>
      <c r="S523" s="15">
        <f t="shared" si="123"/>
        <v>10000</v>
      </c>
      <c r="T523" s="15" t="str">
        <f t="shared" si="124"/>
        <v>中级专属强化石</v>
      </c>
      <c r="U523" s="15">
        <f t="shared" si="125"/>
        <v>8</v>
      </c>
      <c r="V523" s="15" t="str">
        <f t="shared" si="126"/>
        <v>高级专属强化石</v>
      </c>
      <c r="W523" s="15">
        <f t="shared" si="127"/>
        <v>3</v>
      </c>
      <c r="X523" s="15">
        <f t="shared" si="128"/>
        <v>0.1</v>
      </c>
      <c r="Y523" s="15">
        <f t="shared" si="129"/>
        <v>1</v>
      </c>
      <c r="Z523" s="15">
        <f t="shared" si="130"/>
        <v>30</v>
      </c>
      <c r="AA523" s="15">
        <f t="shared" si="131"/>
        <v>0.5333</v>
      </c>
    </row>
    <row r="524" spans="13:27" ht="16.5" x14ac:dyDescent="0.2">
      <c r="M524" s="15">
        <v>445</v>
      </c>
      <c r="N524" s="15">
        <f t="shared" si="120"/>
        <v>9</v>
      </c>
      <c r="O524" s="15">
        <f>INDEX(卡牌消耗!$H$13:$H$33,世界BOSS专属武器!N524)</f>
        <v>1501009</v>
      </c>
      <c r="P524" s="49" t="s">
        <v>408</v>
      </c>
      <c r="Q524" s="15">
        <f t="shared" si="121"/>
        <v>36</v>
      </c>
      <c r="R524" s="49" t="str">
        <f t="shared" si="122"/>
        <v>金币</v>
      </c>
      <c r="S524" s="15">
        <f t="shared" si="123"/>
        <v>10000</v>
      </c>
      <c r="T524" s="15" t="str">
        <f t="shared" si="124"/>
        <v>中级专属强化石</v>
      </c>
      <c r="U524" s="15">
        <f t="shared" si="125"/>
        <v>8</v>
      </c>
      <c r="V524" s="15" t="str">
        <f t="shared" si="126"/>
        <v>高级专属强化石</v>
      </c>
      <c r="W524" s="15">
        <f t="shared" si="127"/>
        <v>3</v>
      </c>
      <c r="X524" s="15">
        <f t="shared" si="128"/>
        <v>0.1</v>
      </c>
      <c r="Y524" s="15">
        <f t="shared" si="129"/>
        <v>1</v>
      </c>
      <c r="Z524" s="15">
        <f t="shared" si="130"/>
        <v>30</v>
      </c>
      <c r="AA524" s="15">
        <f t="shared" si="131"/>
        <v>0.56000000000000005</v>
      </c>
    </row>
    <row r="525" spans="13:27" ht="16.5" x14ac:dyDescent="0.2">
      <c r="M525" s="15">
        <v>446</v>
      </c>
      <c r="N525" s="15">
        <f t="shared" si="120"/>
        <v>9</v>
      </c>
      <c r="O525" s="15">
        <f>INDEX(卡牌消耗!$H$13:$H$33,世界BOSS专属武器!N525)</f>
        <v>1501009</v>
      </c>
      <c r="P525" s="49" t="s">
        <v>408</v>
      </c>
      <c r="Q525" s="15">
        <f t="shared" si="121"/>
        <v>37</v>
      </c>
      <c r="R525" s="49" t="str">
        <f t="shared" si="122"/>
        <v>金币</v>
      </c>
      <c r="S525" s="15">
        <f t="shared" si="123"/>
        <v>10000</v>
      </c>
      <c r="T525" s="15" t="str">
        <f t="shared" si="124"/>
        <v>中级专属强化石</v>
      </c>
      <c r="U525" s="15">
        <f t="shared" si="125"/>
        <v>8</v>
      </c>
      <c r="V525" s="15" t="str">
        <f t="shared" si="126"/>
        <v>高级专属强化石</v>
      </c>
      <c r="W525" s="15">
        <f t="shared" si="127"/>
        <v>3</v>
      </c>
      <c r="X525" s="15">
        <f t="shared" si="128"/>
        <v>0.1</v>
      </c>
      <c r="Y525" s="15">
        <f t="shared" si="129"/>
        <v>1</v>
      </c>
      <c r="Z525" s="15">
        <f t="shared" si="130"/>
        <v>30</v>
      </c>
      <c r="AA525" s="15">
        <f t="shared" si="131"/>
        <v>0.5867</v>
      </c>
    </row>
    <row r="526" spans="13:27" ht="16.5" x14ac:dyDescent="0.2">
      <c r="M526" s="15">
        <v>447</v>
      </c>
      <c r="N526" s="15">
        <f t="shared" si="120"/>
        <v>9</v>
      </c>
      <c r="O526" s="15">
        <f>INDEX(卡牌消耗!$H$13:$H$33,世界BOSS专属武器!N526)</f>
        <v>1501009</v>
      </c>
      <c r="P526" s="49" t="s">
        <v>408</v>
      </c>
      <c r="Q526" s="15">
        <f t="shared" si="121"/>
        <v>38</v>
      </c>
      <c r="R526" s="49" t="str">
        <f t="shared" si="122"/>
        <v>金币</v>
      </c>
      <c r="S526" s="15">
        <f t="shared" si="123"/>
        <v>10000</v>
      </c>
      <c r="T526" s="15" t="str">
        <f t="shared" si="124"/>
        <v>中级专属强化石</v>
      </c>
      <c r="U526" s="15">
        <f t="shared" si="125"/>
        <v>8</v>
      </c>
      <c r="V526" s="15" t="str">
        <f t="shared" si="126"/>
        <v>高级专属强化石</v>
      </c>
      <c r="W526" s="15">
        <f t="shared" si="127"/>
        <v>3</v>
      </c>
      <c r="X526" s="15">
        <f t="shared" si="128"/>
        <v>0.1</v>
      </c>
      <c r="Y526" s="15">
        <f t="shared" si="129"/>
        <v>1</v>
      </c>
      <c r="Z526" s="15">
        <f t="shared" si="130"/>
        <v>30</v>
      </c>
      <c r="AA526" s="15">
        <f t="shared" si="131"/>
        <v>0.61329999999999996</v>
      </c>
    </row>
    <row r="527" spans="13:27" ht="16.5" x14ac:dyDescent="0.2">
      <c r="M527" s="15">
        <v>448</v>
      </c>
      <c r="N527" s="15">
        <f t="shared" si="120"/>
        <v>9</v>
      </c>
      <c r="O527" s="15">
        <f>INDEX(卡牌消耗!$H$13:$H$33,世界BOSS专属武器!N527)</f>
        <v>1501009</v>
      </c>
      <c r="P527" s="49" t="s">
        <v>408</v>
      </c>
      <c r="Q527" s="15">
        <f t="shared" si="121"/>
        <v>39</v>
      </c>
      <c r="R527" s="49" t="str">
        <f t="shared" si="122"/>
        <v>金币</v>
      </c>
      <c r="S527" s="15">
        <f t="shared" si="123"/>
        <v>10000</v>
      </c>
      <c r="T527" s="15" t="str">
        <f t="shared" si="124"/>
        <v>中级专属强化石</v>
      </c>
      <c r="U527" s="15">
        <f t="shared" si="125"/>
        <v>8</v>
      </c>
      <c r="V527" s="15" t="str">
        <f t="shared" si="126"/>
        <v>高级专属强化石</v>
      </c>
      <c r="W527" s="15">
        <f t="shared" si="127"/>
        <v>3</v>
      </c>
      <c r="X527" s="15">
        <f t="shared" si="128"/>
        <v>0.1</v>
      </c>
      <c r="Y527" s="15">
        <f t="shared" si="129"/>
        <v>1</v>
      </c>
      <c r="Z527" s="15">
        <f t="shared" si="130"/>
        <v>30</v>
      </c>
      <c r="AA527" s="15">
        <f t="shared" si="131"/>
        <v>0.64</v>
      </c>
    </row>
    <row r="528" spans="13:27" ht="16.5" x14ac:dyDescent="0.2">
      <c r="M528" s="15">
        <v>449</v>
      </c>
      <c r="N528" s="15">
        <f t="shared" si="120"/>
        <v>9</v>
      </c>
      <c r="O528" s="15">
        <f>INDEX(卡牌消耗!$H$13:$H$33,世界BOSS专属武器!N528)</f>
        <v>1501009</v>
      </c>
      <c r="P528" s="49" t="s">
        <v>408</v>
      </c>
      <c r="Q528" s="15">
        <f t="shared" si="121"/>
        <v>40</v>
      </c>
      <c r="R528" s="49" t="str">
        <f t="shared" si="122"/>
        <v>金币</v>
      </c>
      <c r="S528" s="15">
        <f t="shared" si="123"/>
        <v>20000</v>
      </c>
      <c r="T528" s="15" t="str">
        <f t="shared" si="124"/>
        <v>高级专属强化石</v>
      </c>
      <c r="U528" s="15">
        <f t="shared" si="125"/>
        <v>5</v>
      </c>
      <c r="V528" s="15" t="str">
        <f t="shared" si="126"/>
        <v>[x]</v>
      </c>
      <c r="W528" s="15" t="str">
        <f t="shared" si="127"/>
        <v>[x]</v>
      </c>
      <c r="X528" s="15">
        <f t="shared" si="128"/>
        <v>0.1</v>
      </c>
      <c r="Y528" s="15">
        <f t="shared" si="129"/>
        <v>1</v>
      </c>
      <c r="Z528" s="15">
        <f t="shared" si="130"/>
        <v>35</v>
      </c>
      <c r="AA528" s="15">
        <f t="shared" si="131"/>
        <v>0.66669999999999996</v>
      </c>
    </row>
    <row r="529" spans="13:27" ht="16.5" x14ac:dyDescent="0.2">
      <c r="M529" s="15">
        <v>450</v>
      </c>
      <c r="N529" s="15">
        <f t="shared" ref="N529:N592" si="132">INT((M529-1)/51)+1</f>
        <v>9</v>
      </c>
      <c r="O529" s="15">
        <f>INDEX(卡牌消耗!$H$13:$H$33,世界BOSS专属武器!N529)</f>
        <v>1501009</v>
      </c>
      <c r="P529" s="49" t="s">
        <v>408</v>
      </c>
      <c r="Q529" s="15">
        <f t="shared" ref="Q529:Q592" si="133">MOD(M529-1,51)</f>
        <v>41</v>
      </c>
      <c r="R529" s="49" t="str">
        <f t="shared" ref="R529:R592" si="134">IF(Q529&gt;0,"金币","[x]")</f>
        <v>金币</v>
      </c>
      <c r="S529" s="15">
        <f t="shared" ref="S529:S592" si="135">IF(Q529&gt;0,INDEX($V$27:$V$76,Q529),"[x]")</f>
        <v>20000</v>
      </c>
      <c r="T529" s="15" t="str">
        <f t="shared" ref="T529:T592" si="136">IF(Q529&gt;0,INDEX($W$27:$W$76,Q529),"[x]")</f>
        <v>高级专属强化石</v>
      </c>
      <c r="U529" s="15">
        <f t="shared" ref="U529:U592" si="137">IF(Q529&gt;0,INDEX($AA$27:$AF$76,Q529,INDEX($Y$27:$Y$76,Q529)),"[x]")</f>
        <v>5</v>
      </c>
      <c r="V529" s="15" t="str">
        <f t="shared" ref="V529:V592" si="138">IF(AND(Q529&gt;=20,Q529&lt;40),INDEX($X$27:$X$76,Q529),"[x]")</f>
        <v>[x]</v>
      </c>
      <c r="W529" s="15" t="str">
        <f t="shared" ref="W529:W592" si="139">IF(AND(Q529&gt;=20,Q529&lt;40),INDEX($AA$27:$AF$76,Q529,INDEX($Z$27:$Z$76,Q529)),"[x]")</f>
        <v>[x]</v>
      </c>
      <c r="X529" s="15">
        <f t="shared" ref="X529:X592" si="140">IF(Q529&gt;0,INDEX($T$27:$T$76,Q529),"[x]")</f>
        <v>0.1</v>
      </c>
      <c r="Y529" s="15">
        <f t="shared" ref="Y529:Y592" si="141">IF(Q529&gt;0,1,"[x]")</f>
        <v>1</v>
      </c>
      <c r="Z529" s="15">
        <f t="shared" ref="Z529:Z592" si="142">IF(Q529&gt;0,INDEX($AG$27:$AG$76,Q529),"[x]")</f>
        <v>40</v>
      </c>
      <c r="AA529" s="15">
        <f t="shared" ref="AA529:AA592" si="143">IF(Q529&gt;0,INDEX($AL$27:$AL$76,Q529),"[x]")</f>
        <v>0.7</v>
      </c>
    </row>
    <row r="530" spans="13:27" ht="16.5" x14ac:dyDescent="0.2">
      <c r="M530" s="15">
        <v>451</v>
      </c>
      <c r="N530" s="15">
        <f t="shared" si="132"/>
        <v>9</v>
      </c>
      <c r="O530" s="15">
        <f>INDEX(卡牌消耗!$H$13:$H$33,世界BOSS专属武器!N530)</f>
        <v>1501009</v>
      </c>
      <c r="P530" s="49" t="s">
        <v>408</v>
      </c>
      <c r="Q530" s="15">
        <f t="shared" si="133"/>
        <v>42</v>
      </c>
      <c r="R530" s="49" t="str">
        <f t="shared" si="134"/>
        <v>金币</v>
      </c>
      <c r="S530" s="15">
        <f t="shared" si="135"/>
        <v>20000</v>
      </c>
      <c r="T530" s="15" t="str">
        <f t="shared" si="136"/>
        <v>高级专属强化石</v>
      </c>
      <c r="U530" s="15">
        <f t="shared" si="137"/>
        <v>5</v>
      </c>
      <c r="V530" s="15" t="str">
        <f t="shared" si="138"/>
        <v>[x]</v>
      </c>
      <c r="W530" s="15" t="str">
        <f t="shared" si="139"/>
        <v>[x]</v>
      </c>
      <c r="X530" s="15">
        <f t="shared" si="140"/>
        <v>0.1</v>
      </c>
      <c r="Y530" s="15">
        <f t="shared" si="141"/>
        <v>1</v>
      </c>
      <c r="Z530" s="15">
        <f t="shared" si="142"/>
        <v>45</v>
      </c>
      <c r="AA530" s="15">
        <f t="shared" si="143"/>
        <v>0.73329999999999995</v>
      </c>
    </row>
    <row r="531" spans="13:27" ht="16.5" x14ac:dyDescent="0.2">
      <c r="M531" s="15">
        <v>452</v>
      </c>
      <c r="N531" s="15">
        <f t="shared" si="132"/>
        <v>9</v>
      </c>
      <c r="O531" s="15">
        <f>INDEX(卡牌消耗!$H$13:$H$33,世界BOSS专属武器!N531)</f>
        <v>1501009</v>
      </c>
      <c r="P531" s="49" t="s">
        <v>408</v>
      </c>
      <c r="Q531" s="15">
        <f t="shared" si="133"/>
        <v>43</v>
      </c>
      <c r="R531" s="49" t="str">
        <f t="shared" si="134"/>
        <v>金币</v>
      </c>
      <c r="S531" s="15">
        <f t="shared" si="135"/>
        <v>20000</v>
      </c>
      <c r="T531" s="15" t="str">
        <f t="shared" si="136"/>
        <v>高级专属强化石</v>
      </c>
      <c r="U531" s="15">
        <f t="shared" si="137"/>
        <v>5</v>
      </c>
      <c r="V531" s="15" t="str">
        <f t="shared" si="138"/>
        <v>[x]</v>
      </c>
      <c r="W531" s="15" t="str">
        <f t="shared" si="139"/>
        <v>[x]</v>
      </c>
      <c r="X531" s="15">
        <f t="shared" si="140"/>
        <v>0.1</v>
      </c>
      <c r="Y531" s="15">
        <f t="shared" si="141"/>
        <v>1</v>
      </c>
      <c r="Z531" s="15">
        <f t="shared" si="142"/>
        <v>50</v>
      </c>
      <c r="AA531" s="15">
        <f t="shared" si="143"/>
        <v>0.76670000000000005</v>
      </c>
    </row>
    <row r="532" spans="13:27" ht="16.5" x14ac:dyDescent="0.2">
      <c r="M532" s="15">
        <v>453</v>
      </c>
      <c r="N532" s="15">
        <f t="shared" si="132"/>
        <v>9</v>
      </c>
      <c r="O532" s="15">
        <f>INDEX(卡牌消耗!$H$13:$H$33,世界BOSS专属武器!N532)</f>
        <v>1501009</v>
      </c>
      <c r="P532" s="49" t="s">
        <v>408</v>
      </c>
      <c r="Q532" s="15">
        <f t="shared" si="133"/>
        <v>44</v>
      </c>
      <c r="R532" s="49" t="str">
        <f t="shared" si="134"/>
        <v>金币</v>
      </c>
      <c r="S532" s="15">
        <f t="shared" si="135"/>
        <v>20000</v>
      </c>
      <c r="T532" s="15" t="str">
        <f t="shared" si="136"/>
        <v>高级专属强化石</v>
      </c>
      <c r="U532" s="15">
        <f t="shared" si="137"/>
        <v>5</v>
      </c>
      <c r="V532" s="15" t="str">
        <f t="shared" si="138"/>
        <v>[x]</v>
      </c>
      <c r="W532" s="15" t="str">
        <f t="shared" si="139"/>
        <v>[x]</v>
      </c>
      <c r="X532" s="15">
        <f t="shared" si="140"/>
        <v>0.1</v>
      </c>
      <c r="Y532" s="15">
        <f t="shared" si="141"/>
        <v>1</v>
      </c>
      <c r="Z532" s="15">
        <f t="shared" si="142"/>
        <v>55</v>
      </c>
      <c r="AA532" s="15">
        <f t="shared" si="143"/>
        <v>0.8</v>
      </c>
    </row>
    <row r="533" spans="13:27" ht="16.5" x14ac:dyDescent="0.2">
      <c r="M533" s="15">
        <v>454</v>
      </c>
      <c r="N533" s="15">
        <f t="shared" si="132"/>
        <v>9</v>
      </c>
      <c r="O533" s="15">
        <f>INDEX(卡牌消耗!$H$13:$H$33,世界BOSS专属武器!N533)</f>
        <v>1501009</v>
      </c>
      <c r="P533" s="49" t="s">
        <v>408</v>
      </c>
      <c r="Q533" s="15">
        <f t="shared" si="133"/>
        <v>45</v>
      </c>
      <c r="R533" s="49" t="str">
        <f t="shared" si="134"/>
        <v>金币</v>
      </c>
      <c r="S533" s="15">
        <f t="shared" si="135"/>
        <v>20000</v>
      </c>
      <c r="T533" s="15" t="str">
        <f t="shared" si="136"/>
        <v>高级专属强化石</v>
      </c>
      <c r="U533" s="15">
        <f t="shared" si="137"/>
        <v>6</v>
      </c>
      <c r="V533" s="15" t="str">
        <f t="shared" si="138"/>
        <v>[x]</v>
      </c>
      <c r="W533" s="15" t="str">
        <f t="shared" si="139"/>
        <v>[x]</v>
      </c>
      <c r="X533" s="15">
        <f t="shared" si="140"/>
        <v>0.1</v>
      </c>
      <c r="Y533" s="15">
        <f t="shared" si="141"/>
        <v>1</v>
      </c>
      <c r="Z533" s="15">
        <f t="shared" si="142"/>
        <v>60</v>
      </c>
      <c r="AA533" s="15">
        <f t="shared" si="143"/>
        <v>0.83330000000000004</v>
      </c>
    </row>
    <row r="534" spans="13:27" ht="16.5" x14ac:dyDescent="0.2">
      <c r="M534" s="15">
        <v>455</v>
      </c>
      <c r="N534" s="15">
        <f t="shared" si="132"/>
        <v>9</v>
      </c>
      <c r="O534" s="15">
        <f>INDEX(卡牌消耗!$H$13:$H$33,世界BOSS专属武器!N534)</f>
        <v>1501009</v>
      </c>
      <c r="P534" s="49" t="s">
        <v>408</v>
      </c>
      <c r="Q534" s="15">
        <f t="shared" si="133"/>
        <v>46</v>
      </c>
      <c r="R534" s="49" t="str">
        <f t="shared" si="134"/>
        <v>金币</v>
      </c>
      <c r="S534" s="15">
        <f t="shared" si="135"/>
        <v>20000</v>
      </c>
      <c r="T534" s="15" t="str">
        <f t="shared" si="136"/>
        <v>高级专属强化石</v>
      </c>
      <c r="U534" s="15">
        <f t="shared" si="137"/>
        <v>7</v>
      </c>
      <c r="V534" s="15" t="str">
        <f t="shared" si="138"/>
        <v>[x]</v>
      </c>
      <c r="W534" s="15" t="str">
        <f t="shared" si="139"/>
        <v>[x]</v>
      </c>
      <c r="X534" s="15">
        <f t="shared" si="140"/>
        <v>0.1</v>
      </c>
      <c r="Y534" s="15">
        <f t="shared" si="141"/>
        <v>1</v>
      </c>
      <c r="Z534" s="15">
        <f t="shared" si="142"/>
        <v>70</v>
      </c>
      <c r="AA534" s="15">
        <f t="shared" si="143"/>
        <v>0.86670000000000003</v>
      </c>
    </row>
    <row r="535" spans="13:27" ht="16.5" x14ac:dyDescent="0.2">
      <c r="M535" s="15">
        <v>456</v>
      </c>
      <c r="N535" s="15">
        <f t="shared" si="132"/>
        <v>9</v>
      </c>
      <c r="O535" s="15">
        <f>INDEX(卡牌消耗!$H$13:$H$33,世界BOSS专属武器!N535)</f>
        <v>1501009</v>
      </c>
      <c r="P535" s="49" t="s">
        <v>408</v>
      </c>
      <c r="Q535" s="15">
        <f t="shared" si="133"/>
        <v>47</v>
      </c>
      <c r="R535" s="49" t="str">
        <f t="shared" si="134"/>
        <v>金币</v>
      </c>
      <c r="S535" s="15">
        <f t="shared" si="135"/>
        <v>20000</v>
      </c>
      <c r="T535" s="15" t="str">
        <f t="shared" si="136"/>
        <v>高级专属强化石</v>
      </c>
      <c r="U535" s="15">
        <f t="shared" si="137"/>
        <v>8</v>
      </c>
      <c r="V535" s="15" t="str">
        <f t="shared" si="138"/>
        <v>[x]</v>
      </c>
      <c r="W535" s="15" t="str">
        <f t="shared" si="139"/>
        <v>[x]</v>
      </c>
      <c r="X535" s="15">
        <f t="shared" si="140"/>
        <v>0.1</v>
      </c>
      <c r="Y535" s="15">
        <f t="shared" si="141"/>
        <v>1</v>
      </c>
      <c r="Z535" s="15">
        <f t="shared" si="142"/>
        <v>80</v>
      </c>
      <c r="AA535" s="15">
        <f t="shared" si="143"/>
        <v>0.9</v>
      </c>
    </row>
    <row r="536" spans="13:27" ht="16.5" x14ac:dyDescent="0.2">
      <c r="M536" s="15">
        <v>457</v>
      </c>
      <c r="N536" s="15">
        <f t="shared" si="132"/>
        <v>9</v>
      </c>
      <c r="O536" s="15">
        <f>INDEX(卡牌消耗!$H$13:$H$33,世界BOSS专属武器!N536)</f>
        <v>1501009</v>
      </c>
      <c r="P536" s="49" t="s">
        <v>408</v>
      </c>
      <c r="Q536" s="15">
        <f t="shared" si="133"/>
        <v>48</v>
      </c>
      <c r="R536" s="49" t="str">
        <f t="shared" si="134"/>
        <v>金币</v>
      </c>
      <c r="S536" s="15">
        <f t="shared" si="135"/>
        <v>20000</v>
      </c>
      <c r="T536" s="15" t="str">
        <f t="shared" si="136"/>
        <v>高级专属强化石</v>
      </c>
      <c r="U536" s="15">
        <f t="shared" si="137"/>
        <v>9</v>
      </c>
      <c r="V536" s="15" t="str">
        <f t="shared" si="138"/>
        <v>[x]</v>
      </c>
      <c r="W536" s="15" t="str">
        <f t="shared" si="139"/>
        <v>[x]</v>
      </c>
      <c r="X536" s="15">
        <f t="shared" si="140"/>
        <v>0.1</v>
      </c>
      <c r="Y536" s="15">
        <f t="shared" si="141"/>
        <v>1</v>
      </c>
      <c r="Z536" s="15">
        <f t="shared" si="142"/>
        <v>100</v>
      </c>
      <c r="AA536" s="15">
        <f t="shared" si="143"/>
        <v>0.93330000000000002</v>
      </c>
    </row>
    <row r="537" spans="13:27" ht="16.5" x14ac:dyDescent="0.2">
      <c r="M537" s="15">
        <v>458</v>
      </c>
      <c r="N537" s="15">
        <f t="shared" si="132"/>
        <v>9</v>
      </c>
      <c r="O537" s="15">
        <f>INDEX(卡牌消耗!$H$13:$H$33,世界BOSS专属武器!N537)</f>
        <v>1501009</v>
      </c>
      <c r="P537" s="49" t="s">
        <v>408</v>
      </c>
      <c r="Q537" s="15">
        <f t="shared" si="133"/>
        <v>49</v>
      </c>
      <c r="R537" s="49" t="str">
        <f t="shared" si="134"/>
        <v>金币</v>
      </c>
      <c r="S537" s="15">
        <f t="shared" si="135"/>
        <v>20000</v>
      </c>
      <c r="T537" s="15" t="str">
        <f t="shared" si="136"/>
        <v>高级专属强化石</v>
      </c>
      <c r="U537" s="15">
        <f t="shared" si="137"/>
        <v>10</v>
      </c>
      <c r="V537" s="15" t="str">
        <f t="shared" si="138"/>
        <v>[x]</v>
      </c>
      <c r="W537" s="15" t="str">
        <f t="shared" si="139"/>
        <v>[x]</v>
      </c>
      <c r="X537" s="15">
        <f t="shared" si="140"/>
        <v>0.1</v>
      </c>
      <c r="Y537" s="15">
        <f t="shared" si="141"/>
        <v>1</v>
      </c>
      <c r="Z537" s="15">
        <f t="shared" si="142"/>
        <v>120</v>
      </c>
      <c r="AA537" s="15">
        <f t="shared" si="143"/>
        <v>0.9667</v>
      </c>
    </row>
    <row r="538" spans="13:27" ht="16.5" x14ac:dyDescent="0.2">
      <c r="M538" s="15">
        <v>459</v>
      </c>
      <c r="N538" s="15">
        <f t="shared" si="132"/>
        <v>9</v>
      </c>
      <c r="O538" s="15">
        <f>INDEX(卡牌消耗!$H$13:$H$33,世界BOSS专属武器!N538)</f>
        <v>1501009</v>
      </c>
      <c r="P538" s="49" t="s">
        <v>408</v>
      </c>
      <c r="Q538" s="15">
        <f t="shared" si="133"/>
        <v>50</v>
      </c>
      <c r="R538" s="49" t="str">
        <f t="shared" si="134"/>
        <v>金币</v>
      </c>
      <c r="S538" s="15">
        <f t="shared" si="135"/>
        <v>20000</v>
      </c>
      <c r="T538" s="15" t="str">
        <f t="shared" si="136"/>
        <v>高级专属强化石</v>
      </c>
      <c r="U538" s="15">
        <f t="shared" si="137"/>
        <v>15</v>
      </c>
      <c r="V538" s="15" t="str">
        <f t="shared" si="138"/>
        <v>[x]</v>
      </c>
      <c r="W538" s="15" t="str">
        <f t="shared" si="139"/>
        <v>[x]</v>
      </c>
      <c r="X538" s="15">
        <f t="shared" si="140"/>
        <v>0.1</v>
      </c>
      <c r="Y538" s="15">
        <f t="shared" si="141"/>
        <v>1</v>
      </c>
      <c r="Z538" s="15">
        <f t="shared" si="142"/>
        <v>150</v>
      </c>
      <c r="AA538" s="15">
        <f t="shared" si="143"/>
        <v>1</v>
      </c>
    </row>
    <row r="539" spans="13:27" ht="16.5" x14ac:dyDescent="0.2">
      <c r="M539" s="15">
        <v>460</v>
      </c>
      <c r="N539" s="15">
        <f t="shared" si="132"/>
        <v>10</v>
      </c>
      <c r="O539" s="15">
        <f>INDEX(卡牌消耗!$H$13:$H$33,世界BOSS专属武器!N539)</f>
        <v>1501010</v>
      </c>
      <c r="P539" s="49" t="s">
        <v>408</v>
      </c>
      <c r="Q539" s="15">
        <f t="shared" si="133"/>
        <v>0</v>
      </c>
      <c r="R539" s="49" t="str">
        <f t="shared" si="134"/>
        <v>[x]</v>
      </c>
      <c r="S539" s="15" t="str">
        <f t="shared" si="135"/>
        <v>[x]</v>
      </c>
      <c r="T539" s="15" t="str">
        <f t="shared" si="136"/>
        <v>[x]</v>
      </c>
      <c r="U539" s="15" t="str">
        <f t="shared" si="137"/>
        <v>[x]</v>
      </c>
      <c r="V539" s="15" t="str">
        <f t="shared" si="138"/>
        <v>[x]</v>
      </c>
      <c r="W539" s="15" t="str">
        <f t="shared" si="139"/>
        <v>[x]</v>
      </c>
      <c r="X539" s="15" t="str">
        <f t="shared" si="140"/>
        <v>[x]</v>
      </c>
      <c r="Y539" s="15" t="str">
        <f t="shared" si="141"/>
        <v>[x]</v>
      </c>
      <c r="Z539" s="15" t="str">
        <f t="shared" si="142"/>
        <v>[x]</v>
      </c>
      <c r="AA539" s="15" t="str">
        <f t="shared" si="143"/>
        <v>[x]</v>
      </c>
    </row>
    <row r="540" spans="13:27" ht="16.5" x14ac:dyDescent="0.2">
      <c r="M540" s="15">
        <v>461</v>
      </c>
      <c r="N540" s="15">
        <f t="shared" si="132"/>
        <v>10</v>
      </c>
      <c r="O540" s="15">
        <f>INDEX(卡牌消耗!$H$13:$H$33,世界BOSS专属武器!N540)</f>
        <v>1501010</v>
      </c>
      <c r="P540" s="49" t="s">
        <v>408</v>
      </c>
      <c r="Q540" s="15">
        <f t="shared" si="133"/>
        <v>1</v>
      </c>
      <c r="R540" s="49" t="str">
        <f t="shared" si="134"/>
        <v>金币</v>
      </c>
      <c r="S540" s="15">
        <f t="shared" si="135"/>
        <v>100</v>
      </c>
      <c r="T540" s="15" t="str">
        <f t="shared" si="136"/>
        <v>低级专属强化石</v>
      </c>
      <c r="U540" s="15">
        <f t="shared" si="137"/>
        <v>1</v>
      </c>
      <c r="V540" s="15" t="str">
        <f t="shared" si="138"/>
        <v>[x]</v>
      </c>
      <c r="W540" s="15" t="str">
        <f t="shared" si="139"/>
        <v>[x]</v>
      </c>
      <c r="X540" s="15">
        <f t="shared" si="140"/>
        <v>1</v>
      </c>
      <c r="Y540" s="15">
        <f t="shared" si="141"/>
        <v>1</v>
      </c>
      <c r="Z540" s="15">
        <f t="shared" si="142"/>
        <v>1</v>
      </c>
      <c r="AA540" s="15">
        <f t="shared" si="143"/>
        <v>6.7000000000000002E-3</v>
      </c>
    </row>
    <row r="541" spans="13:27" ht="16.5" x14ac:dyDescent="0.2">
      <c r="M541" s="15">
        <v>462</v>
      </c>
      <c r="N541" s="15">
        <f t="shared" si="132"/>
        <v>10</v>
      </c>
      <c r="O541" s="15">
        <f>INDEX(卡牌消耗!$H$13:$H$33,世界BOSS专属武器!N541)</f>
        <v>1501010</v>
      </c>
      <c r="P541" s="49" t="s">
        <v>408</v>
      </c>
      <c r="Q541" s="15">
        <f t="shared" si="133"/>
        <v>2</v>
      </c>
      <c r="R541" s="49" t="str">
        <f t="shared" si="134"/>
        <v>金币</v>
      </c>
      <c r="S541" s="15">
        <f t="shared" si="135"/>
        <v>200</v>
      </c>
      <c r="T541" s="15" t="str">
        <f t="shared" si="136"/>
        <v>低级专属强化石</v>
      </c>
      <c r="U541" s="15">
        <f t="shared" si="137"/>
        <v>1</v>
      </c>
      <c r="V541" s="15" t="str">
        <f t="shared" si="138"/>
        <v>[x]</v>
      </c>
      <c r="W541" s="15" t="str">
        <f t="shared" si="139"/>
        <v>[x]</v>
      </c>
      <c r="X541" s="15">
        <f t="shared" si="140"/>
        <v>0.5</v>
      </c>
      <c r="Y541" s="15">
        <f t="shared" si="141"/>
        <v>1</v>
      </c>
      <c r="Z541" s="15">
        <f t="shared" si="142"/>
        <v>2</v>
      </c>
      <c r="AA541" s="15">
        <f t="shared" si="143"/>
        <v>1.3299999999999999E-2</v>
      </c>
    </row>
    <row r="542" spans="13:27" ht="16.5" x14ac:dyDescent="0.2">
      <c r="M542" s="15">
        <v>463</v>
      </c>
      <c r="N542" s="15">
        <f t="shared" si="132"/>
        <v>10</v>
      </c>
      <c r="O542" s="15">
        <f>INDEX(卡牌消耗!$H$13:$H$33,世界BOSS专属武器!N542)</f>
        <v>1501010</v>
      </c>
      <c r="P542" s="49" t="s">
        <v>408</v>
      </c>
      <c r="Q542" s="15">
        <f t="shared" si="133"/>
        <v>3</v>
      </c>
      <c r="R542" s="49" t="str">
        <f t="shared" si="134"/>
        <v>金币</v>
      </c>
      <c r="S542" s="15">
        <f t="shared" si="135"/>
        <v>300</v>
      </c>
      <c r="T542" s="15" t="str">
        <f t="shared" si="136"/>
        <v>低级专属强化石</v>
      </c>
      <c r="U542" s="15">
        <f t="shared" si="137"/>
        <v>2</v>
      </c>
      <c r="V542" s="15" t="str">
        <f t="shared" si="138"/>
        <v>[x]</v>
      </c>
      <c r="W542" s="15" t="str">
        <f t="shared" si="139"/>
        <v>[x]</v>
      </c>
      <c r="X542" s="15">
        <f t="shared" si="140"/>
        <v>0.48</v>
      </c>
      <c r="Y542" s="15">
        <f t="shared" si="141"/>
        <v>1</v>
      </c>
      <c r="Z542" s="15">
        <f t="shared" si="142"/>
        <v>3</v>
      </c>
      <c r="AA542" s="15">
        <f t="shared" si="143"/>
        <v>0.02</v>
      </c>
    </row>
    <row r="543" spans="13:27" ht="16.5" x14ac:dyDescent="0.2">
      <c r="M543" s="15">
        <v>464</v>
      </c>
      <c r="N543" s="15">
        <f t="shared" si="132"/>
        <v>10</v>
      </c>
      <c r="O543" s="15">
        <f>INDEX(卡牌消耗!$H$13:$H$33,世界BOSS专属武器!N543)</f>
        <v>1501010</v>
      </c>
      <c r="P543" s="49" t="s">
        <v>408</v>
      </c>
      <c r="Q543" s="15">
        <f t="shared" si="133"/>
        <v>4</v>
      </c>
      <c r="R543" s="49" t="str">
        <f t="shared" si="134"/>
        <v>金币</v>
      </c>
      <c r="S543" s="15">
        <f t="shared" si="135"/>
        <v>400</v>
      </c>
      <c r="T543" s="15" t="str">
        <f t="shared" si="136"/>
        <v>低级专属强化石</v>
      </c>
      <c r="U543" s="15">
        <f t="shared" si="137"/>
        <v>3</v>
      </c>
      <c r="V543" s="15" t="str">
        <f t="shared" si="138"/>
        <v>[x]</v>
      </c>
      <c r="W543" s="15" t="str">
        <f t="shared" si="139"/>
        <v>[x]</v>
      </c>
      <c r="X543" s="15">
        <f t="shared" si="140"/>
        <v>0.46</v>
      </c>
      <c r="Y543" s="15">
        <f t="shared" si="141"/>
        <v>1</v>
      </c>
      <c r="Z543" s="15">
        <f t="shared" si="142"/>
        <v>3</v>
      </c>
      <c r="AA543" s="15">
        <f t="shared" si="143"/>
        <v>2.6700000000000002E-2</v>
      </c>
    </row>
    <row r="544" spans="13:27" ht="16.5" x14ac:dyDescent="0.2">
      <c r="M544" s="15">
        <v>465</v>
      </c>
      <c r="N544" s="15">
        <f t="shared" si="132"/>
        <v>10</v>
      </c>
      <c r="O544" s="15">
        <f>INDEX(卡牌消耗!$H$13:$H$33,世界BOSS专属武器!N544)</f>
        <v>1501010</v>
      </c>
      <c r="P544" s="49" t="s">
        <v>408</v>
      </c>
      <c r="Q544" s="15">
        <f t="shared" si="133"/>
        <v>5</v>
      </c>
      <c r="R544" s="49" t="str">
        <f t="shared" si="134"/>
        <v>金币</v>
      </c>
      <c r="S544" s="15">
        <f t="shared" si="135"/>
        <v>500</v>
      </c>
      <c r="T544" s="15" t="str">
        <f t="shared" si="136"/>
        <v>低级专属强化石</v>
      </c>
      <c r="U544" s="15">
        <f t="shared" si="137"/>
        <v>4</v>
      </c>
      <c r="V544" s="15" t="str">
        <f t="shared" si="138"/>
        <v>[x]</v>
      </c>
      <c r="W544" s="15" t="str">
        <f t="shared" si="139"/>
        <v>[x]</v>
      </c>
      <c r="X544" s="15">
        <f t="shared" si="140"/>
        <v>0.44</v>
      </c>
      <c r="Y544" s="15">
        <f t="shared" si="141"/>
        <v>1</v>
      </c>
      <c r="Z544" s="15">
        <f t="shared" si="142"/>
        <v>3</v>
      </c>
      <c r="AA544" s="15">
        <f t="shared" si="143"/>
        <v>3.3300000000000003E-2</v>
      </c>
    </row>
    <row r="545" spans="13:27" ht="16.5" x14ac:dyDescent="0.2">
      <c r="M545" s="15">
        <v>466</v>
      </c>
      <c r="N545" s="15">
        <f t="shared" si="132"/>
        <v>10</v>
      </c>
      <c r="O545" s="15">
        <f>INDEX(卡牌消耗!$H$13:$H$33,世界BOSS专属武器!N545)</f>
        <v>1501010</v>
      </c>
      <c r="P545" s="49" t="s">
        <v>408</v>
      </c>
      <c r="Q545" s="15">
        <f t="shared" si="133"/>
        <v>6</v>
      </c>
      <c r="R545" s="49" t="str">
        <f t="shared" si="134"/>
        <v>金币</v>
      </c>
      <c r="S545" s="15">
        <f t="shared" si="135"/>
        <v>600</v>
      </c>
      <c r="T545" s="15" t="str">
        <f t="shared" si="136"/>
        <v>低级专属强化石</v>
      </c>
      <c r="U545" s="15">
        <f t="shared" si="137"/>
        <v>5</v>
      </c>
      <c r="V545" s="15" t="str">
        <f t="shared" si="138"/>
        <v>[x]</v>
      </c>
      <c r="W545" s="15" t="str">
        <f t="shared" si="139"/>
        <v>[x]</v>
      </c>
      <c r="X545" s="15">
        <f t="shared" si="140"/>
        <v>0.42</v>
      </c>
      <c r="Y545" s="15">
        <f t="shared" si="141"/>
        <v>1</v>
      </c>
      <c r="Z545" s="15">
        <f t="shared" si="142"/>
        <v>4</v>
      </c>
      <c r="AA545" s="15">
        <f t="shared" si="143"/>
        <v>0.04</v>
      </c>
    </row>
    <row r="546" spans="13:27" ht="16.5" x14ac:dyDescent="0.2">
      <c r="M546" s="15">
        <v>467</v>
      </c>
      <c r="N546" s="15">
        <f t="shared" si="132"/>
        <v>10</v>
      </c>
      <c r="O546" s="15">
        <f>INDEX(卡牌消耗!$H$13:$H$33,世界BOSS专属武器!N546)</f>
        <v>1501010</v>
      </c>
      <c r="P546" s="49" t="s">
        <v>408</v>
      </c>
      <c r="Q546" s="15">
        <f t="shared" si="133"/>
        <v>7</v>
      </c>
      <c r="R546" s="49" t="str">
        <f t="shared" si="134"/>
        <v>金币</v>
      </c>
      <c r="S546" s="15">
        <f t="shared" si="135"/>
        <v>700</v>
      </c>
      <c r="T546" s="15" t="str">
        <f t="shared" si="136"/>
        <v>低级专属强化石</v>
      </c>
      <c r="U546" s="15">
        <f t="shared" si="137"/>
        <v>5</v>
      </c>
      <c r="V546" s="15" t="str">
        <f t="shared" si="138"/>
        <v>[x]</v>
      </c>
      <c r="W546" s="15" t="str">
        <f t="shared" si="139"/>
        <v>[x]</v>
      </c>
      <c r="X546" s="15">
        <f t="shared" si="140"/>
        <v>0.4</v>
      </c>
      <c r="Y546" s="15">
        <f t="shared" si="141"/>
        <v>1</v>
      </c>
      <c r="Z546" s="15">
        <f t="shared" si="142"/>
        <v>4</v>
      </c>
      <c r="AA546" s="15">
        <f t="shared" si="143"/>
        <v>4.6699999999999998E-2</v>
      </c>
    </row>
    <row r="547" spans="13:27" ht="16.5" x14ac:dyDescent="0.2">
      <c r="M547" s="15">
        <v>468</v>
      </c>
      <c r="N547" s="15">
        <f t="shared" si="132"/>
        <v>10</v>
      </c>
      <c r="O547" s="15">
        <f>INDEX(卡牌消耗!$H$13:$H$33,世界BOSS专属武器!N547)</f>
        <v>1501010</v>
      </c>
      <c r="P547" s="49" t="s">
        <v>408</v>
      </c>
      <c r="Q547" s="15">
        <f t="shared" si="133"/>
        <v>8</v>
      </c>
      <c r="R547" s="49" t="str">
        <f t="shared" si="134"/>
        <v>金币</v>
      </c>
      <c r="S547" s="15">
        <f t="shared" si="135"/>
        <v>800</v>
      </c>
      <c r="T547" s="15" t="str">
        <f t="shared" si="136"/>
        <v>低级专属强化石</v>
      </c>
      <c r="U547" s="15">
        <f t="shared" si="137"/>
        <v>5</v>
      </c>
      <c r="V547" s="15" t="str">
        <f t="shared" si="138"/>
        <v>[x]</v>
      </c>
      <c r="W547" s="15" t="str">
        <f t="shared" si="139"/>
        <v>[x]</v>
      </c>
      <c r="X547" s="15">
        <f t="shared" si="140"/>
        <v>0.38</v>
      </c>
      <c r="Y547" s="15">
        <f t="shared" si="141"/>
        <v>1</v>
      </c>
      <c r="Z547" s="15">
        <f t="shared" si="142"/>
        <v>5</v>
      </c>
      <c r="AA547" s="15">
        <f t="shared" si="143"/>
        <v>5.33E-2</v>
      </c>
    </row>
    <row r="548" spans="13:27" ht="16.5" x14ac:dyDescent="0.2">
      <c r="M548" s="15">
        <v>469</v>
      </c>
      <c r="N548" s="15">
        <f t="shared" si="132"/>
        <v>10</v>
      </c>
      <c r="O548" s="15">
        <f>INDEX(卡牌消耗!$H$13:$H$33,世界BOSS专属武器!N548)</f>
        <v>1501010</v>
      </c>
      <c r="P548" s="49" t="s">
        <v>408</v>
      </c>
      <c r="Q548" s="15">
        <f t="shared" si="133"/>
        <v>9</v>
      </c>
      <c r="R548" s="49" t="str">
        <f t="shared" si="134"/>
        <v>金币</v>
      </c>
      <c r="S548" s="15">
        <f t="shared" si="135"/>
        <v>900</v>
      </c>
      <c r="T548" s="15" t="str">
        <f t="shared" si="136"/>
        <v>低级专属强化石</v>
      </c>
      <c r="U548" s="15">
        <f t="shared" si="137"/>
        <v>5</v>
      </c>
      <c r="V548" s="15" t="str">
        <f t="shared" si="138"/>
        <v>[x]</v>
      </c>
      <c r="W548" s="15" t="str">
        <f t="shared" si="139"/>
        <v>[x]</v>
      </c>
      <c r="X548" s="15">
        <f t="shared" si="140"/>
        <v>0.36</v>
      </c>
      <c r="Y548" s="15">
        <f t="shared" si="141"/>
        <v>1</v>
      </c>
      <c r="Z548" s="15">
        <f t="shared" si="142"/>
        <v>5</v>
      </c>
      <c r="AA548" s="15">
        <f t="shared" si="143"/>
        <v>0.06</v>
      </c>
    </row>
    <row r="549" spans="13:27" ht="16.5" x14ac:dyDescent="0.2">
      <c r="M549" s="15">
        <v>470</v>
      </c>
      <c r="N549" s="15">
        <f t="shared" si="132"/>
        <v>10</v>
      </c>
      <c r="O549" s="15">
        <f>INDEX(卡牌消耗!$H$13:$H$33,世界BOSS专属武器!N549)</f>
        <v>1501010</v>
      </c>
      <c r="P549" s="49" t="s">
        <v>408</v>
      </c>
      <c r="Q549" s="15">
        <f t="shared" si="133"/>
        <v>10</v>
      </c>
      <c r="R549" s="49" t="str">
        <f t="shared" si="134"/>
        <v>金币</v>
      </c>
      <c r="S549" s="15">
        <f t="shared" si="135"/>
        <v>1000</v>
      </c>
      <c r="T549" s="15" t="str">
        <f t="shared" si="136"/>
        <v>低级专属强化石</v>
      </c>
      <c r="U549" s="15">
        <f t="shared" si="137"/>
        <v>7</v>
      </c>
      <c r="V549" s="15" t="str">
        <f t="shared" si="138"/>
        <v>[x]</v>
      </c>
      <c r="W549" s="15" t="str">
        <f t="shared" si="139"/>
        <v>[x]</v>
      </c>
      <c r="X549" s="15">
        <f t="shared" si="140"/>
        <v>0.35</v>
      </c>
      <c r="Y549" s="15">
        <f t="shared" si="141"/>
        <v>1</v>
      </c>
      <c r="Z549" s="15">
        <f t="shared" si="142"/>
        <v>5</v>
      </c>
      <c r="AA549" s="15">
        <f t="shared" si="143"/>
        <v>6.6699999999999995E-2</v>
      </c>
    </row>
    <row r="550" spans="13:27" ht="16.5" x14ac:dyDescent="0.2">
      <c r="M550" s="15">
        <v>471</v>
      </c>
      <c r="N550" s="15">
        <f t="shared" si="132"/>
        <v>10</v>
      </c>
      <c r="O550" s="15">
        <f>INDEX(卡牌消耗!$H$13:$H$33,世界BOSS专属武器!N550)</f>
        <v>1501010</v>
      </c>
      <c r="P550" s="49" t="s">
        <v>408</v>
      </c>
      <c r="Q550" s="15">
        <f t="shared" si="133"/>
        <v>11</v>
      </c>
      <c r="R550" s="49" t="str">
        <f t="shared" si="134"/>
        <v>金币</v>
      </c>
      <c r="S550" s="15">
        <f t="shared" si="135"/>
        <v>1000</v>
      </c>
      <c r="T550" s="15" t="str">
        <f t="shared" si="136"/>
        <v>低级专属强化石</v>
      </c>
      <c r="U550" s="15">
        <f t="shared" si="137"/>
        <v>7</v>
      </c>
      <c r="V550" s="15" t="str">
        <f t="shared" si="138"/>
        <v>[x]</v>
      </c>
      <c r="W550" s="15" t="str">
        <f t="shared" si="139"/>
        <v>[x]</v>
      </c>
      <c r="X550" s="15">
        <f t="shared" si="140"/>
        <v>0.33</v>
      </c>
      <c r="Y550" s="15">
        <f t="shared" si="141"/>
        <v>1</v>
      </c>
      <c r="Z550" s="15">
        <f t="shared" si="142"/>
        <v>6</v>
      </c>
      <c r="AA550" s="15">
        <f t="shared" si="143"/>
        <v>0.08</v>
      </c>
    </row>
    <row r="551" spans="13:27" ht="16.5" x14ac:dyDescent="0.2">
      <c r="M551" s="15">
        <v>472</v>
      </c>
      <c r="N551" s="15">
        <f t="shared" si="132"/>
        <v>10</v>
      </c>
      <c r="O551" s="15">
        <f>INDEX(卡牌消耗!$H$13:$H$33,世界BOSS专属武器!N551)</f>
        <v>1501010</v>
      </c>
      <c r="P551" s="49" t="s">
        <v>408</v>
      </c>
      <c r="Q551" s="15">
        <f t="shared" si="133"/>
        <v>12</v>
      </c>
      <c r="R551" s="49" t="str">
        <f t="shared" si="134"/>
        <v>金币</v>
      </c>
      <c r="S551" s="15">
        <f t="shared" si="135"/>
        <v>1000</v>
      </c>
      <c r="T551" s="15" t="str">
        <f t="shared" si="136"/>
        <v>低级专属强化石</v>
      </c>
      <c r="U551" s="15">
        <f t="shared" si="137"/>
        <v>7</v>
      </c>
      <c r="V551" s="15" t="str">
        <f t="shared" si="138"/>
        <v>[x]</v>
      </c>
      <c r="W551" s="15" t="str">
        <f t="shared" si="139"/>
        <v>[x]</v>
      </c>
      <c r="X551" s="15">
        <f t="shared" si="140"/>
        <v>0.31</v>
      </c>
      <c r="Y551" s="15">
        <f t="shared" si="141"/>
        <v>1</v>
      </c>
      <c r="Z551" s="15">
        <f t="shared" si="142"/>
        <v>6</v>
      </c>
      <c r="AA551" s="15">
        <f t="shared" si="143"/>
        <v>9.3299999999999994E-2</v>
      </c>
    </row>
    <row r="552" spans="13:27" ht="16.5" x14ac:dyDescent="0.2">
      <c r="M552" s="15">
        <v>473</v>
      </c>
      <c r="N552" s="15">
        <f t="shared" si="132"/>
        <v>10</v>
      </c>
      <c r="O552" s="15">
        <f>INDEX(卡牌消耗!$H$13:$H$33,世界BOSS专属武器!N552)</f>
        <v>1501010</v>
      </c>
      <c r="P552" s="49" t="s">
        <v>408</v>
      </c>
      <c r="Q552" s="15">
        <f t="shared" si="133"/>
        <v>13</v>
      </c>
      <c r="R552" s="49" t="str">
        <f t="shared" si="134"/>
        <v>金币</v>
      </c>
      <c r="S552" s="15">
        <f t="shared" si="135"/>
        <v>1000</v>
      </c>
      <c r="T552" s="15" t="str">
        <f t="shared" si="136"/>
        <v>低级专属强化石</v>
      </c>
      <c r="U552" s="15">
        <f t="shared" si="137"/>
        <v>7</v>
      </c>
      <c r="V552" s="15" t="str">
        <f t="shared" si="138"/>
        <v>[x]</v>
      </c>
      <c r="W552" s="15" t="str">
        <f t="shared" si="139"/>
        <v>[x]</v>
      </c>
      <c r="X552" s="15">
        <f t="shared" si="140"/>
        <v>0.28999999999999998</v>
      </c>
      <c r="Y552" s="15">
        <f t="shared" si="141"/>
        <v>1</v>
      </c>
      <c r="Z552" s="15">
        <f t="shared" si="142"/>
        <v>7</v>
      </c>
      <c r="AA552" s="15">
        <f t="shared" si="143"/>
        <v>0.1067</v>
      </c>
    </row>
    <row r="553" spans="13:27" ht="16.5" x14ac:dyDescent="0.2">
      <c r="M553" s="15">
        <v>474</v>
      </c>
      <c r="N553" s="15">
        <f t="shared" si="132"/>
        <v>10</v>
      </c>
      <c r="O553" s="15">
        <f>INDEX(卡牌消耗!$H$13:$H$33,世界BOSS专属武器!N553)</f>
        <v>1501010</v>
      </c>
      <c r="P553" s="49" t="s">
        <v>408</v>
      </c>
      <c r="Q553" s="15">
        <f t="shared" si="133"/>
        <v>14</v>
      </c>
      <c r="R553" s="49" t="str">
        <f t="shared" si="134"/>
        <v>金币</v>
      </c>
      <c r="S553" s="15">
        <f t="shared" si="135"/>
        <v>1000</v>
      </c>
      <c r="T553" s="15" t="str">
        <f t="shared" si="136"/>
        <v>低级专属强化石</v>
      </c>
      <c r="U553" s="15">
        <f t="shared" si="137"/>
        <v>7</v>
      </c>
      <c r="V553" s="15" t="str">
        <f t="shared" si="138"/>
        <v>[x]</v>
      </c>
      <c r="W553" s="15" t="str">
        <f t="shared" si="139"/>
        <v>[x]</v>
      </c>
      <c r="X553" s="15">
        <f t="shared" si="140"/>
        <v>0.27</v>
      </c>
      <c r="Y553" s="15">
        <f t="shared" si="141"/>
        <v>1</v>
      </c>
      <c r="Z553" s="15">
        <f t="shared" si="142"/>
        <v>7</v>
      </c>
      <c r="AA553" s="15">
        <f t="shared" si="143"/>
        <v>0.12</v>
      </c>
    </row>
    <row r="554" spans="13:27" ht="16.5" x14ac:dyDescent="0.2">
      <c r="M554" s="15">
        <v>475</v>
      </c>
      <c r="N554" s="15">
        <f t="shared" si="132"/>
        <v>10</v>
      </c>
      <c r="O554" s="15">
        <f>INDEX(卡牌消耗!$H$13:$H$33,世界BOSS专属武器!N554)</f>
        <v>1501010</v>
      </c>
      <c r="P554" s="49" t="s">
        <v>408</v>
      </c>
      <c r="Q554" s="15">
        <f t="shared" si="133"/>
        <v>15</v>
      </c>
      <c r="R554" s="49" t="str">
        <f t="shared" si="134"/>
        <v>金币</v>
      </c>
      <c r="S554" s="15">
        <f t="shared" si="135"/>
        <v>1000</v>
      </c>
      <c r="T554" s="15" t="str">
        <f t="shared" si="136"/>
        <v>低级专属强化石</v>
      </c>
      <c r="U554" s="15">
        <f t="shared" si="137"/>
        <v>10</v>
      </c>
      <c r="V554" s="15" t="str">
        <f t="shared" si="138"/>
        <v>[x]</v>
      </c>
      <c r="W554" s="15" t="str">
        <f t="shared" si="139"/>
        <v>[x]</v>
      </c>
      <c r="X554" s="15">
        <f t="shared" si="140"/>
        <v>0.25</v>
      </c>
      <c r="Y554" s="15">
        <f t="shared" si="141"/>
        <v>1</v>
      </c>
      <c r="Z554" s="15">
        <f t="shared" si="142"/>
        <v>8</v>
      </c>
      <c r="AA554" s="15">
        <f t="shared" si="143"/>
        <v>0.1333</v>
      </c>
    </row>
    <row r="555" spans="13:27" ht="16.5" x14ac:dyDescent="0.2">
      <c r="M555" s="15">
        <v>476</v>
      </c>
      <c r="N555" s="15">
        <f t="shared" si="132"/>
        <v>10</v>
      </c>
      <c r="O555" s="15">
        <f>INDEX(卡牌消耗!$H$13:$H$33,世界BOSS专属武器!N555)</f>
        <v>1501010</v>
      </c>
      <c r="P555" s="49" t="s">
        <v>408</v>
      </c>
      <c r="Q555" s="15">
        <f t="shared" si="133"/>
        <v>16</v>
      </c>
      <c r="R555" s="49" t="str">
        <f t="shared" si="134"/>
        <v>金币</v>
      </c>
      <c r="S555" s="15">
        <f t="shared" si="135"/>
        <v>1000</v>
      </c>
      <c r="T555" s="15" t="str">
        <f t="shared" si="136"/>
        <v>低级专属强化石</v>
      </c>
      <c r="U555" s="15">
        <f t="shared" si="137"/>
        <v>10</v>
      </c>
      <c r="V555" s="15" t="str">
        <f t="shared" si="138"/>
        <v>[x]</v>
      </c>
      <c r="W555" s="15" t="str">
        <f t="shared" si="139"/>
        <v>[x]</v>
      </c>
      <c r="X555" s="15">
        <f t="shared" si="140"/>
        <v>0.23</v>
      </c>
      <c r="Y555" s="15">
        <f t="shared" si="141"/>
        <v>1</v>
      </c>
      <c r="Z555" s="15">
        <f t="shared" si="142"/>
        <v>9</v>
      </c>
      <c r="AA555" s="15">
        <f t="shared" si="143"/>
        <v>0.1467</v>
      </c>
    </row>
    <row r="556" spans="13:27" ht="16.5" x14ac:dyDescent="0.2">
      <c r="M556" s="15">
        <v>477</v>
      </c>
      <c r="N556" s="15">
        <f t="shared" si="132"/>
        <v>10</v>
      </c>
      <c r="O556" s="15">
        <f>INDEX(卡牌消耗!$H$13:$H$33,世界BOSS专属武器!N556)</f>
        <v>1501010</v>
      </c>
      <c r="P556" s="49" t="s">
        <v>408</v>
      </c>
      <c r="Q556" s="15">
        <f t="shared" si="133"/>
        <v>17</v>
      </c>
      <c r="R556" s="49" t="str">
        <f t="shared" si="134"/>
        <v>金币</v>
      </c>
      <c r="S556" s="15">
        <f t="shared" si="135"/>
        <v>1000</v>
      </c>
      <c r="T556" s="15" t="str">
        <f t="shared" si="136"/>
        <v>低级专属强化石</v>
      </c>
      <c r="U556" s="15">
        <f t="shared" si="137"/>
        <v>10</v>
      </c>
      <c r="V556" s="15" t="str">
        <f t="shared" si="138"/>
        <v>[x]</v>
      </c>
      <c r="W556" s="15" t="str">
        <f t="shared" si="139"/>
        <v>[x]</v>
      </c>
      <c r="X556" s="15">
        <f t="shared" si="140"/>
        <v>0.21</v>
      </c>
      <c r="Y556" s="15">
        <f t="shared" si="141"/>
        <v>1</v>
      </c>
      <c r="Z556" s="15">
        <f t="shared" si="142"/>
        <v>10</v>
      </c>
      <c r="AA556" s="15">
        <f t="shared" si="143"/>
        <v>0.16</v>
      </c>
    </row>
    <row r="557" spans="13:27" ht="16.5" x14ac:dyDescent="0.2">
      <c r="M557" s="15">
        <v>478</v>
      </c>
      <c r="N557" s="15">
        <f t="shared" si="132"/>
        <v>10</v>
      </c>
      <c r="O557" s="15">
        <f>INDEX(卡牌消耗!$H$13:$H$33,世界BOSS专属武器!N557)</f>
        <v>1501010</v>
      </c>
      <c r="P557" s="49" t="s">
        <v>408</v>
      </c>
      <c r="Q557" s="15">
        <f t="shared" si="133"/>
        <v>18</v>
      </c>
      <c r="R557" s="49" t="str">
        <f t="shared" si="134"/>
        <v>金币</v>
      </c>
      <c r="S557" s="15">
        <f t="shared" si="135"/>
        <v>1000</v>
      </c>
      <c r="T557" s="15" t="str">
        <f t="shared" si="136"/>
        <v>低级专属强化石</v>
      </c>
      <c r="U557" s="15">
        <f t="shared" si="137"/>
        <v>10</v>
      </c>
      <c r="V557" s="15" t="str">
        <f t="shared" si="138"/>
        <v>[x]</v>
      </c>
      <c r="W557" s="15" t="str">
        <f t="shared" si="139"/>
        <v>[x]</v>
      </c>
      <c r="X557" s="15">
        <f t="shared" si="140"/>
        <v>0.19</v>
      </c>
      <c r="Y557" s="15">
        <f t="shared" si="141"/>
        <v>1</v>
      </c>
      <c r="Z557" s="15">
        <f t="shared" si="142"/>
        <v>11</v>
      </c>
      <c r="AA557" s="15">
        <f t="shared" si="143"/>
        <v>0.17330000000000001</v>
      </c>
    </row>
    <row r="558" spans="13:27" ht="16.5" x14ac:dyDescent="0.2">
      <c r="M558" s="15">
        <v>479</v>
      </c>
      <c r="N558" s="15">
        <f t="shared" si="132"/>
        <v>10</v>
      </c>
      <c r="O558" s="15">
        <f>INDEX(卡牌消耗!$H$13:$H$33,世界BOSS专属武器!N558)</f>
        <v>1501010</v>
      </c>
      <c r="P558" s="49" t="s">
        <v>408</v>
      </c>
      <c r="Q558" s="15">
        <f t="shared" si="133"/>
        <v>19</v>
      </c>
      <c r="R558" s="49" t="str">
        <f t="shared" si="134"/>
        <v>金币</v>
      </c>
      <c r="S558" s="15">
        <f t="shared" si="135"/>
        <v>1000</v>
      </c>
      <c r="T558" s="15" t="str">
        <f t="shared" si="136"/>
        <v>低级专属强化石</v>
      </c>
      <c r="U558" s="15">
        <f t="shared" si="137"/>
        <v>10</v>
      </c>
      <c r="V558" s="15" t="str">
        <f t="shared" si="138"/>
        <v>[x]</v>
      </c>
      <c r="W558" s="15" t="str">
        <f t="shared" si="139"/>
        <v>[x]</v>
      </c>
      <c r="X558" s="15">
        <f t="shared" si="140"/>
        <v>0.17</v>
      </c>
      <c r="Y558" s="15">
        <f t="shared" si="141"/>
        <v>1</v>
      </c>
      <c r="Z558" s="15">
        <f t="shared" si="142"/>
        <v>12</v>
      </c>
      <c r="AA558" s="15">
        <f t="shared" si="143"/>
        <v>0.1867</v>
      </c>
    </row>
    <row r="559" spans="13:27" ht="16.5" x14ac:dyDescent="0.2">
      <c r="M559" s="15">
        <v>480</v>
      </c>
      <c r="N559" s="15">
        <f t="shared" si="132"/>
        <v>10</v>
      </c>
      <c r="O559" s="15">
        <f>INDEX(卡牌消耗!$H$13:$H$33,世界BOSS专属武器!N559)</f>
        <v>1501010</v>
      </c>
      <c r="P559" s="49" t="s">
        <v>408</v>
      </c>
      <c r="Q559" s="15">
        <f t="shared" si="133"/>
        <v>20</v>
      </c>
      <c r="R559" s="49" t="str">
        <f t="shared" si="134"/>
        <v>金币</v>
      </c>
      <c r="S559" s="15">
        <f t="shared" si="135"/>
        <v>5000</v>
      </c>
      <c r="T559" s="15" t="str">
        <f t="shared" si="136"/>
        <v>低级专属强化石</v>
      </c>
      <c r="U559" s="15">
        <f t="shared" si="137"/>
        <v>15</v>
      </c>
      <c r="V559" s="15" t="str">
        <f t="shared" si="138"/>
        <v>中级专属强化石</v>
      </c>
      <c r="W559" s="15">
        <f t="shared" si="139"/>
        <v>7</v>
      </c>
      <c r="X559" s="15">
        <f t="shared" si="140"/>
        <v>0.15</v>
      </c>
      <c r="Y559" s="15">
        <f t="shared" si="141"/>
        <v>1</v>
      </c>
      <c r="Z559" s="15">
        <f t="shared" si="142"/>
        <v>15</v>
      </c>
      <c r="AA559" s="15">
        <f t="shared" si="143"/>
        <v>0.2</v>
      </c>
    </row>
    <row r="560" spans="13:27" ht="16.5" x14ac:dyDescent="0.2">
      <c r="M560" s="15">
        <v>481</v>
      </c>
      <c r="N560" s="15">
        <f t="shared" si="132"/>
        <v>10</v>
      </c>
      <c r="O560" s="15">
        <f>INDEX(卡牌消耗!$H$13:$H$33,世界BOSS专属武器!N560)</f>
        <v>1501010</v>
      </c>
      <c r="P560" s="49" t="s">
        <v>408</v>
      </c>
      <c r="Q560" s="15">
        <f t="shared" si="133"/>
        <v>21</v>
      </c>
      <c r="R560" s="49" t="str">
        <f t="shared" si="134"/>
        <v>金币</v>
      </c>
      <c r="S560" s="15">
        <f t="shared" si="135"/>
        <v>5000</v>
      </c>
      <c r="T560" s="15" t="str">
        <f t="shared" si="136"/>
        <v>低级专属强化石</v>
      </c>
      <c r="U560" s="15">
        <f t="shared" si="137"/>
        <v>15</v>
      </c>
      <c r="V560" s="15" t="str">
        <f t="shared" si="138"/>
        <v>中级专属强化石</v>
      </c>
      <c r="W560" s="15">
        <f t="shared" si="139"/>
        <v>7</v>
      </c>
      <c r="X560" s="15">
        <f t="shared" si="140"/>
        <v>0.15</v>
      </c>
      <c r="Y560" s="15">
        <f t="shared" si="141"/>
        <v>1</v>
      </c>
      <c r="Z560" s="15">
        <f t="shared" si="142"/>
        <v>15</v>
      </c>
      <c r="AA560" s="15">
        <f t="shared" si="143"/>
        <v>0.22</v>
      </c>
    </row>
    <row r="561" spans="13:27" ht="16.5" x14ac:dyDescent="0.2">
      <c r="M561" s="15">
        <v>482</v>
      </c>
      <c r="N561" s="15">
        <f t="shared" si="132"/>
        <v>10</v>
      </c>
      <c r="O561" s="15">
        <f>INDEX(卡牌消耗!$H$13:$H$33,世界BOSS专属武器!N561)</f>
        <v>1501010</v>
      </c>
      <c r="P561" s="49" t="s">
        <v>408</v>
      </c>
      <c r="Q561" s="15">
        <f t="shared" si="133"/>
        <v>22</v>
      </c>
      <c r="R561" s="49" t="str">
        <f t="shared" si="134"/>
        <v>金币</v>
      </c>
      <c r="S561" s="15">
        <f t="shared" si="135"/>
        <v>5000</v>
      </c>
      <c r="T561" s="15" t="str">
        <f t="shared" si="136"/>
        <v>低级专属强化石</v>
      </c>
      <c r="U561" s="15">
        <f t="shared" si="137"/>
        <v>15</v>
      </c>
      <c r="V561" s="15" t="str">
        <f t="shared" si="138"/>
        <v>中级专属强化石</v>
      </c>
      <c r="W561" s="15">
        <f t="shared" si="139"/>
        <v>7</v>
      </c>
      <c r="X561" s="15">
        <f t="shared" si="140"/>
        <v>0.15</v>
      </c>
      <c r="Y561" s="15">
        <f t="shared" si="141"/>
        <v>1</v>
      </c>
      <c r="Z561" s="15">
        <f t="shared" si="142"/>
        <v>15</v>
      </c>
      <c r="AA561" s="15">
        <f t="shared" si="143"/>
        <v>0.24</v>
      </c>
    </row>
    <row r="562" spans="13:27" ht="16.5" x14ac:dyDescent="0.2">
      <c r="M562" s="15">
        <v>483</v>
      </c>
      <c r="N562" s="15">
        <f t="shared" si="132"/>
        <v>10</v>
      </c>
      <c r="O562" s="15">
        <f>INDEX(卡牌消耗!$H$13:$H$33,世界BOSS专属武器!N562)</f>
        <v>1501010</v>
      </c>
      <c r="P562" s="49" t="s">
        <v>408</v>
      </c>
      <c r="Q562" s="15">
        <f t="shared" si="133"/>
        <v>23</v>
      </c>
      <c r="R562" s="49" t="str">
        <f t="shared" si="134"/>
        <v>金币</v>
      </c>
      <c r="S562" s="15">
        <f t="shared" si="135"/>
        <v>5000</v>
      </c>
      <c r="T562" s="15" t="str">
        <f t="shared" si="136"/>
        <v>低级专属强化石</v>
      </c>
      <c r="U562" s="15">
        <f t="shared" si="137"/>
        <v>15</v>
      </c>
      <c r="V562" s="15" t="str">
        <f t="shared" si="138"/>
        <v>中级专属强化石</v>
      </c>
      <c r="W562" s="15">
        <f t="shared" si="139"/>
        <v>7</v>
      </c>
      <c r="X562" s="15">
        <f t="shared" si="140"/>
        <v>0.15</v>
      </c>
      <c r="Y562" s="15">
        <f t="shared" si="141"/>
        <v>1</v>
      </c>
      <c r="Z562" s="15">
        <f t="shared" si="142"/>
        <v>18</v>
      </c>
      <c r="AA562" s="15">
        <f t="shared" si="143"/>
        <v>0.26</v>
      </c>
    </row>
    <row r="563" spans="13:27" ht="16.5" x14ac:dyDescent="0.2">
      <c r="M563" s="15">
        <v>484</v>
      </c>
      <c r="N563" s="15">
        <f t="shared" si="132"/>
        <v>10</v>
      </c>
      <c r="O563" s="15">
        <f>INDEX(卡牌消耗!$H$13:$H$33,世界BOSS专属武器!N563)</f>
        <v>1501010</v>
      </c>
      <c r="P563" s="49" t="s">
        <v>408</v>
      </c>
      <c r="Q563" s="15">
        <f t="shared" si="133"/>
        <v>24</v>
      </c>
      <c r="R563" s="49" t="str">
        <f t="shared" si="134"/>
        <v>金币</v>
      </c>
      <c r="S563" s="15">
        <f t="shared" si="135"/>
        <v>5000</v>
      </c>
      <c r="T563" s="15" t="str">
        <f t="shared" si="136"/>
        <v>低级专属强化石</v>
      </c>
      <c r="U563" s="15">
        <f t="shared" si="137"/>
        <v>15</v>
      </c>
      <c r="V563" s="15" t="str">
        <f t="shared" si="138"/>
        <v>中级专属强化石</v>
      </c>
      <c r="W563" s="15">
        <f t="shared" si="139"/>
        <v>7</v>
      </c>
      <c r="X563" s="15">
        <f t="shared" si="140"/>
        <v>0.15</v>
      </c>
      <c r="Y563" s="15">
        <f t="shared" si="141"/>
        <v>1</v>
      </c>
      <c r="Z563" s="15">
        <f t="shared" si="142"/>
        <v>18</v>
      </c>
      <c r="AA563" s="15">
        <f t="shared" si="143"/>
        <v>0.28000000000000003</v>
      </c>
    </row>
    <row r="564" spans="13:27" ht="16.5" x14ac:dyDescent="0.2">
      <c r="M564" s="15">
        <v>485</v>
      </c>
      <c r="N564" s="15">
        <f t="shared" si="132"/>
        <v>10</v>
      </c>
      <c r="O564" s="15">
        <f>INDEX(卡牌消耗!$H$13:$H$33,世界BOSS专属武器!N564)</f>
        <v>1501010</v>
      </c>
      <c r="P564" s="49" t="s">
        <v>408</v>
      </c>
      <c r="Q564" s="15">
        <f t="shared" si="133"/>
        <v>25</v>
      </c>
      <c r="R564" s="49" t="str">
        <f t="shared" si="134"/>
        <v>金币</v>
      </c>
      <c r="S564" s="15">
        <f t="shared" si="135"/>
        <v>5000</v>
      </c>
      <c r="T564" s="15" t="str">
        <f t="shared" si="136"/>
        <v>低级专属强化石</v>
      </c>
      <c r="U564" s="15">
        <f t="shared" si="137"/>
        <v>15</v>
      </c>
      <c r="V564" s="15" t="str">
        <f t="shared" si="138"/>
        <v>中级专属强化石</v>
      </c>
      <c r="W564" s="15">
        <f t="shared" si="139"/>
        <v>7</v>
      </c>
      <c r="X564" s="15">
        <f t="shared" si="140"/>
        <v>0.15</v>
      </c>
      <c r="Y564" s="15">
        <f t="shared" si="141"/>
        <v>1</v>
      </c>
      <c r="Z564" s="15">
        <f t="shared" si="142"/>
        <v>18</v>
      </c>
      <c r="AA564" s="15">
        <f t="shared" si="143"/>
        <v>0.3</v>
      </c>
    </row>
    <row r="565" spans="13:27" ht="16.5" x14ac:dyDescent="0.2">
      <c r="M565" s="15">
        <v>486</v>
      </c>
      <c r="N565" s="15">
        <f t="shared" si="132"/>
        <v>10</v>
      </c>
      <c r="O565" s="15">
        <f>INDEX(卡牌消耗!$H$13:$H$33,世界BOSS专属武器!N565)</f>
        <v>1501010</v>
      </c>
      <c r="P565" s="49" t="s">
        <v>408</v>
      </c>
      <c r="Q565" s="15">
        <f t="shared" si="133"/>
        <v>26</v>
      </c>
      <c r="R565" s="49" t="str">
        <f t="shared" si="134"/>
        <v>金币</v>
      </c>
      <c r="S565" s="15">
        <f t="shared" si="135"/>
        <v>5000</v>
      </c>
      <c r="T565" s="15" t="str">
        <f t="shared" si="136"/>
        <v>低级专属强化石</v>
      </c>
      <c r="U565" s="15">
        <f t="shared" si="137"/>
        <v>15</v>
      </c>
      <c r="V565" s="15" t="str">
        <f t="shared" si="138"/>
        <v>中级专属强化石</v>
      </c>
      <c r="W565" s="15">
        <f t="shared" si="139"/>
        <v>7</v>
      </c>
      <c r="X565" s="15">
        <f t="shared" si="140"/>
        <v>0.15</v>
      </c>
      <c r="Y565" s="15">
        <f t="shared" si="141"/>
        <v>1</v>
      </c>
      <c r="Z565" s="15">
        <f t="shared" si="142"/>
        <v>21</v>
      </c>
      <c r="AA565" s="15">
        <f t="shared" si="143"/>
        <v>0.32</v>
      </c>
    </row>
    <row r="566" spans="13:27" ht="16.5" x14ac:dyDescent="0.2">
      <c r="M566" s="15">
        <v>487</v>
      </c>
      <c r="N566" s="15">
        <f t="shared" si="132"/>
        <v>10</v>
      </c>
      <c r="O566" s="15">
        <f>INDEX(卡牌消耗!$H$13:$H$33,世界BOSS专属武器!N566)</f>
        <v>1501010</v>
      </c>
      <c r="P566" s="49" t="s">
        <v>408</v>
      </c>
      <c r="Q566" s="15">
        <f t="shared" si="133"/>
        <v>27</v>
      </c>
      <c r="R566" s="49" t="str">
        <f t="shared" si="134"/>
        <v>金币</v>
      </c>
      <c r="S566" s="15">
        <f t="shared" si="135"/>
        <v>5000</v>
      </c>
      <c r="T566" s="15" t="str">
        <f t="shared" si="136"/>
        <v>低级专属强化石</v>
      </c>
      <c r="U566" s="15">
        <f t="shared" si="137"/>
        <v>15</v>
      </c>
      <c r="V566" s="15" t="str">
        <f t="shared" si="138"/>
        <v>中级专属强化石</v>
      </c>
      <c r="W566" s="15">
        <f t="shared" si="139"/>
        <v>7</v>
      </c>
      <c r="X566" s="15">
        <f t="shared" si="140"/>
        <v>0.15</v>
      </c>
      <c r="Y566" s="15">
        <f t="shared" si="141"/>
        <v>1</v>
      </c>
      <c r="Z566" s="15">
        <f t="shared" si="142"/>
        <v>22</v>
      </c>
      <c r="AA566" s="15">
        <f t="shared" si="143"/>
        <v>0.34</v>
      </c>
    </row>
    <row r="567" spans="13:27" ht="16.5" x14ac:dyDescent="0.2">
      <c r="M567" s="15">
        <v>488</v>
      </c>
      <c r="N567" s="15">
        <f t="shared" si="132"/>
        <v>10</v>
      </c>
      <c r="O567" s="15">
        <f>INDEX(卡牌消耗!$H$13:$H$33,世界BOSS专属武器!N567)</f>
        <v>1501010</v>
      </c>
      <c r="P567" s="49" t="s">
        <v>408</v>
      </c>
      <c r="Q567" s="15">
        <f t="shared" si="133"/>
        <v>28</v>
      </c>
      <c r="R567" s="49" t="str">
        <f t="shared" si="134"/>
        <v>金币</v>
      </c>
      <c r="S567" s="15">
        <f t="shared" si="135"/>
        <v>5000</v>
      </c>
      <c r="T567" s="15" t="str">
        <f t="shared" si="136"/>
        <v>低级专属强化石</v>
      </c>
      <c r="U567" s="15">
        <f t="shared" si="137"/>
        <v>15</v>
      </c>
      <c r="V567" s="15" t="str">
        <f t="shared" si="138"/>
        <v>中级专属强化石</v>
      </c>
      <c r="W567" s="15">
        <f t="shared" si="139"/>
        <v>7</v>
      </c>
      <c r="X567" s="15">
        <f t="shared" si="140"/>
        <v>0.15</v>
      </c>
      <c r="Y567" s="15">
        <f t="shared" si="141"/>
        <v>1</v>
      </c>
      <c r="Z567" s="15">
        <f t="shared" si="142"/>
        <v>23</v>
      </c>
      <c r="AA567" s="15">
        <f t="shared" si="143"/>
        <v>0.36</v>
      </c>
    </row>
    <row r="568" spans="13:27" ht="16.5" x14ac:dyDescent="0.2">
      <c r="M568" s="15">
        <v>489</v>
      </c>
      <c r="N568" s="15">
        <f t="shared" si="132"/>
        <v>10</v>
      </c>
      <c r="O568" s="15">
        <f>INDEX(卡牌消耗!$H$13:$H$33,世界BOSS专属武器!N568)</f>
        <v>1501010</v>
      </c>
      <c r="P568" s="49" t="s">
        <v>408</v>
      </c>
      <c r="Q568" s="15">
        <f t="shared" si="133"/>
        <v>29</v>
      </c>
      <c r="R568" s="49" t="str">
        <f t="shared" si="134"/>
        <v>金币</v>
      </c>
      <c r="S568" s="15">
        <f t="shared" si="135"/>
        <v>5000</v>
      </c>
      <c r="T568" s="15" t="str">
        <f t="shared" si="136"/>
        <v>低级专属强化石</v>
      </c>
      <c r="U568" s="15">
        <f t="shared" si="137"/>
        <v>15</v>
      </c>
      <c r="V568" s="15" t="str">
        <f t="shared" si="138"/>
        <v>中级专属强化石</v>
      </c>
      <c r="W568" s="15">
        <f t="shared" si="139"/>
        <v>7</v>
      </c>
      <c r="X568" s="15">
        <f t="shared" si="140"/>
        <v>0.15</v>
      </c>
      <c r="Y568" s="15">
        <f t="shared" si="141"/>
        <v>1</v>
      </c>
      <c r="Z568" s="15">
        <f t="shared" si="142"/>
        <v>25</v>
      </c>
      <c r="AA568" s="15">
        <f t="shared" si="143"/>
        <v>0.38</v>
      </c>
    </row>
    <row r="569" spans="13:27" ht="16.5" x14ac:dyDescent="0.2">
      <c r="M569" s="15">
        <v>490</v>
      </c>
      <c r="N569" s="15">
        <f t="shared" si="132"/>
        <v>10</v>
      </c>
      <c r="O569" s="15">
        <f>INDEX(卡牌消耗!$H$13:$H$33,世界BOSS专属武器!N569)</f>
        <v>1501010</v>
      </c>
      <c r="P569" s="49" t="s">
        <v>408</v>
      </c>
      <c r="Q569" s="15">
        <f t="shared" si="133"/>
        <v>30</v>
      </c>
      <c r="R569" s="49" t="str">
        <f t="shared" si="134"/>
        <v>金币</v>
      </c>
      <c r="S569" s="15">
        <f t="shared" si="135"/>
        <v>10000</v>
      </c>
      <c r="T569" s="15" t="str">
        <f t="shared" si="136"/>
        <v>中级专属强化石</v>
      </c>
      <c r="U569" s="15">
        <f t="shared" si="137"/>
        <v>8</v>
      </c>
      <c r="V569" s="15" t="str">
        <f t="shared" si="138"/>
        <v>高级专属强化石</v>
      </c>
      <c r="W569" s="15">
        <f t="shared" si="139"/>
        <v>3</v>
      </c>
      <c r="X569" s="15">
        <f t="shared" si="140"/>
        <v>0.1</v>
      </c>
      <c r="Y569" s="15">
        <f t="shared" si="141"/>
        <v>1</v>
      </c>
      <c r="Z569" s="15">
        <f t="shared" si="142"/>
        <v>30</v>
      </c>
      <c r="AA569" s="15">
        <f t="shared" si="143"/>
        <v>0.4</v>
      </c>
    </row>
    <row r="570" spans="13:27" ht="16.5" x14ac:dyDescent="0.2">
      <c r="M570" s="15">
        <v>491</v>
      </c>
      <c r="N570" s="15">
        <f t="shared" si="132"/>
        <v>10</v>
      </c>
      <c r="O570" s="15">
        <f>INDEX(卡牌消耗!$H$13:$H$33,世界BOSS专属武器!N570)</f>
        <v>1501010</v>
      </c>
      <c r="P570" s="49" t="s">
        <v>408</v>
      </c>
      <c r="Q570" s="15">
        <f t="shared" si="133"/>
        <v>31</v>
      </c>
      <c r="R570" s="49" t="str">
        <f t="shared" si="134"/>
        <v>金币</v>
      </c>
      <c r="S570" s="15">
        <f t="shared" si="135"/>
        <v>10000</v>
      </c>
      <c r="T570" s="15" t="str">
        <f t="shared" si="136"/>
        <v>中级专属强化石</v>
      </c>
      <c r="U570" s="15">
        <f t="shared" si="137"/>
        <v>8</v>
      </c>
      <c r="V570" s="15" t="str">
        <f t="shared" si="138"/>
        <v>高级专属强化石</v>
      </c>
      <c r="W570" s="15">
        <f t="shared" si="139"/>
        <v>3</v>
      </c>
      <c r="X570" s="15">
        <f t="shared" si="140"/>
        <v>0.1</v>
      </c>
      <c r="Y570" s="15">
        <f t="shared" si="141"/>
        <v>1</v>
      </c>
      <c r="Z570" s="15">
        <f t="shared" si="142"/>
        <v>30</v>
      </c>
      <c r="AA570" s="15">
        <f t="shared" si="143"/>
        <v>0.42670000000000002</v>
      </c>
    </row>
    <row r="571" spans="13:27" ht="16.5" x14ac:dyDescent="0.2">
      <c r="M571" s="15">
        <v>492</v>
      </c>
      <c r="N571" s="15">
        <f t="shared" si="132"/>
        <v>10</v>
      </c>
      <c r="O571" s="15">
        <f>INDEX(卡牌消耗!$H$13:$H$33,世界BOSS专属武器!N571)</f>
        <v>1501010</v>
      </c>
      <c r="P571" s="49" t="s">
        <v>408</v>
      </c>
      <c r="Q571" s="15">
        <f t="shared" si="133"/>
        <v>32</v>
      </c>
      <c r="R571" s="49" t="str">
        <f t="shared" si="134"/>
        <v>金币</v>
      </c>
      <c r="S571" s="15">
        <f t="shared" si="135"/>
        <v>10000</v>
      </c>
      <c r="T571" s="15" t="str">
        <f t="shared" si="136"/>
        <v>中级专属强化石</v>
      </c>
      <c r="U571" s="15">
        <f t="shared" si="137"/>
        <v>8</v>
      </c>
      <c r="V571" s="15" t="str">
        <f t="shared" si="138"/>
        <v>高级专属强化石</v>
      </c>
      <c r="W571" s="15">
        <f t="shared" si="139"/>
        <v>3</v>
      </c>
      <c r="X571" s="15">
        <f t="shared" si="140"/>
        <v>0.1</v>
      </c>
      <c r="Y571" s="15">
        <f t="shared" si="141"/>
        <v>1</v>
      </c>
      <c r="Z571" s="15">
        <f t="shared" si="142"/>
        <v>30</v>
      </c>
      <c r="AA571" s="15">
        <f t="shared" si="143"/>
        <v>0.45329999999999998</v>
      </c>
    </row>
    <row r="572" spans="13:27" ht="16.5" x14ac:dyDescent="0.2">
      <c r="M572" s="15">
        <v>493</v>
      </c>
      <c r="N572" s="15">
        <f t="shared" si="132"/>
        <v>10</v>
      </c>
      <c r="O572" s="15">
        <f>INDEX(卡牌消耗!$H$13:$H$33,世界BOSS专属武器!N572)</f>
        <v>1501010</v>
      </c>
      <c r="P572" s="49" t="s">
        <v>408</v>
      </c>
      <c r="Q572" s="15">
        <f t="shared" si="133"/>
        <v>33</v>
      </c>
      <c r="R572" s="49" t="str">
        <f t="shared" si="134"/>
        <v>金币</v>
      </c>
      <c r="S572" s="15">
        <f t="shared" si="135"/>
        <v>10000</v>
      </c>
      <c r="T572" s="15" t="str">
        <f t="shared" si="136"/>
        <v>中级专属强化石</v>
      </c>
      <c r="U572" s="15">
        <f t="shared" si="137"/>
        <v>8</v>
      </c>
      <c r="V572" s="15" t="str">
        <f t="shared" si="138"/>
        <v>高级专属强化石</v>
      </c>
      <c r="W572" s="15">
        <f t="shared" si="139"/>
        <v>3</v>
      </c>
      <c r="X572" s="15">
        <f t="shared" si="140"/>
        <v>0.1</v>
      </c>
      <c r="Y572" s="15">
        <f t="shared" si="141"/>
        <v>1</v>
      </c>
      <c r="Z572" s="15">
        <f t="shared" si="142"/>
        <v>30</v>
      </c>
      <c r="AA572" s="15">
        <f t="shared" si="143"/>
        <v>0.48</v>
      </c>
    </row>
    <row r="573" spans="13:27" ht="16.5" x14ac:dyDescent="0.2">
      <c r="M573" s="15">
        <v>494</v>
      </c>
      <c r="N573" s="15">
        <f t="shared" si="132"/>
        <v>10</v>
      </c>
      <c r="O573" s="15">
        <f>INDEX(卡牌消耗!$H$13:$H$33,世界BOSS专属武器!N573)</f>
        <v>1501010</v>
      </c>
      <c r="P573" s="49" t="s">
        <v>408</v>
      </c>
      <c r="Q573" s="15">
        <f t="shared" si="133"/>
        <v>34</v>
      </c>
      <c r="R573" s="49" t="str">
        <f t="shared" si="134"/>
        <v>金币</v>
      </c>
      <c r="S573" s="15">
        <f t="shared" si="135"/>
        <v>10000</v>
      </c>
      <c r="T573" s="15" t="str">
        <f t="shared" si="136"/>
        <v>中级专属强化石</v>
      </c>
      <c r="U573" s="15">
        <f t="shared" si="137"/>
        <v>8</v>
      </c>
      <c r="V573" s="15" t="str">
        <f t="shared" si="138"/>
        <v>高级专属强化石</v>
      </c>
      <c r="W573" s="15">
        <f t="shared" si="139"/>
        <v>3</v>
      </c>
      <c r="X573" s="15">
        <f t="shared" si="140"/>
        <v>0.1</v>
      </c>
      <c r="Y573" s="15">
        <f t="shared" si="141"/>
        <v>1</v>
      </c>
      <c r="Z573" s="15">
        <f t="shared" si="142"/>
        <v>30</v>
      </c>
      <c r="AA573" s="15">
        <f t="shared" si="143"/>
        <v>0.50670000000000004</v>
      </c>
    </row>
    <row r="574" spans="13:27" ht="16.5" x14ac:dyDescent="0.2">
      <c r="M574" s="15">
        <v>495</v>
      </c>
      <c r="N574" s="15">
        <f t="shared" si="132"/>
        <v>10</v>
      </c>
      <c r="O574" s="15">
        <f>INDEX(卡牌消耗!$H$13:$H$33,世界BOSS专属武器!N574)</f>
        <v>1501010</v>
      </c>
      <c r="P574" s="49" t="s">
        <v>408</v>
      </c>
      <c r="Q574" s="15">
        <f t="shared" si="133"/>
        <v>35</v>
      </c>
      <c r="R574" s="49" t="str">
        <f t="shared" si="134"/>
        <v>金币</v>
      </c>
      <c r="S574" s="15">
        <f t="shared" si="135"/>
        <v>10000</v>
      </c>
      <c r="T574" s="15" t="str">
        <f t="shared" si="136"/>
        <v>中级专属强化石</v>
      </c>
      <c r="U574" s="15">
        <f t="shared" si="137"/>
        <v>8</v>
      </c>
      <c r="V574" s="15" t="str">
        <f t="shared" si="138"/>
        <v>高级专属强化石</v>
      </c>
      <c r="W574" s="15">
        <f t="shared" si="139"/>
        <v>3</v>
      </c>
      <c r="X574" s="15">
        <f t="shared" si="140"/>
        <v>0.1</v>
      </c>
      <c r="Y574" s="15">
        <f t="shared" si="141"/>
        <v>1</v>
      </c>
      <c r="Z574" s="15">
        <f t="shared" si="142"/>
        <v>30</v>
      </c>
      <c r="AA574" s="15">
        <f t="shared" si="143"/>
        <v>0.5333</v>
      </c>
    </row>
    <row r="575" spans="13:27" ht="16.5" x14ac:dyDescent="0.2">
      <c r="M575" s="15">
        <v>496</v>
      </c>
      <c r="N575" s="15">
        <f t="shared" si="132"/>
        <v>10</v>
      </c>
      <c r="O575" s="15">
        <f>INDEX(卡牌消耗!$H$13:$H$33,世界BOSS专属武器!N575)</f>
        <v>1501010</v>
      </c>
      <c r="P575" s="49" t="s">
        <v>408</v>
      </c>
      <c r="Q575" s="15">
        <f t="shared" si="133"/>
        <v>36</v>
      </c>
      <c r="R575" s="49" t="str">
        <f t="shared" si="134"/>
        <v>金币</v>
      </c>
      <c r="S575" s="15">
        <f t="shared" si="135"/>
        <v>10000</v>
      </c>
      <c r="T575" s="15" t="str">
        <f t="shared" si="136"/>
        <v>中级专属强化石</v>
      </c>
      <c r="U575" s="15">
        <f t="shared" si="137"/>
        <v>8</v>
      </c>
      <c r="V575" s="15" t="str">
        <f t="shared" si="138"/>
        <v>高级专属强化石</v>
      </c>
      <c r="W575" s="15">
        <f t="shared" si="139"/>
        <v>3</v>
      </c>
      <c r="X575" s="15">
        <f t="shared" si="140"/>
        <v>0.1</v>
      </c>
      <c r="Y575" s="15">
        <f t="shared" si="141"/>
        <v>1</v>
      </c>
      <c r="Z575" s="15">
        <f t="shared" si="142"/>
        <v>30</v>
      </c>
      <c r="AA575" s="15">
        <f t="shared" si="143"/>
        <v>0.56000000000000005</v>
      </c>
    </row>
    <row r="576" spans="13:27" ht="16.5" x14ac:dyDescent="0.2">
      <c r="M576" s="15">
        <v>497</v>
      </c>
      <c r="N576" s="15">
        <f t="shared" si="132"/>
        <v>10</v>
      </c>
      <c r="O576" s="15">
        <f>INDEX(卡牌消耗!$H$13:$H$33,世界BOSS专属武器!N576)</f>
        <v>1501010</v>
      </c>
      <c r="P576" s="49" t="s">
        <v>408</v>
      </c>
      <c r="Q576" s="15">
        <f t="shared" si="133"/>
        <v>37</v>
      </c>
      <c r="R576" s="49" t="str">
        <f t="shared" si="134"/>
        <v>金币</v>
      </c>
      <c r="S576" s="15">
        <f t="shared" si="135"/>
        <v>10000</v>
      </c>
      <c r="T576" s="15" t="str">
        <f t="shared" si="136"/>
        <v>中级专属强化石</v>
      </c>
      <c r="U576" s="15">
        <f t="shared" si="137"/>
        <v>8</v>
      </c>
      <c r="V576" s="15" t="str">
        <f t="shared" si="138"/>
        <v>高级专属强化石</v>
      </c>
      <c r="W576" s="15">
        <f t="shared" si="139"/>
        <v>3</v>
      </c>
      <c r="X576" s="15">
        <f t="shared" si="140"/>
        <v>0.1</v>
      </c>
      <c r="Y576" s="15">
        <f t="shared" si="141"/>
        <v>1</v>
      </c>
      <c r="Z576" s="15">
        <f t="shared" si="142"/>
        <v>30</v>
      </c>
      <c r="AA576" s="15">
        <f t="shared" si="143"/>
        <v>0.5867</v>
      </c>
    </row>
    <row r="577" spans="13:27" ht="16.5" x14ac:dyDescent="0.2">
      <c r="M577" s="15">
        <v>498</v>
      </c>
      <c r="N577" s="15">
        <f t="shared" si="132"/>
        <v>10</v>
      </c>
      <c r="O577" s="15">
        <f>INDEX(卡牌消耗!$H$13:$H$33,世界BOSS专属武器!N577)</f>
        <v>1501010</v>
      </c>
      <c r="P577" s="49" t="s">
        <v>408</v>
      </c>
      <c r="Q577" s="15">
        <f t="shared" si="133"/>
        <v>38</v>
      </c>
      <c r="R577" s="49" t="str">
        <f t="shared" si="134"/>
        <v>金币</v>
      </c>
      <c r="S577" s="15">
        <f t="shared" si="135"/>
        <v>10000</v>
      </c>
      <c r="T577" s="15" t="str">
        <f t="shared" si="136"/>
        <v>中级专属强化石</v>
      </c>
      <c r="U577" s="15">
        <f t="shared" si="137"/>
        <v>8</v>
      </c>
      <c r="V577" s="15" t="str">
        <f t="shared" si="138"/>
        <v>高级专属强化石</v>
      </c>
      <c r="W577" s="15">
        <f t="shared" si="139"/>
        <v>3</v>
      </c>
      <c r="X577" s="15">
        <f t="shared" si="140"/>
        <v>0.1</v>
      </c>
      <c r="Y577" s="15">
        <f t="shared" si="141"/>
        <v>1</v>
      </c>
      <c r="Z577" s="15">
        <f t="shared" si="142"/>
        <v>30</v>
      </c>
      <c r="AA577" s="15">
        <f t="shared" si="143"/>
        <v>0.61329999999999996</v>
      </c>
    </row>
    <row r="578" spans="13:27" ht="16.5" x14ac:dyDescent="0.2">
      <c r="M578" s="15">
        <v>499</v>
      </c>
      <c r="N578" s="15">
        <f t="shared" si="132"/>
        <v>10</v>
      </c>
      <c r="O578" s="15">
        <f>INDEX(卡牌消耗!$H$13:$H$33,世界BOSS专属武器!N578)</f>
        <v>1501010</v>
      </c>
      <c r="P578" s="49" t="s">
        <v>408</v>
      </c>
      <c r="Q578" s="15">
        <f t="shared" si="133"/>
        <v>39</v>
      </c>
      <c r="R578" s="49" t="str">
        <f t="shared" si="134"/>
        <v>金币</v>
      </c>
      <c r="S578" s="15">
        <f t="shared" si="135"/>
        <v>10000</v>
      </c>
      <c r="T578" s="15" t="str">
        <f t="shared" si="136"/>
        <v>中级专属强化石</v>
      </c>
      <c r="U578" s="15">
        <f t="shared" si="137"/>
        <v>8</v>
      </c>
      <c r="V578" s="15" t="str">
        <f t="shared" si="138"/>
        <v>高级专属强化石</v>
      </c>
      <c r="W578" s="15">
        <f t="shared" si="139"/>
        <v>3</v>
      </c>
      <c r="X578" s="15">
        <f t="shared" si="140"/>
        <v>0.1</v>
      </c>
      <c r="Y578" s="15">
        <f t="shared" si="141"/>
        <v>1</v>
      </c>
      <c r="Z578" s="15">
        <f t="shared" si="142"/>
        <v>30</v>
      </c>
      <c r="AA578" s="15">
        <f t="shared" si="143"/>
        <v>0.64</v>
      </c>
    </row>
    <row r="579" spans="13:27" ht="16.5" x14ac:dyDescent="0.2">
      <c r="M579" s="15">
        <v>500</v>
      </c>
      <c r="N579" s="15">
        <f t="shared" si="132"/>
        <v>10</v>
      </c>
      <c r="O579" s="15">
        <f>INDEX(卡牌消耗!$H$13:$H$33,世界BOSS专属武器!N579)</f>
        <v>1501010</v>
      </c>
      <c r="P579" s="49" t="s">
        <v>408</v>
      </c>
      <c r="Q579" s="15">
        <f t="shared" si="133"/>
        <v>40</v>
      </c>
      <c r="R579" s="49" t="str">
        <f t="shared" si="134"/>
        <v>金币</v>
      </c>
      <c r="S579" s="15">
        <f t="shared" si="135"/>
        <v>20000</v>
      </c>
      <c r="T579" s="15" t="str">
        <f t="shared" si="136"/>
        <v>高级专属强化石</v>
      </c>
      <c r="U579" s="15">
        <f t="shared" si="137"/>
        <v>5</v>
      </c>
      <c r="V579" s="15" t="str">
        <f t="shared" si="138"/>
        <v>[x]</v>
      </c>
      <c r="W579" s="15" t="str">
        <f t="shared" si="139"/>
        <v>[x]</v>
      </c>
      <c r="X579" s="15">
        <f t="shared" si="140"/>
        <v>0.1</v>
      </c>
      <c r="Y579" s="15">
        <f t="shared" si="141"/>
        <v>1</v>
      </c>
      <c r="Z579" s="15">
        <f t="shared" si="142"/>
        <v>35</v>
      </c>
      <c r="AA579" s="15">
        <f t="shared" si="143"/>
        <v>0.66669999999999996</v>
      </c>
    </row>
    <row r="580" spans="13:27" ht="16.5" x14ac:dyDescent="0.2">
      <c r="M580" s="15">
        <v>501</v>
      </c>
      <c r="N580" s="15">
        <f t="shared" si="132"/>
        <v>10</v>
      </c>
      <c r="O580" s="15">
        <f>INDEX(卡牌消耗!$H$13:$H$33,世界BOSS专属武器!N580)</f>
        <v>1501010</v>
      </c>
      <c r="P580" s="49" t="s">
        <v>408</v>
      </c>
      <c r="Q580" s="15">
        <f t="shared" si="133"/>
        <v>41</v>
      </c>
      <c r="R580" s="49" t="str">
        <f t="shared" si="134"/>
        <v>金币</v>
      </c>
      <c r="S580" s="15">
        <f t="shared" si="135"/>
        <v>20000</v>
      </c>
      <c r="T580" s="15" t="str">
        <f t="shared" si="136"/>
        <v>高级专属强化石</v>
      </c>
      <c r="U580" s="15">
        <f t="shared" si="137"/>
        <v>5</v>
      </c>
      <c r="V580" s="15" t="str">
        <f t="shared" si="138"/>
        <v>[x]</v>
      </c>
      <c r="W580" s="15" t="str">
        <f t="shared" si="139"/>
        <v>[x]</v>
      </c>
      <c r="X580" s="15">
        <f t="shared" si="140"/>
        <v>0.1</v>
      </c>
      <c r="Y580" s="15">
        <f t="shared" si="141"/>
        <v>1</v>
      </c>
      <c r="Z580" s="15">
        <f t="shared" si="142"/>
        <v>40</v>
      </c>
      <c r="AA580" s="15">
        <f t="shared" si="143"/>
        <v>0.7</v>
      </c>
    </row>
    <row r="581" spans="13:27" ht="16.5" x14ac:dyDescent="0.2">
      <c r="M581" s="15">
        <v>502</v>
      </c>
      <c r="N581" s="15">
        <f t="shared" si="132"/>
        <v>10</v>
      </c>
      <c r="O581" s="15">
        <f>INDEX(卡牌消耗!$H$13:$H$33,世界BOSS专属武器!N581)</f>
        <v>1501010</v>
      </c>
      <c r="P581" s="49" t="s">
        <v>408</v>
      </c>
      <c r="Q581" s="15">
        <f t="shared" si="133"/>
        <v>42</v>
      </c>
      <c r="R581" s="49" t="str">
        <f t="shared" si="134"/>
        <v>金币</v>
      </c>
      <c r="S581" s="15">
        <f t="shared" si="135"/>
        <v>20000</v>
      </c>
      <c r="T581" s="15" t="str">
        <f t="shared" si="136"/>
        <v>高级专属强化石</v>
      </c>
      <c r="U581" s="15">
        <f t="shared" si="137"/>
        <v>5</v>
      </c>
      <c r="V581" s="15" t="str">
        <f t="shared" si="138"/>
        <v>[x]</v>
      </c>
      <c r="W581" s="15" t="str">
        <f t="shared" si="139"/>
        <v>[x]</v>
      </c>
      <c r="X581" s="15">
        <f t="shared" si="140"/>
        <v>0.1</v>
      </c>
      <c r="Y581" s="15">
        <f t="shared" si="141"/>
        <v>1</v>
      </c>
      <c r="Z581" s="15">
        <f t="shared" si="142"/>
        <v>45</v>
      </c>
      <c r="AA581" s="15">
        <f t="shared" si="143"/>
        <v>0.73329999999999995</v>
      </c>
    </row>
    <row r="582" spans="13:27" ht="16.5" x14ac:dyDescent="0.2">
      <c r="M582" s="15">
        <v>503</v>
      </c>
      <c r="N582" s="15">
        <f t="shared" si="132"/>
        <v>10</v>
      </c>
      <c r="O582" s="15">
        <f>INDEX(卡牌消耗!$H$13:$H$33,世界BOSS专属武器!N582)</f>
        <v>1501010</v>
      </c>
      <c r="P582" s="49" t="s">
        <v>408</v>
      </c>
      <c r="Q582" s="15">
        <f t="shared" si="133"/>
        <v>43</v>
      </c>
      <c r="R582" s="49" t="str">
        <f t="shared" si="134"/>
        <v>金币</v>
      </c>
      <c r="S582" s="15">
        <f t="shared" si="135"/>
        <v>20000</v>
      </c>
      <c r="T582" s="15" t="str">
        <f t="shared" si="136"/>
        <v>高级专属强化石</v>
      </c>
      <c r="U582" s="15">
        <f t="shared" si="137"/>
        <v>5</v>
      </c>
      <c r="V582" s="15" t="str">
        <f t="shared" si="138"/>
        <v>[x]</v>
      </c>
      <c r="W582" s="15" t="str">
        <f t="shared" si="139"/>
        <v>[x]</v>
      </c>
      <c r="X582" s="15">
        <f t="shared" si="140"/>
        <v>0.1</v>
      </c>
      <c r="Y582" s="15">
        <f t="shared" si="141"/>
        <v>1</v>
      </c>
      <c r="Z582" s="15">
        <f t="shared" si="142"/>
        <v>50</v>
      </c>
      <c r="AA582" s="15">
        <f t="shared" si="143"/>
        <v>0.76670000000000005</v>
      </c>
    </row>
    <row r="583" spans="13:27" ht="16.5" x14ac:dyDescent="0.2">
      <c r="M583" s="15">
        <v>504</v>
      </c>
      <c r="N583" s="15">
        <f t="shared" si="132"/>
        <v>10</v>
      </c>
      <c r="O583" s="15">
        <f>INDEX(卡牌消耗!$H$13:$H$33,世界BOSS专属武器!N583)</f>
        <v>1501010</v>
      </c>
      <c r="P583" s="49" t="s">
        <v>408</v>
      </c>
      <c r="Q583" s="15">
        <f t="shared" si="133"/>
        <v>44</v>
      </c>
      <c r="R583" s="49" t="str">
        <f t="shared" si="134"/>
        <v>金币</v>
      </c>
      <c r="S583" s="15">
        <f t="shared" si="135"/>
        <v>20000</v>
      </c>
      <c r="T583" s="15" t="str">
        <f t="shared" si="136"/>
        <v>高级专属强化石</v>
      </c>
      <c r="U583" s="15">
        <f t="shared" si="137"/>
        <v>5</v>
      </c>
      <c r="V583" s="15" t="str">
        <f t="shared" si="138"/>
        <v>[x]</v>
      </c>
      <c r="W583" s="15" t="str">
        <f t="shared" si="139"/>
        <v>[x]</v>
      </c>
      <c r="X583" s="15">
        <f t="shared" si="140"/>
        <v>0.1</v>
      </c>
      <c r="Y583" s="15">
        <f t="shared" si="141"/>
        <v>1</v>
      </c>
      <c r="Z583" s="15">
        <f t="shared" si="142"/>
        <v>55</v>
      </c>
      <c r="AA583" s="15">
        <f t="shared" si="143"/>
        <v>0.8</v>
      </c>
    </row>
    <row r="584" spans="13:27" ht="16.5" x14ac:dyDescent="0.2">
      <c r="M584" s="15">
        <v>505</v>
      </c>
      <c r="N584" s="15">
        <f t="shared" si="132"/>
        <v>10</v>
      </c>
      <c r="O584" s="15">
        <f>INDEX(卡牌消耗!$H$13:$H$33,世界BOSS专属武器!N584)</f>
        <v>1501010</v>
      </c>
      <c r="P584" s="49" t="s">
        <v>408</v>
      </c>
      <c r="Q584" s="15">
        <f t="shared" si="133"/>
        <v>45</v>
      </c>
      <c r="R584" s="49" t="str">
        <f t="shared" si="134"/>
        <v>金币</v>
      </c>
      <c r="S584" s="15">
        <f t="shared" si="135"/>
        <v>20000</v>
      </c>
      <c r="T584" s="15" t="str">
        <f t="shared" si="136"/>
        <v>高级专属强化石</v>
      </c>
      <c r="U584" s="15">
        <f t="shared" si="137"/>
        <v>6</v>
      </c>
      <c r="V584" s="15" t="str">
        <f t="shared" si="138"/>
        <v>[x]</v>
      </c>
      <c r="W584" s="15" t="str">
        <f t="shared" si="139"/>
        <v>[x]</v>
      </c>
      <c r="X584" s="15">
        <f t="shared" si="140"/>
        <v>0.1</v>
      </c>
      <c r="Y584" s="15">
        <f t="shared" si="141"/>
        <v>1</v>
      </c>
      <c r="Z584" s="15">
        <f t="shared" si="142"/>
        <v>60</v>
      </c>
      <c r="AA584" s="15">
        <f t="shared" si="143"/>
        <v>0.83330000000000004</v>
      </c>
    </row>
    <row r="585" spans="13:27" ht="16.5" x14ac:dyDescent="0.2">
      <c r="M585" s="15">
        <v>506</v>
      </c>
      <c r="N585" s="15">
        <f t="shared" si="132"/>
        <v>10</v>
      </c>
      <c r="O585" s="15">
        <f>INDEX(卡牌消耗!$H$13:$H$33,世界BOSS专属武器!N585)</f>
        <v>1501010</v>
      </c>
      <c r="P585" s="49" t="s">
        <v>408</v>
      </c>
      <c r="Q585" s="15">
        <f t="shared" si="133"/>
        <v>46</v>
      </c>
      <c r="R585" s="49" t="str">
        <f t="shared" si="134"/>
        <v>金币</v>
      </c>
      <c r="S585" s="15">
        <f t="shared" si="135"/>
        <v>20000</v>
      </c>
      <c r="T585" s="15" t="str">
        <f t="shared" si="136"/>
        <v>高级专属强化石</v>
      </c>
      <c r="U585" s="15">
        <f t="shared" si="137"/>
        <v>7</v>
      </c>
      <c r="V585" s="15" t="str">
        <f t="shared" si="138"/>
        <v>[x]</v>
      </c>
      <c r="W585" s="15" t="str">
        <f t="shared" si="139"/>
        <v>[x]</v>
      </c>
      <c r="X585" s="15">
        <f t="shared" si="140"/>
        <v>0.1</v>
      </c>
      <c r="Y585" s="15">
        <f t="shared" si="141"/>
        <v>1</v>
      </c>
      <c r="Z585" s="15">
        <f t="shared" si="142"/>
        <v>70</v>
      </c>
      <c r="AA585" s="15">
        <f t="shared" si="143"/>
        <v>0.86670000000000003</v>
      </c>
    </row>
    <row r="586" spans="13:27" ht="16.5" x14ac:dyDescent="0.2">
      <c r="M586" s="15">
        <v>507</v>
      </c>
      <c r="N586" s="15">
        <f t="shared" si="132"/>
        <v>10</v>
      </c>
      <c r="O586" s="15">
        <f>INDEX(卡牌消耗!$H$13:$H$33,世界BOSS专属武器!N586)</f>
        <v>1501010</v>
      </c>
      <c r="P586" s="49" t="s">
        <v>408</v>
      </c>
      <c r="Q586" s="15">
        <f t="shared" si="133"/>
        <v>47</v>
      </c>
      <c r="R586" s="49" t="str">
        <f t="shared" si="134"/>
        <v>金币</v>
      </c>
      <c r="S586" s="15">
        <f t="shared" si="135"/>
        <v>20000</v>
      </c>
      <c r="T586" s="15" t="str">
        <f t="shared" si="136"/>
        <v>高级专属强化石</v>
      </c>
      <c r="U586" s="15">
        <f t="shared" si="137"/>
        <v>8</v>
      </c>
      <c r="V586" s="15" t="str">
        <f t="shared" si="138"/>
        <v>[x]</v>
      </c>
      <c r="W586" s="15" t="str">
        <f t="shared" si="139"/>
        <v>[x]</v>
      </c>
      <c r="X586" s="15">
        <f t="shared" si="140"/>
        <v>0.1</v>
      </c>
      <c r="Y586" s="15">
        <f t="shared" si="141"/>
        <v>1</v>
      </c>
      <c r="Z586" s="15">
        <f t="shared" si="142"/>
        <v>80</v>
      </c>
      <c r="AA586" s="15">
        <f t="shared" si="143"/>
        <v>0.9</v>
      </c>
    </row>
    <row r="587" spans="13:27" ht="16.5" x14ac:dyDescent="0.2">
      <c r="M587" s="15">
        <v>508</v>
      </c>
      <c r="N587" s="15">
        <f t="shared" si="132"/>
        <v>10</v>
      </c>
      <c r="O587" s="15">
        <f>INDEX(卡牌消耗!$H$13:$H$33,世界BOSS专属武器!N587)</f>
        <v>1501010</v>
      </c>
      <c r="P587" s="49" t="s">
        <v>408</v>
      </c>
      <c r="Q587" s="15">
        <f t="shared" si="133"/>
        <v>48</v>
      </c>
      <c r="R587" s="49" t="str">
        <f t="shared" si="134"/>
        <v>金币</v>
      </c>
      <c r="S587" s="15">
        <f t="shared" si="135"/>
        <v>20000</v>
      </c>
      <c r="T587" s="15" t="str">
        <f t="shared" si="136"/>
        <v>高级专属强化石</v>
      </c>
      <c r="U587" s="15">
        <f t="shared" si="137"/>
        <v>9</v>
      </c>
      <c r="V587" s="15" t="str">
        <f t="shared" si="138"/>
        <v>[x]</v>
      </c>
      <c r="W587" s="15" t="str">
        <f t="shared" si="139"/>
        <v>[x]</v>
      </c>
      <c r="X587" s="15">
        <f t="shared" si="140"/>
        <v>0.1</v>
      </c>
      <c r="Y587" s="15">
        <f t="shared" si="141"/>
        <v>1</v>
      </c>
      <c r="Z587" s="15">
        <f t="shared" si="142"/>
        <v>100</v>
      </c>
      <c r="AA587" s="15">
        <f t="shared" si="143"/>
        <v>0.93330000000000002</v>
      </c>
    </row>
    <row r="588" spans="13:27" ht="16.5" x14ac:dyDescent="0.2">
      <c r="M588" s="15">
        <v>509</v>
      </c>
      <c r="N588" s="15">
        <f t="shared" si="132"/>
        <v>10</v>
      </c>
      <c r="O588" s="15">
        <f>INDEX(卡牌消耗!$H$13:$H$33,世界BOSS专属武器!N588)</f>
        <v>1501010</v>
      </c>
      <c r="P588" s="49" t="s">
        <v>408</v>
      </c>
      <c r="Q588" s="15">
        <f t="shared" si="133"/>
        <v>49</v>
      </c>
      <c r="R588" s="49" t="str">
        <f t="shared" si="134"/>
        <v>金币</v>
      </c>
      <c r="S588" s="15">
        <f t="shared" si="135"/>
        <v>20000</v>
      </c>
      <c r="T588" s="15" t="str">
        <f t="shared" si="136"/>
        <v>高级专属强化石</v>
      </c>
      <c r="U588" s="15">
        <f t="shared" si="137"/>
        <v>10</v>
      </c>
      <c r="V588" s="15" t="str">
        <f t="shared" si="138"/>
        <v>[x]</v>
      </c>
      <c r="W588" s="15" t="str">
        <f t="shared" si="139"/>
        <v>[x]</v>
      </c>
      <c r="X588" s="15">
        <f t="shared" si="140"/>
        <v>0.1</v>
      </c>
      <c r="Y588" s="15">
        <f t="shared" si="141"/>
        <v>1</v>
      </c>
      <c r="Z588" s="15">
        <f t="shared" si="142"/>
        <v>120</v>
      </c>
      <c r="AA588" s="15">
        <f t="shared" si="143"/>
        <v>0.9667</v>
      </c>
    </row>
    <row r="589" spans="13:27" ht="16.5" x14ac:dyDescent="0.2">
      <c r="M589" s="15">
        <v>510</v>
      </c>
      <c r="N589" s="15">
        <f t="shared" si="132"/>
        <v>10</v>
      </c>
      <c r="O589" s="15">
        <f>INDEX(卡牌消耗!$H$13:$H$33,世界BOSS专属武器!N589)</f>
        <v>1501010</v>
      </c>
      <c r="P589" s="49" t="s">
        <v>408</v>
      </c>
      <c r="Q589" s="15">
        <f t="shared" si="133"/>
        <v>50</v>
      </c>
      <c r="R589" s="49" t="str">
        <f t="shared" si="134"/>
        <v>金币</v>
      </c>
      <c r="S589" s="15">
        <f t="shared" si="135"/>
        <v>20000</v>
      </c>
      <c r="T589" s="15" t="str">
        <f t="shared" si="136"/>
        <v>高级专属强化石</v>
      </c>
      <c r="U589" s="15">
        <f t="shared" si="137"/>
        <v>15</v>
      </c>
      <c r="V589" s="15" t="str">
        <f t="shared" si="138"/>
        <v>[x]</v>
      </c>
      <c r="W589" s="15" t="str">
        <f t="shared" si="139"/>
        <v>[x]</v>
      </c>
      <c r="X589" s="15">
        <f t="shared" si="140"/>
        <v>0.1</v>
      </c>
      <c r="Y589" s="15">
        <f t="shared" si="141"/>
        <v>1</v>
      </c>
      <c r="Z589" s="15">
        <f t="shared" si="142"/>
        <v>150</v>
      </c>
      <c r="AA589" s="15">
        <f t="shared" si="143"/>
        <v>1</v>
      </c>
    </row>
    <row r="590" spans="13:27" ht="16.5" x14ac:dyDescent="0.2">
      <c r="M590" s="15">
        <v>511</v>
      </c>
      <c r="N590" s="15">
        <f t="shared" si="132"/>
        <v>11</v>
      </c>
      <c r="O590" s="15">
        <f>INDEX(卡牌消耗!$H$13:$H$33,世界BOSS专属武器!N590)</f>
        <v>1501011</v>
      </c>
      <c r="P590" s="49" t="s">
        <v>408</v>
      </c>
      <c r="Q590" s="15">
        <f t="shared" si="133"/>
        <v>0</v>
      </c>
      <c r="R590" s="49" t="str">
        <f t="shared" si="134"/>
        <v>[x]</v>
      </c>
      <c r="S590" s="15" t="str">
        <f t="shared" si="135"/>
        <v>[x]</v>
      </c>
      <c r="T590" s="15" t="str">
        <f t="shared" si="136"/>
        <v>[x]</v>
      </c>
      <c r="U590" s="15" t="str">
        <f t="shared" si="137"/>
        <v>[x]</v>
      </c>
      <c r="V590" s="15" t="str">
        <f t="shared" si="138"/>
        <v>[x]</v>
      </c>
      <c r="W590" s="15" t="str">
        <f t="shared" si="139"/>
        <v>[x]</v>
      </c>
      <c r="X590" s="15" t="str">
        <f t="shared" si="140"/>
        <v>[x]</v>
      </c>
      <c r="Y590" s="15" t="str">
        <f t="shared" si="141"/>
        <v>[x]</v>
      </c>
      <c r="Z590" s="15" t="str">
        <f t="shared" si="142"/>
        <v>[x]</v>
      </c>
      <c r="AA590" s="15" t="str">
        <f t="shared" si="143"/>
        <v>[x]</v>
      </c>
    </row>
    <row r="591" spans="13:27" ht="16.5" x14ac:dyDescent="0.2">
      <c r="M591" s="15">
        <v>512</v>
      </c>
      <c r="N591" s="15">
        <f t="shared" si="132"/>
        <v>11</v>
      </c>
      <c r="O591" s="15">
        <f>INDEX(卡牌消耗!$H$13:$H$33,世界BOSS专属武器!N591)</f>
        <v>1501011</v>
      </c>
      <c r="P591" s="49" t="s">
        <v>408</v>
      </c>
      <c r="Q591" s="15">
        <f t="shared" si="133"/>
        <v>1</v>
      </c>
      <c r="R591" s="49" t="str">
        <f t="shared" si="134"/>
        <v>金币</v>
      </c>
      <c r="S591" s="15">
        <f t="shared" si="135"/>
        <v>100</v>
      </c>
      <c r="T591" s="15" t="str">
        <f t="shared" si="136"/>
        <v>低级专属强化石</v>
      </c>
      <c r="U591" s="15">
        <f t="shared" si="137"/>
        <v>1</v>
      </c>
      <c r="V591" s="15" t="str">
        <f t="shared" si="138"/>
        <v>[x]</v>
      </c>
      <c r="W591" s="15" t="str">
        <f t="shared" si="139"/>
        <v>[x]</v>
      </c>
      <c r="X591" s="15">
        <f t="shared" si="140"/>
        <v>1</v>
      </c>
      <c r="Y591" s="15">
        <f t="shared" si="141"/>
        <v>1</v>
      </c>
      <c r="Z591" s="15">
        <f t="shared" si="142"/>
        <v>1</v>
      </c>
      <c r="AA591" s="15">
        <f t="shared" si="143"/>
        <v>6.7000000000000002E-3</v>
      </c>
    </row>
    <row r="592" spans="13:27" ht="16.5" x14ac:dyDescent="0.2">
      <c r="M592" s="15">
        <v>513</v>
      </c>
      <c r="N592" s="15">
        <f t="shared" si="132"/>
        <v>11</v>
      </c>
      <c r="O592" s="15">
        <f>INDEX(卡牌消耗!$H$13:$H$33,世界BOSS专属武器!N592)</f>
        <v>1501011</v>
      </c>
      <c r="P592" s="49" t="s">
        <v>408</v>
      </c>
      <c r="Q592" s="15">
        <f t="shared" si="133"/>
        <v>2</v>
      </c>
      <c r="R592" s="49" t="str">
        <f t="shared" si="134"/>
        <v>金币</v>
      </c>
      <c r="S592" s="15">
        <f t="shared" si="135"/>
        <v>200</v>
      </c>
      <c r="T592" s="15" t="str">
        <f t="shared" si="136"/>
        <v>低级专属强化石</v>
      </c>
      <c r="U592" s="15">
        <f t="shared" si="137"/>
        <v>1</v>
      </c>
      <c r="V592" s="15" t="str">
        <f t="shared" si="138"/>
        <v>[x]</v>
      </c>
      <c r="W592" s="15" t="str">
        <f t="shared" si="139"/>
        <v>[x]</v>
      </c>
      <c r="X592" s="15">
        <f t="shared" si="140"/>
        <v>0.5</v>
      </c>
      <c r="Y592" s="15">
        <f t="shared" si="141"/>
        <v>1</v>
      </c>
      <c r="Z592" s="15">
        <f t="shared" si="142"/>
        <v>2</v>
      </c>
      <c r="AA592" s="15">
        <f t="shared" si="143"/>
        <v>1.3299999999999999E-2</v>
      </c>
    </row>
    <row r="593" spans="13:27" ht="16.5" x14ac:dyDescent="0.2">
      <c r="M593" s="15">
        <v>514</v>
      </c>
      <c r="N593" s="15">
        <f t="shared" ref="N593:N656" si="144">INT((M593-1)/51)+1</f>
        <v>11</v>
      </c>
      <c r="O593" s="15">
        <f>INDEX(卡牌消耗!$H$13:$H$33,世界BOSS专属武器!N593)</f>
        <v>1501011</v>
      </c>
      <c r="P593" s="49" t="s">
        <v>408</v>
      </c>
      <c r="Q593" s="15">
        <f t="shared" ref="Q593:Q656" si="145">MOD(M593-1,51)</f>
        <v>3</v>
      </c>
      <c r="R593" s="49" t="str">
        <f t="shared" ref="R593:R656" si="146">IF(Q593&gt;0,"金币","[x]")</f>
        <v>金币</v>
      </c>
      <c r="S593" s="15">
        <f t="shared" ref="S593:S656" si="147">IF(Q593&gt;0,INDEX($V$27:$V$76,Q593),"[x]")</f>
        <v>300</v>
      </c>
      <c r="T593" s="15" t="str">
        <f t="shared" ref="T593:T656" si="148">IF(Q593&gt;0,INDEX($W$27:$W$76,Q593),"[x]")</f>
        <v>低级专属强化石</v>
      </c>
      <c r="U593" s="15">
        <f t="shared" ref="U593:U656" si="149">IF(Q593&gt;0,INDEX($AA$27:$AF$76,Q593,INDEX($Y$27:$Y$76,Q593)),"[x]")</f>
        <v>2</v>
      </c>
      <c r="V593" s="15" t="str">
        <f t="shared" ref="V593:V656" si="150">IF(AND(Q593&gt;=20,Q593&lt;40),INDEX($X$27:$X$76,Q593),"[x]")</f>
        <v>[x]</v>
      </c>
      <c r="W593" s="15" t="str">
        <f t="shared" ref="W593:W656" si="151">IF(AND(Q593&gt;=20,Q593&lt;40),INDEX($AA$27:$AF$76,Q593,INDEX($Z$27:$Z$76,Q593)),"[x]")</f>
        <v>[x]</v>
      </c>
      <c r="X593" s="15">
        <f t="shared" ref="X593:X656" si="152">IF(Q593&gt;0,INDEX($T$27:$T$76,Q593),"[x]")</f>
        <v>0.48</v>
      </c>
      <c r="Y593" s="15">
        <f t="shared" ref="Y593:Y656" si="153">IF(Q593&gt;0,1,"[x]")</f>
        <v>1</v>
      </c>
      <c r="Z593" s="15">
        <f t="shared" ref="Z593:Z656" si="154">IF(Q593&gt;0,INDEX($AG$27:$AG$76,Q593),"[x]")</f>
        <v>3</v>
      </c>
      <c r="AA593" s="15">
        <f t="shared" ref="AA593:AA656" si="155">IF(Q593&gt;0,INDEX($AL$27:$AL$76,Q593),"[x]")</f>
        <v>0.02</v>
      </c>
    </row>
    <row r="594" spans="13:27" ht="16.5" x14ac:dyDescent="0.2">
      <c r="M594" s="15">
        <v>515</v>
      </c>
      <c r="N594" s="15">
        <f t="shared" si="144"/>
        <v>11</v>
      </c>
      <c r="O594" s="15">
        <f>INDEX(卡牌消耗!$H$13:$H$33,世界BOSS专属武器!N594)</f>
        <v>1501011</v>
      </c>
      <c r="P594" s="49" t="s">
        <v>408</v>
      </c>
      <c r="Q594" s="15">
        <f t="shared" si="145"/>
        <v>4</v>
      </c>
      <c r="R594" s="49" t="str">
        <f t="shared" si="146"/>
        <v>金币</v>
      </c>
      <c r="S594" s="15">
        <f t="shared" si="147"/>
        <v>400</v>
      </c>
      <c r="T594" s="15" t="str">
        <f t="shared" si="148"/>
        <v>低级专属强化石</v>
      </c>
      <c r="U594" s="15">
        <f t="shared" si="149"/>
        <v>3</v>
      </c>
      <c r="V594" s="15" t="str">
        <f t="shared" si="150"/>
        <v>[x]</v>
      </c>
      <c r="W594" s="15" t="str">
        <f t="shared" si="151"/>
        <v>[x]</v>
      </c>
      <c r="X594" s="15">
        <f t="shared" si="152"/>
        <v>0.46</v>
      </c>
      <c r="Y594" s="15">
        <f t="shared" si="153"/>
        <v>1</v>
      </c>
      <c r="Z594" s="15">
        <f t="shared" si="154"/>
        <v>3</v>
      </c>
      <c r="AA594" s="15">
        <f t="shared" si="155"/>
        <v>2.6700000000000002E-2</v>
      </c>
    </row>
    <row r="595" spans="13:27" ht="16.5" x14ac:dyDescent="0.2">
      <c r="M595" s="15">
        <v>516</v>
      </c>
      <c r="N595" s="15">
        <f t="shared" si="144"/>
        <v>11</v>
      </c>
      <c r="O595" s="15">
        <f>INDEX(卡牌消耗!$H$13:$H$33,世界BOSS专属武器!N595)</f>
        <v>1501011</v>
      </c>
      <c r="P595" s="49" t="s">
        <v>408</v>
      </c>
      <c r="Q595" s="15">
        <f t="shared" si="145"/>
        <v>5</v>
      </c>
      <c r="R595" s="49" t="str">
        <f t="shared" si="146"/>
        <v>金币</v>
      </c>
      <c r="S595" s="15">
        <f t="shared" si="147"/>
        <v>500</v>
      </c>
      <c r="T595" s="15" t="str">
        <f t="shared" si="148"/>
        <v>低级专属强化石</v>
      </c>
      <c r="U595" s="15">
        <f t="shared" si="149"/>
        <v>4</v>
      </c>
      <c r="V595" s="15" t="str">
        <f t="shared" si="150"/>
        <v>[x]</v>
      </c>
      <c r="W595" s="15" t="str">
        <f t="shared" si="151"/>
        <v>[x]</v>
      </c>
      <c r="X595" s="15">
        <f t="shared" si="152"/>
        <v>0.44</v>
      </c>
      <c r="Y595" s="15">
        <f t="shared" si="153"/>
        <v>1</v>
      </c>
      <c r="Z595" s="15">
        <f t="shared" si="154"/>
        <v>3</v>
      </c>
      <c r="AA595" s="15">
        <f t="shared" si="155"/>
        <v>3.3300000000000003E-2</v>
      </c>
    </row>
    <row r="596" spans="13:27" ht="16.5" x14ac:dyDescent="0.2">
      <c r="M596" s="15">
        <v>517</v>
      </c>
      <c r="N596" s="15">
        <f t="shared" si="144"/>
        <v>11</v>
      </c>
      <c r="O596" s="15">
        <f>INDEX(卡牌消耗!$H$13:$H$33,世界BOSS专属武器!N596)</f>
        <v>1501011</v>
      </c>
      <c r="P596" s="49" t="s">
        <v>408</v>
      </c>
      <c r="Q596" s="15">
        <f t="shared" si="145"/>
        <v>6</v>
      </c>
      <c r="R596" s="49" t="str">
        <f t="shared" si="146"/>
        <v>金币</v>
      </c>
      <c r="S596" s="15">
        <f t="shared" si="147"/>
        <v>600</v>
      </c>
      <c r="T596" s="15" t="str">
        <f t="shared" si="148"/>
        <v>低级专属强化石</v>
      </c>
      <c r="U596" s="15">
        <f t="shared" si="149"/>
        <v>5</v>
      </c>
      <c r="V596" s="15" t="str">
        <f t="shared" si="150"/>
        <v>[x]</v>
      </c>
      <c r="W596" s="15" t="str">
        <f t="shared" si="151"/>
        <v>[x]</v>
      </c>
      <c r="X596" s="15">
        <f t="shared" si="152"/>
        <v>0.42</v>
      </c>
      <c r="Y596" s="15">
        <f t="shared" si="153"/>
        <v>1</v>
      </c>
      <c r="Z596" s="15">
        <f t="shared" si="154"/>
        <v>4</v>
      </c>
      <c r="AA596" s="15">
        <f t="shared" si="155"/>
        <v>0.04</v>
      </c>
    </row>
    <row r="597" spans="13:27" ht="16.5" x14ac:dyDescent="0.2">
      <c r="M597" s="15">
        <v>518</v>
      </c>
      <c r="N597" s="15">
        <f t="shared" si="144"/>
        <v>11</v>
      </c>
      <c r="O597" s="15">
        <f>INDEX(卡牌消耗!$H$13:$H$33,世界BOSS专属武器!N597)</f>
        <v>1501011</v>
      </c>
      <c r="P597" s="49" t="s">
        <v>408</v>
      </c>
      <c r="Q597" s="15">
        <f t="shared" si="145"/>
        <v>7</v>
      </c>
      <c r="R597" s="49" t="str">
        <f t="shared" si="146"/>
        <v>金币</v>
      </c>
      <c r="S597" s="15">
        <f t="shared" si="147"/>
        <v>700</v>
      </c>
      <c r="T597" s="15" t="str">
        <f t="shared" si="148"/>
        <v>低级专属强化石</v>
      </c>
      <c r="U597" s="15">
        <f t="shared" si="149"/>
        <v>5</v>
      </c>
      <c r="V597" s="15" t="str">
        <f t="shared" si="150"/>
        <v>[x]</v>
      </c>
      <c r="W597" s="15" t="str">
        <f t="shared" si="151"/>
        <v>[x]</v>
      </c>
      <c r="X597" s="15">
        <f t="shared" si="152"/>
        <v>0.4</v>
      </c>
      <c r="Y597" s="15">
        <f t="shared" si="153"/>
        <v>1</v>
      </c>
      <c r="Z597" s="15">
        <f t="shared" si="154"/>
        <v>4</v>
      </c>
      <c r="AA597" s="15">
        <f t="shared" si="155"/>
        <v>4.6699999999999998E-2</v>
      </c>
    </row>
    <row r="598" spans="13:27" ht="16.5" x14ac:dyDescent="0.2">
      <c r="M598" s="15">
        <v>519</v>
      </c>
      <c r="N598" s="15">
        <f t="shared" si="144"/>
        <v>11</v>
      </c>
      <c r="O598" s="15">
        <f>INDEX(卡牌消耗!$H$13:$H$33,世界BOSS专属武器!N598)</f>
        <v>1501011</v>
      </c>
      <c r="P598" s="49" t="s">
        <v>408</v>
      </c>
      <c r="Q598" s="15">
        <f t="shared" si="145"/>
        <v>8</v>
      </c>
      <c r="R598" s="49" t="str">
        <f t="shared" si="146"/>
        <v>金币</v>
      </c>
      <c r="S598" s="15">
        <f t="shared" si="147"/>
        <v>800</v>
      </c>
      <c r="T598" s="15" t="str">
        <f t="shared" si="148"/>
        <v>低级专属强化石</v>
      </c>
      <c r="U598" s="15">
        <f t="shared" si="149"/>
        <v>5</v>
      </c>
      <c r="V598" s="15" t="str">
        <f t="shared" si="150"/>
        <v>[x]</v>
      </c>
      <c r="W598" s="15" t="str">
        <f t="shared" si="151"/>
        <v>[x]</v>
      </c>
      <c r="X598" s="15">
        <f t="shared" si="152"/>
        <v>0.38</v>
      </c>
      <c r="Y598" s="15">
        <f t="shared" si="153"/>
        <v>1</v>
      </c>
      <c r="Z598" s="15">
        <f t="shared" si="154"/>
        <v>5</v>
      </c>
      <c r="AA598" s="15">
        <f t="shared" si="155"/>
        <v>5.33E-2</v>
      </c>
    </row>
    <row r="599" spans="13:27" ht="16.5" x14ac:dyDescent="0.2">
      <c r="M599" s="15">
        <v>520</v>
      </c>
      <c r="N599" s="15">
        <f t="shared" si="144"/>
        <v>11</v>
      </c>
      <c r="O599" s="15">
        <f>INDEX(卡牌消耗!$H$13:$H$33,世界BOSS专属武器!N599)</f>
        <v>1501011</v>
      </c>
      <c r="P599" s="49" t="s">
        <v>408</v>
      </c>
      <c r="Q599" s="15">
        <f t="shared" si="145"/>
        <v>9</v>
      </c>
      <c r="R599" s="49" t="str">
        <f t="shared" si="146"/>
        <v>金币</v>
      </c>
      <c r="S599" s="15">
        <f t="shared" si="147"/>
        <v>900</v>
      </c>
      <c r="T599" s="15" t="str">
        <f t="shared" si="148"/>
        <v>低级专属强化石</v>
      </c>
      <c r="U599" s="15">
        <f t="shared" si="149"/>
        <v>5</v>
      </c>
      <c r="V599" s="15" t="str">
        <f t="shared" si="150"/>
        <v>[x]</v>
      </c>
      <c r="W599" s="15" t="str">
        <f t="shared" si="151"/>
        <v>[x]</v>
      </c>
      <c r="X599" s="15">
        <f t="shared" si="152"/>
        <v>0.36</v>
      </c>
      <c r="Y599" s="15">
        <f t="shared" si="153"/>
        <v>1</v>
      </c>
      <c r="Z599" s="15">
        <f t="shared" si="154"/>
        <v>5</v>
      </c>
      <c r="AA599" s="15">
        <f t="shared" si="155"/>
        <v>0.06</v>
      </c>
    </row>
    <row r="600" spans="13:27" ht="16.5" x14ac:dyDescent="0.2">
      <c r="M600" s="15">
        <v>521</v>
      </c>
      <c r="N600" s="15">
        <f t="shared" si="144"/>
        <v>11</v>
      </c>
      <c r="O600" s="15">
        <f>INDEX(卡牌消耗!$H$13:$H$33,世界BOSS专属武器!N600)</f>
        <v>1501011</v>
      </c>
      <c r="P600" s="49" t="s">
        <v>408</v>
      </c>
      <c r="Q600" s="15">
        <f t="shared" si="145"/>
        <v>10</v>
      </c>
      <c r="R600" s="49" t="str">
        <f t="shared" si="146"/>
        <v>金币</v>
      </c>
      <c r="S600" s="15">
        <f t="shared" si="147"/>
        <v>1000</v>
      </c>
      <c r="T600" s="15" t="str">
        <f t="shared" si="148"/>
        <v>低级专属强化石</v>
      </c>
      <c r="U600" s="15">
        <f t="shared" si="149"/>
        <v>7</v>
      </c>
      <c r="V600" s="15" t="str">
        <f t="shared" si="150"/>
        <v>[x]</v>
      </c>
      <c r="W600" s="15" t="str">
        <f t="shared" si="151"/>
        <v>[x]</v>
      </c>
      <c r="X600" s="15">
        <f t="shared" si="152"/>
        <v>0.35</v>
      </c>
      <c r="Y600" s="15">
        <f t="shared" si="153"/>
        <v>1</v>
      </c>
      <c r="Z600" s="15">
        <f t="shared" si="154"/>
        <v>5</v>
      </c>
      <c r="AA600" s="15">
        <f t="shared" si="155"/>
        <v>6.6699999999999995E-2</v>
      </c>
    </row>
    <row r="601" spans="13:27" ht="16.5" x14ac:dyDescent="0.2">
      <c r="M601" s="15">
        <v>522</v>
      </c>
      <c r="N601" s="15">
        <f t="shared" si="144"/>
        <v>11</v>
      </c>
      <c r="O601" s="15">
        <f>INDEX(卡牌消耗!$H$13:$H$33,世界BOSS专属武器!N601)</f>
        <v>1501011</v>
      </c>
      <c r="P601" s="49" t="s">
        <v>408</v>
      </c>
      <c r="Q601" s="15">
        <f t="shared" si="145"/>
        <v>11</v>
      </c>
      <c r="R601" s="49" t="str">
        <f t="shared" si="146"/>
        <v>金币</v>
      </c>
      <c r="S601" s="15">
        <f t="shared" si="147"/>
        <v>1000</v>
      </c>
      <c r="T601" s="15" t="str">
        <f t="shared" si="148"/>
        <v>低级专属强化石</v>
      </c>
      <c r="U601" s="15">
        <f t="shared" si="149"/>
        <v>7</v>
      </c>
      <c r="V601" s="15" t="str">
        <f t="shared" si="150"/>
        <v>[x]</v>
      </c>
      <c r="W601" s="15" t="str">
        <f t="shared" si="151"/>
        <v>[x]</v>
      </c>
      <c r="X601" s="15">
        <f t="shared" si="152"/>
        <v>0.33</v>
      </c>
      <c r="Y601" s="15">
        <f t="shared" si="153"/>
        <v>1</v>
      </c>
      <c r="Z601" s="15">
        <f t="shared" si="154"/>
        <v>6</v>
      </c>
      <c r="AA601" s="15">
        <f t="shared" si="155"/>
        <v>0.08</v>
      </c>
    </row>
    <row r="602" spans="13:27" ht="16.5" x14ac:dyDescent="0.2">
      <c r="M602" s="15">
        <v>523</v>
      </c>
      <c r="N602" s="15">
        <f t="shared" si="144"/>
        <v>11</v>
      </c>
      <c r="O602" s="15">
        <f>INDEX(卡牌消耗!$H$13:$H$33,世界BOSS专属武器!N602)</f>
        <v>1501011</v>
      </c>
      <c r="P602" s="49" t="s">
        <v>408</v>
      </c>
      <c r="Q602" s="15">
        <f t="shared" si="145"/>
        <v>12</v>
      </c>
      <c r="R602" s="49" t="str">
        <f t="shared" si="146"/>
        <v>金币</v>
      </c>
      <c r="S602" s="15">
        <f t="shared" si="147"/>
        <v>1000</v>
      </c>
      <c r="T602" s="15" t="str">
        <f t="shared" si="148"/>
        <v>低级专属强化石</v>
      </c>
      <c r="U602" s="15">
        <f t="shared" si="149"/>
        <v>7</v>
      </c>
      <c r="V602" s="15" t="str">
        <f t="shared" si="150"/>
        <v>[x]</v>
      </c>
      <c r="W602" s="15" t="str">
        <f t="shared" si="151"/>
        <v>[x]</v>
      </c>
      <c r="X602" s="15">
        <f t="shared" si="152"/>
        <v>0.31</v>
      </c>
      <c r="Y602" s="15">
        <f t="shared" si="153"/>
        <v>1</v>
      </c>
      <c r="Z602" s="15">
        <f t="shared" si="154"/>
        <v>6</v>
      </c>
      <c r="AA602" s="15">
        <f t="shared" si="155"/>
        <v>9.3299999999999994E-2</v>
      </c>
    </row>
    <row r="603" spans="13:27" ht="16.5" x14ac:dyDescent="0.2">
      <c r="M603" s="15">
        <v>524</v>
      </c>
      <c r="N603" s="15">
        <f t="shared" si="144"/>
        <v>11</v>
      </c>
      <c r="O603" s="15">
        <f>INDEX(卡牌消耗!$H$13:$H$33,世界BOSS专属武器!N603)</f>
        <v>1501011</v>
      </c>
      <c r="P603" s="49" t="s">
        <v>408</v>
      </c>
      <c r="Q603" s="15">
        <f t="shared" si="145"/>
        <v>13</v>
      </c>
      <c r="R603" s="49" t="str">
        <f t="shared" si="146"/>
        <v>金币</v>
      </c>
      <c r="S603" s="15">
        <f t="shared" si="147"/>
        <v>1000</v>
      </c>
      <c r="T603" s="15" t="str">
        <f t="shared" si="148"/>
        <v>低级专属强化石</v>
      </c>
      <c r="U603" s="15">
        <f t="shared" si="149"/>
        <v>7</v>
      </c>
      <c r="V603" s="15" t="str">
        <f t="shared" si="150"/>
        <v>[x]</v>
      </c>
      <c r="W603" s="15" t="str">
        <f t="shared" si="151"/>
        <v>[x]</v>
      </c>
      <c r="X603" s="15">
        <f t="shared" si="152"/>
        <v>0.28999999999999998</v>
      </c>
      <c r="Y603" s="15">
        <f t="shared" si="153"/>
        <v>1</v>
      </c>
      <c r="Z603" s="15">
        <f t="shared" si="154"/>
        <v>7</v>
      </c>
      <c r="AA603" s="15">
        <f t="shared" si="155"/>
        <v>0.1067</v>
      </c>
    </row>
    <row r="604" spans="13:27" ht="16.5" x14ac:dyDescent="0.2">
      <c r="M604" s="15">
        <v>525</v>
      </c>
      <c r="N604" s="15">
        <f t="shared" si="144"/>
        <v>11</v>
      </c>
      <c r="O604" s="15">
        <f>INDEX(卡牌消耗!$H$13:$H$33,世界BOSS专属武器!N604)</f>
        <v>1501011</v>
      </c>
      <c r="P604" s="49" t="s">
        <v>408</v>
      </c>
      <c r="Q604" s="15">
        <f t="shared" si="145"/>
        <v>14</v>
      </c>
      <c r="R604" s="49" t="str">
        <f t="shared" si="146"/>
        <v>金币</v>
      </c>
      <c r="S604" s="15">
        <f t="shared" si="147"/>
        <v>1000</v>
      </c>
      <c r="T604" s="15" t="str">
        <f t="shared" si="148"/>
        <v>低级专属强化石</v>
      </c>
      <c r="U604" s="15">
        <f t="shared" si="149"/>
        <v>7</v>
      </c>
      <c r="V604" s="15" t="str">
        <f t="shared" si="150"/>
        <v>[x]</v>
      </c>
      <c r="W604" s="15" t="str">
        <f t="shared" si="151"/>
        <v>[x]</v>
      </c>
      <c r="X604" s="15">
        <f t="shared" si="152"/>
        <v>0.27</v>
      </c>
      <c r="Y604" s="15">
        <f t="shared" si="153"/>
        <v>1</v>
      </c>
      <c r="Z604" s="15">
        <f t="shared" si="154"/>
        <v>7</v>
      </c>
      <c r="AA604" s="15">
        <f t="shared" si="155"/>
        <v>0.12</v>
      </c>
    </row>
    <row r="605" spans="13:27" ht="16.5" x14ac:dyDescent="0.2">
      <c r="M605" s="15">
        <v>526</v>
      </c>
      <c r="N605" s="15">
        <f t="shared" si="144"/>
        <v>11</v>
      </c>
      <c r="O605" s="15">
        <f>INDEX(卡牌消耗!$H$13:$H$33,世界BOSS专属武器!N605)</f>
        <v>1501011</v>
      </c>
      <c r="P605" s="49" t="s">
        <v>408</v>
      </c>
      <c r="Q605" s="15">
        <f t="shared" si="145"/>
        <v>15</v>
      </c>
      <c r="R605" s="49" t="str">
        <f t="shared" si="146"/>
        <v>金币</v>
      </c>
      <c r="S605" s="15">
        <f t="shared" si="147"/>
        <v>1000</v>
      </c>
      <c r="T605" s="15" t="str">
        <f t="shared" si="148"/>
        <v>低级专属强化石</v>
      </c>
      <c r="U605" s="15">
        <f t="shared" si="149"/>
        <v>10</v>
      </c>
      <c r="V605" s="15" t="str">
        <f t="shared" si="150"/>
        <v>[x]</v>
      </c>
      <c r="W605" s="15" t="str">
        <f t="shared" si="151"/>
        <v>[x]</v>
      </c>
      <c r="X605" s="15">
        <f t="shared" si="152"/>
        <v>0.25</v>
      </c>
      <c r="Y605" s="15">
        <f t="shared" si="153"/>
        <v>1</v>
      </c>
      <c r="Z605" s="15">
        <f t="shared" si="154"/>
        <v>8</v>
      </c>
      <c r="AA605" s="15">
        <f t="shared" si="155"/>
        <v>0.1333</v>
      </c>
    </row>
    <row r="606" spans="13:27" ht="16.5" x14ac:dyDescent="0.2">
      <c r="M606" s="15">
        <v>527</v>
      </c>
      <c r="N606" s="15">
        <f t="shared" si="144"/>
        <v>11</v>
      </c>
      <c r="O606" s="15">
        <f>INDEX(卡牌消耗!$H$13:$H$33,世界BOSS专属武器!N606)</f>
        <v>1501011</v>
      </c>
      <c r="P606" s="49" t="s">
        <v>408</v>
      </c>
      <c r="Q606" s="15">
        <f t="shared" si="145"/>
        <v>16</v>
      </c>
      <c r="R606" s="49" t="str">
        <f t="shared" si="146"/>
        <v>金币</v>
      </c>
      <c r="S606" s="15">
        <f t="shared" si="147"/>
        <v>1000</v>
      </c>
      <c r="T606" s="15" t="str">
        <f t="shared" si="148"/>
        <v>低级专属强化石</v>
      </c>
      <c r="U606" s="15">
        <f t="shared" si="149"/>
        <v>10</v>
      </c>
      <c r="V606" s="15" t="str">
        <f t="shared" si="150"/>
        <v>[x]</v>
      </c>
      <c r="W606" s="15" t="str">
        <f t="shared" si="151"/>
        <v>[x]</v>
      </c>
      <c r="X606" s="15">
        <f t="shared" si="152"/>
        <v>0.23</v>
      </c>
      <c r="Y606" s="15">
        <f t="shared" si="153"/>
        <v>1</v>
      </c>
      <c r="Z606" s="15">
        <f t="shared" si="154"/>
        <v>9</v>
      </c>
      <c r="AA606" s="15">
        <f t="shared" si="155"/>
        <v>0.1467</v>
      </c>
    </row>
    <row r="607" spans="13:27" ht="16.5" x14ac:dyDescent="0.2">
      <c r="M607" s="15">
        <v>528</v>
      </c>
      <c r="N607" s="15">
        <f t="shared" si="144"/>
        <v>11</v>
      </c>
      <c r="O607" s="15">
        <f>INDEX(卡牌消耗!$H$13:$H$33,世界BOSS专属武器!N607)</f>
        <v>1501011</v>
      </c>
      <c r="P607" s="49" t="s">
        <v>408</v>
      </c>
      <c r="Q607" s="15">
        <f t="shared" si="145"/>
        <v>17</v>
      </c>
      <c r="R607" s="49" t="str">
        <f t="shared" si="146"/>
        <v>金币</v>
      </c>
      <c r="S607" s="15">
        <f t="shared" si="147"/>
        <v>1000</v>
      </c>
      <c r="T607" s="15" t="str">
        <f t="shared" si="148"/>
        <v>低级专属强化石</v>
      </c>
      <c r="U607" s="15">
        <f t="shared" si="149"/>
        <v>10</v>
      </c>
      <c r="V607" s="15" t="str">
        <f t="shared" si="150"/>
        <v>[x]</v>
      </c>
      <c r="W607" s="15" t="str">
        <f t="shared" si="151"/>
        <v>[x]</v>
      </c>
      <c r="X607" s="15">
        <f t="shared" si="152"/>
        <v>0.21</v>
      </c>
      <c r="Y607" s="15">
        <f t="shared" si="153"/>
        <v>1</v>
      </c>
      <c r="Z607" s="15">
        <f t="shared" si="154"/>
        <v>10</v>
      </c>
      <c r="AA607" s="15">
        <f t="shared" si="155"/>
        <v>0.16</v>
      </c>
    </row>
    <row r="608" spans="13:27" ht="16.5" x14ac:dyDescent="0.2">
      <c r="M608" s="15">
        <v>529</v>
      </c>
      <c r="N608" s="15">
        <f t="shared" si="144"/>
        <v>11</v>
      </c>
      <c r="O608" s="15">
        <f>INDEX(卡牌消耗!$H$13:$H$33,世界BOSS专属武器!N608)</f>
        <v>1501011</v>
      </c>
      <c r="P608" s="49" t="s">
        <v>408</v>
      </c>
      <c r="Q608" s="15">
        <f t="shared" si="145"/>
        <v>18</v>
      </c>
      <c r="R608" s="49" t="str">
        <f t="shared" si="146"/>
        <v>金币</v>
      </c>
      <c r="S608" s="15">
        <f t="shared" si="147"/>
        <v>1000</v>
      </c>
      <c r="T608" s="15" t="str">
        <f t="shared" si="148"/>
        <v>低级专属强化石</v>
      </c>
      <c r="U608" s="15">
        <f t="shared" si="149"/>
        <v>10</v>
      </c>
      <c r="V608" s="15" t="str">
        <f t="shared" si="150"/>
        <v>[x]</v>
      </c>
      <c r="W608" s="15" t="str">
        <f t="shared" si="151"/>
        <v>[x]</v>
      </c>
      <c r="X608" s="15">
        <f t="shared" si="152"/>
        <v>0.19</v>
      </c>
      <c r="Y608" s="15">
        <f t="shared" si="153"/>
        <v>1</v>
      </c>
      <c r="Z608" s="15">
        <f t="shared" si="154"/>
        <v>11</v>
      </c>
      <c r="AA608" s="15">
        <f t="shared" si="155"/>
        <v>0.17330000000000001</v>
      </c>
    </row>
    <row r="609" spans="13:27" ht="16.5" x14ac:dyDescent="0.2">
      <c r="M609" s="15">
        <v>530</v>
      </c>
      <c r="N609" s="15">
        <f t="shared" si="144"/>
        <v>11</v>
      </c>
      <c r="O609" s="15">
        <f>INDEX(卡牌消耗!$H$13:$H$33,世界BOSS专属武器!N609)</f>
        <v>1501011</v>
      </c>
      <c r="P609" s="49" t="s">
        <v>408</v>
      </c>
      <c r="Q609" s="15">
        <f t="shared" si="145"/>
        <v>19</v>
      </c>
      <c r="R609" s="49" t="str">
        <f t="shared" si="146"/>
        <v>金币</v>
      </c>
      <c r="S609" s="15">
        <f t="shared" si="147"/>
        <v>1000</v>
      </c>
      <c r="T609" s="15" t="str">
        <f t="shared" si="148"/>
        <v>低级专属强化石</v>
      </c>
      <c r="U609" s="15">
        <f t="shared" si="149"/>
        <v>10</v>
      </c>
      <c r="V609" s="15" t="str">
        <f t="shared" si="150"/>
        <v>[x]</v>
      </c>
      <c r="W609" s="15" t="str">
        <f t="shared" si="151"/>
        <v>[x]</v>
      </c>
      <c r="X609" s="15">
        <f t="shared" si="152"/>
        <v>0.17</v>
      </c>
      <c r="Y609" s="15">
        <f t="shared" si="153"/>
        <v>1</v>
      </c>
      <c r="Z609" s="15">
        <f t="shared" si="154"/>
        <v>12</v>
      </c>
      <c r="AA609" s="15">
        <f t="shared" si="155"/>
        <v>0.1867</v>
      </c>
    </row>
    <row r="610" spans="13:27" ht="16.5" x14ac:dyDescent="0.2">
      <c r="M610" s="15">
        <v>531</v>
      </c>
      <c r="N610" s="15">
        <f t="shared" si="144"/>
        <v>11</v>
      </c>
      <c r="O610" s="15">
        <f>INDEX(卡牌消耗!$H$13:$H$33,世界BOSS专属武器!N610)</f>
        <v>1501011</v>
      </c>
      <c r="P610" s="49" t="s">
        <v>408</v>
      </c>
      <c r="Q610" s="15">
        <f t="shared" si="145"/>
        <v>20</v>
      </c>
      <c r="R610" s="49" t="str">
        <f t="shared" si="146"/>
        <v>金币</v>
      </c>
      <c r="S610" s="15">
        <f t="shared" si="147"/>
        <v>5000</v>
      </c>
      <c r="T610" s="15" t="str">
        <f t="shared" si="148"/>
        <v>低级专属强化石</v>
      </c>
      <c r="U610" s="15">
        <f t="shared" si="149"/>
        <v>15</v>
      </c>
      <c r="V610" s="15" t="str">
        <f t="shared" si="150"/>
        <v>中级专属强化石</v>
      </c>
      <c r="W610" s="15">
        <f t="shared" si="151"/>
        <v>7</v>
      </c>
      <c r="X610" s="15">
        <f t="shared" si="152"/>
        <v>0.15</v>
      </c>
      <c r="Y610" s="15">
        <f t="shared" si="153"/>
        <v>1</v>
      </c>
      <c r="Z610" s="15">
        <f t="shared" si="154"/>
        <v>15</v>
      </c>
      <c r="AA610" s="15">
        <f t="shared" si="155"/>
        <v>0.2</v>
      </c>
    </row>
    <row r="611" spans="13:27" ht="16.5" x14ac:dyDescent="0.2">
      <c r="M611" s="15">
        <v>532</v>
      </c>
      <c r="N611" s="15">
        <f t="shared" si="144"/>
        <v>11</v>
      </c>
      <c r="O611" s="15">
        <f>INDEX(卡牌消耗!$H$13:$H$33,世界BOSS专属武器!N611)</f>
        <v>1501011</v>
      </c>
      <c r="P611" s="49" t="s">
        <v>408</v>
      </c>
      <c r="Q611" s="15">
        <f t="shared" si="145"/>
        <v>21</v>
      </c>
      <c r="R611" s="49" t="str">
        <f t="shared" si="146"/>
        <v>金币</v>
      </c>
      <c r="S611" s="15">
        <f t="shared" si="147"/>
        <v>5000</v>
      </c>
      <c r="T611" s="15" t="str">
        <f t="shared" si="148"/>
        <v>低级专属强化石</v>
      </c>
      <c r="U611" s="15">
        <f t="shared" si="149"/>
        <v>15</v>
      </c>
      <c r="V611" s="15" t="str">
        <f t="shared" si="150"/>
        <v>中级专属强化石</v>
      </c>
      <c r="W611" s="15">
        <f t="shared" si="151"/>
        <v>7</v>
      </c>
      <c r="X611" s="15">
        <f t="shared" si="152"/>
        <v>0.15</v>
      </c>
      <c r="Y611" s="15">
        <f t="shared" si="153"/>
        <v>1</v>
      </c>
      <c r="Z611" s="15">
        <f t="shared" si="154"/>
        <v>15</v>
      </c>
      <c r="AA611" s="15">
        <f t="shared" si="155"/>
        <v>0.22</v>
      </c>
    </row>
    <row r="612" spans="13:27" ht="16.5" x14ac:dyDescent="0.2">
      <c r="M612" s="15">
        <v>533</v>
      </c>
      <c r="N612" s="15">
        <f t="shared" si="144"/>
        <v>11</v>
      </c>
      <c r="O612" s="15">
        <f>INDEX(卡牌消耗!$H$13:$H$33,世界BOSS专属武器!N612)</f>
        <v>1501011</v>
      </c>
      <c r="P612" s="49" t="s">
        <v>408</v>
      </c>
      <c r="Q612" s="15">
        <f t="shared" si="145"/>
        <v>22</v>
      </c>
      <c r="R612" s="49" t="str">
        <f t="shared" si="146"/>
        <v>金币</v>
      </c>
      <c r="S612" s="15">
        <f t="shared" si="147"/>
        <v>5000</v>
      </c>
      <c r="T612" s="15" t="str">
        <f t="shared" si="148"/>
        <v>低级专属强化石</v>
      </c>
      <c r="U612" s="15">
        <f t="shared" si="149"/>
        <v>15</v>
      </c>
      <c r="V612" s="15" t="str">
        <f t="shared" si="150"/>
        <v>中级专属强化石</v>
      </c>
      <c r="W612" s="15">
        <f t="shared" si="151"/>
        <v>7</v>
      </c>
      <c r="X612" s="15">
        <f t="shared" si="152"/>
        <v>0.15</v>
      </c>
      <c r="Y612" s="15">
        <f t="shared" si="153"/>
        <v>1</v>
      </c>
      <c r="Z612" s="15">
        <f t="shared" si="154"/>
        <v>15</v>
      </c>
      <c r="AA612" s="15">
        <f t="shared" si="155"/>
        <v>0.24</v>
      </c>
    </row>
    <row r="613" spans="13:27" ht="16.5" x14ac:dyDescent="0.2">
      <c r="M613" s="15">
        <v>534</v>
      </c>
      <c r="N613" s="15">
        <f t="shared" si="144"/>
        <v>11</v>
      </c>
      <c r="O613" s="15">
        <f>INDEX(卡牌消耗!$H$13:$H$33,世界BOSS专属武器!N613)</f>
        <v>1501011</v>
      </c>
      <c r="P613" s="49" t="s">
        <v>408</v>
      </c>
      <c r="Q613" s="15">
        <f t="shared" si="145"/>
        <v>23</v>
      </c>
      <c r="R613" s="49" t="str">
        <f t="shared" si="146"/>
        <v>金币</v>
      </c>
      <c r="S613" s="15">
        <f t="shared" si="147"/>
        <v>5000</v>
      </c>
      <c r="T613" s="15" t="str">
        <f t="shared" si="148"/>
        <v>低级专属强化石</v>
      </c>
      <c r="U613" s="15">
        <f t="shared" si="149"/>
        <v>15</v>
      </c>
      <c r="V613" s="15" t="str">
        <f t="shared" si="150"/>
        <v>中级专属强化石</v>
      </c>
      <c r="W613" s="15">
        <f t="shared" si="151"/>
        <v>7</v>
      </c>
      <c r="X613" s="15">
        <f t="shared" si="152"/>
        <v>0.15</v>
      </c>
      <c r="Y613" s="15">
        <f t="shared" si="153"/>
        <v>1</v>
      </c>
      <c r="Z613" s="15">
        <f t="shared" si="154"/>
        <v>18</v>
      </c>
      <c r="AA613" s="15">
        <f t="shared" si="155"/>
        <v>0.26</v>
      </c>
    </row>
    <row r="614" spans="13:27" ht="16.5" x14ac:dyDescent="0.2">
      <c r="M614" s="15">
        <v>535</v>
      </c>
      <c r="N614" s="15">
        <f t="shared" si="144"/>
        <v>11</v>
      </c>
      <c r="O614" s="15">
        <f>INDEX(卡牌消耗!$H$13:$H$33,世界BOSS专属武器!N614)</f>
        <v>1501011</v>
      </c>
      <c r="P614" s="49" t="s">
        <v>408</v>
      </c>
      <c r="Q614" s="15">
        <f t="shared" si="145"/>
        <v>24</v>
      </c>
      <c r="R614" s="49" t="str">
        <f t="shared" si="146"/>
        <v>金币</v>
      </c>
      <c r="S614" s="15">
        <f t="shared" si="147"/>
        <v>5000</v>
      </c>
      <c r="T614" s="15" t="str">
        <f t="shared" si="148"/>
        <v>低级专属强化石</v>
      </c>
      <c r="U614" s="15">
        <f t="shared" si="149"/>
        <v>15</v>
      </c>
      <c r="V614" s="15" t="str">
        <f t="shared" si="150"/>
        <v>中级专属强化石</v>
      </c>
      <c r="W614" s="15">
        <f t="shared" si="151"/>
        <v>7</v>
      </c>
      <c r="X614" s="15">
        <f t="shared" si="152"/>
        <v>0.15</v>
      </c>
      <c r="Y614" s="15">
        <f t="shared" si="153"/>
        <v>1</v>
      </c>
      <c r="Z614" s="15">
        <f t="shared" si="154"/>
        <v>18</v>
      </c>
      <c r="AA614" s="15">
        <f t="shared" si="155"/>
        <v>0.28000000000000003</v>
      </c>
    </row>
    <row r="615" spans="13:27" ht="16.5" x14ac:dyDescent="0.2">
      <c r="M615" s="15">
        <v>536</v>
      </c>
      <c r="N615" s="15">
        <f t="shared" si="144"/>
        <v>11</v>
      </c>
      <c r="O615" s="15">
        <f>INDEX(卡牌消耗!$H$13:$H$33,世界BOSS专属武器!N615)</f>
        <v>1501011</v>
      </c>
      <c r="P615" s="49" t="s">
        <v>408</v>
      </c>
      <c r="Q615" s="15">
        <f t="shared" si="145"/>
        <v>25</v>
      </c>
      <c r="R615" s="49" t="str">
        <f t="shared" si="146"/>
        <v>金币</v>
      </c>
      <c r="S615" s="15">
        <f t="shared" si="147"/>
        <v>5000</v>
      </c>
      <c r="T615" s="15" t="str">
        <f t="shared" si="148"/>
        <v>低级专属强化石</v>
      </c>
      <c r="U615" s="15">
        <f t="shared" si="149"/>
        <v>15</v>
      </c>
      <c r="V615" s="15" t="str">
        <f t="shared" si="150"/>
        <v>中级专属强化石</v>
      </c>
      <c r="W615" s="15">
        <f t="shared" si="151"/>
        <v>7</v>
      </c>
      <c r="X615" s="15">
        <f t="shared" si="152"/>
        <v>0.15</v>
      </c>
      <c r="Y615" s="15">
        <f t="shared" si="153"/>
        <v>1</v>
      </c>
      <c r="Z615" s="15">
        <f t="shared" si="154"/>
        <v>18</v>
      </c>
      <c r="AA615" s="15">
        <f t="shared" si="155"/>
        <v>0.3</v>
      </c>
    </row>
    <row r="616" spans="13:27" ht="16.5" x14ac:dyDescent="0.2">
      <c r="M616" s="15">
        <v>537</v>
      </c>
      <c r="N616" s="15">
        <f t="shared" si="144"/>
        <v>11</v>
      </c>
      <c r="O616" s="15">
        <f>INDEX(卡牌消耗!$H$13:$H$33,世界BOSS专属武器!N616)</f>
        <v>1501011</v>
      </c>
      <c r="P616" s="49" t="s">
        <v>408</v>
      </c>
      <c r="Q616" s="15">
        <f t="shared" si="145"/>
        <v>26</v>
      </c>
      <c r="R616" s="49" t="str">
        <f t="shared" si="146"/>
        <v>金币</v>
      </c>
      <c r="S616" s="15">
        <f t="shared" si="147"/>
        <v>5000</v>
      </c>
      <c r="T616" s="15" t="str">
        <f t="shared" si="148"/>
        <v>低级专属强化石</v>
      </c>
      <c r="U616" s="15">
        <f t="shared" si="149"/>
        <v>15</v>
      </c>
      <c r="V616" s="15" t="str">
        <f t="shared" si="150"/>
        <v>中级专属强化石</v>
      </c>
      <c r="W616" s="15">
        <f t="shared" si="151"/>
        <v>7</v>
      </c>
      <c r="X616" s="15">
        <f t="shared" si="152"/>
        <v>0.15</v>
      </c>
      <c r="Y616" s="15">
        <f t="shared" si="153"/>
        <v>1</v>
      </c>
      <c r="Z616" s="15">
        <f t="shared" si="154"/>
        <v>21</v>
      </c>
      <c r="AA616" s="15">
        <f t="shared" si="155"/>
        <v>0.32</v>
      </c>
    </row>
    <row r="617" spans="13:27" ht="16.5" x14ac:dyDescent="0.2">
      <c r="M617" s="15">
        <v>538</v>
      </c>
      <c r="N617" s="15">
        <f t="shared" si="144"/>
        <v>11</v>
      </c>
      <c r="O617" s="15">
        <f>INDEX(卡牌消耗!$H$13:$H$33,世界BOSS专属武器!N617)</f>
        <v>1501011</v>
      </c>
      <c r="P617" s="49" t="s">
        <v>408</v>
      </c>
      <c r="Q617" s="15">
        <f t="shared" si="145"/>
        <v>27</v>
      </c>
      <c r="R617" s="49" t="str">
        <f t="shared" si="146"/>
        <v>金币</v>
      </c>
      <c r="S617" s="15">
        <f t="shared" si="147"/>
        <v>5000</v>
      </c>
      <c r="T617" s="15" t="str">
        <f t="shared" si="148"/>
        <v>低级专属强化石</v>
      </c>
      <c r="U617" s="15">
        <f t="shared" si="149"/>
        <v>15</v>
      </c>
      <c r="V617" s="15" t="str">
        <f t="shared" si="150"/>
        <v>中级专属强化石</v>
      </c>
      <c r="W617" s="15">
        <f t="shared" si="151"/>
        <v>7</v>
      </c>
      <c r="X617" s="15">
        <f t="shared" si="152"/>
        <v>0.15</v>
      </c>
      <c r="Y617" s="15">
        <f t="shared" si="153"/>
        <v>1</v>
      </c>
      <c r="Z617" s="15">
        <f t="shared" si="154"/>
        <v>22</v>
      </c>
      <c r="AA617" s="15">
        <f t="shared" si="155"/>
        <v>0.34</v>
      </c>
    </row>
    <row r="618" spans="13:27" ht="16.5" x14ac:dyDescent="0.2">
      <c r="M618" s="15">
        <v>539</v>
      </c>
      <c r="N618" s="15">
        <f t="shared" si="144"/>
        <v>11</v>
      </c>
      <c r="O618" s="15">
        <f>INDEX(卡牌消耗!$H$13:$H$33,世界BOSS专属武器!N618)</f>
        <v>1501011</v>
      </c>
      <c r="P618" s="49" t="s">
        <v>408</v>
      </c>
      <c r="Q618" s="15">
        <f t="shared" si="145"/>
        <v>28</v>
      </c>
      <c r="R618" s="49" t="str">
        <f t="shared" si="146"/>
        <v>金币</v>
      </c>
      <c r="S618" s="15">
        <f t="shared" si="147"/>
        <v>5000</v>
      </c>
      <c r="T618" s="15" t="str">
        <f t="shared" si="148"/>
        <v>低级专属强化石</v>
      </c>
      <c r="U618" s="15">
        <f t="shared" si="149"/>
        <v>15</v>
      </c>
      <c r="V618" s="15" t="str">
        <f t="shared" si="150"/>
        <v>中级专属强化石</v>
      </c>
      <c r="W618" s="15">
        <f t="shared" si="151"/>
        <v>7</v>
      </c>
      <c r="X618" s="15">
        <f t="shared" si="152"/>
        <v>0.15</v>
      </c>
      <c r="Y618" s="15">
        <f t="shared" si="153"/>
        <v>1</v>
      </c>
      <c r="Z618" s="15">
        <f t="shared" si="154"/>
        <v>23</v>
      </c>
      <c r="AA618" s="15">
        <f t="shared" si="155"/>
        <v>0.36</v>
      </c>
    </row>
    <row r="619" spans="13:27" ht="16.5" x14ac:dyDescent="0.2">
      <c r="M619" s="15">
        <v>540</v>
      </c>
      <c r="N619" s="15">
        <f t="shared" si="144"/>
        <v>11</v>
      </c>
      <c r="O619" s="15">
        <f>INDEX(卡牌消耗!$H$13:$H$33,世界BOSS专属武器!N619)</f>
        <v>1501011</v>
      </c>
      <c r="P619" s="49" t="s">
        <v>408</v>
      </c>
      <c r="Q619" s="15">
        <f t="shared" si="145"/>
        <v>29</v>
      </c>
      <c r="R619" s="49" t="str">
        <f t="shared" si="146"/>
        <v>金币</v>
      </c>
      <c r="S619" s="15">
        <f t="shared" si="147"/>
        <v>5000</v>
      </c>
      <c r="T619" s="15" t="str">
        <f t="shared" si="148"/>
        <v>低级专属强化石</v>
      </c>
      <c r="U619" s="15">
        <f t="shared" si="149"/>
        <v>15</v>
      </c>
      <c r="V619" s="15" t="str">
        <f t="shared" si="150"/>
        <v>中级专属强化石</v>
      </c>
      <c r="W619" s="15">
        <f t="shared" si="151"/>
        <v>7</v>
      </c>
      <c r="X619" s="15">
        <f t="shared" si="152"/>
        <v>0.15</v>
      </c>
      <c r="Y619" s="15">
        <f t="shared" si="153"/>
        <v>1</v>
      </c>
      <c r="Z619" s="15">
        <f t="shared" si="154"/>
        <v>25</v>
      </c>
      <c r="AA619" s="15">
        <f t="shared" si="155"/>
        <v>0.38</v>
      </c>
    </row>
    <row r="620" spans="13:27" ht="16.5" x14ac:dyDescent="0.2">
      <c r="M620" s="15">
        <v>541</v>
      </c>
      <c r="N620" s="15">
        <f t="shared" si="144"/>
        <v>11</v>
      </c>
      <c r="O620" s="15">
        <f>INDEX(卡牌消耗!$H$13:$H$33,世界BOSS专属武器!N620)</f>
        <v>1501011</v>
      </c>
      <c r="P620" s="49" t="s">
        <v>408</v>
      </c>
      <c r="Q620" s="15">
        <f t="shared" si="145"/>
        <v>30</v>
      </c>
      <c r="R620" s="49" t="str">
        <f t="shared" si="146"/>
        <v>金币</v>
      </c>
      <c r="S620" s="15">
        <f t="shared" si="147"/>
        <v>10000</v>
      </c>
      <c r="T620" s="15" t="str">
        <f t="shared" si="148"/>
        <v>中级专属强化石</v>
      </c>
      <c r="U620" s="15">
        <f t="shared" si="149"/>
        <v>8</v>
      </c>
      <c r="V620" s="15" t="str">
        <f t="shared" si="150"/>
        <v>高级专属强化石</v>
      </c>
      <c r="W620" s="15">
        <f t="shared" si="151"/>
        <v>3</v>
      </c>
      <c r="X620" s="15">
        <f t="shared" si="152"/>
        <v>0.1</v>
      </c>
      <c r="Y620" s="15">
        <f t="shared" si="153"/>
        <v>1</v>
      </c>
      <c r="Z620" s="15">
        <f t="shared" si="154"/>
        <v>30</v>
      </c>
      <c r="AA620" s="15">
        <f t="shared" si="155"/>
        <v>0.4</v>
      </c>
    </row>
    <row r="621" spans="13:27" ht="16.5" x14ac:dyDescent="0.2">
      <c r="M621" s="15">
        <v>542</v>
      </c>
      <c r="N621" s="15">
        <f t="shared" si="144"/>
        <v>11</v>
      </c>
      <c r="O621" s="15">
        <f>INDEX(卡牌消耗!$H$13:$H$33,世界BOSS专属武器!N621)</f>
        <v>1501011</v>
      </c>
      <c r="P621" s="49" t="s">
        <v>408</v>
      </c>
      <c r="Q621" s="15">
        <f t="shared" si="145"/>
        <v>31</v>
      </c>
      <c r="R621" s="49" t="str">
        <f t="shared" si="146"/>
        <v>金币</v>
      </c>
      <c r="S621" s="15">
        <f t="shared" si="147"/>
        <v>10000</v>
      </c>
      <c r="T621" s="15" t="str">
        <f t="shared" si="148"/>
        <v>中级专属强化石</v>
      </c>
      <c r="U621" s="15">
        <f t="shared" si="149"/>
        <v>8</v>
      </c>
      <c r="V621" s="15" t="str">
        <f t="shared" si="150"/>
        <v>高级专属强化石</v>
      </c>
      <c r="W621" s="15">
        <f t="shared" si="151"/>
        <v>3</v>
      </c>
      <c r="X621" s="15">
        <f t="shared" si="152"/>
        <v>0.1</v>
      </c>
      <c r="Y621" s="15">
        <f t="shared" si="153"/>
        <v>1</v>
      </c>
      <c r="Z621" s="15">
        <f t="shared" si="154"/>
        <v>30</v>
      </c>
      <c r="AA621" s="15">
        <f t="shared" si="155"/>
        <v>0.42670000000000002</v>
      </c>
    </row>
    <row r="622" spans="13:27" ht="16.5" x14ac:dyDescent="0.2">
      <c r="M622" s="15">
        <v>543</v>
      </c>
      <c r="N622" s="15">
        <f t="shared" si="144"/>
        <v>11</v>
      </c>
      <c r="O622" s="15">
        <f>INDEX(卡牌消耗!$H$13:$H$33,世界BOSS专属武器!N622)</f>
        <v>1501011</v>
      </c>
      <c r="P622" s="49" t="s">
        <v>408</v>
      </c>
      <c r="Q622" s="15">
        <f t="shared" si="145"/>
        <v>32</v>
      </c>
      <c r="R622" s="49" t="str">
        <f t="shared" si="146"/>
        <v>金币</v>
      </c>
      <c r="S622" s="15">
        <f t="shared" si="147"/>
        <v>10000</v>
      </c>
      <c r="T622" s="15" t="str">
        <f t="shared" si="148"/>
        <v>中级专属强化石</v>
      </c>
      <c r="U622" s="15">
        <f t="shared" si="149"/>
        <v>8</v>
      </c>
      <c r="V622" s="15" t="str">
        <f t="shared" si="150"/>
        <v>高级专属强化石</v>
      </c>
      <c r="W622" s="15">
        <f t="shared" si="151"/>
        <v>3</v>
      </c>
      <c r="X622" s="15">
        <f t="shared" si="152"/>
        <v>0.1</v>
      </c>
      <c r="Y622" s="15">
        <f t="shared" si="153"/>
        <v>1</v>
      </c>
      <c r="Z622" s="15">
        <f t="shared" si="154"/>
        <v>30</v>
      </c>
      <c r="AA622" s="15">
        <f t="shared" si="155"/>
        <v>0.45329999999999998</v>
      </c>
    </row>
    <row r="623" spans="13:27" ht="16.5" x14ac:dyDescent="0.2">
      <c r="M623" s="15">
        <v>544</v>
      </c>
      <c r="N623" s="15">
        <f t="shared" si="144"/>
        <v>11</v>
      </c>
      <c r="O623" s="15">
        <f>INDEX(卡牌消耗!$H$13:$H$33,世界BOSS专属武器!N623)</f>
        <v>1501011</v>
      </c>
      <c r="P623" s="49" t="s">
        <v>408</v>
      </c>
      <c r="Q623" s="15">
        <f t="shared" si="145"/>
        <v>33</v>
      </c>
      <c r="R623" s="49" t="str">
        <f t="shared" si="146"/>
        <v>金币</v>
      </c>
      <c r="S623" s="15">
        <f t="shared" si="147"/>
        <v>10000</v>
      </c>
      <c r="T623" s="15" t="str">
        <f t="shared" si="148"/>
        <v>中级专属强化石</v>
      </c>
      <c r="U623" s="15">
        <f t="shared" si="149"/>
        <v>8</v>
      </c>
      <c r="V623" s="15" t="str">
        <f t="shared" si="150"/>
        <v>高级专属强化石</v>
      </c>
      <c r="W623" s="15">
        <f t="shared" si="151"/>
        <v>3</v>
      </c>
      <c r="X623" s="15">
        <f t="shared" si="152"/>
        <v>0.1</v>
      </c>
      <c r="Y623" s="15">
        <f t="shared" si="153"/>
        <v>1</v>
      </c>
      <c r="Z623" s="15">
        <f t="shared" si="154"/>
        <v>30</v>
      </c>
      <c r="AA623" s="15">
        <f t="shared" si="155"/>
        <v>0.48</v>
      </c>
    </row>
    <row r="624" spans="13:27" ht="16.5" x14ac:dyDescent="0.2">
      <c r="M624" s="15">
        <v>545</v>
      </c>
      <c r="N624" s="15">
        <f t="shared" si="144"/>
        <v>11</v>
      </c>
      <c r="O624" s="15">
        <f>INDEX(卡牌消耗!$H$13:$H$33,世界BOSS专属武器!N624)</f>
        <v>1501011</v>
      </c>
      <c r="P624" s="49" t="s">
        <v>408</v>
      </c>
      <c r="Q624" s="15">
        <f t="shared" si="145"/>
        <v>34</v>
      </c>
      <c r="R624" s="49" t="str">
        <f t="shared" si="146"/>
        <v>金币</v>
      </c>
      <c r="S624" s="15">
        <f t="shared" si="147"/>
        <v>10000</v>
      </c>
      <c r="T624" s="15" t="str">
        <f t="shared" si="148"/>
        <v>中级专属强化石</v>
      </c>
      <c r="U624" s="15">
        <f t="shared" si="149"/>
        <v>8</v>
      </c>
      <c r="V624" s="15" t="str">
        <f t="shared" si="150"/>
        <v>高级专属强化石</v>
      </c>
      <c r="W624" s="15">
        <f t="shared" si="151"/>
        <v>3</v>
      </c>
      <c r="X624" s="15">
        <f t="shared" si="152"/>
        <v>0.1</v>
      </c>
      <c r="Y624" s="15">
        <f t="shared" si="153"/>
        <v>1</v>
      </c>
      <c r="Z624" s="15">
        <f t="shared" si="154"/>
        <v>30</v>
      </c>
      <c r="AA624" s="15">
        <f t="shared" si="155"/>
        <v>0.50670000000000004</v>
      </c>
    </row>
    <row r="625" spans="13:27" ht="16.5" x14ac:dyDescent="0.2">
      <c r="M625" s="15">
        <v>546</v>
      </c>
      <c r="N625" s="15">
        <f t="shared" si="144"/>
        <v>11</v>
      </c>
      <c r="O625" s="15">
        <f>INDEX(卡牌消耗!$H$13:$H$33,世界BOSS专属武器!N625)</f>
        <v>1501011</v>
      </c>
      <c r="P625" s="49" t="s">
        <v>408</v>
      </c>
      <c r="Q625" s="15">
        <f t="shared" si="145"/>
        <v>35</v>
      </c>
      <c r="R625" s="49" t="str">
        <f t="shared" si="146"/>
        <v>金币</v>
      </c>
      <c r="S625" s="15">
        <f t="shared" si="147"/>
        <v>10000</v>
      </c>
      <c r="T625" s="15" t="str">
        <f t="shared" si="148"/>
        <v>中级专属强化石</v>
      </c>
      <c r="U625" s="15">
        <f t="shared" si="149"/>
        <v>8</v>
      </c>
      <c r="V625" s="15" t="str">
        <f t="shared" si="150"/>
        <v>高级专属强化石</v>
      </c>
      <c r="W625" s="15">
        <f t="shared" si="151"/>
        <v>3</v>
      </c>
      <c r="X625" s="15">
        <f t="shared" si="152"/>
        <v>0.1</v>
      </c>
      <c r="Y625" s="15">
        <f t="shared" si="153"/>
        <v>1</v>
      </c>
      <c r="Z625" s="15">
        <f t="shared" si="154"/>
        <v>30</v>
      </c>
      <c r="AA625" s="15">
        <f t="shared" si="155"/>
        <v>0.5333</v>
      </c>
    </row>
    <row r="626" spans="13:27" ht="16.5" x14ac:dyDescent="0.2">
      <c r="M626" s="15">
        <v>547</v>
      </c>
      <c r="N626" s="15">
        <f t="shared" si="144"/>
        <v>11</v>
      </c>
      <c r="O626" s="15">
        <f>INDEX(卡牌消耗!$H$13:$H$33,世界BOSS专属武器!N626)</f>
        <v>1501011</v>
      </c>
      <c r="P626" s="49" t="s">
        <v>408</v>
      </c>
      <c r="Q626" s="15">
        <f t="shared" si="145"/>
        <v>36</v>
      </c>
      <c r="R626" s="49" t="str">
        <f t="shared" si="146"/>
        <v>金币</v>
      </c>
      <c r="S626" s="15">
        <f t="shared" si="147"/>
        <v>10000</v>
      </c>
      <c r="T626" s="15" t="str">
        <f t="shared" si="148"/>
        <v>中级专属强化石</v>
      </c>
      <c r="U626" s="15">
        <f t="shared" si="149"/>
        <v>8</v>
      </c>
      <c r="V626" s="15" t="str">
        <f t="shared" si="150"/>
        <v>高级专属强化石</v>
      </c>
      <c r="W626" s="15">
        <f t="shared" si="151"/>
        <v>3</v>
      </c>
      <c r="X626" s="15">
        <f t="shared" si="152"/>
        <v>0.1</v>
      </c>
      <c r="Y626" s="15">
        <f t="shared" si="153"/>
        <v>1</v>
      </c>
      <c r="Z626" s="15">
        <f t="shared" si="154"/>
        <v>30</v>
      </c>
      <c r="AA626" s="15">
        <f t="shared" si="155"/>
        <v>0.56000000000000005</v>
      </c>
    </row>
    <row r="627" spans="13:27" ht="16.5" x14ac:dyDescent="0.2">
      <c r="M627" s="15">
        <v>548</v>
      </c>
      <c r="N627" s="15">
        <f t="shared" si="144"/>
        <v>11</v>
      </c>
      <c r="O627" s="15">
        <f>INDEX(卡牌消耗!$H$13:$H$33,世界BOSS专属武器!N627)</f>
        <v>1501011</v>
      </c>
      <c r="P627" s="49" t="s">
        <v>408</v>
      </c>
      <c r="Q627" s="15">
        <f t="shared" si="145"/>
        <v>37</v>
      </c>
      <c r="R627" s="49" t="str">
        <f t="shared" si="146"/>
        <v>金币</v>
      </c>
      <c r="S627" s="15">
        <f t="shared" si="147"/>
        <v>10000</v>
      </c>
      <c r="T627" s="15" t="str">
        <f t="shared" si="148"/>
        <v>中级专属强化石</v>
      </c>
      <c r="U627" s="15">
        <f t="shared" si="149"/>
        <v>8</v>
      </c>
      <c r="V627" s="15" t="str">
        <f t="shared" si="150"/>
        <v>高级专属强化石</v>
      </c>
      <c r="W627" s="15">
        <f t="shared" si="151"/>
        <v>3</v>
      </c>
      <c r="X627" s="15">
        <f t="shared" si="152"/>
        <v>0.1</v>
      </c>
      <c r="Y627" s="15">
        <f t="shared" si="153"/>
        <v>1</v>
      </c>
      <c r="Z627" s="15">
        <f t="shared" si="154"/>
        <v>30</v>
      </c>
      <c r="AA627" s="15">
        <f t="shared" si="155"/>
        <v>0.5867</v>
      </c>
    </row>
    <row r="628" spans="13:27" ht="16.5" x14ac:dyDescent="0.2">
      <c r="M628" s="15">
        <v>549</v>
      </c>
      <c r="N628" s="15">
        <f t="shared" si="144"/>
        <v>11</v>
      </c>
      <c r="O628" s="15">
        <f>INDEX(卡牌消耗!$H$13:$H$33,世界BOSS专属武器!N628)</f>
        <v>1501011</v>
      </c>
      <c r="P628" s="49" t="s">
        <v>408</v>
      </c>
      <c r="Q628" s="15">
        <f t="shared" si="145"/>
        <v>38</v>
      </c>
      <c r="R628" s="49" t="str">
        <f t="shared" si="146"/>
        <v>金币</v>
      </c>
      <c r="S628" s="15">
        <f t="shared" si="147"/>
        <v>10000</v>
      </c>
      <c r="T628" s="15" t="str">
        <f t="shared" si="148"/>
        <v>中级专属强化石</v>
      </c>
      <c r="U628" s="15">
        <f t="shared" si="149"/>
        <v>8</v>
      </c>
      <c r="V628" s="15" t="str">
        <f t="shared" si="150"/>
        <v>高级专属强化石</v>
      </c>
      <c r="W628" s="15">
        <f t="shared" si="151"/>
        <v>3</v>
      </c>
      <c r="X628" s="15">
        <f t="shared" si="152"/>
        <v>0.1</v>
      </c>
      <c r="Y628" s="15">
        <f t="shared" si="153"/>
        <v>1</v>
      </c>
      <c r="Z628" s="15">
        <f t="shared" si="154"/>
        <v>30</v>
      </c>
      <c r="AA628" s="15">
        <f t="shared" si="155"/>
        <v>0.61329999999999996</v>
      </c>
    </row>
    <row r="629" spans="13:27" ht="16.5" x14ac:dyDescent="0.2">
      <c r="M629" s="15">
        <v>550</v>
      </c>
      <c r="N629" s="15">
        <f t="shared" si="144"/>
        <v>11</v>
      </c>
      <c r="O629" s="15">
        <f>INDEX(卡牌消耗!$H$13:$H$33,世界BOSS专属武器!N629)</f>
        <v>1501011</v>
      </c>
      <c r="P629" s="49" t="s">
        <v>408</v>
      </c>
      <c r="Q629" s="15">
        <f t="shared" si="145"/>
        <v>39</v>
      </c>
      <c r="R629" s="49" t="str">
        <f t="shared" si="146"/>
        <v>金币</v>
      </c>
      <c r="S629" s="15">
        <f t="shared" si="147"/>
        <v>10000</v>
      </c>
      <c r="T629" s="15" t="str">
        <f t="shared" si="148"/>
        <v>中级专属强化石</v>
      </c>
      <c r="U629" s="15">
        <f t="shared" si="149"/>
        <v>8</v>
      </c>
      <c r="V629" s="15" t="str">
        <f t="shared" si="150"/>
        <v>高级专属强化石</v>
      </c>
      <c r="W629" s="15">
        <f t="shared" si="151"/>
        <v>3</v>
      </c>
      <c r="X629" s="15">
        <f t="shared" si="152"/>
        <v>0.1</v>
      </c>
      <c r="Y629" s="15">
        <f t="shared" si="153"/>
        <v>1</v>
      </c>
      <c r="Z629" s="15">
        <f t="shared" si="154"/>
        <v>30</v>
      </c>
      <c r="AA629" s="15">
        <f t="shared" si="155"/>
        <v>0.64</v>
      </c>
    </row>
    <row r="630" spans="13:27" ht="16.5" x14ac:dyDescent="0.2">
      <c r="M630" s="15">
        <v>551</v>
      </c>
      <c r="N630" s="15">
        <f t="shared" si="144"/>
        <v>11</v>
      </c>
      <c r="O630" s="15">
        <f>INDEX(卡牌消耗!$H$13:$H$33,世界BOSS专属武器!N630)</f>
        <v>1501011</v>
      </c>
      <c r="P630" s="49" t="s">
        <v>408</v>
      </c>
      <c r="Q630" s="15">
        <f t="shared" si="145"/>
        <v>40</v>
      </c>
      <c r="R630" s="49" t="str">
        <f t="shared" si="146"/>
        <v>金币</v>
      </c>
      <c r="S630" s="15">
        <f t="shared" si="147"/>
        <v>20000</v>
      </c>
      <c r="T630" s="15" t="str">
        <f t="shared" si="148"/>
        <v>高级专属强化石</v>
      </c>
      <c r="U630" s="15">
        <f t="shared" si="149"/>
        <v>5</v>
      </c>
      <c r="V630" s="15" t="str">
        <f t="shared" si="150"/>
        <v>[x]</v>
      </c>
      <c r="W630" s="15" t="str">
        <f t="shared" si="151"/>
        <v>[x]</v>
      </c>
      <c r="X630" s="15">
        <f t="shared" si="152"/>
        <v>0.1</v>
      </c>
      <c r="Y630" s="15">
        <f t="shared" si="153"/>
        <v>1</v>
      </c>
      <c r="Z630" s="15">
        <f t="shared" si="154"/>
        <v>35</v>
      </c>
      <c r="AA630" s="15">
        <f t="shared" si="155"/>
        <v>0.66669999999999996</v>
      </c>
    </row>
    <row r="631" spans="13:27" ht="16.5" x14ac:dyDescent="0.2">
      <c r="M631" s="15">
        <v>552</v>
      </c>
      <c r="N631" s="15">
        <f t="shared" si="144"/>
        <v>11</v>
      </c>
      <c r="O631" s="15">
        <f>INDEX(卡牌消耗!$H$13:$H$33,世界BOSS专属武器!N631)</f>
        <v>1501011</v>
      </c>
      <c r="P631" s="49" t="s">
        <v>408</v>
      </c>
      <c r="Q631" s="15">
        <f t="shared" si="145"/>
        <v>41</v>
      </c>
      <c r="R631" s="49" t="str">
        <f t="shared" si="146"/>
        <v>金币</v>
      </c>
      <c r="S631" s="15">
        <f t="shared" si="147"/>
        <v>20000</v>
      </c>
      <c r="T631" s="15" t="str">
        <f t="shared" si="148"/>
        <v>高级专属强化石</v>
      </c>
      <c r="U631" s="15">
        <f t="shared" si="149"/>
        <v>5</v>
      </c>
      <c r="V631" s="15" t="str">
        <f t="shared" si="150"/>
        <v>[x]</v>
      </c>
      <c r="W631" s="15" t="str">
        <f t="shared" si="151"/>
        <v>[x]</v>
      </c>
      <c r="X631" s="15">
        <f t="shared" si="152"/>
        <v>0.1</v>
      </c>
      <c r="Y631" s="15">
        <f t="shared" si="153"/>
        <v>1</v>
      </c>
      <c r="Z631" s="15">
        <f t="shared" si="154"/>
        <v>40</v>
      </c>
      <c r="AA631" s="15">
        <f t="shared" si="155"/>
        <v>0.7</v>
      </c>
    </row>
    <row r="632" spans="13:27" ht="16.5" x14ac:dyDescent="0.2">
      <c r="M632" s="15">
        <v>553</v>
      </c>
      <c r="N632" s="15">
        <f t="shared" si="144"/>
        <v>11</v>
      </c>
      <c r="O632" s="15">
        <f>INDEX(卡牌消耗!$H$13:$H$33,世界BOSS专属武器!N632)</f>
        <v>1501011</v>
      </c>
      <c r="P632" s="49" t="s">
        <v>408</v>
      </c>
      <c r="Q632" s="15">
        <f t="shared" si="145"/>
        <v>42</v>
      </c>
      <c r="R632" s="49" t="str">
        <f t="shared" si="146"/>
        <v>金币</v>
      </c>
      <c r="S632" s="15">
        <f t="shared" si="147"/>
        <v>20000</v>
      </c>
      <c r="T632" s="15" t="str">
        <f t="shared" si="148"/>
        <v>高级专属强化石</v>
      </c>
      <c r="U632" s="15">
        <f t="shared" si="149"/>
        <v>5</v>
      </c>
      <c r="V632" s="15" t="str">
        <f t="shared" si="150"/>
        <v>[x]</v>
      </c>
      <c r="W632" s="15" t="str">
        <f t="shared" si="151"/>
        <v>[x]</v>
      </c>
      <c r="X632" s="15">
        <f t="shared" si="152"/>
        <v>0.1</v>
      </c>
      <c r="Y632" s="15">
        <f t="shared" si="153"/>
        <v>1</v>
      </c>
      <c r="Z632" s="15">
        <f t="shared" si="154"/>
        <v>45</v>
      </c>
      <c r="AA632" s="15">
        <f t="shared" si="155"/>
        <v>0.73329999999999995</v>
      </c>
    </row>
    <row r="633" spans="13:27" ht="16.5" x14ac:dyDescent="0.2">
      <c r="M633" s="15">
        <v>554</v>
      </c>
      <c r="N633" s="15">
        <f t="shared" si="144"/>
        <v>11</v>
      </c>
      <c r="O633" s="15">
        <f>INDEX(卡牌消耗!$H$13:$H$33,世界BOSS专属武器!N633)</f>
        <v>1501011</v>
      </c>
      <c r="P633" s="49" t="s">
        <v>408</v>
      </c>
      <c r="Q633" s="15">
        <f t="shared" si="145"/>
        <v>43</v>
      </c>
      <c r="R633" s="49" t="str">
        <f t="shared" si="146"/>
        <v>金币</v>
      </c>
      <c r="S633" s="15">
        <f t="shared" si="147"/>
        <v>20000</v>
      </c>
      <c r="T633" s="15" t="str">
        <f t="shared" si="148"/>
        <v>高级专属强化石</v>
      </c>
      <c r="U633" s="15">
        <f t="shared" si="149"/>
        <v>5</v>
      </c>
      <c r="V633" s="15" t="str">
        <f t="shared" si="150"/>
        <v>[x]</v>
      </c>
      <c r="W633" s="15" t="str">
        <f t="shared" si="151"/>
        <v>[x]</v>
      </c>
      <c r="X633" s="15">
        <f t="shared" si="152"/>
        <v>0.1</v>
      </c>
      <c r="Y633" s="15">
        <f t="shared" si="153"/>
        <v>1</v>
      </c>
      <c r="Z633" s="15">
        <f t="shared" si="154"/>
        <v>50</v>
      </c>
      <c r="AA633" s="15">
        <f t="shared" si="155"/>
        <v>0.76670000000000005</v>
      </c>
    </row>
    <row r="634" spans="13:27" ht="16.5" x14ac:dyDescent="0.2">
      <c r="M634" s="15">
        <v>555</v>
      </c>
      <c r="N634" s="15">
        <f t="shared" si="144"/>
        <v>11</v>
      </c>
      <c r="O634" s="15">
        <f>INDEX(卡牌消耗!$H$13:$H$33,世界BOSS专属武器!N634)</f>
        <v>1501011</v>
      </c>
      <c r="P634" s="49" t="s">
        <v>408</v>
      </c>
      <c r="Q634" s="15">
        <f t="shared" si="145"/>
        <v>44</v>
      </c>
      <c r="R634" s="49" t="str">
        <f t="shared" si="146"/>
        <v>金币</v>
      </c>
      <c r="S634" s="15">
        <f t="shared" si="147"/>
        <v>20000</v>
      </c>
      <c r="T634" s="15" t="str">
        <f t="shared" si="148"/>
        <v>高级专属强化石</v>
      </c>
      <c r="U634" s="15">
        <f t="shared" si="149"/>
        <v>5</v>
      </c>
      <c r="V634" s="15" t="str">
        <f t="shared" si="150"/>
        <v>[x]</v>
      </c>
      <c r="W634" s="15" t="str">
        <f t="shared" si="151"/>
        <v>[x]</v>
      </c>
      <c r="X634" s="15">
        <f t="shared" si="152"/>
        <v>0.1</v>
      </c>
      <c r="Y634" s="15">
        <f t="shared" si="153"/>
        <v>1</v>
      </c>
      <c r="Z634" s="15">
        <f t="shared" si="154"/>
        <v>55</v>
      </c>
      <c r="AA634" s="15">
        <f t="shared" si="155"/>
        <v>0.8</v>
      </c>
    </row>
    <row r="635" spans="13:27" ht="16.5" x14ac:dyDescent="0.2">
      <c r="M635" s="15">
        <v>556</v>
      </c>
      <c r="N635" s="15">
        <f t="shared" si="144"/>
        <v>11</v>
      </c>
      <c r="O635" s="15">
        <f>INDEX(卡牌消耗!$H$13:$H$33,世界BOSS专属武器!N635)</f>
        <v>1501011</v>
      </c>
      <c r="P635" s="49" t="s">
        <v>408</v>
      </c>
      <c r="Q635" s="15">
        <f t="shared" si="145"/>
        <v>45</v>
      </c>
      <c r="R635" s="49" t="str">
        <f t="shared" si="146"/>
        <v>金币</v>
      </c>
      <c r="S635" s="15">
        <f t="shared" si="147"/>
        <v>20000</v>
      </c>
      <c r="T635" s="15" t="str">
        <f t="shared" si="148"/>
        <v>高级专属强化石</v>
      </c>
      <c r="U635" s="15">
        <f t="shared" si="149"/>
        <v>6</v>
      </c>
      <c r="V635" s="15" t="str">
        <f t="shared" si="150"/>
        <v>[x]</v>
      </c>
      <c r="W635" s="15" t="str">
        <f t="shared" si="151"/>
        <v>[x]</v>
      </c>
      <c r="X635" s="15">
        <f t="shared" si="152"/>
        <v>0.1</v>
      </c>
      <c r="Y635" s="15">
        <f t="shared" si="153"/>
        <v>1</v>
      </c>
      <c r="Z635" s="15">
        <f t="shared" si="154"/>
        <v>60</v>
      </c>
      <c r="AA635" s="15">
        <f t="shared" si="155"/>
        <v>0.83330000000000004</v>
      </c>
    </row>
    <row r="636" spans="13:27" ht="16.5" x14ac:dyDescent="0.2">
      <c r="M636" s="15">
        <v>557</v>
      </c>
      <c r="N636" s="15">
        <f t="shared" si="144"/>
        <v>11</v>
      </c>
      <c r="O636" s="15">
        <f>INDEX(卡牌消耗!$H$13:$H$33,世界BOSS专属武器!N636)</f>
        <v>1501011</v>
      </c>
      <c r="P636" s="49" t="s">
        <v>408</v>
      </c>
      <c r="Q636" s="15">
        <f t="shared" si="145"/>
        <v>46</v>
      </c>
      <c r="R636" s="49" t="str">
        <f t="shared" si="146"/>
        <v>金币</v>
      </c>
      <c r="S636" s="15">
        <f t="shared" si="147"/>
        <v>20000</v>
      </c>
      <c r="T636" s="15" t="str">
        <f t="shared" si="148"/>
        <v>高级专属强化石</v>
      </c>
      <c r="U636" s="15">
        <f t="shared" si="149"/>
        <v>7</v>
      </c>
      <c r="V636" s="15" t="str">
        <f t="shared" si="150"/>
        <v>[x]</v>
      </c>
      <c r="W636" s="15" t="str">
        <f t="shared" si="151"/>
        <v>[x]</v>
      </c>
      <c r="X636" s="15">
        <f t="shared" si="152"/>
        <v>0.1</v>
      </c>
      <c r="Y636" s="15">
        <f t="shared" si="153"/>
        <v>1</v>
      </c>
      <c r="Z636" s="15">
        <f t="shared" si="154"/>
        <v>70</v>
      </c>
      <c r="AA636" s="15">
        <f t="shared" si="155"/>
        <v>0.86670000000000003</v>
      </c>
    </row>
    <row r="637" spans="13:27" ht="16.5" x14ac:dyDescent="0.2">
      <c r="M637" s="15">
        <v>558</v>
      </c>
      <c r="N637" s="15">
        <f t="shared" si="144"/>
        <v>11</v>
      </c>
      <c r="O637" s="15">
        <f>INDEX(卡牌消耗!$H$13:$H$33,世界BOSS专属武器!N637)</f>
        <v>1501011</v>
      </c>
      <c r="P637" s="49" t="s">
        <v>408</v>
      </c>
      <c r="Q637" s="15">
        <f t="shared" si="145"/>
        <v>47</v>
      </c>
      <c r="R637" s="49" t="str">
        <f t="shared" si="146"/>
        <v>金币</v>
      </c>
      <c r="S637" s="15">
        <f t="shared" si="147"/>
        <v>20000</v>
      </c>
      <c r="T637" s="15" t="str">
        <f t="shared" si="148"/>
        <v>高级专属强化石</v>
      </c>
      <c r="U637" s="15">
        <f t="shared" si="149"/>
        <v>8</v>
      </c>
      <c r="V637" s="15" t="str">
        <f t="shared" si="150"/>
        <v>[x]</v>
      </c>
      <c r="W637" s="15" t="str">
        <f t="shared" si="151"/>
        <v>[x]</v>
      </c>
      <c r="X637" s="15">
        <f t="shared" si="152"/>
        <v>0.1</v>
      </c>
      <c r="Y637" s="15">
        <f t="shared" si="153"/>
        <v>1</v>
      </c>
      <c r="Z637" s="15">
        <f t="shared" si="154"/>
        <v>80</v>
      </c>
      <c r="AA637" s="15">
        <f t="shared" si="155"/>
        <v>0.9</v>
      </c>
    </row>
    <row r="638" spans="13:27" ht="16.5" x14ac:dyDescent="0.2">
      <c r="M638" s="15">
        <v>559</v>
      </c>
      <c r="N638" s="15">
        <f t="shared" si="144"/>
        <v>11</v>
      </c>
      <c r="O638" s="15">
        <f>INDEX(卡牌消耗!$H$13:$H$33,世界BOSS专属武器!N638)</f>
        <v>1501011</v>
      </c>
      <c r="P638" s="49" t="s">
        <v>408</v>
      </c>
      <c r="Q638" s="15">
        <f t="shared" si="145"/>
        <v>48</v>
      </c>
      <c r="R638" s="49" t="str">
        <f t="shared" si="146"/>
        <v>金币</v>
      </c>
      <c r="S638" s="15">
        <f t="shared" si="147"/>
        <v>20000</v>
      </c>
      <c r="T638" s="15" t="str">
        <f t="shared" si="148"/>
        <v>高级专属强化石</v>
      </c>
      <c r="U638" s="15">
        <f t="shared" si="149"/>
        <v>9</v>
      </c>
      <c r="V638" s="15" t="str">
        <f t="shared" si="150"/>
        <v>[x]</v>
      </c>
      <c r="W638" s="15" t="str">
        <f t="shared" si="151"/>
        <v>[x]</v>
      </c>
      <c r="X638" s="15">
        <f t="shared" si="152"/>
        <v>0.1</v>
      </c>
      <c r="Y638" s="15">
        <f t="shared" si="153"/>
        <v>1</v>
      </c>
      <c r="Z638" s="15">
        <f t="shared" si="154"/>
        <v>100</v>
      </c>
      <c r="AA638" s="15">
        <f t="shared" si="155"/>
        <v>0.93330000000000002</v>
      </c>
    </row>
    <row r="639" spans="13:27" ht="16.5" x14ac:dyDescent="0.2">
      <c r="M639" s="15">
        <v>560</v>
      </c>
      <c r="N639" s="15">
        <f t="shared" si="144"/>
        <v>11</v>
      </c>
      <c r="O639" s="15">
        <f>INDEX(卡牌消耗!$H$13:$H$33,世界BOSS专属武器!N639)</f>
        <v>1501011</v>
      </c>
      <c r="P639" s="49" t="s">
        <v>408</v>
      </c>
      <c r="Q639" s="15">
        <f t="shared" si="145"/>
        <v>49</v>
      </c>
      <c r="R639" s="49" t="str">
        <f t="shared" si="146"/>
        <v>金币</v>
      </c>
      <c r="S639" s="15">
        <f t="shared" si="147"/>
        <v>20000</v>
      </c>
      <c r="T639" s="15" t="str">
        <f t="shared" si="148"/>
        <v>高级专属强化石</v>
      </c>
      <c r="U639" s="15">
        <f t="shared" si="149"/>
        <v>10</v>
      </c>
      <c r="V639" s="15" t="str">
        <f t="shared" si="150"/>
        <v>[x]</v>
      </c>
      <c r="W639" s="15" t="str">
        <f t="shared" si="151"/>
        <v>[x]</v>
      </c>
      <c r="X639" s="15">
        <f t="shared" si="152"/>
        <v>0.1</v>
      </c>
      <c r="Y639" s="15">
        <f t="shared" si="153"/>
        <v>1</v>
      </c>
      <c r="Z639" s="15">
        <f t="shared" si="154"/>
        <v>120</v>
      </c>
      <c r="AA639" s="15">
        <f t="shared" si="155"/>
        <v>0.9667</v>
      </c>
    </row>
    <row r="640" spans="13:27" ht="16.5" x14ac:dyDescent="0.2">
      <c r="M640" s="15">
        <v>561</v>
      </c>
      <c r="N640" s="15">
        <f t="shared" si="144"/>
        <v>11</v>
      </c>
      <c r="O640" s="15">
        <f>INDEX(卡牌消耗!$H$13:$H$33,世界BOSS专属武器!N640)</f>
        <v>1501011</v>
      </c>
      <c r="P640" s="49" t="s">
        <v>408</v>
      </c>
      <c r="Q640" s="15">
        <f t="shared" si="145"/>
        <v>50</v>
      </c>
      <c r="R640" s="49" t="str">
        <f t="shared" si="146"/>
        <v>金币</v>
      </c>
      <c r="S640" s="15">
        <f t="shared" si="147"/>
        <v>20000</v>
      </c>
      <c r="T640" s="15" t="str">
        <f t="shared" si="148"/>
        <v>高级专属强化石</v>
      </c>
      <c r="U640" s="15">
        <f t="shared" si="149"/>
        <v>15</v>
      </c>
      <c r="V640" s="15" t="str">
        <f t="shared" si="150"/>
        <v>[x]</v>
      </c>
      <c r="W640" s="15" t="str">
        <f t="shared" si="151"/>
        <v>[x]</v>
      </c>
      <c r="X640" s="15">
        <f t="shared" si="152"/>
        <v>0.1</v>
      </c>
      <c r="Y640" s="15">
        <f t="shared" si="153"/>
        <v>1</v>
      </c>
      <c r="Z640" s="15">
        <f t="shared" si="154"/>
        <v>150</v>
      </c>
      <c r="AA640" s="15">
        <f t="shared" si="155"/>
        <v>1</v>
      </c>
    </row>
    <row r="641" spans="13:27" ht="16.5" x14ac:dyDescent="0.2">
      <c r="M641" s="15">
        <v>562</v>
      </c>
      <c r="N641" s="15">
        <f t="shared" si="144"/>
        <v>12</v>
      </c>
      <c r="O641" s="15">
        <f>INDEX(卡牌消耗!$H$13:$H$33,世界BOSS专属武器!N641)</f>
        <v>1501012</v>
      </c>
      <c r="P641" s="49" t="s">
        <v>408</v>
      </c>
      <c r="Q641" s="15">
        <f t="shared" si="145"/>
        <v>0</v>
      </c>
      <c r="R641" s="49" t="str">
        <f t="shared" si="146"/>
        <v>[x]</v>
      </c>
      <c r="S641" s="15" t="str">
        <f t="shared" si="147"/>
        <v>[x]</v>
      </c>
      <c r="T641" s="15" t="str">
        <f t="shared" si="148"/>
        <v>[x]</v>
      </c>
      <c r="U641" s="15" t="str">
        <f t="shared" si="149"/>
        <v>[x]</v>
      </c>
      <c r="V641" s="15" t="str">
        <f t="shared" si="150"/>
        <v>[x]</v>
      </c>
      <c r="W641" s="15" t="str">
        <f t="shared" si="151"/>
        <v>[x]</v>
      </c>
      <c r="X641" s="15" t="str">
        <f t="shared" si="152"/>
        <v>[x]</v>
      </c>
      <c r="Y641" s="15" t="str">
        <f t="shared" si="153"/>
        <v>[x]</v>
      </c>
      <c r="Z641" s="15" t="str">
        <f t="shared" si="154"/>
        <v>[x]</v>
      </c>
      <c r="AA641" s="15" t="str">
        <f t="shared" si="155"/>
        <v>[x]</v>
      </c>
    </row>
    <row r="642" spans="13:27" ht="16.5" x14ac:dyDescent="0.2">
      <c r="M642" s="15">
        <v>563</v>
      </c>
      <c r="N642" s="15">
        <f t="shared" si="144"/>
        <v>12</v>
      </c>
      <c r="O642" s="15">
        <f>INDEX(卡牌消耗!$H$13:$H$33,世界BOSS专属武器!N642)</f>
        <v>1501012</v>
      </c>
      <c r="P642" s="49" t="s">
        <v>408</v>
      </c>
      <c r="Q642" s="15">
        <f t="shared" si="145"/>
        <v>1</v>
      </c>
      <c r="R642" s="49" t="str">
        <f t="shared" si="146"/>
        <v>金币</v>
      </c>
      <c r="S642" s="15">
        <f t="shared" si="147"/>
        <v>100</v>
      </c>
      <c r="T642" s="15" t="str">
        <f t="shared" si="148"/>
        <v>低级专属强化石</v>
      </c>
      <c r="U642" s="15">
        <f t="shared" si="149"/>
        <v>1</v>
      </c>
      <c r="V642" s="15" t="str">
        <f t="shared" si="150"/>
        <v>[x]</v>
      </c>
      <c r="W642" s="15" t="str">
        <f t="shared" si="151"/>
        <v>[x]</v>
      </c>
      <c r="X642" s="15">
        <f t="shared" si="152"/>
        <v>1</v>
      </c>
      <c r="Y642" s="15">
        <f t="shared" si="153"/>
        <v>1</v>
      </c>
      <c r="Z642" s="15">
        <f t="shared" si="154"/>
        <v>1</v>
      </c>
      <c r="AA642" s="15">
        <f t="shared" si="155"/>
        <v>6.7000000000000002E-3</v>
      </c>
    </row>
    <row r="643" spans="13:27" ht="16.5" x14ac:dyDescent="0.2">
      <c r="M643" s="15">
        <v>564</v>
      </c>
      <c r="N643" s="15">
        <f t="shared" si="144"/>
        <v>12</v>
      </c>
      <c r="O643" s="15">
        <f>INDEX(卡牌消耗!$H$13:$H$33,世界BOSS专属武器!N643)</f>
        <v>1501012</v>
      </c>
      <c r="P643" s="49" t="s">
        <v>408</v>
      </c>
      <c r="Q643" s="15">
        <f t="shared" si="145"/>
        <v>2</v>
      </c>
      <c r="R643" s="49" t="str">
        <f t="shared" si="146"/>
        <v>金币</v>
      </c>
      <c r="S643" s="15">
        <f t="shared" si="147"/>
        <v>200</v>
      </c>
      <c r="T643" s="15" t="str">
        <f t="shared" si="148"/>
        <v>低级专属强化石</v>
      </c>
      <c r="U643" s="15">
        <f t="shared" si="149"/>
        <v>1</v>
      </c>
      <c r="V643" s="15" t="str">
        <f t="shared" si="150"/>
        <v>[x]</v>
      </c>
      <c r="W643" s="15" t="str">
        <f t="shared" si="151"/>
        <v>[x]</v>
      </c>
      <c r="X643" s="15">
        <f t="shared" si="152"/>
        <v>0.5</v>
      </c>
      <c r="Y643" s="15">
        <f t="shared" si="153"/>
        <v>1</v>
      </c>
      <c r="Z643" s="15">
        <f t="shared" si="154"/>
        <v>2</v>
      </c>
      <c r="AA643" s="15">
        <f t="shared" si="155"/>
        <v>1.3299999999999999E-2</v>
      </c>
    </row>
    <row r="644" spans="13:27" ht="16.5" x14ac:dyDescent="0.2">
      <c r="M644" s="15">
        <v>565</v>
      </c>
      <c r="N644" s="15">
        <f t="shared" si="144"/>
        <v>12</v>
      </c>
      <c r="O644" s="15">
        <f>INDEX(卡牌消耗!$H$13:$H$33,世界BOSS专属武器!N644)</f>
        <v>1501012</v>
      </c>
      <c r="P644" s="49" t="s">
        <v>408</v>
      </c>
      <c r="Q644" s="15">
        <f t="shared" si="145"/>
        <v>3</v>
      </c>
      <c r="R644" s="49" t="str">
        <f t="shared" si="146"/>
        <v>金币</v>
      </c>
      <c r="S644" s="15">
        <f t="shared" si="147"/>
        <v>300</v>
      </c>
      <c r="T644" s="15" t="str">
        <f t="shared" si="148"/>
        <v>低级专属强化石</v>
      </c>
      <c r="U644" s="15">
        <f t="shared" si="149"/>
        <v>2</v>
      </c>
      <c r="V644" s="15" t="str">
        <f t="shared" si="150"/>
        <v>[x]</v>
      </c>
      <c r="W644" s="15" t="str">
        <f t="shared" si="151"/>
        <v>[x]</v>
      </c>
      <c r="X644" s="15">
        <f t="shared" si="152"/>
        <v>0.48</v>
      </c>
      <c r="Y644" s="15">
        <f t="shared" si="153"/>
        <v>1</v>
      </c>
      <c r="Z644" s="15">
        <f t="shared" si="154"/>
        <v>3</v>
      </c>
      <c r="AA644" s="15">
        <f t="shared" si="155"/>
        <v>0.02</v>
      </c>
    </row>
    <row r="645" spans="13:27" ht="16.5" x14ac:dyDescent="0.2">
      <c r="M645" s="15">
        <v>566</v>
      </c>
      <c r="N645" s="15">
        <f t="shared" si="144"/>
        <v>12</v>
      </c>
      <c r="O645" s="15">
        <f>INDEX(卡牌消耗!$H$13:$H$33,世界BOSS专属武器!N645)</f>
        <v>1501012</v>
      </c>
      <c r="P645" s="49" t="s">
        <v>408</v>
      </c>
      <c r="Q645" s="15">
        <f t="shared" si="145"/>
        <v>4</v>
      </c>
      <c r="R645" s="49" t="str">
        <f t="shared" si="146"/>
        <v>金币</v>
      </c>
      <c r="S645" s="15">
        <f t="shared" si="147"/>
        <v>400</v>
      </c>
      <c r="T645" s="15" t="str">
        <f t="shared" si="148"/>
        <v>低级专属强化石</v>
      </c>
      <c r="U645" s="15">
        <f t="shared" si="149"/>
        <v>3</v>
      </c>
      <c r="V645" s="15" t="str">
        <f t="shared" si="150"/>
        <v>[x]</v>
      </c>
      <c r="W645" s="15" t="str">
        <f t="shared" si="151"/>
        <v>[x]</v>
      </c>
      <c r="X645" s="15">
        <f t="shared" si="152"/>
        <v>0.46</v>
      </c>
      <c r="Y645" s="15">
        <f t="shared" si="153"/>
        <v>1</v>
      </c>
      <c r="Z645" s="15">
        <f t="shared" si="154"/>
        <v>3</v>
      </c>
      <c r="AA645" s="15">
        <f t="shared" si="155"/>
        <v>2.6700000000000002E-2</v>
      </c>
    </row>
    <row r="646" spans="13:27" ht="16.5" x14ac:dyDescent="0.2">
      <c r="M646" s="15">
        <v>567</v>
      </c>
      <c r="N646" s="15">
        <f t="shared" si="144"/>
        <v>12</v>
      </c>
      <c r="O646" s="15">
        <f>INDEX(卡牌消耗!$H$13:$H$33,世界BOSS专属武器!N646)</f>
        <v>1501012</v>
      </c>
      <c r="P646" s="49" t="s">
        <v>408</v>
      </c>
      <c r="Q646" s="15">
        <f t="shared" si="145"/>
        <v>5</v>
      </c>
      <c r="R646" s="49" t="str">
        <f t="shared" si="146"/>
        <v>金币</v>
      </c>
      <c r="S646" s="15">
        <f t="shared" si="147"/>
        <v>500</v>
      </c>
      <c r="T646" s="15" t="str">
        <f t="shared" si="148"/>
        <v>低级专属强化石</v>
      </c>
      <c r="U646" s="15">
        <f t="shared" si="149"/>
        <v>4</v>
      </c>
      <c r="V646" s="15" t="str">
        <f t="shared" si="150"/>
        <v>[x]</v>
      </c>
      <c r="W646" s="15" t="str">
        <f t="shared" si="151"/>
        <v>[x]</v>
      </c>
      <c r="X646" s="15">
        <f t="shared" si="152"/>
        <v>0.44</v>
      </c>
      <c r="Y646" s="15">
        <f t="shared" si="153"/>
        <v>1</v>
      </c>
      <c r="Z646" s="15">
        <f t="shared" si="154"/>
        <v>3</v>
      </c>
      <c r="AA646" s="15">
        <f t="shared" si="155"/>
        <v>3.3300000000000003E-2</v>
      </c>
    </row>
    <row r="647" spans="13:27" ht="16.5" x14ac:dyDescent="0.2">
      <c r="M647" s="15">
        <v>568</v>
      </c>
      <c r="N647" s="15">
        <f t="shared" si="144"/>
        <v>12</v>
      </c>
      <c r="O647" s="15">
        <f>INDEX(卡牌消耗!$H$13:$H$33,世界BOSS专属武器!N647)</f>
        <v>1501012</v>
      </c>
      <c r="P647" s="49" t="s">
        <v>408</v>
      </c>
      <c r="Q647" s="15">
        <f t="shared" si="145"/>
        <v>6</v>
      </c>
      <c r="R647" s="49" t="str">
        <f t="shared" si="146"/>
        <v>金币</v>
      </c>
      <c r="S647" s="15">
        <f t="shared" si="147"/>
        <v>600</v>
      </c>
      <c r="T647" s="15" t="str">
        <f t="shared" si="148"/>
        <v>低级专属强化石</v>
      </c>
      <c r="U647" s="15">
        <f t="shared" si="149"/>
        <v>5</v>
      </c>
      <c r="V647" s="15" t="str">
        <f t="shared" si="150"/>
        <v>[x]</v>
      </c>
      <c r="W647" s="15" t="str">
        <f t="shared" si="151"/>
        <v>[x]</v>
      </c>
      <c r="X647" s="15">
        <f t="shared" si="152"/>
        <v>0.42</v>
      </c>
      <c r="Y647" s="15">
        <f t="shared" si="153"/>
        <v>1</v>
      </c>
      <c r="Z647" s="15">
        <f t="shared" si="154"/>
        <v>4</v>
      </c>
      <c r="AA647" s="15">
        <f t="shared" si="155"/>
        <v>0.04</v>
      </c>
    </row>
    <row r="648" spans="13:27" ht="16.5" x14ac:dyDescent="0.2">
      <c r="M648" s="15">
        <v>569</v>
      </c>
      <c r="N648" s="15">
        <f t="shared" si="144"/>
        <v>12</v>
      </c>
      <c r="O648" s="15">
        <f>INDEX(卡牌消耗!$H$13:$H$33,世界BOSS专属武器!N648)</f>
        <v>1501012</v>
      </c>
      <c r="P648" s="49" t="s">
        <v>408</v>
      </c>
      <c r="Q648" s="15">
        <f t="shared" si="145"/>
        <v>7</v>
      </c>
      <c r="R648" s="49" t="str">
        <f t="shared" si="146"/>
        <v>金币</v>
      </c>
      <c r="S648" s="15">
        <f t="shared" si="147"/>
        <v>700</v>
      </c>
      <c r="T648" s="15" t="str">
        <f t="shared" si="148"/>
        <v>低级专属强化石</v>
      </c>
      <c r="U648" s="15">
        <f t="shared" si="149"/>
        <v>5</v>
      </c>
      <c r="V648" s="15" t="str">
        <f t="shared" si="150"/>
        <v>[x]</v>
      </c>
      <c r="W648" s="15" t="str">
        <f t="shared" si="151"/>
        <v>[x]</v>
      </c>
      <c r="X648" s="15">
        <f t="shared" si="152"/>
        <v>0.4</v>
      </c>
      <c r="Y648" s="15">
        <f t="shared" si="153"/>
        <v>1</v>
      </c>
      <c r="Z648" s="15">
        <f t="shared" si="154"/>
        <v>4</v>
      </c>
      <c r="AA648" s="15">
        <f t="shared" si="155"/>
        <v>4.6699999999999998E-2</v>
      </c>
    </row>
    <row r="649" spans="13:27" ht="16.5" x14ac:dyDescent="0.2">
      <c r="M649" s="15">
        <v>570</v>
      </c>
      <c r="N649" s="15">
        <f t="shared" si="144"/>
        <v>12</v>
      </c>
      <c r="O649" s="15">
        <f>INDEX(卡牌消耗!$H$13:$H$33,世界BOSS专属武器!N649)</f>
        <v>1501012</v>
      </c>
      <c r="P649" s="49" t="s">
        <v>408</v>
      </c>
      <c r="Q649" s="15">
        <f t="shared" si="145"/>
        <v>8</v>
      </c>
      <c r="R649" s="49" t="str">
        <f t="shared" si="146"/>
        <v>金币</v>
      </c>
      <c r="S649" s="15">
        <f t="shared" si="147"/>
        <v>800</v>
      </c>
      <c r="T649" s="15" t="str">
        <f t="shared" si="148"/>
        <v>低级专属强化石</v>
      </c>
      <c r="U649" s="15">
        <f t="shared" si="149"/>
        <v>5</v>
      </c>
      <c r="V649" s="15" t="str">
        <f t="shared" si="150"/>
        <v>[x]</v>
      </c>
      <c r="W649" s="15" t="str">
        <f t="shared" si="151"/>
        <v>[x]</v>
      </c>
      <c r="X649" s="15">
        <f t="shared" si="152"/>
        <v>0.38</v>
      </c>
      <c r="Y649" s="15">
        <f t="shared" si="153"/>
        <v>1</v>
      </c>
      <c r="Z649" s="15">
        <f t="shared" si="154"/>
        <v>5</v>
      </c>
      <c r="AA649" s="15">
        <f t="shared" si="155"/>
        <v>5.33E-2</v>
      </c>
    </row>
    <row r="650" spans="13:27" ht="16.5" x14ac:dyDescent="0.2">
      <c r="M650" s="15">
        <v>571</v>
      </c>
      <c r="N650" s="15">
        <f t="shared" si="144"/>
        <v>12</v>
      </c>
      <c r="O650" s="15">
        <f>INDEX(卡牌消耗!$H$13:$H$33,世界BOSS专属武器!N650)</f>
        <v>1501012</v>
      </c>
      <c r="P650" s="49" t="s">
        <v>408</v>
      </c>
      <c r="Q650" s="15">
        <f t="shared" si="145"/>
        <v>9</v>
      </c>
      <c r="R650" s="49" t="str">
        <f t="shared" si="146"/>
        <v>金币</v>
      </c>
      <c r="S650" s="15">
        <f t="shared" si="147"/>
        <v>900</v>
      </c>
      <c r="T650" s="15" t="str">
        <f t="shared" si="148"/>
        <v>低级专属强化石</v>
      </c>
      <c r="U650" s="15">
        <f t="shared" si="149"/>
        <v>5</v>
      </c>
      <c r="V650" s="15" t="str">
        <f t="shared" si="150"/>
        <v>[x]</v>
      </c>
      <c r="W650" s="15" t="str">
        <f t="shared" si="151"/>
        <v>[x]</v>
      </c>
      <c r="X650" s="15">
        <f t="shared" si="152"/>
        <v>0.36</v>
      </c>
      <c r="Y650" s="15">
        <f t="shared" si="153"/>
        <v>1</v>
      </c>
      <c r="Z650" s="15">
        <f t="shared" si="154"/>
        <v>5</v>
      </c>
      <c r="AA650" s="15">
        <f t="shared" si="155"/>
        <v>0.06</v>
      </c>
    </row>
    <row r="651" spans="13:27" ht="16.5" x14ac:dyDescent="0.2">
      <c r="M651" s="15">
        <v>572</v>
      </c>
      <c r="N651" s="15">
        <f t="shared" si="144"/>
        <v>12</v>
      </c>
      <c r="O651" s="15">
        <f>INDEX(卡牌消耗!$H$13:$H$33,世界BOSS专属武器!N651)</f>
        <v>1501012</v>
      </c>
      <c r="P651" s="49" t="s">
        <v>408</v>
      </c>
      <c r="Q651" s="15">
        <f t="shared" si="145"/>
        <v>10</v>
      </c>
      <c r="R651" s="49" t="str">
        <f t="shared" si="146"/>
        <v>金币</v>
      </c>
      <c r="S651" s="15">
        <f t="shared" si="147"/>
        <v>1000</v>
      </c>
      <c r="T651" s="15" t="str">
        <f t="shared" si="148"/>
        <v>低级专属强化石</v>
      </c>
      <c r="U651" s="15">
        <f t="shared" si="149"/>
        <v>7</v>
      </c>
      <c r="V651" s="15" t="str">
        <f t="shared" si="150"/>
        <v>[x]</v>
      </c>
      <c r="W651" s="15" t="str">
        <f t="shared" si="151"/>
        <v>[x]</v>
      </c>
      <c r="X651" s="15">
        <f t="shared" si="152"/>
        <v>0.35</v>
      </c>
      <c r="Y651" s="15">
        <f t="shared" si="153"/>
        <v>1</v>
      </c>
      <c r="Z651" s="15">
        <f t="shared" si="154"/>
        <v>5</v>
      </c>
      <c r="AA651" s="15">
        <f t="shared" si="155"/>
        <v>6.6699999999999995E-2</v>
      </c>
    </row>
    <row r="652" spans="13:27" ht="16.5" x14ac:dyDescent="0.2">
      <c r="M652" s="15">
        <v>573</v>
      </c>
      <c r="N652" s="15">
        <f t="shared" si="144"/>
        <v>12</v>
      </c>
      <c r="O652" s="15">
        <f>INDEX(卡牌消耗!$H$13:$H$33,世界BOSS专属武器!N652)</f>
        <v>1501012</v>
      </c>
      <c r="P652" s="49" t="s">
        <v>408</v>
      </c>
      <c r="Q652" s="15">
        <f t="shared" si="145"/>
        <v>11</v>
      </c>
      <c r="R652" s="49" t="str">
        <f t="shared" si="146"/>
        <v>金币</v>
      </c>
      <c r="S652" s="15">
        <f t="shared" si="147"/>
        <v>1000</v>
      </c>
      <c r="T652" s="15" t="str">
        <f t="shared" si="148"/>
        <v>低级专属强化石</v>
      </c>
      <c r="U652" s="15">
        <f t="shared" si="149"/>
        <v>7</v>
      </c>
      <c r="V652" s="15" t="str">
        <f t="shared" si="150"/>
        <v>[x]</v>
      </c>
      <c r="W652" s="15" t="str">
        <f t="shared" si="151"/>
        <v>[x]</v>
      </c>
      <c r="X652" s="15">
        <f t="shared" si="152"/>
        <v>0.33</v>
      </c>
      <c r="Y652" s="15">
        <f t="shared" si="153"/>
        <v>1</v>
      </c>
      <c r="Z652" s="15">
        <f t="shared" si="154"/>
        <v>6</v>
      </c>
      <c r="AA652" s="15">
        <f t="shared" si="155"/>
        <v>0.08</v>
      </c>
    </row>
    <row r="653" spans="13:27" ht="16.5" x14ac:dyDescent="0.2">
      <c r="M653" s="15">
        <v>574</v>
      </c>
      <c r="N653" s="15">
        <f t="shared" si="144"/>
        <v>12</v>
      </c>
      <c r="O653" s="15">
        <f>INDEX(卡牌消耗!$H$13:$H$33,世界BOSS专属武器!N653)</f>
        <v>1501012</v>
      </c>
      <c r="P653" s="49" t="s">
        <v>408</v>
      </c>
      <c r="Q653" s="15">
        <f t="shared" si="145"/>
        <v>12</v>
      </c>
      <c r="R653" s="49" t="str">
        <f t="shared" si="146"/>
        <v>金币</v>
      </c>
      <c r="S653" s="15">
        <f t="shared" si="147"/>
        <v>1000</v>
      </c>
      <c r="T653" s="15" t="str">
        <f t="shared" si="148"/>
        <v>低级专属强化石</v>
      </c>
      <c r="U653" s="15">
        <f t="shared" si="149"/>
        <v>7</v>
      </c>
      <c r="V653" s="15" t="str">
        <f t="shared" si="150"/>
        <v>[x]</v>
      </c>
      <c r="W653" s="15" t="str">
        <f t="shared" si="151"/>
        <v>[x]</v>
      </c>
      <c r="X653" s="15">
        <f t="shared" si="152"/>
        <v>0.31</v>
      </c>
      <c r="Y653" s="15">
        <f t="shared" si="153"/>
        <v>1</v>
      </c>
      <c r="Z653" s="15">
        <f t="shared" si="154"/>
        <v>6</v>
      </c>
      <c r="AA653" s="15">
        <f t="shared" si="155"/>
        <v>9.3299999999999994E-2</v>
      </c>
    </row>
    <row r="654" spans="13:27" ht="16.5" x14ac:dyDescent="0.2">
      <c r="M654" s="15">
        <v>575</v>
      </c>
      <c r="N654" s="15">
        <f t="shared" si="144"/>
        <v>12</v>
      </c>
      <c r="O654" s="15">
        <f>INDEX(卡牌消耗!$H$13:$H$33,世界BOSS专属武器!N654)</f>
        <v>1501012</v>
      </c>
      <c r="P654" s="49" t="s">
        <v>408</v>
      </c>
      <c r="Q654" s="15">
        <f t="shared" si="145"/>
        <v>13</v>
      </c>
      <c r="R654" s="49" t="str">
        <f t="shared" si="146"/>
        <v>金币</v>
      </c>
      <c r="S654" s="15">
        <f t="shared" si="147"/>
        <v>1000</v>
      </c>
      <c r="T654" s="15" t="str">
        <f t="shared" si="148"/>
        <v>低级专属强化石</v>
      </c>
      <c r="U654" s="15">
        <f t="shared" si="149"/>
        <v>7</v>
      </c>
      <c r="V654" s="15" t="str">
        <f t="shared" si="150"/>
        <v>[x]</v>
      </c>
      <c r="W654" s="15" t="str">
        <f t="shared" si="151"/>
        <v>[x]</v>
      </c>
      <c r="X654" s="15">
        <f t="shared" si="152"/>
        <v>0.28999999999999998</v>
      </c>
      <c r="Y654" s="15">
        <f t="shared" si="153"/>
        <v>1</v>
      </c>
      <c r="Z654" s="15">
        <f t="shared" si="154"/>
        <v>7</v>
      </c>
      <c r="AA654" s="15">
        <f t="shared" si="155"/>
        <v>0.1067</v>
      </c>
    </row>
    <row r="655" spans="13:27" ht="16.5" x14ac:dyDescent="0.2">
      <c r="M655" s="15">
        <v>576</v>
      </c>
      <c r="N655" s="15">
        <f t="shared" si="144"/>
        <v>12</v>
      </c>
      <c r="O655" s="15">
        <f>INDEX(卡牌消耗!$H$13:$H$33,世界BOSS专属武器!N655)</f>
        <v>1501012</v>
      </c>
      <c r="P655" s="49" t="s">
        <v>408</v>
      </c>
      <c r="Q655" s="15">
        <f t="shared" si="145"/>
        <v>14</v>
      </c>
      <c r="R655" s="49" t="str">
        <f t="shared" si="146"/>
        <v>金币</v>
      </c>
      <c r="S655" s="15">
        <f t="shared" si="147"/>
        <v>1000</v>
      </c>
      <c r="T655" s="15" t="str">
        <f t="shared" si="148"/>
        <v>低级专属强化石</v>
      </c>
      <c r="U655" s="15">
        <f t="shared" si="149"/>
        <v>7</v>
      </c>
      <c r="V655" s="15" t="str">
        <f t="shared" si="150"/>
        <v>[x]</v>
      </c>
      <c r="W655" s="15" t="str">
        <f t="shared" si="151"/>
        <v>[x]</v>
      </c>
      <c r="X655" s="15">
        <f t="shared" si="152"/>
        <v>0.27</v>
      </c>
      <c r="Y655" s="15">
        <f t="shared" si="153"/>
        <v>1</v>
      </c>
      <c r="Z655" s="15">
        <f t="shared" si="154"/>
        <v>7</v>
      </c>
      <c r="AA655" s="15">
        <f t="shared" si="155"/>
        <v>0.12</v>
      </c>
    </row>
    <row r="656" spans="13:27" ht="16.5" x14ac:dyDescent="0.2">
      <c r="M656" s="15">
        <v>577</v>
      </c>
      <c r="N656" s="15">
        <f t="shared" si="144"/>
        <v>12</v>
      </c>
      <c r="O656" s="15">
        <f>INDEX(卡牌消耗!$H$13:$H$33,世界BOSS专属武器!N656)</f>
        <v>1501012</v>
      </c>
      <c r="P656" s="49" t="s">
        <v>408</v>
      </c>
      <c r="Q656" s="15">
        <f t="shared" si="145"/>
        <v>15</v>
      </c>
      <c r="R656" s="49" t="str">
        <f t="shared" si="146"/>
        <v>金币</v>
      </c>
      <c r="S656" s="15">
        <f t="shared" si="147"/>
        <v>1000</v>
      </c>
      <c r="T656" s="15" t="str">
        <f t="shared" si="148"/>
        <v>低级专属强化石</v>
      </c>
      <c r="U656" s="15">
        <f t="shared" si="149"/>
        <v>10</v>
      </c>
      <c r="V656" s="15" t="str">
        <f t="shared" si="150"/>
        <v>[x]</v>
      </c>
      <c r="W656" s="15" t="str">
        <f t="shared" si="151"/>
        <v>[x]</v>
      </c>
      <c r="X656" s="15">
        <f t="shared" si="152"/>
        <v>0.25</v>
      </c>
      <c r="Y656" s="15">
        <f t="shared" si="153"/>
        <v>1</v>
      </c>
      <c r="Z656" s="15">
        <f t="shared" si="154"/>
        <v>8</v>
      </c>
      <c r="AA656" s="15">
        <f t="shared" si="155"/>
        <v>0.1333</v>
      </c>
    </row>
    <row r="657" spans="13:27" ht="16.5" x14ac:dyDescent="0.2">
      <c r="M657" s="15">
        <v>578</v>
      </c>
      <c r="N657" s="15">
        <f t="shared" ref="N657:N720" si="156">INT((M657-1)/51)+1</f>
        <v>12</v>
      </c>
      <c r="O657" s="15">
        <f>INDEX(卡牌消耗!$H$13:$H$33,世界BOSS专属武器!N657)</f>
        <v>1501012</v>
      </c>
      <c r="P657" s="49" t="s">
        <v>408</v>
      </c>
      <c r="Q657" s="15">
        <f t="shared" ref="Q657:Q720" si="157">MOD(M657-1,51)</f>
        <v>16</v>
      </c>
      <c r="R657" s="49" t="str">
        <f t="shared" ref="R657:R720" si="158">IF(Q657&gt;0,"金币","[x]")</f>
        <v>金币</v>
      </c>
      <c r="S657" s="15">
        <f t="shared" ref="S657:S720" si="159">IF(Q657&gt;0,INDEX($V$27:$V$76,Q657),"[x]")</f>
        <v>1000</v>
      </c>
      <c r="T657" s="15" t="str">
        <f t="shared" ref="T657:T720" si="160">IF(Q657&gt;0,INDEX($W$27:$W$76,Q657),"[x]")</f>
        <v>低级专属强化石</v>
      </c>
      <c r="U657" s="15">
        <f t="shared" ref="U657:U720" si="161">IF(Q657&gt;0,INDEX($AA$27:$AF$76,Q657,INDEX($Y$27:$Y$76,Q657)),"[x]")</f>
        <v>10</v>
      </c>
      <c r="V657" s="15" t="str">
        <f t="shared" ref="V657:V720" si="162">IF(AND(Q657&gt;=20,Q657&lt;40),INDEX($X$27:$X$76,Q657),"[x]")</f>
        <v>[x]</v>
      </c>
      <c r="W657" s="15" t="str">
        <f t="shared" ref="W657:W720" si="163">IF(AND(Q657&gt;=20,Q657&lt;40),INDEX($AA$27:$AF$76,Q657,INDEX($Z$27:$Z$76,Q657)),"[x]")</f>
        <v>[x]</v>
      </c>
      <c r="X657" s="15">
        <f t="shared" ref="X657:X720" si="164">IF(Q657&gt;0,INDEX($T$27:$T$76,Q657),"[x]")</f>
        <v>0.23</v>
      </c>
      <c r="Y657" s="15">
        <f t="shared" ref="Y657:Y720" si="165">IF(Q657&gt;0,1,"[x]")</f>
        <v>1</v>
      </c>
      <c r="Z657" s="15">
        <f t="shared" ref="Z657:Z720" si="166">IF(Q657&gt;0,INDEX($AG$27:$AG$76,Q657),"[x]")</f>
        <v>9</v>
      </c>
      <c r="AA657" s="15">
        <f t="shared" ref="AA657:AA720" si="167">IF(Q657&gt;0,INDEX($AL$27:$AL$76,Q657),"[x]")</f>
        <v>0.1467</v>
      </c>
    </row>
    <row r="658" spans="13:27" ht="16.5" x14ac:dyDescent="0.2">
      <c r="M658" s="15">
        <v>579</v>
      </c>
      <c r="N658" s="15">
        <f t="shared" si="156"/>
        <v>12</v>
      </c>
      <c r="O658" s="15">
        <f>INDEX(卡牌消耗!$H$13:$H$33,世界BOSS专属武器!N658)</f>
        <v>1501012</v>
      </c>
      <c r="P658" s="49" t="s">
        <v>408</v>
      </c>
      <c r="Q658" s="15">
        <f t="shared" si="157"/>
        <v>17</v>
      </c>
      <c r="R658" s="49" t="str">
        <f t="shared" si="158"/>
        <v>金币</v>
      </c>
      <c r="S658" s="15">
        <f t="shared" si="159"/>
        <v>1000</v>
      </c>
      <c r="T658" s="15" t="str">
        <f t="shared" si="160"/>
        <v>低级专属强化石</v>
      </c>
      <c r="U658" s="15">
        <f t="shared" si="161"/>
        <v>10</v>
      </c>
      <c r="V658" s="15" t="str">
        <f t="shared" si="162"/>
        <v>[x]</v>
      </c>
      <c r="W658" s="15" t="str">
        <f t="shared" si="163"/>
        <v>[x]</v>
      </c>
      <c r="X658" s="15">
        <f t="shared" si="164"/>
        <v>0.21</v>
      </c>
      <c r="Y658" s="15">
        <f t="shared" si="165"/>
        <v>1</v>
      </c>
      <c r="Z658" s="15">
        <f t="shared" si="166"/>
        <v>10</v>
      </c>
      <c r="AA658" s="15">
        <f t="shared" si="167"/>
        <v>0.16</v>
      </c>
    </row>
    <row r="659" spans="13:27" ht="16.5" x14ac:dyDescent="0.2">
      <c r="M659" s="15">
        <v>580</v>
      </c>
      <c r="N659" s="15">
        <f t="shared" si="156"/>
        <v>12</v>
      </c>
      <c r="O659" s="15">
        <f>INDEX(卡牌消耗!$H$13:$H$33,世界BOSS专属武器!N659)</f>
        <v>1501012</v>
      </c>
      <c r="P659" s="49" t="s">
        <v>408</v>
      </c>
      <c r="Q659" s="15">
        <f t="shared" si="157"/>
        <v>18</v>
      </c>
      <c r="R659" s="49" t="str">
        <f t="shared" si="158"/>
        <v>金币</v>
      </c>
      <c r="S659" s="15">
        <f t="shared" si="159"/>
        <v>1000</v>
      </c>
      <c r="T659" s="15" t="str">
        <f t="shared" si="160"/>
        <v>低级专属强化石</v>
      </c>
      <c r="U659" s="15">
        <f t="shared" si="161"/>
        <v>10</v>
      </c>
      <c r="V659" s="15" t="str">
        <f t="shared" si="162"/>
        <v>[x]</v>
      </c>
      <c r="W659" s="15" t="str">
        <f t="shared" si="163"/>
        <v>[x]</v>
      </c>
      <c r="X659" s="15">
        <f t="shared" si="164"/>
        <v>0.19</v>
      </c>
      <c r="Y659" s="15">
        <f t="shared" si="165"/>
        <v>1</v>
      </c>
      <c r="Z659" s="15">
        <f t="shared" si="166"/>
        <v>11</v>
      </c>
      <c r="AA659" s="15">
        <f t="shared" si="167"/>
        <v>0.17330000000000001</v>
      </c>
    </row>
    <row r="660" spans="13:27" ht="16.5" x14ac:dyDescent="0.2">
      <c r="M660" s="15">
        <v>581</v>
      </c>
      <c r="N660" s="15">
        <f t="shared" si="156"/>
        <v>12</v>
      </c>
      <c r="O660" s="15">
        <f>INDEX(卡牌消耗!$H$13:$H$33,世界BOSS专属武器!N660)</f>
        <v>1501012</v>
      </c>
      <c r="P660" s="49" t="s">
        <v>408</v>
      </c>
      <c r="Q660" s="15">
        <f t="shared" si="157"/>
        <v>19</v>
      </c>
      <c r="R660" s="49" t="str">
        <f t="shared" si="158"/>
        <v>金币</v>
      </c>
      <c r="S660" s="15">
        <f t="shared" si="159"/>
        <v>1000</v>
      </c>
      <c r="T660" s="15" t="str">
        <f t="shared" si="160"/>
        <v>低级专属强化石</v>
      </c>
      <c r="U660" s="15">
        <f t="shared" si="161"/>
        <v>10</v>
      </c>
      <c r="V660" s="15" t="str">
        <f t="shared" si="162"/>
        <v>[x]</v>
      </c>
      <c r="W660" s="15" t="str">
        <f t="shared" si="163"/>
        <v>[x]</v>
      </c>
      <c r="X660" s="15">
        <f t="shared" si="164"/>
        <v>0.17</v>
      </c>
      <c r="Y660" s="15">
        <f t="shared" si="165"/>
        <v>1</v>
      </c>
      <c r="Z660" s="15">
        <f t="shared" si="166"/>
        <v>12</v>
      </c>
      <c r="AA660" s="15">
        <f t="shared" si="167"/>
        <v>0.1867</v>
      </c>
    </row>
    <row r="661" spans="13:27" ht="16.5" x14ac:dyDescent="0.2">
      <c r="M661" s="15">
        <v>582</v>
      </c>
      <c r="N661" s="15">
        <f t="shared" si="156"/>
        <v>12</v>
      </c>
      <c r="O661" s="15">
        <f>INDEX(卡牌消耗!$H$13:$H$33,世界BOSS专属武器!N661)</f>
        <v>1501012</v>
      </c>
      <c r="P661" s="49" t="s">
        <v>408</v>
      </c>
      <c r="Q661" s="15">
        <f t="shared" si="157"/>
        <v>20</v>
      </c>
      <c r="R661" s="49" t="str">
        <f t="shared" si="158"/>
        <v>金币</v>
      </c>
      <c r="S661" s="15">
        <f t="shared" si="159"/>
        <v>5000</v>
      </c>
      <c r="T661" s="15" t="str">
        <f t="shared" si="160"/>
        <v>低级专属强化石</v>
      </c>
      <c r="U661" s="15">
        <f t="shared" si="161"/>
        <v>15</v>
      </c>
      <c r="V661" s="15" t="str">
        <f t="shared" si="162"/>
        <v>中级专属强化石</v>
      </c>
      <c r="W661" s="15">
        <f t="shared" si="163"/>
        <v>7</v>
      </c>
      <c r="X661" s="15">
        <f t="shared" si="164"/>
        <v>0.15</v>
      </c>
      <c r="Y661" s="15">
        <f t="shared" si="165"/>
        <v>1</v>
      </c>
      <c r="Z661" s="15">
        <f t="shared" si="166"/>
        <v>15</v>
      </c>
      <c r="AA661" s="15">
        <f t="shared" si="167"/>
        <v>0.2</v>
      </c>
    </row>
    <row r="662" spans="13:27" ht="16.5" x14ac:dyDescent="0.2">
      <c r="M662" s="15">
        <v>583</v>
      </c>
      <c r="N662" s="15">
        <f t="shared" si="156"/>
        <v>12</v>
      </c>
      <c r="O662" s="15">
        <f>INDEX(卡牌消耗!$H$13:$H$33,世界BOSS专属武器!N662)</f>
        <v>1501012</v>
      </c>
      <c r="P662" s="49" t="s">
        <v>408</v>
      </c>
      <c r="Q662" s="15">
        <f t="shared" si="157"/>
        <v>21</v>
      </c>
      <c r="R662" s="49" t="str">
        <f t="shared" si="158"/>
        <v>金币</v>
      </c>
      <c r="S662" s="15">
        <f t="shared" si="159"/>
        <v>5000</v>
      </c>
      <c r="T662" s="15" t="str">
        <f t="shared" si="160"/>
        <v>低级专属强化石</v>
      </c>
      <c r="U662" s="15">
        <f t="shared" si="161"/>
        <v>15</v>
      </c>
      <c r="V662" s="15" t="str">
        <f t="shared" si="162"/>
        <v>中级专属强化石</v>
      </c>
      <c r="W662" s="15">
        <f t="shared" si="163"/>
        <v>7</v>
      </c>
      <c r="X662" s="15">
        <f t="shared" si="164"/>
        <v>0.15</v>
      </c>
      <c r="Y662" s="15">
        <f t="shared" si="165"/>
        <v>1</v>
      </c>
      <c r="Z662" s="15">
        <f t="shared" si="166"/>
        <v>15</v>
      </c>
      <c r="AA662" s="15">
        <f t="shared" si="167"/>
        <v>0.22</v>
      </c>
    </row>
    <row r="663" spans="13:27" ht="16.5" x14ac:dyDescent="0.2">
      <c r="M663" s="15">
        <v>584</v>
      </c>
      <c r="N663" s="15">
        <f t="shared" si="156"/>
        <v>12</v>
      </c>
      <c r="O663" s="15">
        <f>INDEX(卡牌消耗!$H$13:$H$33,世界BOSS专属武器!N663)</f>
        <v>1501012</v>
      </c>
      <c r="P663" s="49" t="s">
        <v>408</v>
      </c>
      <c r="Q663" s="15">
        <f t="shared" si="157"/>
        <v>22</v>
      </c>
      <c r="R663" s="49" t="str">
        <f t="shared" si="158"/>
        <v>金币</v>
      </c>
      <c r="S663" s="15">
        <f t="shared" si="159"/>
        <v>5000</v>
      </c>
      <c r="T663" s="15" t="str">
        <f t="shared" si="160"/>
        <v>低级专属强化石</v>
      </c>
      <c r="U663" s="15">
        <f t="shared" si="161"/>
        <v>15</v>
      </c>
      <c r="V663" s="15" t="str">
        <f t="shared" si="162"/>
        <v>中级专属强化石</v>
      </c>
      <c r="W663" s="15">
        <f t="shared" si="163"/>
        <v>7</v>
      </c>
      <c r="X663" s="15">
        <f t="shared" si="164"/>
        <v>0.15</v>
      </c>
      <c r="Y663" s="15">
        <f t="shared" si="165"/>
        <v>1</v>
      </c>
      <c r="Z663" s="15">
        <f t="shared" si="166"/>
        <v>15</v>
      </c>
      <c r="AA663" s="15">
        <f t="shared" si="167"/>
        <v>0.24</v>
      </c>
    </row>
    <row r="664" spans="13:27" ht="16.5" x14ac:dyDescent="0.2">
      <c r="M664" s="15">
        <v>585</v>
      </c>
      <c r="N664" s="15">
        <f t="shared" si="156"/>
        <v>12</v>
      </c>
      <c r="O664" s="15">
        <f>INDEX(卡牌消耗!$H$13:$H$33,世界BOSS专属武器!N664)</f>
        <v>1501012</v>
      </c>
      <c r="P664" s="49" t="s">
        <v>408</v>
      </c>
      <c r="Q664" s="15">
        <f t="shared" si="157"/>
        <v>23</v>
      </c>
      <c r="R664" s="49" t="str">
        <f t="shared" si="158"/>
        <v>金币</v>
      </c>
      <c r="S664" s="15">
        <f t="shared" si="159"/>
        <v>5000</v>
      </c>
      <c r="T664" s="15" t="str">
        <f t="shared" si="160"/>
        <v>低级专属强化石</v>
      </c>
      <c r="U664" s="15">
        <f t="shared" si="161"/>
        <v>15</v>
      </c>
      <c r="V664" s="15" t="str">
        <f t="shared" si="162"/>
        <v>中级专属强化石</v>
      </c>
      <c r="W664" s="15">
        <f t="shared" si="163"/>
        <v>7</v>
      </c>
      <c r="X664" s="15">
        <f t="shared" si="164"/>
        <v>0.15</v>
      </c>
      <c r="Y664" s="15">
        <f t="shared" si="165"/>
        <v>1</v>
      </c>
      <c r="Z664" s="15">
        <f t="shared" si="166"/>
        <v>18</v>
      </c>
      <c r="AA664" s="15">
        <f t="shared" si="167"/>
        <v>0.26</v>
      </c>
    </row>
    <row r="665" spans="13:27" ht="16.5" x14ac:dyDescent="0.2">
      <c r="M665" s="15">
        <v>586</v>
      </c>
      <c r="N665" s="15">
        <f t="shared" si="156"/>
        <v>12</v>
      </c>
      <c r="O665" s="15">
        <f>INDEX(卡牌消耗!$H$13:$H$33,世界BOSS专属武器!N665)</f>
        <v>1501012</v>
      </c>
      <c r="P665" s="49" t="s">
        <v>408</v>
      </c>
      <c r="Q665" s="15">
        <f t="shared" si="157"/>
        <v>24</v>
      </c>
      <c r="R665" s="49" t="str">
        <f t="shared" si="158"/>
        <v>金币</v>
      </c>
      <c r="S665" s="15">
        <f t="shared" si="159"/>
        <v>5000</v>
      </c>
      <c r="T665" s="15" t="str">
        <f t="shared" si="160"/>
        <v>低级专属强化石</v>
      </c>
      <c r="U665" s="15">
        <f t="shared" si="161"/>
        <v>15</v>
      </c>
      <c r="V665" s="15" t="str">
        <f t="shared" si="162"/>
        <v>中级专属强化石</v>
      </c>
      <c r="W665" s="15">
        <f t="shared" si="163"/>
        <v>7</v>
      </c>
      <c r="X665" s="15">
        <f t="shared" si="164"/>
        <v>0.15</v>
      </c>
      <c r="Y665" s="15">
        <f t="shared" si="165"/>
        <v>1</v>
      </c>
      <c r="Z665" s="15">
        <f t="shared" si="166"/>
        <v>18</v>
      </c>
      <c r="AA665" s="15">
        <f t="shared" si="167"/>
        <v>0.28000000000000003</v>
      </c>
    </row>
    <row r="666" spans="13:27" ht="16.5" x14ac:dyDescent="0.2">
      <c r="M666" s="15">
        <v>587</v>
      </c>
      <c r="N666" s="15">
        <f t="shared" si="156"/>
        <v>12</v>
      </c>
      <c r="O666" s="15">
        <f>INDEX(卡牌消耗!$H$13:$H$33,世界BOSS专属武器!N666)</f>
        <v>1501012</v>
      </c>
      <c r="P666" s="49" t="s">
        <v>408</v>
      </c>
      <c r="Q666" s="15">
        <f t="shared" si="157"/>
        <v>25</v>
      </c>
      <c r="R666" s="49" t="str">
        <f t="shared" si="158"/>
        <v>金币</v>
      </c>
      <c r="S666" s="15">
        <f t="shared" si="159"/>
        <v>5000</v>
      </c>
      <c r="T666" s="15" t="str">
        <f t="shared" si="160"/>
        <v>低级专属强化石</v>
      </c>
      <c r="U666" s="15">
        <f t="shared" si="161"/>
        <v>15</v>
      </c>
      <c r="V666" s="15" t="str">
        <f t="shared" si="162"/>
        <v>中级专属强化石</v>
      </c>
      <c r="W666" s="15">
        <f t="shared" si="163"/>
        <v>7</v>
      </c>
      <c r="X666" s="15">
        <f t="shared" si="164"/>
        <v>0.15</v>
      </c>
      <c r="Y666" s="15">
        <f t="shared" si="165"/>
        <v>1</v>
      </c>
      <c r="Z666" s="15">
        <f t="shared" si="166"/>
        <v>18</v>
      </c>
      <c r="AA666" s="15">
        <f t="shared" si="167"/>
        <v>0.3</v>
      </c>
    </row>
    <row r="667" spans="13:27" ht="16.5" x14ac:dyDescent="0.2">
      <c r="M667" s="15">
        <v>588</v>
      </c>
      <c r="N667" s="15">
        <f t="shared" si="156"/>
        <v>12</v>
      </c>
      <c r="O667" s="15">
        <f>INDEX(卡牌消耗!$H$13:$H$33,世界BOSS专属武器!N667)</f>
        <v>1501012</v>
      </c>
      <c r="P667" s="49" t="s">
        <v>408</v>
      </c>
      <c r="Q667" s="15">
        <f t="shared" si="157"/>
        <v>26</v>
      </c>
      <c r="R667" s="49" t="str">
        <f t="shared" si="158"/>
        <v>金币</v>
      </c>
      <c r="S667" s="15">
        <f t="shared" si="159"/>
        <v>5000</v>
      </c>
      <c r="T667" s="15" t="str">
        <f t="shared" si="160"/>
        <v>低级专属强化石</v>
      </c>
      <c r="U667" s="15">
        <f t="shared" si="161"/>
        <v>15</v>
      </c>
      <c r="V667" s="15" t="str">
        <f t="shared" si="162"/>
        <v>中级专属强化石</v>
      </c>
      <c r="W667" s="15">
        <f t="shared" si="163"/>
        <v>7</v>
      </c>
      <c r="X667" s="15">
        <f t="shared" si="164"/>
        <v>0.15</v>
      </c>
      <c r="Y667" s="15">
        <f t="shared" si="165"/>
        <v>1</v>
      </c>
      <c r="Z667" s="15">
        <f t="shared" si="166"/>
        <v>21</v>
      </c>
      <c r="AA667" s="15">
        <f t="shared" si="167"/>
        <v>0.32</v>
      </c>
    </row>
    <row r="668" spans="13:27" ht="16.5" x14ac:dyDescent="0.2">
      <c r="M668" s="15">
        <v>589</v>
      </c>
      <c r="N668" s="15">
        <f t="shared" si="156"/>
        <v>12</v>
      </c>
      <c r="O668" s="15">
        <f>INDEX(卡牌消耗!$H$13:$H$33,世界BOSS专属武器!N668)</f>
        <v>1501012</v>
      </c>
      <c r="P668" s="49" t="s">
        <v>408</v>
      </c>
      <c r="Q668" s="15">
        <f t="shared" si="157"/>
        <v>27</v>
      </c>
      <c r="R668" s="49" t="str">
        <f t="shared" si="158"/>
        <v>金币</v>
      </c>
      <c r="S668" s="15">
        <f t="shared" si="159"/>
        <v>5000</v>
      </c>
      <c r="T668" s="15" t="str">
        <f t="shared" si="160"/>
        <v>低级专属强化石</v>
      </c>
      <c r="U668" s="15">
        <f t="shared" si="161"/>
        <v>15</v>
      </c>
      <c r="V668" s="15" t="str">
        <f t="shared" si="162"/>
        <v>中级专属强化石</v>
      </c>
      <c r="W668" s="15">
        <f t="shared" si="163"/>
        <v>7</v>
      </c>
      <c r="X668" s="15">
        <f t="shared" si="164"/>
        <v>0.15</v>
      </c>
      <c r="Y668" s="15">
        <f t="shared" si="165"/>
        <v>1</v>
      </c>
      <c r="Z668" s="15">
        <f t="shared" si="166"/>
        <v>22</v>
      </c>
      <c r="AA668" s="15">
        <f t="shared" si="167"/>
        <v>0.34</v>
      </c>
    </row>
    <row r="669" spans="13:27" ht="16.5" x14ac:dyDescent="0.2">
      <c r="M669" s="15">
        <v>590</v>
      </c>
      <c r="N669" s="15">
        <f t="shared" si="156"/>
        <v>12</v>
      </c>
      <c r="O669" s="15">
        <f>INDEX(卡牌消耗!$H$13:$H$33,世界BOSS专属武器!N669)</f>
        <v>1501012</v>
      </c>
      <c r="P669" s="49" t="s">
        <v>408</v>
      </c>
      <c r="Q669" s="15">
        <f t="shared" si="157"/>
        <v>28</v>
      </c>
      <c r="R669" s="49" t="str">
        <f t="shared" si="158"/>
        <v>金币</v>
      </c>
      <c r="S669" s="15">
        <f t="shared" si="159"/>
        <v>5000</v>
      </c>
      <c r="T669" s="15" t="str">
        <f t="shared" si="160"/>
        <v>低级专属强化石</v>
      </c>
      <c r="U669" s="15">
        <f t="shared" si="161"/>
        <v>15</v>
      </c>
      <c r="V669" s="15" t="str">
        <f t="shared" si="162"/>
        <v>中级专属强化石</v>
      </c>
      <c r="W669" s="15">
        <f t="shared" si="163"/>
        <v>7</v>
      </c>
      <c r="X669" s="15">
        <f t="shared" si="164"/>
        <v>0.15</v>
      </c>
      <c r="Y669" s="15">
        <f t="shared" si="165"/>
        <v>1</v>
      </c>
      <c r="Z669" s="15">
        <f t="shared" si="166"/>
        <v>23</v>
      </c>
      <c r="AA669" s="15">
        <f t="shared" si="167"/>
        <v>0.36</v>
      </c>
    </row>
    <row r="670" spans="13:27" ht="16.5" x14ac:dyDescent="0.2">
      <c r="M670" s="15">
        <v>591</v>
      </c>
      <c r="N670" s="15">
        <f t="shared" si="156"/>
        <v>12</v>
      </c>
      <c r="O670" s="15">
        <f>INDEX(卡牌消耗!$H$13:$H$33,世界BOSS专属武器!N670)</f>
        <v>1501012</v>
      </c>
      <c r="P670" s="49" t="s">
        <v>408</v>
      </c>
      <c r="Q670" s="15">
        <f t="shared" si="157"/>
        <v>29</v>
      </c>
      <c r="R670" s="49" t="str">
        <f t="shared" si="158"/>
        <v>金币</v>
      </c>
      <c r="S670" s="15">
        <f t="shared" si="159"/>
        <v>5000</v>
      </c>
      <c r="T670" s="15" t="str">
        <f t="shared" si="160"/>
        <v>低级专属强化石</v>
      </c>
      <c r="U670" s="15">
        <f t="shared" si="161"/>
        <v>15</v>
      </c>
      <c r="V670" s="15" t="str">
        <f t="shared" si="162"/>
        <v>中级专属强化石</v>
      </c>
      <c r="W670" s="15">
        <f t="shared" si="163"/>
        <v>7</v>
      </c>
      <c r="X670" s="15">
        <f t="shared" si="164"/>
        <v>0.15</v>
      </c>
      <c r="Y670" s="15">
        <f t="shared" si="165"/>
        <v>1</v>
      </c>
      <c r="Z670" s="15">
        <f t="shared" si="166"/>
        <v>25</v>
      </c>
      <c r="AA670" s="15">
        <f t="shared" si="167"/>
        <v>0.38</v>
      </c>
    </row>
    <row r="671" spans="13:27" ht="16.5" x14ac:dyDescent="0.2">
      <c r="M671" s="15">
        <v>592</v>
      </c>
      <c r="N671" s="15">
        <f t="shared" si="156"/>
        <v>12</v>
      </c>
      <c r="O671" s="15">
        <f>INDEX(卡牌消耗!$H$13:$H$33,世界BOSS专属武器!N671)</f>
        <v>1501012</v>
      </c>
      <c r="P671" s="49" t="s">
        <v>408</v>
      </c>
      <c r="Q671" s="15">
        <f t="shared" si="157"/>
        <v>30</v>
      </c>
      <c r="R671" s="49" t="str">
        <f t="shared" si="158"/>
        <v>金币</v>
      </c>
      <c r="S671" s="15">
        <f t="shared" si="159"/>
        <v>10000</v>
      </c>
      <c r="T671" s="15" t="str">
        <f t="shared" si="160"/>
        <v>中级专属强化石</v>
      </c>
      <c r="U671" s="15">
        <f t="shared" si="161"/>
        <v>8</v>
      </c>
      <c r="V671" s="15" t="str">
        <f t="shared" si="162"/>
        <v>高级专属强化石</v>
      </c>
      <c r="W671" s="15">
        <f t="shared" si="163"/>
        <v>3</v>
      </c>
      <c r="X671" s="15">
        <f t="shared" si="164"/>
        <v>0.1</v>
      </c>
      <c r="Y671" s="15">
        <f t="shared" si="165"/>
        <v>1</v>
      </c>
      <c r="Z671" s="15">
        <f t="shared" si="166"/>
        <v>30</v>
      </c>
      <c r="AA671" s="15">
        <f t="shared" si="167"/>
        <v>0.4</v>
      </c>
    </row>
    <row r="672" spans="13:27" ht="16.5" x14ac:dyDescent="0.2">
      <c r="M672" s="15">
        <v>593</v>
      </c>
      <c r="N672" s="15">
        <f t="shared" si="156"/>
        <v>12</v>
      </c>
      <c r="O672" s="15">
        <f>INDEX(卡牌消耗!$H$13:$H$33,世界BOSS专属武器!N672)</f>
        <v>1501012</v>
      </c>
      <c r="P672" s="49" t="s">
        <v>408</v>
      </c>
      <c r="Q672" s="15">
        <f t="shared" si="157"/>
        <v>31</v>
      </c>
      <c r="R672" s="49" t="str">
        <f t="shared" si="158"/>
        <v>金币</v>
      </c>
      <c r="S672" s="15">
        <f t="shared" si="159"/>
        <v>10000</v>
      </c>
      <c r="T672" s="15" t="str">
        <f t="shared" si="160"/>
        <v>中级专属强化石</v>
      </c>
      <c r="U672" s="15">
        <f t="shared" si="161"/>
        <v>8</v>
      </c>
      <c r="V672" s="15" t="str">
        <f t="shared" si="162"/>
        <v>高级专属强化石</v>
      </c>
      <c r="W672" s="15">
        <f t="shared" si="163"/>
        <v>3</v>
      </c>
      <c r="X672" s="15">
        <f t="shared" si="164"/>
        <v>0.1</v>
      </c>
      <c r="Y672" s="15">
        <f t="shared" si="165"/>
        <v>1</v>
      </c>
      <c r="Z672" s="15">
        <f t="shared" si="166"/>
        <v>30</v>
      </c>
      <c r="AA672" s="15">
        <f t="shared" si="167"/>
        <v>0.42670000000000002</v>
      </c>
    </row>
    <row r="673" spans="13:27" ht="16.5" x14ac:dyDescent="0.2">
      <c r="M673" s="15">
        <v>594</v>
      </c>
      <c r="N673" s="15">
        <f t="shared" si="156"/>
        <v>12</v>
      </c>
      <c r="O673" s="15">
        <f>INDEX(卡牌消耗!$H$13:$H$33,世界BOSS专属武器!N673)</f>
        <v>1501012</v>
      </c>
      <c r="P673" s="49" t="s">
        <v>408</v>
      </c>
      <c r="Q673" s="15">
        <f t="shared" si="157"/>
        <v>32</v>
      </c>
      <c r="R673" s="49" t="str">
        <f t="shared" si="158"/>
        <v>金币</v>
      </c>
      <c r="S673" s="15">
        <f t="shared" si="159"/>
        <v>10000</v>
      </c>
      <c r="T673" s="15" t="str">
        <f t="shared" si="160"/>
        <v>中级专属强化石</v>
      </c>
      <c r="U673" s="15">
        <f t="shared" si="161"/>
        <v>8</v>
      </c>
      <c r="V673" s="15" t="str">
        <f t="shared" si="162"/>
        <v>高级专属强化石</v>
      </c>
      <c r="W673" s="15">
        <f t="shared" si="163"/>
        <v>3</v>
      </c>
      <c r="X673" s="15">
        <f t="shared" si="164"/>
        <v>0.1</v>
      </c>
      <c r="Y673" s="15">
        <f t="shared" si="165"/>
        <v>1</v>
      </c>
      <c r="Z673" s="15">
        <f t="shared" si="166"/>
        <v>30</v>
      </c>
      <c r="AA673" s="15">
        <f t="shared" si="167"/>
        <v>0.45329999999999998</v>
      </c>
    </row>
    <row r="674" spans="13:27" ht="16.5" x14ac:dyDescent="0.2">
      <c r="M674" s="15">
        <v>595</v>
      </c>
      <c r="N674" s="15">
        <f t="shared" si="156"/>
        <v>12</v>
      </c>
      <c r="O674" s="15">
        <f>INDEX(卡牌消耗!$H$13:$H$33,世界BOSS专属武器!N674)</f>
        <v>1501012</v>
      </c>
      <c r="P674" s="49" t="s">
        <v>408</v>
      </c>
      <c r="Q674" s="15">
        <f t="shared" si="157"/>
        <v>33</v>
      </c>
      <c r="R674" s="49" t="str">
        <f t="shared" si="158"/>
        <v>金币</v>
      </c>
      <c r="S674" s="15">
        <f t="shared" si="159"/>
        <v>10000</v>
      </c>
      <c r="T674" s="15" t="str">
        <f t="shared" si="160"/>
        <v>中级专属强化石</v>
      </c>
      <c r="U674" s="15">
        <f t="shared" si="161"/>
        <v>8</v>
      </c>
      <c r="V674" s="15" t="str">
        <f t="shared" si="162"/>
        <v>高级专属强化石</v>
      </c>
      <c r="W674" s="15">
        <f t="shared" si="163"/>
        <v>3</v>
      </c>
      <c r="X674" s="15">
        <f t="shared" si="164"/>
        <v>0.1</v>
      </c>
      <c r="Y674" s="15">
        <f t="shared" si="165"/>
        <v>1</v>
      </c>
      <c r="Z674" s="15">
        <f t="shared" si="166"/>
        <v>30</v>
      </c>
      <c r="AA674" s="15">
        <f t="shared" si="167"/>
        <v>0.48</v>
      </c>
    </row>
    <row r="675" spans="13:27" ht="16.5" x14ac:dyDescent="0.2">
      <c r="M675" s="15">
        <v>596</v>
      </c>
      <c r="N675" s="15">
        <f t="shared" si="156"/>
        <v>12</v>
      </c>
      <c r="O675" s="15">
        <f>INDEX(卡牌消耗!$H$13:$H$33,世界BOSS专属武器!N675)</f>
        <v>1501012</v>
      </c>
      <c r="P675" s="49" t="s">
        <v>408</v>
      </c>
      <c r="Q675" s="15">
        <f t="shared" si="157"/>
        <v>34</v>
      </c>
      <c r="R675" s="49" t="str">
        <f t="shared" si="158"/>
        <v>金币</v>
      </c>
      <c r="S675" s="15">
        <f t="shared" si="159"/>
        <v>10000</v>
      </c>
      <c r="T675" s="15" t="str">
        <f t="shared" si="160"/>
        <v>中级专属强化石</v>
      </c>
      <c r="U675" s="15">
        <f t="shared" si="161"/>
        <v>8</v>
      </c>
      <c r="V675" s="15" t="str">
        <f t="shared" si="162"/>
        <v>高级专属强化石</v>
      </c>
      <c r="W675" s="15">
        <f t="shared" si="163"/>
        <v>3</v>
      </c>
      <c r="X675" s="15">
        <f t="shared" si="164"/>
        <v>0.1</v>
      </c>
      <c r="Y675" s="15">
        <f t="shared" si="165"/>
        <v>1</v>
      </c>
      <c r="Z675" s="15">
        <f t="shared" si="166"/>
        <v>30</v>
      </c>
      <c r="AA675" s="15">
        <f t="shared" si="167"/>
        <v>0.50670000000000004</v>
      </c>
    </row>
    <row r="676" spans="13:27" ht="16.5" x14ac:dyDescent="0.2">
      <c r="M676" s="15">
        <v>597</v>
      </c>
      <c r="N676" s="15">
        <f t="shared" si="156"/>
        <v>12</v>
      </c>
      <c r="O676" s="15">
        <f>INDEX(卡牌消耗!$H$13:$H$33,世界BOSS专属武器!N676)</f>
        <v>1501012</v>
      </c>
      <c r="P676" s="49" t="s">
        <v>408</v>
      </c>
      <c r="Q676" s="15">
        <f t="shared" si="157"/>
        <v>35</v>
      </c>
      <c r="R676" s="49" t="str">
        <f t="shared" si="158"/>
        <v>金币</v>
      </c>
      <c r="S676" s="15">
        <f t="shared" si="159"/>
        <v>10000</v>
      </c>
      <c r="T676" s="15" t="str">
        <f t="shared" si="160"/>
        <v>中级专属强化石</v>
      </c>
      <c r="U676" s="15">
        <f t="shared" si="161"/>
        <v>8</v>
      </c>
      <c r="V676" s="15" t="str">
        <f t="shared" si="162"/>
        <v>高级专属强化石</v>
      </c>
      <c r="W676" s="15">
        <f t="shared" si="163"/>
        <v>3</v>
      </c>
      <c r="X676" s="15">
        <f t="shared" si="164"/>
        <v>0.1</v>
      </c>
      <c r="Y676" s="15">
        <f t="shared" si="165"/>
        <v>1</v>
      </c>
      <c r="Z676" s="15">
        <f t="shared" si="166"/>
        <v>30</v>
      </c>
      <c r="AA676" s="15">
        <f t="shared" si="167"/>
        <v>0.5333</v>
      </c>
    </row>
    <row r="677" spans="13:27" ht="16.5" x14ac:dyDescent="0.2">
      <c r="M677" s="15">
        <v>598</v>
      </c>
      <c r="N677" s="15">
        <f t="shared" si="156"/>
        <v>12</v>
      </c>
      <c r="O677" s="15">
        <f>INDEX(卡牌消耗!$H$13:$H$33,世界BOSS专属武器!N677)</f>
        <v>1501012</v>
      </c>
      <c r="P677" s="49" t="s">
        <v>408</v>
      </c>
      <c r="Q677" s="15">
        <f t="shared" si="157"/>
        <v>36</v>
      </c>
      <c r="R677" s="49" t="str">
        <f t="shared" si="158"/>
        <v>金币</v>
      </c>
      <c r="S677" s="15">
        <f t="shared" si="159"/>
        <v>10000</v>
      </c>
      <c r="T677" s="15" t="str">
        <f t="shared" si="160"/>
        <v>中级专属强化石</v>
      </c>
      <c r="U677" s="15">
        <f t="shared" si="161"/>
        <v>8</v>
      </c>
      <c r="V677" s="15" t="str">
        <f t="shared" si="162"/>
        <v>高级专属强化石</v>
      </c>
      <c r="W677" s="15">
        <f t="shared" si="163"/>
        <v>3</v>
      </c>
      <c r="X677" s="15">
        <f t="shared" si="164"/>
        <v>0.1</v>
      </c>
      <c r="Y677" s="15">
        <f t="shared" si="165"/>
        <v>1</v>
      </c>
      <c r="Z677" s="15">
        <f t="shared" si="166"/>
        <v>30</v>
      </c>
      <c r="AA677" s="15">
        <f t="shared" si="167"/>
        <v>0.56000000000000005</v>
      </c>
    </row>
    <row r="678" spans="13:27" ht="16.5" x14ac:dyDescent="0.2">
      <c r="M678" s="15">
        <v>599</v>
      </c>
      <c r="N678" s="15">
        <f t="shared" si="156"/>
        <v>12</v>
      </c>
      <c r="O678" s="15">
        <f>INDEX(卡牌消耗!$H$13:$H$33,世界BOSS专属武器!N678)</f>
        <v>1501012</v>
      </c>
      <c r="P678" s="49" t="s">
        <v>408</v>
      </c>
      <c r="Q678" s="15">
        <f t="shared" si="157"/>
        <v>37</v>
      </c>
      <c r="R678" s="49" t="str">
        <f t="shared" si="158"/>
        <v>金币</v>
      </c>
      <c r="S678" s="15">
        <f t="shared" si="159"/>
        <v>10000</v>
      </c>
      <c r="T678" s="15" t="str">
        <f t="shared" si="160"/>
        <v>中级专属强化石</v>
      </c>
      <c r="U678" s="15">
        <f t="shared" si="161"/>
        <v>8</v>
      </c>
      <c r="V678" s="15" t="str">
        <f t="shared" si="162"/>
        <v>高级专属强化石</v>
      </c>
      <c r="W678" s="15">
        <f t="shared" si="163"/>
        <v>3</v>
      </c>
      <c r="X678" s="15">
        <f t="shared" si="164"/>
        <v>0.1</v>
      </c>
      <c r="Y678" s="15">
        <f t="shared" si="165"/>
        <v>1</v>
      </c>
      <c r="Z678" s="15">
        <f t="shared" si="166"/>
        <v>30</v>
      </c>
      <c r="AA678" s="15">
        <f t="shared" si="167"/>
        <v>0.5867</v>
      </c>
    </row>
    <row r="679" spans="13:27" ht="16.5" x14ac:dyDescent="0.2">
      <c r="M679" s="15">
        <v>600</v>
      </c>
      <c r="N679" s="15">
        <f t="shared" si="156"/>
        <v>12</v>
      </c>
      <c r="O679" s="15">
        <f>INDEX(卡牌消耗!$H$13:$H$33,世界BOSS专属武器!N679)</f>
        <v>1501012</v>
      </c>
      <c r="P679" s="49" t="s">
        <v>408</v>
      </c>
      <c r="Q679" s="15">
        <f t="shared" si="157"/>
        <v>38</v>
      </c>
      <c r="R679" s="49" t="str">
        <f t="shared" si="158"/>
        <v>金币</v>
      </c>
      <c r="S679" s="15">
        <f t="shared" si="159"/>
        <v>10000</v>
      </c>
      <c r="T679" s="15" t="str">
        <f t="shared" si="160"/>
        <v>中级专属强化石</v>
      </c>
      <c r="U679" s="15">
        <f t="shared" si="161"/>
        <v>8</v>
      </c>
      <c r="V679" s="15" t="str">
        <f t="shared" si="162"/>
        <v>高级专属强化石</v>
      </c>
      <c r="W679" s="15">
        <f t="shared" si="163"/>
        <v>3</v>
      </c>
      <c r="X679" s="15">
        <f t="shared" si="164"/>
        <v>0.1</v>
      </c>
      <c r="Y679" s="15">
        <f t="shared" si="165"/>
        <v>1</v>
      </c>
      <c r="Z679" s="15">
        <f t="shared" si="166"/>
        <v>30</v>
      </c>
      <c r="AA679" s="15">
        <f t="shared" si="167"/>
        <v>0.61329999999999996</v>
      </c>
    </row>
    <row r="680" spans="13:27" ht="16.5" x14ac:dyDescent="0.2">
      <c r="M680" s="15">
        <v>601</v>
      </c>
      <c r="N680" s="15">
        <f t="shared" si="156"/>
        <v>12</v>
      </c>
      <c r="O680" s="15">
        <f>INDEX(卡牌消耗!$H$13:$H$33,世界BOSS专属武器!N680)</f>
        <v>1501012</v>
      </c>
      <c r="P680" s="49" t="s">
        <v>408</v>
      </c>
      <c r="Q680" s="15">
        <f t="shared" si="157"/>
        <v>39</v>
      </c>
      <c r="R680" s="49" t="str">
        <f t="shared" si="158"/>
        <v>金币</v>
      </c>
      <c r="S680" s="15">
        <f t="shared" si="159"/>
        <v>10000</v>
      </c>
      <c r="T680" s="15" t="str">
        <f t="shared" si="160"/>
        <v>中级专属强化石</v>
      </c>
      <c r="U680" s="15">
        <f t="shared" si="161"/>
        <v>8</v>
      </c>
      <c r="V680" s="15" t="str">
        <f t="shared" si="162"/>
        <v>高级专属强化石</v>
      </c>
      <c r="W680" s="15">
        <f t="shared" si="163"/>
        <v>3</v>
      </c>
      <c r="X680" s="15">
        <f t="shared" si="164"/>
        <v>0.1</v>
      </c>
      <c r="Y680" s="15">
        <f t="shared" si="165"/>
        <v>1</v>
      </c>
      <c r="Z680" s="15">
        <f t="shared" si="166"/>
        <v>30</v>
      </c>
      <c r="AA680" s="15">
        <f t="shared" si="167"/>
        <v>0.64</v>
      </c>
    </row>
    <row r="681" spans="13:27" ht="16.5" x14ac:dyDescent="0.2">
      <c r="M681" s="15">
        <v>602</v>
      </c>
      <c r="N681" s="15">
        <f t="shared" si="156"/>
        <v>12</v>
      </c>
      <c r="O681" s="15">
        <f>INDEX(卡牌消耗!$H$13:$H$33,世界BOSS专属武器!N681)</f>
        <v>1501012</v>
      </c>
      <c r="P681" s="49" t="s">
        <v>408</v>
      </c>
      <c r="Q681" s="15">
        <f t="shared" si="157"/>
        <v>40</v>
      </c>
      <c r="R681" s="49" t="str">
        <f t="shared" si="158"/>
        <v>金币</v>
      </c>
      <c r="S681" s="15">
        <f t="shared" si="159"/>
        <v>20000</v>
      </c>
      <c r="T681" s="15" t="str">
        <f t="shared" si="160"/>
        <v>高级专属强化石</v>
      </c>
      <c r="U681" s="15">
        <f t="shared" si="161"/>
        <v>5</v>
      </c>
      <c r="V681" s="15" t="str">
        <f t="shared" si="162"/>
        <v>[x]</v>
      </c>
      <c r="W681" s="15" t="str">
        <f t="shared" si="163"/>
        <v>[x]</v>
      </c>
      <c r="X681" s="15">
        <f t="shared" si="164"/>
        <v>0.1</v>
      </c>
      <c r="Y681" s="15">
        <f t="shared" si="165"/>
        <v>1</v>
      </c>
      <c r="Z681" s="15">
        <f t="shared" si="166"/>
        <v>35</v>
      </c>
      <c r="AA681" s="15">
        <f t="shared" si="167"/>
        <v>0.66669999999999996</v>
      </c>
    </row>
    <row r="682" spans="13:27" ht="16.5" x14ac:dyDescent="0.2">
      <c r="M682" s="15">
        <v>603</v>
      </c>
      <c r="N682" s="15">
        <f t="shared" si="156"/>
        <v>12</v>
      </c>
      <c r="O682" s="15">
        <f>INDEX(卡牌消耗!$H$13:$H$33,世界BOSS专属武器!N682)</f>
        <v>1501012</v>
      </c>
      <c r="P682" s="49" t="s">
        <v>408</v>
      </c>
      <c r="Q682" s="15">
        <f t="shared" si="157"/>
        <v>41</v>
      </c>
      <c r="R682" s="49" t="str">
        <f t="shared" si="158"/>
        <v>金币</v>
      </c>
      <c r="S682" s="15">
        <f t="shared" si="159"/>
        <v>20000</v>
      </c>
      <c r="T682" s="15" t="str">
        <f t="shared" si="160"/>
        <v>高级专属强化石</v>
      </c>
      <c r="U682" s="15">
        <f t="shared" si="161"/>
        <v>5</v>
      </c>
      <c r="V682" s="15" t="str">
        <f t="shared" si="162"/>
        <v>[x]</v>
      </c>
      <c r="W682" s="15" t="str">
        <f t="shared" si="163"/>
        <v>[x]</v>
      </c>
      <c r="X682" s="15">
        <f t="shared" si="164"/>
        <v>0.1</v>
      </c>
      <c r="Y682" s="15">
        <f t="shared" si="165"/>
        <v>1</v>
      </c>
      <c r="Z682" s="15">
        <f t="shared" si="166"/>
        <v>40</v>
      </c>
      <c r="AA682" s="15">
        <f t="shared" si="167"/>
        <v>0.7</v>
      </c>
    </row>
    <row r="683" spans="13:27" ht="16.5" x14ac:dyDescent="0.2">
      <c r="M683" s="15">
        <v>604</v>
      </c>
      <c r="N683" s="15">
        <f t="shared" si="156"/>
        <v>12</v>
      </c>
      <c r="O683" s="15">
        <f>INDEX(卡牌消耗!$H$13:$H$33,世界BOSS专属武器!N683)</f>
        <v>1501012</v>
      </c>
      <c r="P683" s="49" t="s">
        <v>408</v>
      </c>
      <c r="Q683" s="15">
        <f t="shared" si="157"/>
        <v>42</v>
      </c>
      <c r="R683" s="49" t="str">
        <f t="shared" si="158"/>
        <v>金币</v>
      </c>
      <c r="S683" s="15">
        <f t="shared" si="159"/>
        <v>20000</v>
      </c>
      <c r="T683" s="15" t="str">
        <f t="shared" si="160"/>
        <v>高级专属强化石</v>
      </c>
      <c r="U683" s="15">
        <f t="shared" si="161"/>
        <v>5</v>
      </c>
      <c r="V683" s="15" t="str">
        <f t="shared" si="162"/>
        <v>[x]</v>
      </c>
      <c r="W683" s="15" t="str">
        <f t="shared" si="163"/>
        <v>[x]</v>
      </c>
      <c r="X683" s="15">
        <f t="shared" si="164"/>
        <v>0.1</v>
      </c>
      <c r="Y683" s="15">
        <f t="shared" si="165"/>
        <v>1</v>
      </c>
      <c r="Z683" s="15">
        <f t="shared" si="166"/>
        <v>45</v>
      </c>
      <c r="AA683" s="15">
        <f t="shared" si="167"/>
        <v>0.73329999999999995</v>
      </c>
    </row>
    <row r="684" spans="13:27" ht="16.5" x14ac:dyDescent="0.2">
      <c r="M684" s="15">
        <v>605</v>
      </c>
      <c r="N684" s="15">
        <f t="shared" si="156"/>
        <v>12</v>
      </c>
      <c r="O684" s="15">
        <f>INDEX(卡牌消耗!$H$13:$H$33,世界BOSS专属武器!N684)</f>
        <v>1501012</v>
      </c>
      <c r="P684" s="49" t="s">
        <v>408</v>
      </c>
      <c r="Q684" s="15">
        <f t="shared" si="157"/>
        <v>43</v>
      </c>
      <c r="R684" s="49" t="str">
        <f t="shared" si="158"/>
        <v>金币</v>
      </c>
      <c r="S684" s="15">
        <f t="shared" si="159"/>
        <v>20000</v>
      </c>
      <c r="T684" s="15" t="str">
        <f t="shared" si="160"/>
        <v>高级专属强化石</v>
      </c>
      <c r="U684" s="15">
        <f t="shared" si="161"/>
        <v>5</v>
      </c>
      <c r="V684" s="15" t="str">
        <f t="shared" si="162"/>
        <v>[x]</v>
      </c>
      <c r="W684" s="15" t="str">
        <f t="shared" si="163"/>
        <v>[x]</v>
      </c>
      <c r="X684" s="15">
        <f t="shared" si="164"/>
        <v>0.1</v>
      </c>
      <c r="Y684" s="15">
        <f t="shared" si="165"/>
        <v>1</v>
      </c>
      <c r="Z684" s="15">
        <f t="shared" si="166"/>
        <v>50</v>
      </c>
      <c r="AA684" s="15">
        <f t="shared" si="167"/>
        <v>0.76670000000000005</v>
      </c>
    </row>
    <row r="685" spans="13:27" ht="16.5" x14ac:dyDescent="0.2">
      <c r="M685" s="15">
        <v>606</v>
      </c>
      <c r="N685" s="15">
        <f t="shared" si="156"/>
        <v>12</v>
      </c>
      <c r="O685" s="15">
        <f>INDEX(卡牌消耗!$H$13:$H$33,世界BOSS专属武器!N685)</f>
        <v>1501012</v>
      </c>
      <c r="P685" s="49" t="s">
        <v>408</v>
      </c>
      <c r="Q685" s="15">
        <f t="shared" si="157"/>
        <v>44</v>
      </c>
      <c r="R685" s="49" t="str">
        <f t="shared" si="158"/>
        <v>金币</v>
      </c>
      <c r="S685" s="15">
        <f t="shared" si="159"/>
        <v>20000</v>
      </c>
      <c r="T685" s="15" t="str">
        <f t="shared" si="160"/>
        <v>高级专属强化石</v>
      </c>
      <c r="U685" s="15">
        <f t="shared" si="161"/>
        <v>5</v>
      </c>
      <c r="V685" s="15" t="str">
        <f t="shared" si="162"/>
        <v>[x]</v>
      </c>
      <c r="W685" s="15" t="str">
        <f t="shared" si="163"/>
        <v>[x]</v>
      </c>
      <c r="X685" s="15">
        <f t="shared" si="164"/>
        <v>0.1</v>
      </c>
      <c r="Y685" s="15">
        <f t="shared" si="165"/>
        <v>1</v>
      </c>
      <c r="Z685" s="15">
        <f t="shared" si="166"/>
        <v>55</v>
      </c>
      <c r="AA685" s="15">
        <f t="shared" si="167"/>
        <v>0.8</v>
      </c>
    </row>
    <row r="686" spans="13:27" ht="16.5" x14ac:dyDescent="0.2">
      <c r="M686" s="15">
        <v>607</v>
      </c>
      <c r="N686" s="15">
        <f t="shared" si="156"/>
        <v>12</v>
      </c>
      <c r="O686" s="15">
        <f>INDEX(卡牌消耗!$H$13:$H$33,世界BOSS专属武器!N686)</f>
        <v>1501012</v>
      </c>
      <c r="P686" s="49" t="s">
        <v>408</v>
      </c>
      <c r="Q686" s="15">
        <f t="shared" si="157"/>
        <v>45</v>
      </c>
      <c r="R686" s="49" t="str">
        <f t="shared" si="158"/>
        <v>金币</v>
      </c>
      <c r="S686" s="15">
        <f t="shared" si="159"/>
        <v>20000</v>
      </c>
      <c r="T686" s="15" t="str">
        <f t="shared" si="160"/>
        <v>高级专属强化石</v>
      </c>
      <c r="U686" s="15">
        <f t="shared" si="161"/>
        <v>6</v>
      </c>
      <c r="V686" s="15" t="str">
        <f t="shared" si="162"/>
        <v>[x]</v>
      </c>
      <c r="W686" s="15" t="str">
        <f t="shared" si="163"/>
        <v>[x]</v>
      </c>
      <c r="X686" s="15">
        <f t="shared" si="164"/>
        <v>0.1</v>
      </c>
      <c r="Y686" s="15">
        <f t="shared" si="165"/>
        <v>1</v>
      </c>
      <c r="Z686" s="15">
        <f t="shared" si="166"/>
        <v>60</v>
      </c>
      <c r="AA686" s="15">
        <f t="shared" si="167"/>
        <v>0.83330000000000004</v>
      </c>
    </row>
    <row r="687" spans="13:27" ht="16.5" x14ac:dyDescent="0.2">
      <c r="M687" s="15">
        <v>608</v>
      </c>
      <c r="N687" s="15">
        <f t="shared" si="156"/>
        <v>12</v>
      </c>
      <c r="O687" s="15">
        <f>INDEX(卡牌消耗!$H$13:$H$33,世界BOSS专属武器!N687)</f>
        <v>1501012</v>
      </c>
      <c r="P687" s="49" t="s">
        <v>408</v>
      </c>
      <c r="Q687" s="15">
        <f t="shared" si="157"/>
        <v>46</v>
      </c>
      <c r="R687" s="49" t="str">
        <f t="shared" si="158"/>
        <v>金币</v>
      </c>
      <c r="S687" s="15">
        <f t="shared" si="159"/>
        <v>20000</v>
      </c>
      <c r="T687" s="15" t="str">
        <f t="shared" si="160"/>
        <v>高级专属强化石</v>
      </c>
      <c r="U687" s="15">
        <f t="shared" si="161"/>
        <v>7</v>
      </c>
      <c r="V687" s="15" t="str">
        <f t="shared" si="162"/>
        <v>[x]</v>
      </c>
      <c r="W687" s="15" t="str">
        <f t="shared" si="163"/>
        <v>[x]</v>
      </c>
      <c r="X687" s="15">
        <f t="shared" si="164"/>
        <v>0.1</v>
      </c>
      <c r="Y687" s="15">
        <f t="shared" si="165"/>
        <v>1</v>
      </c>
      <c r="Z687" s="15">
        <f t="shared" si="166"/>
        <v>70</v>
      </c>
      <c r="AA687" s="15">
        <f t="shared" si="167"/>
        <v>0.86670000000000003</v>
      </c>
    </row>
    <row r="688" spans="13:27" ht="16.5" x14ac:dyDescent="0.2">
      <c r="M688" s="15">
        <v>609</v>
      </c>
      <c r="N688" s="15">
        <f t="shared" si="156"/>
        <v>12</v>
      </c>
      <c r="O688" s="15">
        <f>INDEX(卡牌消耗!$H$13:$H$33,世界BOSS专属武器!N688)</f>
        <v>1501012</v>
      </c>
      <c r="P688" s="49" t="s">
        <v>408</v>
      </c>
      <c r="Q688" s="15">
        <f t="shared" si="157"/>
        <v>47</v>
      </c>
      <c r="R688" s="49" t="str">
        <f t="shared" si="158"/>
        <v>金币</v>
      </c>
      <c r="S688" s="15">
        <f t="shared" si="159"/>
        <v>20000</v>
      </c>
      <c r="T688" s="15" t="str">
        <f t="shared" si="160"/>
        <v>高级专属强化石</v>
      </c>
      <c r="U688" s="15">
        <f t="shared" si="161"/>
        <v>8</v>
      </c>
      <c r="V688" s="15" t="str">
        <f t="shared" si="162"/>
        <v>[x]</v>
      </c>
      <c r="W688" s="15" t="str">
        <f t="shared" si="163"/>
        <v>[x]</v>
      </c>
      <c r="X688" s="15">
        <f t="shared" si="164"/>
        <v>0.1</v>
      </c>
      <c r="Y688" s="15">
        <f t="shared" si="165"/>
        <v>1</v>
      </c>
      <c r="Z688" s="15">
        <f t="shared" si="166"/>
        <v>80</v>
      </c>
      <c r="AA688" s="15">
        <f t="shared" si="167"/>
        <v>0.9</v>
      </c>
    </row>
    <row r="689" spans="13:27" ht="16.5" x14ac:dyDescent="0.2">
      <c r="M689" s="15">
        <v>610</v>
      </c>
      <c r="N689" s="15">
        <f t="shared" si="156"/>
        <v>12</v>
      </c>
      <c r="O689" s="15">
        <f>INDEX(卡牌消耗!$H$13:$H$33,世界BOSS专属武器!N689)</f>
        <v>1501012</v>
      </c>
      <c r="P689" s="49" t="s">
        <v>408</v>
      </c>
      <c r="Q689" s="15">
        <f t="shared" si="157"/>
        <v>48</v>
      </c>
      <c r="R689" s="49" t="str">
        <f t="shared" si="158"/>
        <v>金币</v>
      </c>
      <c r="S689" s="15">
        <f t="shared" si="159"/>
        <v>20000</v>
      </c>
      <c r="T689" s="15" t="str">
        <f t="shared" si="160"/>
        <v>高级专属强化石</v>
      </c>
      <c r="U689" s="15">
        <f t="shared" si="161"/>
        <v>9</v>
      </c>
      <c r="V689" s="15" t="str">
        <f t="shared" si="162"/>
        <v>[x]</v>
      </c>
      <c r="W689" s="15" t="str">
        <f t="shared" si="163"/>
        <v>[x]</v>
      </c>
      <c r="X689" s="15">
        <f t="shared" si="164"/>
        <v>0.1</v>
      </c>
      <c r="Y689" s="15">
        <f t="shared" si="165"/>
        <v>1</v>
      </c>
      <c r="Z689" s="15">
        <f t="shared" si="166"/>
        <v>100</v>
      </c>
      <c r="AA689" s="15">
        <f t="shared" si="167"/>
        <v>0.93330000000000002</v>
      </c>
    </row>
    <row r="690" spans="13:27" ht="16.5" x14ac:dyDescent="0.2">
      <c r="M690" s="15">
        <v>611</v>
      </c>
      <c r="N690" s="15">
        <f t="shared" si="156"/>
        <v>12</v>
      </c>
      <c r="O690" s="15">
        <f>INDEX(卡牌消耗!$H$13:$H$33,世界BOSS专属武器!N690)</f>
        <v>1501012</v>
      </c>
      <c r="P690" s="49" t="s">
        <v>408</v>
      </c>
      <c r="Q690" s="15">
        <f t="shared" si="157"/>
        <v>49</v>
      </c>
      <c r="R690" s="49" t="str">
        <f t="shared" si="158"/>
        <v>金币</v>
      </c>
      <c r="S690" s="15">
        <f t="shared" si="159"/>
        <v>20000</v>
      </c>
      <c r="T690" s="15" t="str">
        <f t="shared" si="160"/>
        <v>高级专属强化石</v>
      </c>
      <c r="U690" s="15">
        <f t="shared" si="161"/>
        <v>10</v>
      </c>
      <c r="V690" s="15" t="str">
        <f t="shared" si="162"/>
        <v>[x]</v>
      </c>
      <c r="W690" s="15" t="str">
        <f t="shared" si="163"/>
        <v>[x]</v>
      </c>
      <c r="X690" s="15">
        <f t="shared" si="164"/>
        <v>0.1</v>
      </c>
      <c r="Y690" s="15">
        <f t="shared" si="165"/>
        <v>1</v>
      </c>
      <c r="Z690" s="15">
        <f t="shared" si="166"/>
        <v>120</v>
      </c>
      <c r="AA690" s="15">
        <f t="shared" si="167"/>
        <v>0.9667</v>
      </c>
    </row>
    <row r="691" spans="13:27" ht="16.5" x14ac:dyDescent="0.2">
      <c r="M691" s="15">
        <v>612</v>
      </c>
      <c r="N691" s="15">
        <f t="shared" si="156"/>
        <v>12</v>
      </c>
      <c r="O691" s="15">
        <f>INDEX(卡牌消耗!$H$13:$H$33,世界BOSS专属武器!N691)</f>
        <v>1501012</v>
      </c>
      <c r="P691" s="49" t="s">
        <v>408</v>
      </c>
      <c r="Q691" s="15">
        <f t="shared" si="157"/>
        <v>50</v>
      </c>
      <c r="R691" s="49" t="str">
        <f t="shared" si="158"/>
        <v>金币</v>
      </c>
      <c r="S691" s="15">
        <f t="shared" si="159"/>
        <v>20000</v>
      </c>
      <c r="T691" s="15" t="str">
        <f t="shared" si="160"/>
        <v>高级专属强化石</v>
      </c>
      <c r="U691" s="15">
        <f t="shared" si="161"/>
        <v>15</v>
      </c>
      <c r="V691" s="15" t="str">
        <f t="shared" si="162"/>
        <v>[x]</v>
      </c>
      <c r="W691" s="15" t="str">
        <f t="shared" si="163"/>
        <v>[x]</v>
      </c>
      <c r="X691" s="15">
        <f t="shared" si="164"/>
        <v>0.1</v>
      </c>
      <c r="Y691" s="15">
        <f t="shared" si="165"/>
        <v>1</v>
      </c>
      <c r="Z691" s="15">
        <f t="shared" si="166"/>
        <v>150</v>
      </c>
      <c r="AA691" s="15">
        <f t="shared" si="167"/>
        <v>1</v>
      </c>
    </row>
    <row r="692" spans="13:27" ht="16.5" x14ac:dyDescent="0.2">
      <c r="M692" s="15">
        <v>613</v>
      </c>
      <c r="N692" s="15">
        <f t="shared" si="156"/>
        <v>13</v>
      </c>
      <c r="O692" s="15">
        <f>INDEX(卡牌消耗!$H$13:$H$33,世界BOSS专属武器!N692)</f>
        <v>1501013</v>
      </c>
      <c r="P692" s="49" t="s">
        <v>408</v>
      </c>
      <c r="Q692" s="15">
        <f t="shared" si="157"/>
        <v>0</v>
      </c>
      <c r="R692" s="49" t="str">
        <f t="shared" si="158"/>
        <v>[x]</v>
      </c>
      <c r="S692" s="15" t="str">
        <f t="shared" si="159"/>
        <v>[x]</v>
      </c>
      <c r="T692" s="15" t="str">
        <f t="shared" si="160"/>
        <v>[x]</v>
      </c>
      <c r="U692" s="15" t="str">
        <f t="shared" si="161"/>
        <v>[x]</v>
      </c>
      <c r="V692" s="15" t="str">
        <f t="shared" si="162"/>
        <v>[x]</v>
      </c>
      <c r="W692" s="15" t="str">
        <f t="shared" si="163"/>
        <v>[x]</v>
      </c>
      <c r="X692" s="15" t="str">
        <f t="shared" si="164"/>
        <v>[x]</v>
      </c>
      <c r="Y692" s="15" t="str">
        <f t="shared" si="165"/>
        <v>[x]</v>
      </c>
      <c r="Z692" s="15" t="str">
        <f t="shared" si="166"/>
        <v>[x]</v>
      </c>
      <c r="AA692" s="15" t="str">
        <f t="shared" si="167"/>
        <v>[x]</v>
      </c>
    </row>
    <row r="693" spans="13:27" ht="16.5" x14ac:dyDescent="0.2">
      <c r="M693" s="15">
        <v>614</v>
      </c>
      <c r="N693" s="15">
        <f t="shared" si="156"/>
        <v>13</v>
      </c>
      <c r="O693" s="15">
        <f>INDEX(卡牌消耗!$H$13:$H$33,世界BOSS专属武器!N693)</f>
        <v>1501013</v>
      </c>
      <c r="P693" s="49" t="s">
        <v>408</v>
      </c>
      <c r="Q693" s="15">
        <f t="shared" si="157"/>
        <v>1</v>
      </c>
      <c r="R693" s="49" t="str">
        <f t="shared" si="158"/>
        <v>金币</v>
      </c>
      <c r="S693" s="15">
        <f t="shared" si="159"/>
        <v>100</v>
      </c>
      <c r="T693" s="15" t="str">
        <f t="shared" si="160"/>
        <v>低级专属强化石</v>
      </c>
      <c r="U693" s="15">
        <f t="shared" si="161"/>
        <v>1</v>
      </c>
      <c r="V693" s="15" t="str">
        <f t="shared" si="162"/>
        <v>[x]</v>
      </c>
      <c r="W693" s="15" t="str">
        <f t="shared" si="163"/>
        <v>[x]</v>
      </c>
      <c r="X693" s="15">
        <f t="shared" si="164"/>
        <v>1</v>
      </c>
      <c r="Y693" s="15">
        <f t="shared" si="165"/>
        <v>1</v>
      </c>
      <c r="Z693" s="15">
        <f t="shared" si="166"/>
        <v>1</v>
      </c>
      <c r="AA693" s="15">
        <f t="shared" si="167"/>
        <v>6.7000000000000002E-3</v>
      </c>
    </row>
    <row r="694" spans="13:27" ht="16.5" x14ac:dyDescent="0.2">
      <c r="M694" s="15">
        <v>615</v>
      </c>
      <c r="N694" s="15">
        <f t="shared" si="156"/>
        <v>13</v>
      </c>
      <c r="O694" s="15">
        <f>INDEX(卡牌消耗!$H$13:$H$33,世界BOSS专属武器!N694)</f>
        <v>1501013</v>
      </c>
      <c r="P694" s="49" t="s">
        <v>408</v>
      </c>
      <c r="Q694" s="15">
        <f t="shared" si="157"/>
        <v>2</v>
      </c>
      <c r="R694" s="49" t="str">
        <f t="shared" si="158"/>
        <v>金币</v>
      </c>
      <c r="S694" s="15">
        <f t="shared" si="159"/>
        <v>200</v>
      </c>
      <c r="T694" s="15" t="str">
        <f t="shared" si="160"/>
        <v>低级专属强化石</v>
      </c>
      <c r="U694" s="15">
        <f t="shared" si="161"/>
        <v>1</v>
      </c>
      <c r="V694" s="15" t="str">
        <f t="shared" si="162"/>
        <v>[x]</v>
      </c>
      <c r="W694" s="15" t="str">
        <f t="shared" si="163"/>
        <v>[x]</v>
      </c>
      <c r="X694" s="15">
        <f t="shared" si="164"/>
        <v>0.5</v>
      </c>
      <c r="Y694" s="15">
        <f t="shared" si="165"/>
        <v>1</v>
      </c>
      <c r="Z694" s="15">
        <f t="shared" si="166"/>
        <v>2</v>
      </c>
      <c r="AA694" s="15">
        <f t="shared" si="167"/>
        <v>1.3299999999999999E-2</v>
      </c>
    </row>
    <row r="695" spans="13:27" ht="16.5" x14ac:dyDescent="0.2">
      <c r="M695" s="15">
        <v>616</v>
      </c>
      <c r="N695" s="15">
        <f t="shared" si="156"/>
        <v>13</v>
      </c>
      <c r="O695" s="15">
        <f>INDEX(卡牌消耗!$H$13:$H$33,世界BOSS专属武器!N695)</f>
        <v>1501013</v>
      </c>
      <c r="P695" s="49" t="s">
        <v>408</v>
      </c>
      <c r="Q695" s="15">
        <f t="shared" si="157"/>
        <v>3</v>
      </c>
      <c r="R695" s="49" t="str">
        <f t="shared" si="158"/>
        <v>金币</v>
      </c>
      <c r="S695" s="15">
        <f t="shared" si="159"/>
        <v>300</v>
      </c>
      <c r="T695" s="15" t="str">
        <f t="shared" si="160"/>
        <v>低级专属强化石</v>
      </c>
      <c r="U695" s="15">
        <f t="shared" si="161"/>
        <v>2</v>
      </c>
      <c r="V695" s="15" t="str">
        <f t="shared" si="162"/>
        <v>[x]</v>
      </c>
      <c r="W695" s="15" t="str">
        <f t="shared" si="163"/>
        <v>[x]</v>
      </c>
      <c r="X695" s="15">
        <f t="shared" si="164"/>
        <v>0.48</v>
      </c>
      <c r="Y695" s="15">
        <f t="shared" si="165"/>
        <v>1</v>
      </c>
      <c r="Z695" s="15">
        <f t="shared" si="166"/>
        <v>3</v>
      </c>
      <c r="AA695" s="15">
        <f t="shared" si="167"/>
        <v>0.02</v>
      </c>
    </row>
    <row r="696" spans="13:27" ht="16.5" x14ac:dyDescent="0.2">
      <c r="M696" s="15">
        <v>617</v>
      </c>
      <c r="N696" s="15">
        <f t="shared" si="156"/>
        <v>13</v>
      </c>
      <c r="O696" s="15">
        <f>INDEX(卡牌消耗!$H$13:$H$33,世界BOSS专属武器!N696)</f>
        <v>1501013</v>
      </c>
      <c r="P696" s="49" t="s">
        <v>408</v>
      </c>
      <c r="Q696" s="15">
        <f t="shared" si="157"/>
        <v>4</v>
      </c>
      <c r="R696" s="49" t="str">
        <f t="shared" si="158"/>
        <v>金币</v>
      </c>
      <c r="S696" s="15">
        <f t="shared" si="159"/>
        <v>400</v>
      </c>
      <c r="T696" s="15" t="str">
        <f t="shared" si="160"/>
        <v>低级专属强化石</v>
      </c>
      <c r="U696" s="15">
        <f t="shared" si="161"/>
        <v>3</v>
      </c>
      <c r="V696" s="15" t="str">
        <f t="shared" si="162"/>
        <v>[x]</v>
      </c>
      <c r="W696" s="15" t="str">
        <f t="shared" si="163"/>
        <v>[x]</v>
      </c>
      <c r="X696" s="15">
        <f t="shared" si="164"/>
        <v>0.46</v>
      </c>
      <c r="Y696" s="15">
        <f t="shared" si="165"/>
        <v>1</v>
      </c>
      <c r="Z696" s="15">
        <f t="shared" si="166"/>
        <v>3</v>
      </c>
      <c r="AA696" s="15">
        <f t="shared" si="167"/>
        <v>2.6700000000000002E-2</v>
      </c>
    </row>
    <row r="697" spans="13:27" ht="16.5" x14ac:dyDescent="0.2">
      <c r="M697" s="15">
        <v>618</v>
      </c>
      <c r="N697" s="15">
        <f t="shared" si="156"/>
        <v>13</v>
      </c>
      <c r="O697" s="15">
        <f>INDEX(卡牌消耗!$H$13:$H$33,世界BOSS专属武器!N697)</f>
        <v>1501013</v>
      </c>
      <c r="P697" s="49" t="s">
        <v>408</v>
      </c>
      <c r="Q697" s="15">
        <f t="shared" si="157"/>
        <v>5</v>
      </c>
      <c r="R697" s="49" t="str">
        <f t="shared" si="158"/>
        <v>金币</v>
      </c>
      <c r="S697" s="15">
        <f t="shared" si="159"/>
        <v>500</v>
      </c>
      <c r="T697" s="15" t="str">
        <f t="shared" si="160"/>
        <v>低级专属强化石</v>
      </c>
      <c r="U697" s="15">
        <f t="shared" si="161"/>
        <v>4</v>
      </c>
      <c r="V697" s="15" t="str">
        <f t="shared" si="162"/>
        <v>[x]</v>
      </c>
      <c r="W697" s="15" t="str">
        <f t="shared" si="163"/>
        <v>[x]</v>
      </c>
      <c r="X697" s="15">
        <f t="shared" si="164"/>
        <v>0.44</v>
      </c>
      <c r="Y697" s="15">
        <f t="shared" si="165"/>
        <v>1</v>
      </c>
      <c r="Z697" s="15">
        <f t="shared" si="166"/>
        <v>3</v>
      </c>
      <c r="AA697" s="15">
        <f t="shared" si="167"/>
        <v>3.3300000000000003E-2</v>
      </c>
    </row>
    <row r="698" spans="13:27" ht="16.5" x14ac:dyDescent="0.2">
      <c r="M698" s="15">
        <v>619</v>
      </c>
      <c r="N698" s="15">
        <f t="shared" si="156"/>
        <v>13</v>
      </c>
      <c r="O698" s="15">
        <f>INDEX(卡牌消耗!$H$13:$H$33,世界BOSS专属武器!N698)</f>
        <v>1501013</v>
      </c>
      <c r="P698" s="49" t="s">
        <v>408</v>
      </c>
      <c r="Q698" s="15">
        <f t="shared" si="157"/>
        <v>6</v>
      </c>
      <c r="R698" s="49" t="str">
        <f t="shared" si="158"/>
        <v>金币</v>
      </c>
      <c r="S698" s="15">
        <f t="shared" si="159"/>
        <v>600</v>
      </c>
      <c r="T698" s="15" t="str">
        <f t="shared" si="160"/>
        <v>低级专属强化石</v>
      </c>
      <c r="U698" s="15">
        <f t="shared" si="161"/>
        <v>5</v>
      </c>
      <c r="V698" s="15" t="str">
        <f t="shared" si="162"/>
        <v>[x]</v>
      </c>
      <c r="W698" s="15" t="str">
        <f t="shared" si="163"/>
        <v>[x]</v>
      </c>
      <c r="X698" s="15">
        <f t="shared" si="164"/>
        <v>0.42</v>
      </c>
      <c r="Y698" s="15">
        <f t="shared" si="165"/>
        <v>1</v>
      </c>
      <c r="Z698" s="15">
        <f t="shared" si="166"/>
        <v>4</v>
      </c>
      <c r="AA698" s="15">
        <f t="shared" si="167"/>
        <v>0.04</v>
      </c>
    </row>
    <row r="699" spans="13:27" ht="16.5" x14ac:dyDescent="0.2">
      <c r="M699" s="15">
        <v>620</v>
      </c>
      <c r="N699" s="15">
        <f t="shared" si="156"/>
        <v>13</v>
      </c>
      <c r="O699" s="15">
        <f>INDEX(卡牌消耗!$H$13:$H$33,世界BOSS专属武器!N699)</f>
        <v>1501013</v>
      </c>
      <c r="P699" s="49" t="s">
        <v>408</v>
      </c>
      <c r="Q699" s="15">
        <f t="shared" si="157"/>
        <v>7</v>
      </c>
      <c r="R699" s="49" t="str">
        <f t="shared" si="158"/>
        <v>金币</v>
      </c>
      <c r="S699" s="15">
        <f t="shared" si="159"/>
        <v>700</v>
      </c>
      <c r="T699" s="15" t="str">
        <f t="shared" si="160"/>
        <v>低级专属强化石</v>
      </c>
      <c r="U699" s="15">
        <f t="shared" si="161"/>
        <v>5</v>
      </c>
      <c r="V699" s="15" t="str">
        <f t="shared" si="162"/>
        <v>[x]</v>
      </c>
      <c r="W699" s="15" t="str">
        <f t="shared" si="163"/>
        <v>[x]</v>
      </c>
      <c r="X699" s="15">
        <f t="shared" si="164"/>
        <v>0.4</v>
      </c>
      <c r="Y699" s="15">
        <f t="shared" si="165"/>
        <v>1</v>
      </c>
      <c r="Z699" s="15">
        <f t="shared" si="166"/>
        <v>4</v>
      </c>
      <c r="AA699" s="15">
        <f t="shared" si="167"/>
        <v>4.6699999999999998E-2</v>
      </c>
    </row>
    <row r="700" spans="13:27" ht="16.5" x14ac:dyDescent="0.2">
      <c r="M700" s="15">
        <v>621</v>
      </c>
      <c r="N700" s="15">
        <f t="shared" si="156"/>
        <v>13</v>
      </c>
      <c r="O700" s="15">
        <f>INDEX(卡牌消耗!$H$13:$H$33,世界BOSS专属武器!N700)</f>
        <v>1501013</v>
      </c>
      <c r="P700" s="49" t="s">
        <v>408</v>
      </c>
      <c r="Q700" s="15">
        <f t="shared" si="157"/>
        <v>8</v>
      </c>
      <c r="R700" s="49" t="str">
        <f t="shared" si="158"/>
        <v>金币</v>
      </c>
      <c r="S700" s="15">
        <f t="shared" si="159"/>
        <v>800</v>
      </c>
      <c r="T700" s="15" t="str">
        <f t="shared" si="160"/>
        <v>低级专属强化石</v>
      </c>
      <c r="U700" s="15">
        <f t="shared" si="161"/>
        <v>5</v>
      </c>
      <c r="V700" s="15" t="str">
        <f t="shared" si="162"/>
        <v>[x]</v>
      </c>
      <c r="W700" s="15" t="str">
        <f t="shared" si="163"/>
        <v>[x]</v>
      </c>
      <c r="X700" s="15">
        <f t="shared" si="164"/>
        <v>0.38</v>
      </c>
      <c r="Y700" s="15">
        <f t="shared" si="165"/>
        <v>1</v>
      </c>
      <c r="Z700" s="15">
        <f t="shared" si="166"/>
        <v>5</v>
      </c>
      <c r="AA700" s="15">
        <f t="shared" si="167"/>
        <v>5.33E-2</v>
      </c>
    </row>
    <row r="701" spans="13:27" ht="16.5" x14ac:dyDescent="0.2">
      <c r="M701" s="15">
        <v>622</v>
      </c>
      <c r="N701" s="15">
        <f t="shared" si="156"/>
        <v>13</v>
      </c>
      <c r="O701" s="15">
        <f>INDEX(卡牌消耗!$H$13:$H$33,世界BOSS专属武器!N701)</f>
        <v>1501013</v>
      </c>
      <c r="P701" s="49" t="s">
        <v>408</v>
      </c>
      <c r="Q701" s="15">
        <f t="shared" si="157"/>
        <v>9</v>
      </c>
      <c r="R701" s="49" t="str">
        <f t="shared" si="158"/>
        <v>金币</v>
      </c>
      <c r="S701" s="15">
        <f t="shared" si="159"/>
        <v>900</v>
      </c>
      <c r="T701" s="15" t="str">
        <f t="shared" si="160"/>
        <v>低级专属强化石</v>
      </c>
      <c r="U701" s="15">
        <f t="shared" si="161"/>
        <v>5</v>
      </c>
      <c r="V701" s="15" t="str">
        <f t="shared" si="162"/>
        <v>[x]</v>
      </c>
      <c r="W701" s="15" t="str">
        <f t="shared" si="163"/>
        <v>[x]</v>
      </c>
      <c r="X701" s="15">
        <f t="shared" si="164"/>
        <v>0.36</v>
      </c>
      <c r="Y701" s="15">
        <f t="shared" si="165"/>
        <v>1</v>
      </c>
      <c r="Z701" s="15">
        <f t="shared" si="166"/>
        <v>5</v>
      </c>
      <c r="AA701" s="15">
        <f t="shared" si="167"/>
        <v>0.06</v>
      </c>
    </row>
    <row r="702" spans="13:27" ht="16.5" x14ac:dyDescent="0.2">
      <c r="M702" s="15">
        <v>623</v>
      </c>
      <c r="N702" s="15">
        <f t="shared" si="156"/>
        <v>13</v>
      </c>
      <c r="O702" s="15">
        <f>INDEX(卡牌消耗!$H$13:$H$33,世界BOSS专属武器!N702)</f>
        <v>1501013</v>
      </c>
      <c r="P702" s="49" t="s">
        <v>408</v>
      </c>
      <c r="Q702" s="15">
        <f t="shared" si="157"/>
        <v>10</v>
      </c>
      <c r="R702" s="49" t="str">
        <f t="shared" si="158"/>
        <v>金币</v>
      </c>
      <c r="S702" s="15">
        <f t="shared" si="159"/>
        <v>1000</v>
      </c>
      <c r="T702" s="15" t="str">
        <f t="shared" si="160"/>
        <v>低级专属强化石</v>
      </c>
      <c r="U702" s="15">
        <f t="shared" si="161"/>
        <v>7</v>
      </c>
      <c r="V702" s="15" t="str">
        <f t="shared" si="162"/>
        <v>[x]</v>
      </c>
      <c r="W702" s="15" t="str">
        <f t="shared" si="163"/>
        <v>[x]</v>
      </c>
      <c r="X702" s="15">
        <f t="shared" si="164"/>
        <v>0.35</v>
      </c>
      <c r="Y702" s="15">
        <f t="shared" si="165"/>
        <v>1</v>
      </c>
      <c r="Z702" s="15">
        <f t="shared" si="166"/>
        <v>5</v>
      </c>
      <c r="AA702" s="15">
        <f t="shared" si="167"/>
        <v>6.6699999999999995E-2</v>
      </c>
    </row>
    <row r="703" spans="13:27" ht="16.5" x14ac:dyDescent="0.2">
      <c r="M703" s="15">
        <v>624</v>
      </c>
      <c r="N703" s="15">
        <f t="shared" si="156"/>
        <v>13</v>
      </c>
      <c r="O703" s="15">
        <f>INDEX(卡牌消耗!$H$13:$H$33,世界BOSS专属武器!N703)</f>
        <v>1501013</v>
      </c>
      <c r="P703" s="49" t="s">
        <v>408</v>
      </c>
      <c r="Q703" s="15">
        <f t="shared" si="157"/>
        <v>11</v>
      </c>
      <c r="R703" s="49" t="str">
        <f t="shared" si="158"/>
        <v>金币</v>
      </c>
      <c r="S703" s="15">
        <f t="shared" si="159"/>
        <v>1000</v>
      </c>
      <c r="T703" s="15" t="str">
        <f t="shared" si="160"/>
        <v>低级专属强化石</v>
      </c>
      <c r="U703" s="15">
        <f t="shared" si="161"/>
        <v>7</v>
      </c>
      <c r="V703" s="15" t="str">
        <f t="shared" si="162"/>
        <v>[x]</v>
      </c>
      <c r="W703" s="15" t="str">
        <f t="shared" si="163"/>
        <v>[x]</v>
      </c>
      <c r="X703" s="15">
        <f t="shared" si="164"/>
        <v>0.33</v>
      </c>
      <c r="Y703" s="15">
        <f t="shared" si="165"/>
        <v>1</v>
      </c>
      <c r="Z703" s="15">
        <f t="shared" si="166"/>
        <v>6</v>
      </c>
      <c r="AA703" s="15">
        <f t="shared" si="167"/>
        <v>0.08</v>
      </c>
    </row>
    <row r="704" spans="13:27" ht="16.5" x14ac:dyDescent="0.2">
      <c r="M704" s="15">
        <v>625</v>
      </c>
      <c r="N704" s="15">
        <f t="shared" si="156"/>
        <v>13</v>
      </c>
      <c r="O704" s="15">
        <f>INDEX(卡牌消耗!$H$13:$H$33,世界BOSS专属武器!N704)</f>
        <v>1501013</v>
      </c>
      <c r="P704" s="49" t="s">
        <v>408</v>
      </c>
      <c r="Q704" s="15">
        <f t="shared" si="157"/>
        <v>12</v>
      </c>
      <c r="R704" s="49" t="str">
        <f t="shared" si="158"/>
        <v>金币</v>
      </c>
      <c r="S704" s="15">
        <f t="shared" si="159"/>
        <v>1000</v>
      </c>
      <c r="T704" s="15" t="str">
        <f t="shared" si="160"/>
        <v>低级专属强化石</v>
      </c>
      <c r="U704" s="15">
        <f t="shared" si="161"/>
        <v>7</v>
      </c>
      <c r="V704" s="15" t="str">
        <f t="shared" si="162"/>
        <v>[x]</v>
      </c>
      <c r="W704" s="15" t="str">
        <f t="shared" si="163"/>
        <v>[x]</v>
      </c>
      <c r="X704" s="15">
        <f t="shared" si="164"/>
        <v>0.31</v>
      </c>
      <c r="Y704" s="15">
        <f t="shared" si="165"/>
        <v>1</v>
      </c>
      <c r="Z704" s="15">
        <f t="shared" si="166"/>
        <v>6</v>
      </c>
      <c r="AA704" s="15">
        <f t="shared" si="167"/>
        <v>9.3299999999999994E-2</v>
      </c>
    </row>
    <row r="705" spans="13:27" ht="16.5" x14ac:dyDescent="0.2">
      <c r="M705" s="15">
        <v>626</v>
      </c>
      <c r="N705" s="15">
        <f t="shared" si="156"/>
        <v>13</v>
      </c>
      <c r="O705" s="15">
        <f>INDEX(卡牌消耗!$H$13:$H$33,世界BOSS专属武器!N705)</f>
        <v>1501013</v>
      </c>
      <c r="P705" s="49" t="s">
        <v>408</v>
      </c>
      <c r="Q705" s="15">
        <f t="shared" si="157"/>
        <v>13</v>
      </c>
      <c r="R705" s="49" t="str">
        <f t="shared" si="158"/>
        <v>金币</v>
      </c>
      <c r="S705" s="15">
        <f t="shared" si="159"/>
        <v>1000</v>
      </c>
      <c r="T705" s="15" t="str">
        <f t="shared" si="160"/>
        <v>低级专属强化石</v>
      </c>
      <c r="U705" s="15">
        <f t="shared" si="161"/>
        <v>7</v>
      </c>
      <c r="V705" s="15" t="str">
        <f t="shared" si="162"/>
        <v>[x]</v>
      </c>
      <c r="W705" s="15" t="str">
        <f t="shared" si="163"/>
        <v>[x]</v>
      </c>
      <c r="X705" s="15">
        <f t="shared" si="164"/>
        <v>0.28999999999999998</v>
      </c>
      <c r="Y705" s="15">
        <f t="shared" si="165"/>
        <v>1</v>
      </c>
      <c r="Z705" s="15">
        <f t="shared" si="166"/>
        <v>7</v>
      </c>
      <c r="AA705" s="15">
        <f t="shared" si="167"/>
        <v>0.1067</v>
      </c>
    </row>
    <row r="706" spans="13:27" ht="16.5" x14ac:dyDescent="0.2">
      <c r="M706" s="15">
        <v>627</v>
      </c>
      <c r="N706" s="15">
        <f t="shared" si="156"/>
        <v>13</v>
      </c>
      <c r="O706" s="15">
        <f>INDEX(卡牌消耗!$H$13:$H$33,世界BOSS专属武器!N706)</f>
        <v>1501013</v>
      </c>
      <c r="P706" s="49" t="s">
        <v>408</v>
      </c>
      <c r="Q706" s="15">
        <f t="shared" si="157"/>
        <v>14</v>
      </c>
      <c r="R706" s="49" t="str">
        <f t="shared" si="158"/>
        <v>金币</v>
      </c>
      <c r="S706" s="15">
        <f t="shared" si="159"/>
        <v>1000</v>
      </c>
      <c r="T706" s="15" t="str">
        <f t="shared" si="160"/>
        <v>低级专属强化石</v>
      </c>
      <c r="U706" s="15">
        <f t="shared" si="161"/>
        <v>7</v>
      </c>
      <c r="V706" s="15" t="str">
        <f t="shared" si="162"/>
        <v>[x]</v>
      </c>
      <c r="W706" s="15" t="str">
        <f t="shared" si="163"/>
        <v>[x]</v>
      </c>
      <c r="X706" s="15">
        <f t="shared" si="164"/>
        <v>0.27</v>
      </c>
      <c r="Y706" s="15">
        <f t="shared" si="165"/>
        <v>1</v>
      </c>
      <c r="Z706" s="15">
        <f t="shared" si="166"/>
        <v>7</v>
      </c>
      <c r="AA706" s="15">
        <f t="shared" si="167"/>
        <v>0.12</v>
      </c>
    </row>
    <row r="707" spans="13:27" ht="16.5" x14ac:dyDescent="0.2">
      <c r="M707" s="15">
        <v>628</v>
      </c>
      <c r="N707" s="15">
        <f t="shared" si="156"/>
        <v>13</v>
      </c>
      <c r="O707" s="15">
        <f>INDEX(卡牌消耗!$H$13:$H$33,世界BOSS专属武器!N707)</f>
        <v>1501013</v>
      </c>
      <c r="P707" s="49" t="s">
        <v>408</v>
      </c>
      <c r="Q707" s="15">
        <f t="shared" si="157"/>
        <v>15</v>
      </c>
      <c r="R707" s="49" t="str">
        <f t="shared" si="158"/>
        <v>金币</v>
      </c>
      <c r="S707" s="15">
        <f t="shared" si="159"/>
        <v>1000</v>
      </c>
      <c r="T707" s="15" t="str">
        <f t="shared" si="160"/>
        <v>低级专属强化石</v>
      </c>
      <c r="U707" s="15">
        <f t="shared" si="161"/>
        <v>10</v>
      </c>
      <c r="V707" s="15" t="str">
        <f t="shared" si="162"/>
        <v>[x]</v>
      </c>
      <c r="W707" s="15" t="str">
        <f t="shared" si="163"/>
        <v>[x]</v>
      </c>
      <c r="X707" s="15">
        <f t="shared" si="164"/>
        <v>0.25</v>
      </c>
      <c r="Y707" s="15">
        <f t="shared" si="165"/>
        <v>1</v>
      </c>
      <c r="Z707" s="15">
        <f t="shared" si="166"/>
        <v>8</v>
      </c>
      <c r="AA707" s="15">
        <f t="shared" si="167"/>
        <v>0.1333</v>
      </c>
    </row>
    <row r="708" spans="13:27" ht="16.5" x14ac:dyDescent="0.2">
      <c r="M708" s="15">
        <v>629</v>
      </c>
      <c r="N708" s="15">
        <f t="shared" si="156"/>
        <v>13</v>
      </c>
      <c r="O708" s="15">
        <f>INDEX(卡牌消耗!$H$13:$H$33,世界BOSS专属武器!N708)</f>
        <v>1501013</v>
      </c>
      <c r="P708" s="49" t="s">
        <v>408</v>
      </c>
      <c r="Q708" s="15">
        <f t="shared" si="157"/>
        <v>16</v>
      </c>
      <c r="R708" s="49" t="str">
        <f t="shared" si="158"/>
        <v>金币</v>
      </c>
      <c r="S708" s="15">
        <f t="shared" si="159"/>
        <v>1000</v>
      </c>
      <c r="T708" s="15" t="str">
        <f t="shared" si="160"/>
        <v>低级专属强化石</v>
      </c>
      <c r="U708" s="15">
        <f t="shared" si="161"/>
        <v>10</v>
      </c>
      <c r="V708" s="15" t="str">
        <f t="shared" si="162"/>
        <v>[x]</v>
      </c>
      <c r="W708" s="15" t="str">
        <f t="shared" si="163"/>
        <v>[x]</v>
      </c>
      <c r="X708" s="15">
        <f t="shared" si="164"/>
        <v>0.23</v>
      </c>
      <c r="Y708" s="15">
        <f t="shared" si="165"/>
        <v>1</v>
      </c>
      <c r="Z708" s="15">
        <f t="shared" si="166"/>
        <v>9</v>
      </c>
      <c r="AA708" s="15">
        <f t="shared" si="167"/>
        <v>0.1467</v>
      </c>
    </row>
    <row r="709" spans="13:27" ht="16.5" x14ac:dyDescent="0.2">
      <c r="M709" s="15">
        <v>630</v>
      </c>
      <c r="N709" s="15">
        <f t="shared" si="156"/>
        <v>13</v>
      </c>
      <c r="O709" s="15">
        <f>INDEX(卡牌消耗!$H$13:$H$33,世界BOSS专属武器!N709)</f>
        <v>1501013</v>
      </c>
      <c r="P709" s="49" t="s">
        <v>408</v>
      </c>
      <c r="Q709" s="15">
        <f t="shared" si="157"/>
        <v>17</v>
      </c>
      <c r="R709" s="49" t="str">
        <f t="shared" si="158"/>
        <v>金币</v>
      </c>
      <c r="S709" s="15">
        <f t="shared" si="159"/>
        <v>1000</v>
      </c>
      <c r="T709" s="15" t="str">
        <f t="shared" si="160"/>
        <v>低级专属强化石</v>
      </c>
      <c r="U709" s="15">
        <f t="shared" si="161"/>
        <v>10</v>
      </c>
      <c r="V709" s="15" t="str">
        <f t="shared" si="162"/>
        <v>[x]</v>
      </c>
      <c r="W709" s="15" t="str">
        <f t="shared" si="163"/>
        <v>[x]</v>
      </c>
      <c r="X709" s="15">
        <f t="shared" si="164"/>
        <v>0.21</v>
      </c>
      <c r="Y709" s="15">
        <f t="shared" si="165"/>
        <v>1</v>
      </c>
      <c r="Z709" s="15">
        <f t="shared" si="166"/>
        <v>10</v>
      </c>
      <c r="AA709" s="15">
        <f t="shared" si="167"/>
        <v>0.16</v>
      </c>
    </row>
    <row r="710" spans="13:27" ht="16.5" x14ac:dyDescent="0.2">
      <c r="M710" s="15">
        <v>631</v>
      </c>
      <c r="N710" s="15">
        <f t="shared" si="156"/>
        <v>13</v>
      </c>
      <c r="O710" s="15">
        <f>INDEX(卡牌消耗!$H$13:$H$33,世界BOSS专属武器!N710)</f>
        <v>1501013</v>
      </c>
      <c r="P710" s="49" t="s">
        <v>408</v>
      </c>
      <c r="Q710" s="15">
        <f t="shared" si="157"/>
        <v>18</v>
      </c>
      <c r="R710" s="49" t="str">
        <f t="shared" si="158"/>
        <v>金币</v>
      </c>
      <c r="S710" s="15">
        <f t="shared" si="159"/>
        <v>1000</v>
      </c>
      <c r="T710" s="15" t="str">
        <f t="shared" si="160"/>
        <v>低级专属强化石</v>
      </c>
      <c r="U710" s="15">
        <f t="shared" si="161"/>
        <v>10</v>
      </c>
      <c r="V710" s="15" t="str">
        <f t="shared" si="162"/>
        <v>[x]</v>
      </c>
      <c r="W710" s="15" t="str">
        <f t="shared" si="163"/>
        <v>[x]</v>
      </c>
      <c r="X710" s="15">
        <f t="shared" si="164"/>
        <v>0.19</v>
      </c>
      <c r="Y710" s="15">
        <f t="shared" si="165"/>
        <v>1</v>
      </c>
      <c r="Z710" s="15">
        <f t="shared" si="166"/>
        <v>11</v>
      </c>
      <c r="AA710" s="15">
        <f t="shared" si="167"/>
        <v>0.17330000000000001</v>
      </c>
    </row>
    <row r="711" spans="13:27" ht="16.5" x14ac:dyDescent="0.2">
      <c r="M711" s="15">
        <v>632</v>
      </c>
      <c r="N711" s="15">
        <f t="shared" si="156"/>
        <v>13</v>
      </c>
      <c r="O711" s="15">
        <f>INDEX(卡牌消耗!$H$13:$H$33,世界BOSS专属武器!N711)</f>
        <v>1501013</v>
      </c>
      <c r="P711" s="49" t="s">
        <v>408</v>
      </c>
      <c r="Q711" s="15">
        <f t="shared" si="157"/>
        <v>19</v>
      </c>
      <c r="R711" s="49" t="str">
        <f t="shared" si="158"/>
        <v>金币</v>
      </c>
      <c r="S711" s="15">
        <f t="shared" si="159"/>
        <v>1000</v>
      </c>
      <c r="T711" s="15" t="str">
        <f t="shared" si="160"/>
        <v>低级专属强化石</v>
      </c>
      <c r="U711" s="15">
        <f t="shared" si="161"/>
        <v>10</v>
      </c>
      <c r="V711" s="15" t="str">
        <f t="shared" si="162"/>
        <v>[x]</v>
      </c>
      <c r="W711" s="15" t="str">
        <f t="shared" si="163"/>
        <v>[x]</v>
      </c>
      <c r="X711" s="15">
        <f t="shared" si="164"/>
        <v>0.17</v>
      </c>
      <c r="Y711" s="15">
        <f t="shared" si="165"/>
        <v>1</v>
      </c>
      <c r="Z711" s="15">
        <f t="shared" si="166"/>
        <v>12</v>
      </c>
      <c r="AA711" s="15">
        <f t="shared" si="167"/>
        <v>0.1867</v>
      </c>
    </row>
    <row r="712" spans="13:27" ht="16.5" x14ac:dyDescent="0.2">
      <c r="M712" s="15">
        <v>633</v>
      </c>
      <c r="N712" s="15">
        <f t="shared" si="156"/>
        <v>13</v>
      </c>
      <c r="O712" s="15">
        <f>INDEX(卡牌消耗!$H$13:$H$33,世界BOSS专属武器!N712)</f>
        <v>1501013</v>
      </c>
      <c r="P712" s="49" t="s">
        <v>408</v>
      </c>
      <c r="Q712" s="15">
        <f t="shared" si="157"/>
        <v>20</v>
      </c>
      <c r="R712" s="49" t="str">
        <f t="shared" si="158"/>
        <v>金币</v>
      </c>
      <c r="S712" s="15">
        <f t="shared" si="159"/>
        <v>5000</v>
      </c>
      <c r="T712" s="15" t="str">
        <f t="shared" si="160"/>
        <v>低级专属强化石</v>
      </c>
      <c r="U712" s="15">
        <f t="shared" si="161"/>
        <v>15</v>
      </c>
      <c r="V712" s="15" t="str">
        <f t="shared" si="162"/>
        <v>中级专属强化石</v>
      </c>
      <c r="W712" s="15">
        <f t="shared" si="163"/>
        <v>7</v>
      </c>
      <c r="X712" s="15">
        <f t="shared" si="164"/>
        <v>0.15</v>
      </c>
      <c r="Y712" s="15">
        <f t="shared" si="165"/>
        <v>1</v>
      </c>
      <c r="Z712" s="15">
        <f t="shared" si="166"/>
        <v>15</v>
      </c>
      <c r="AA712" s="15">
        <f t="shared" si="167"/>
        <v>0.2</v>
      </c>
    </row>
    <row r="713" spans="13:27" ht="16.5" x14ac:dyDescent="0.2">
      <c r="M713" s="15">
        <v>634</v>
      </c>
      <c r="N713" s="15">
        <f t="shared" si="156"/>
        <v>13</v>
      </c>
      <c r="O713" s="15">
        <f>INDEX(卡牌消耗!$H$13:$H$33,世界BOSS专属武器!N713)</f>
        <v>1501013</v>
      </c>
      <c r="P713" s="49" t="s">
        <v>408</v>
      </c>
      <c r="Q713" s="15">
        <f t="shared" si="157"/>
        <v>21</v>
      </c>
      <c r="R713" s="49" t="str">
        <f t="shared" si="158"/>
        <v>金币</v>
      </c>
      <c r="S713" s="15">
        <f t="shared" si="159"/>
        <v>5000</v>
      </c>
      <c r="T713" s="15" t="str">
        <f t="shared" si="160"/>
        <v>低级专属强化石</v>
      </c>
      <c r="U713" s="15">
        <f t="shared" si="161"/>
        <v>15</v>
      </c>
      <c r="V713" s="15" t="str">
        <f t="shared" si="162"/>
        <v>中级专属强化石</v>
      </c>
      <c r="W713" s="15">
        <f t="shared" si="163"/>
        <v>7</v>
      </c>
      <c r="X713" s="15">
        <f t="shared" si="164"/>
        <v>0.15</v>
      </c>
      <c r="Y713" s="15">
        <f t="shared" si="165"/>
        <v>1</v>
      </c>
      <c r="Z713" s="15">
        <f t="shared" si="166"/>
        <v>15</v>
      </c>
      <c r="AA713" s="15">
        <f t="shared" si="167"/>
        <v>0.22</v>
      </c>
    </row>
    <row r="714" spans="13:27" ht="16.5" x14ac:dyDescent="0.2">
      <c r="M714" s="15">
        <v>635</v>
      </c>
      <c r="N714" s="15">
        <f t="shared" si="156"/>
        <v>13</v>
      </c>
      <c r="O714" s="15">
        <f>INDEX(卡牌消耗!$H$13:$H$33,世界BOSS专属武器!N714)</f>
        <v>1501013</v>
      </c>
      <c r="P714" s="49" t="s">
        <v>408</v>
      </c>
      <c r="Q714" s="15">
        <f t="shared" si="157"/>
        <v>22</v>
      </c>
      <c r="R714" s="49" t="str">
        <f t="shared" si="158"/>
        <v>金币</v>
      </c>
      <c r="S714" s="15">
        <f t="shared" si="159"/>
        <v>5000</v>
      </c>
      <c r="T714" s="15" t="str">
        <f t="shared" si="160"/>
        <v>低级专属强化石</v>
      </c>
      <c r="U714" s="15">
        <f t="shared" si="161"/>
        <v>15</v>
      </c>
      <c r="V714" s="15" t="str">
        <f t="shared" si="162"/>
        <v>中级专属强化石</v>
      </c>
      <c r="W714" s="15">
        <f t="shared" si="163"/>
        <v>7</v>
      </c>
      <c r="X714" s="15">
        <f t="shared" si="164"/>
        <v>0.15</v>
      </c>
      <c r="Y714" s="15">
        <f t="shared" si="165"/>
        <v>1</v>
      </c>
      <c r="Z714" s="15">
        <f t="shared" si="166"/>
        <v>15</v>
      </c>
      <c r="AA714" s="15">
        <f t="shared" si="167"/>
        <v>0.24</v>
      </c>
    </row>
    <row r="715" spans="13:27" ht="16.5" x14ac:dyDescent="0.2">
      <c r="M715" s="15">
        <v>636</v>
      </c>
      <c r="N715" s="15">
        <f t="shared" si="156"/>
        <v>13</v>
      </c>
      <c r="O715" s="15">
        <f>INDEX(卡牌消耗!$H$13:$H$33,世界BOSS专属武器!N715)</f>
        <v>1501013</v>
      </c>
      <c r="P715" s="49" t="s">
        <v>408</v>
      </c>
      <c r="Q715" s="15">
        <f t="shared" si="157"/>
        <v>23</v>
      </c>
      <c r="R715" s="49" t="str">
        <f t="shared" si="158"/>
        <v>金币</v>
      </c>
      <c r="S715" s="15">
        <f t="shared" si="159"/>
        <v>5000</v>
      </c>
      <c r="T715" s="15" t="str">
        <f t="shared" si="160"/>
        <v>低级专属强化石</v>
      </c>
      <c r="U715" s="15">
        <f t="shared" si="161"/>
        <v>15</v>
      </c>
      <c r="V715" s="15" t="str">
        <f t="shared" si="162"/>
        <v>中级专属强化石</v>
      </c>
      <c r="W715" s="15">
        <f t="shared" si="163"/>
        <v>7</v>
      </c>
      <c r="X715" s="15">
        <f t="shared" si="164"/>
        <v>0.15</v>
      </c>
      <c r="Y715" s="15">
        <f t="shared" si="165"/>
        <v>1</v>
      </c>
      <c r="Z715" s="15">
        <f t="shared" si="166"/>
        <v>18</v>
      </c>
      <c r="AA715" s="15">
        <f t="shared" si="167"/>
        <v>0.26</v>
      </c>
    </row>
    <row r="716" spans="13:27" ht="16.5" x14ac:dyDescent="0.2">
      <c r="M716" s="15">
        <v>637</v>
      </c>
      <c r="N716" s="15">
        <f t="shared" si="156"/>
        <v>13</v>
      </c>
      <c r="O716" s="15">
        <f>INDEX(卡牌消耗!$H$13:$H$33,世界BOSS专属武器!N716)</f>
        <v>1501013</v>
      </c>
      <c r="P716" s="49" t="s">
        <v>408</v>
      </c>
      <c r="Q716" s="15">
        <f t="shared" si="157"/>
        <v>24</v>
      </c>
      <c r="R716" s="49" t="str">
        <f t="shared" si="158"/>
        <v>金币</v>
      </c>
      <c r="S716" s="15">
        <f t="shared" si="159"/>
        <v>5000</v>
      </c>
      <c r="T716" s="15" t="str">
        <f t="shared" si="160"/>
        <v>低级专属强化石</v>
      </c>
      <c r="U716" s="15">
        <f t="shared" si="161"/>
        <v>15</v>
      </c>
      <c r="V716" s="15" t="str">
        <f t="shared" si="162"/>
        <v>中级专属强化石</v>
      </c>
      <c r="W716" s="15">
        <f t="shared" si="163"/>
        <v>7</v>
      </c>
      <c r="X716" s="15">
        <f t="shared" si="164"/>
        <v>0.15</v>
      </c>
      <c r="Y716" s="15">
        <f t="shared" si="165"/>
        <v>1</v>
      </c>
      <c r="Z716" s="15">
        <f t="shared" si="166"/>
        <v>18</v>
      </c>
      <c r="AA716" s="15">
        <f t="shared" si="167"/>
        <v>0.28000000000000003</v>
      </c>
    </row>
    <row r="717" spans="13:27" ht="16.5" x14ac:dyDescent="0.2">
      <c r="M717" s="15">
        <v>638</v>
      </c>
      <c r="N717" s="15">
        <f t="shared" si="156"/>
        <v>13</v>
      </c>
      <c r="O717" s="15">
        <f>INDEX(卡牌消耗!$H$13:$H$33,世界BOSS专属武器!N717)</f>
        <v>1501013</v>
      </c>
      <c r="P717" s="49" t="s">
        <v>408</v>
      </c>
      <c r="Q717" s="15">
        <f t="shared" si="157"/>
        <v>25</v>
      </c>
      <c r="R717" s="49" t="str">
        <f t="shared" si="158"/>
        <v>金币</v>
      </c>
      <c r="S717" s="15">
        <f t="shared" si="159"/>
        <v>5000</v>
      </c>
      <c r="T717" s="15" t="str">
        <f t="shared" si="160"/>
        <v>低级专属强化石</v>
      </c>
      <c r="U717" s="15">
        <f t="shared" si="161"/>
        <v>15</v>
      </c>
      <c r="V717" s="15" t="str">
        <f t="shared" si="162"/>
        <v>中级专属强化石</v>
      </c>
      <c r="W717" s="15">
        <f t="shared" si="163"/>
        <v>7</v>
      </c>
      <c r="X717" s="15">
        <f t="shared" si="164"/>
        <v>0.15</v>
      </c>
      <c r="Y717" s="15">
        <f t="shared" si="165"/>
        <v>1</v>
      </c>
      <c r="Z717" s="15">
        <f t="shared" si="166"/>
        <v>18</v>
      </c>
      <c r="AA717" s="15">
        <f t="shared" si="167"/>
        <v>0.3</v>
      </c>
    </row>
    <row r="718" spans="13:27" ht="16.5" x14ac:dyDescent="0.2">
      <c r="M718" s="15">
        <v>639</v>
      </c>
      <c r="N718" s="15">
        <f t="shared" si="156"/>
        <v>13</v>
      </c>
      <c r="O718" s="15">
        <f>INDEX(卡牌消耗!$H$13:$H$33,世界BOSS专属武器!N718)</f>
        <v>1501013</v>
      </c>
      <c r="P718" s="49" t="s">
        <v>408</v>
      </c>
      <c r="Q718" s="15">
        <f t="shared" si="157"/>
        <v>26</v>
      </c>
      <c r="R718" s="49" t="str">
        <f t="shared" si="158"/>
        <v>金币</v>
      </c>
      <c r="S718" s="15">
        <f t="shared" si="159"/>
        <v>5000</v>
      </c>
      <c r="T718" s="15" t="str">
        <f t="shared" si="160"/>
        <v>低级专属强化石</v>
      </c>
      <c r="U718" s="15">
        <f t="shared" si="161"/>
        <v>15</v>
      </c>
      <c r="V718" s="15" t="str">
        <f t="shared" si="162"/>
        <v>中级专属强化石</v>
      </c>
      <c r="W718" s="15">
        <f t="shared" si="163"/>
        <v>7</v>
      </c>
      <c r="X718" s="15">
        <f t="shared" si="164"/>
        <v>0.15</v>
      </c>
      <c r="Y718" s="15">
        <f t="shared" si="165"/>
        <v>1</v>
      </c>
      <c r="Z718" s="15">
        <f t="shared" si="166"/>
        <v>21</v>
      </c>
      <c r="AA718" s="15">
        <f t="shared" si="167"/>
        <v>0.32</v>
      </c>
    </row>
    <row r="719" spans="13:27" ht="16.5" x14ac:dyDescent="0.2">
      <c r="M719" s="15">
        <v>640</v>
      </c>
      <c r="N719" s="15">
        <f t="shared" si="156"/>
        <v>13</v>
      </c>
      <c r="O719" s="15">
        <f>INDEX(卡牌消耗!$H$13:$H$33,世界BOSS专属武器!N719)</f>
        <v>1501013</v>
      </c>
      <c r="P719" s="49" t="s">
        <v>408</v>
      </c>
      <c r="Q719" s="15">
        <f t="shared" si="157"/>
        <v>27</v>
      </c>
      <c r="R719" s="49" t="str">
        <f t="shared" si="158"/>
        <v>金币</v>
      </c>
      <c r="S719" s="15">
        <f t="shared" si="159"/>
        <v>5000</v>
      </c>
      <c r="T719" s="15" t="str">
        <f t="shared" si="160"/>
        <v>低级专属强化石</v>
      </c>
      <c r="U719" s="15">
        <f t="shared" si="161"/>
        <v>15</v>
      </c>
      <c r="V719" s="15" t="str">
        <f t="shared" si="162"/>
        <v>中级专属强化石</v>
      </c>
      <c r="W719" s="15">
        <f t="shared" si="163"/>
        <v>7</v>
      </c>
      <c r="X719" s="15">
        <f t="shared" si="164"/>
        <v>0.15</v>
      </c>
      <c r="Y719" s="15">
        <f t="shared" si="165"/>
        <v>1</v>
      </c>
      <c r="Z719" s="15">
        <f t="shared" si="166"/>
        <v>22</v>
      </c>
      <c r="AA719" s="15">
        <f t="shared" si="167"/>
        <v>0.34</v>
      </c>
    </row>
    <row r="720" spans="13:27" ht="16.5" x14ac:dyDescent="0.2">
      <c r="M720" s="15">
        <v>641</v>
      </c>
      <c r="N720" s="15">
        <f t="shared" si="156"/>
        <v>13</v>
      </c>
      <c r="O720" s="15">
        <f>INDEX(卡牌消耗!$H$13:$H$33,世界BOSS专属武器!N720)</f>
        <v>1501013</v>
      </c>
      <c r="P720" s="49" t="s">
        <v>408</v>
      </c>
      <c r="Q720" s="15">
        <f t="shared" si="157"/>
        <v>28</v>
      </c>
      <c r="R720" s="49" t="str">
        <f t="shared" si="158"/>
        <v>金币</v>
      </c>
      <c r="S720" s="15">
        <f t="shared" si="159"/>
        <v>5000</v>
      </c>
      <c r="T720" s="15" t="str">
        <f t="shared" si="160"/>
        <v>低级专属强化石</v>
      </c>
      <c r="U720" s="15">
        <f t="shared" si="161"/>
        <v>15</v>
      </c>
      <c r="V720" s="15" t="str">
        <f t="shared" si="162"/>
        <v>中级专属强化石</v>
      </c>
      <c r="W720" s="15">
        <f t="shared" si="163"/>
        <v>7</v>
      </c>
      <c r="X720" s="15">
        <f t="shared" si="164"/>
        <v>0.15</v>
      </c>
      <c r="Y720" s="15">
        <f t="shared" si="165"/>
        <v>1</v>
      </c>
      <c r="Z720" s="15">
        <f t="shared" si="166"/>
        <v>23</v>
      </c>
      <c r="AA720" s="15">
        <f t="shared" si="167"/>
        <v>0.36</v>
      </c>
    </row>
    <row r="721" spans="13:27" ht="16.5" x14ac:dyDescent="0.2">
      <c r="M721" s="15">
        <v>642</v>
      </c>
      <c r="N721" s="15">
        <f t="shared" ref="N721:N784" si="168">INT((M721-1)/51)+1</f>
        <v>13</v>
      </c>
      <c r="O721" s="15">
        <f>INDEX(卡牌消耗!$H$13:$H$33,世界BOSS专属武器!N721)</f>
        <v>1501013</v>
      </c>
      <c r="P721" s="49" t="s">
        <v>408</v>
      </c>
      <c r="Q721" s="15">
        <f t="shared" ref="Q721:Q784" si="169">MOD(M721-1,51)</f>
        <v>29</v>
      </c>
      <c r="R721" s="49" t="str">
        <f t="shared" ref="R721:R784" si="170">IF(Q721&gt;0,"金币","[x]")</f>
        <v>金币</v>
      </c>
      <c r="S721" s="15">
        <f t="shared" ref="S721:S784" si="171">IF(Q721&gt;0,INDEX($V$27:$V$76,Q721),"[x]")</f>
        <v>5000</v>
      </c>
      <c r="T721" s="15" t="str">
        <f t="shared" ref="T721:T784" si="172">IF(Q721&gt;0,INDEX($W$27:$W$76,Q721),"[x]")</f>
        <v>低级专属强化石</v>
      </c>
      <c r="U721" s="15">
        <f t="shared" ref="U721:U784" si="173">IF(Q721&gt;0,INDEX($AA$27:$AF$76,Q721,INDEX($Y$27:$Y$76,Q721)),"[x]")</f>
        <v>15</v>
      </c>
      <c r="V721" s="15" t="str">
        <f t="shared" ref="V721:V784" si="174">IF(AND(Q721&gt;=20,Q721&lt;40),INDEX($X$27:$X$76,Q721),"[x]")</f>
        <v>中级专属强化石</v>
      </c>
      <c r="W721" s="15">
        <f t="shared" ref="W721:W784" si="175">IF(AND(Q721&gt;=20,Q721&lt;40),INDEX($AA$27:$AF$76,Q721,INDEX($Z$27:$Z$76,Q721)),"[x]")</f>
        <v>7</v>
      </c>
      <c r="X721" s="15">
        <f t="shared" ref="X721:X784" si="176">IF(Q721&gt;0,INDEX($T$27:$T$76,Q721),"[x]")</f>
        <v>0.15</v>
      </c>
      <c r="Y721" s="15">
        <f t="shared" ref="Y721:Y784" si="177">IF(Q721&gt;0,1,"[x]")</f>
        <v>1</v>
      </c>
      <c r="Z721" s="15">
        <f t="shared" ref="Z721:Z784" si="178">IF(Q721&gt;0,INDEX($AG$27:$AG$76,Q721),"[x]")</f>
        <v>25</v>
      </c>
      <c r="AA721" s="15">
        <f t="shared" ref="AA721:AA784" si="179">IF(Q721&gt;0,INDEX($AL$27:$AL$76,Q721),"[x]")</f>
        <v>0.38</v>
      </c>
    </row>
    <row r="722" spans="13:27" ht="16.5" x14ac:dyDescent="0.2">
      <c r="M722" s="15">
        <v>643</v>
      </c>
      <c r="N722" s="15">
        <f t="shared" si="168"/>
        <v>13</v>
      </c>
      <c r="O722" s="15">
        <f>INDEX(卡牌消耗!$H$13:$H$33,世界BOSS专属武器!N722)</f>
        <v>1501013</v>
      </c>
      <c r="P722" s="49" t="s">
        <v>408</v>
      </c>
      <c r="Q722" s="15">
        <f t="shared" si="169"/>
        <v>30</v>
      </c>
      <c r="R722" s="49" t="str">
        <f t="shared" si="170"/>
        <v>金币</v>
      </c>
      <c r="S722" s="15">
        <f t="shared" si="171"/>
        <v>10000</v>
      </c>
      <c r="T722" s="15" t="str">
        <f t="shared" si="172"/>
        <v>中级专属强化石</v>
      </c>
      <c r="U722" s="15">
        <f t="shared" si="173"/>
        <v>8</v>
      </c>
      <c r="V722" s="15" t="str">
        <f t="shared" si="174"/>
        <v>高级专属强化石</v>
      </c>
      <c r="W722" s="15">
        <f t="shared" si="175"/>
        <v>3</v>
      </c>
      <c r="X722" s="15">
        <f t="shared" si="176"/>
        <v>0.1</v>
      </c>
      <c r="Y722" s="15">
        <f t="shared" si="177"/>
        <v>1</v>
      </c>
      <c r="Z722" s="15">
        <f t="shared" si="178"/>
        <v>30</v>
      </c>
      <c r="AA722" s="15">
        <f t="shared" si="179"/>
        <v>0.4</v>
      </c>
    </row>
    <row r="723" spans="13:27" ht="16.5" x14ac:dyDescent="0.2">
      <c r="M723" s="15">
        <v>644</v>
      </c>
      <c r="N723" s="15">
        <f t="shared" si="168"/>
        <v>13</v>
      </c>
      <c r="O723" s="15">
        <f>INDEX(卡牌消耗!$H$13:$H$33,世界BOSS专属武器!N723)</f>
        <v>1501013</v>
      </c>
      <c r="P723" s="49" t="s">
        <v>408</v>
      </c>
      <c r="Q723" s="15">
        <f t="shared" si="169"/>
        <v>31</v>
      </c>
      <c r="R723" s="49" t="str">
        <f t="shared" si="170"/>
        <v>金币</v>
      </c>
      <c r="S723" s="15">
        <f t="shared" si="171"/>
        <v>10000</v>
      </c>
      <c r="T723" s="15" t="str">
        <f t="shared" si="172"/>
        <v>中级专属强化石</v>
      </c>
      <c r="U723" s="15">
        <f t="shared" si="173"/>
        <v>8</v>
      </c>
      <c r="V723" s="15" t="str">
        <f t="shared" si="174"/>
        <v>高级专属强化石</v>
      </c>
      <c r="W723" s="15">
        <f t="shared" si="175"/>
        <v>3</v>
      </c>
      <c r="X723" s="15">
        <f t="shared" si="176"/>
        <v>0.1</v>
      </c>
      <c r="Y723" s="15">
        <f t="shared" si="177"/>
        <v>1</v>
      </c>
      <c r="Z723" s="15">
        <f t="shared" si="178"/>
        <v>30</v>
      </c>
      <c r="AA723" s="15">
        <f t="shared" si="179"/>
        <v>0.42670000000000002</v>
      </c>
    </row>
    <row r="724" spans="13:27" ht="16.5" x14ac:dyDescent="0.2">
      <c r="M724" s="15">
        <v>645</v>
      </c>
      <c r="N724" s="15">
        <f t="shared" si="168"/>
        <v>13</v>
      </c>
      <c r="O724" s="15">
        <f>INDEX(卡牌消耗!$H$13:$H$33,世界BOSS专属武器!N724)</f>
        <v>1501013</v>
      </c>
      <c r="P724" s="49" t="s">
        <v>408</v>
      </c>
      <c r="Q724" s="15">
        <f t="shared" si="169"/>
        <v>32</v>
      </c>
      <c r="R724" s="49" t="str">
        <f t="shared" si="170"/>
        <v>金币</v>
      </c>
      <c r="S724" s="15">
        <f t="shared" si="171"/>
        <v>10000</v>
      </c>
      <c r="T724" s="15" t="str">
        <f t="shared" si="172"/>
        <v>中级专属强化石</v>
      </c>
      <c r="U724" s="15">
        <f t="shared" si="173"/>
        <v>8</v>
      </c>
      <c r="V724" s="15" t="str">
        <f t="shared" si="174"/>
        <v>高级专属强化石</v>
      </c>
      <c r="W724" s="15">
        <f t="shared" si="175"/>
        <v>3</v>
      </c>
      <c r="X724" s="15">
        <f t="shared" si="176"/>
        <v>0.1</v>
      </c>
      <c r="Y724" s="15">
        <f t="shared" si="177"/>
        <v>1</v>
      </c>
      <c r="Z724" s="15">
        <f t="shared" si="178"/>
        <v>30</v>
      </c>
      <c r="AA724" s="15">
        <f t="shared" si="179"/>
        <v>0.45329999999999998</v>
      </c>
    </row>
    <row r="725" spans="13:27" ht="16.5" x14ac:dyDescent="0.2">
      <c r="M725" s="15">
        <v>646</v>
      </c>
      <c r="N725" s="15">
        <f t="shared" si="168"/>
        <v>13</v>
      </c>
      <c r="O725" s="15">
        <f>INDEX(卡牌消耗!$H$13:$H$33,世界BOSS专属武器!N725)</f>
        <v>1501013</v>
      </c>
      <c r="P725" s="49" t="s">
        <v>408</v>
      </c>
      <c r="Q725" s="15">
        <f t="shared" si="169"/>
        <v>33</v>
      </c>
      <c r="R725" s="49" t="str">
        <f t="shared" si="170"/>
        <v>金币</v>
      </c>
      <c r="S725" s="15">
        <f t="shared" si="171"/>
        <v>10000</v>
      </c>
      <c r="T725" s="15" t="str">
        <f t="shared" si="172"/>
        <v>中级专属强化石</v>
      </c>
      <c r="U725" s="15">
        <f t="shared" si="173"/>
        <v>8</v>
      </c>
      <c r="V725" s="15" t="str">
        <f t="shared" si="174"/>
        <v>高级专属强化石</v>
      </c>
      <c r="W725" s="15">
        <f t="shared" si="175"/>
        <v>3</v>
      </c>
      <c r="X725" s="15">
        <f t="shared" si="176"/>
        <v>0.1</v>
      </c>
      <c r="Y725" s="15">
        <f t="shared" si="177"/>
        <v>1</v>
      </c>
      <c r="Z725" s="15">
        <f t="shared" si="178"/>
        <v>30</v>
      </c>
      <c r="AA725" s="15">
        <f t="shared" si="179"/>
        <v>0.48</v>
      </c>
    </row>
    <row r="726" spans="13:27" ht="16.5" x14ac:dyDescent="0.2">
      <c r="M726" s="15">
        <v>647</v>
      </c>
      <c r="N726" s="15">
        <f t="shared" si="168"/>
        <v>13</v>
      </c>
      <c r="O726" s="15">
        <f>INDEX(卡牌消耗!$H$13:$H$33,世界BOSS专属武器!N726)</f>
        <v>1501013</v>
      </c>
      <c r="P726" s="49" t="s">
        <v>408</v>
      </c>
      <c r="Q726" s="15">
        <f t="shared" si="169"/>
        <v>34</v>
      </c>
      <c r="R726" s="49" t="str">
        <f t="shared" si="170"/>
        <v>金币</v>
      </c>
      <c r="S726" s="15">
        <f t="shared" si="171"/>
        <v>10000</v>
      </c>
      <c r="T726" s="15" t="str">
        <f t="shared" si="172"/>
        <v>中级专属强化石</v>
      </c>
      <c r="U726" s="15">
        <f t="shared" si="173"/>
        <v>8</v>
      </c>
      <c r="V726" s="15" t="str">
        <f t="shared" si="174"/>
        <v>高级专属强化石</v>
      </c>
      <c r="W726" s="15">
        <f t="shared" si="175"/>
        <v>3</v>
      </c>
      <c r="X726" s="15">
        <f t="shared" si="176"/>
        <v>0.1</v>
      </c>
      <c r="Y726" s="15">
        <f t="shared" si="177"/>
        <v>1</v>
      </c>
      <c r="Z726" s="15">
        <f t="shared" si="178"/>
        <v>30</v>
      </c>
      <c r="AA726" s="15">
        <f t="shared" si="179"/>
        <v>0.50670000000000004</v>
      </c>
    </row>
    <row r="727" spans="13:27" ht="16.5" x14ac:dyDescent="0.2">
      <c r="M727" s="15">
        <v>648</v>
      </c>
      <c r="N727" s="15">
        <f t="shared" si="168"/>
        <v>13</v>
      </c>
      <c r="O727" s="15">
        <f>INDEX(卡牌消耗!$H$13:$H$33,世界BOSS专属武器!N727)</f>
        <v>1501013</v>
      </c>
      <c r="P727" s="49" t="s">
        <v>408</v>
      </c>
      <c r="Q727" s="15">
        <f t="shared" si="169"/>
        <v>35</v>
      </c>
      <c r="R727" s="49" t="str">
        <f t="shared" si="170"/>
        <v>金币</v>
      </c>
      <c r="S727" s="15">
        <f t="shared" si="171"/>
        <v>10000</v>
      </c>
      <c r="T727" s="15" t="str">
        <f t="shared" si="172"/>
        <v>中级专属强化石</v>
      </c>
      <c r="U727" s="15">
        <f t="shared" si="173"/>
        <v>8</v>
      </c>
      <c r="V727" s="15" t="str">
        <f t="shared" si="174"/>
        <v>高级专属强化石</v>
      </c>
      <c r="W727" s="15">
        <f t="shared" si="175"/>
        <v>3</v>
      </c>
      <c r="X727" s="15">
        <f t="shared" si="176"/>
        <v>0.1</v>
      </c>
      <c r="Y727" s="15">
        <f t="shared" si="177"/>
        <v>1</v>
      </c>
      <c r="Z727" s="15">
        <f t="shared" si="178"/>
        <v>30</v>
      </c>
      <c r="AA727" s="15">
        <f t="shared" si="179"/>
        <v>0.5333</v>
      </c>
    </row>
    <row r="728" spans="13:27" ht="16.5" x14ac:dyDescent="0.2">
      <c r="M728" s="15">
        <v>649</v>
      </c>
      <c r="N728" s="15">
        <f t="shared" si="168"/>
        <v>13</v>
      </c>
      <c r="O728" s="15">
        <f>INDEX(卡牌消耗!$H$13:$H$33,世界BOSS专属武器!N728)</f>
        <v>1501013</v>
      </c>
      <c r="P728" s="49" t="s">
        <v>408</v>
      </c>
      <c r="Q728" s="15">
        <f t="shared" si="169"/>
        <v>36</v>
      </c>
      <c r="R728" s="49" t="str">
        <f t="shared" si="170"/>
        <v>金币</v>
      </c>
      <c r="S728" s="15">
        <f t="shared" si="171"/>
        <v>10000</v>
      </c>
      <c r="T728" s="15" t="str">
        <f t="shared" si="172"/>
        <v>中级专属强化石</v>
      </c>
      <c r="U728" s="15">
        <f t="shared" si="173"/>
        <v>8</v>
      </c>
      <c r="V728" s="15" t="str">
        <f t="shared" si="174"/>
        <v>高级专属强化石</v>
      </c>
      <c r="W728" s="15">
        <f t="shared" si="175"/>
        <v>3</v>
      </c>
      <c r="X728" s="15">
        <f t="shared" si="176"/>
        <v>0.1</v>
      </c>
      <c r="Y728" s="15">
        <f t="shared" si="177"/>
        <v>1</v>
      </c>
      <c r="Z728" s="15">
        <f t="shared" si="178"/>
        <v>30</v>
      </c>
      <c r="AA728" s="15">
        <f t="shared" si="179"/>
        <v>0.56000000000000005</v>
      </c>
    </row>
    <row r="729" spans="13:27" ht="16.5" x14ac:dyDescent="0.2">
      <c r="M729" s="15">
        <v>650</v>
      </c>
      <c r="N729" s="15">
        <f t="shared" si="168"/>
        <v>13</v>
      </c>
      <c r="O729" s="15">
        <f>INDEX(卡牌消耗!$H$13:$H$33,世界BOSS专属武器!N729)</f>
        <v>1501013</v>
      </c>
      <c r="P729" s="49" t="s">
        <v>408</v>
      </c>
      <c r="Q729" s="15">
        <f t="shared" si="169"/>
        <v>37</v>
      </c>
      <c r="R729" s="49" t="str">
        <f t="shared" si="170"/>
        <v>金币</v>
      </c>
      <c r="S729" s="15">
        <f t="shared" si="171"/>
        <v>10000</v>
      </c>
      <c r="T729" s="15" t="str">
        <f t="shared" si="172"/>
        <v>中级专属强化石</v>
      </c>
      <c r="U729" s="15">
        <f t="shared" si="173"/>
        <v>8</v>
      </c>
      <c r="V729" s="15" t="str">
        <f t="shared" si="174"/>
        <v>高级专属强化石</v>
      </c>
      <c r="W729" s="15">
        <f t="shared" si="175"/>
        <v>3</v>
      </c>
      <c r="X729" s="15">
        <f t="shared" si="176"/>
        <v>0.1</v>
      </c>
      <c r="Y729" s="15">
        <f t="shared" si="177"/>
        <v>1</v>
      </c>
      <c r="Z729" s="15">
        <f t="shared" si="178"/>
        <v>30</v>
      </c>
      <c r="AA729" s="15">
        <f t="shared" si="179"/>
        <v>0.5867</v>
      </c>
    </row>
    <row r="730" spans="13:27" ht="16.5" x14ac:dyDescent="0.2">
      <c r="M730" s="15">
        <v>651</v>
      </c>
      <c r="N730" s="15">
        <f t="shared" si="168"/>
        <v>13</v>
      </c>
      <c r="O730" s="15">
        <f>INDEX(卡牌消耗!$H$13:$H$33,世界BOSS专属武器!N730)</f>
        <v>1501013</v>
      </c>
      <c r="P730" s="49" t="s">
        <v>408</v>
      </c>
      <c r="Q730" s="15">
        <f t="shared" si="169"/>
        <v>38</v>
      </c>
      <c r="R730" s="49" t="str">
        <f t="shared" si="170"/>
        <v>金币</v>
      </c>
      <c r="S730" s="15">
        <f t="shared" si="171"/>
        <v>10000</v>
      </c>
      <c r="T730" s="15" t="str">
        <f t="shared" si="172"/>
        <v>中级专属强化石</v>
      </c>
      <c r="U730" s="15">
        <f t="shared" si="173"/>
        <v>8</v>
      </c>
      <c r="V730" s="15" t="str">
        <f t="shared" si="174"/>
        <v>高级专属强化石</v>
      </c>
      <c r="W730" s="15">
        <f t="shared" si="175"/>
        <v>3</v>
      </c>
      <c r="X730" s="15">
        <f t="shared" si="176"/>
        <v>0.1</v>
      </c>
      <c r="Y730" s="15">
        <f t="shared" si="177"/>
        <v>1</v>
      </c>
      <c r="Z730" s="15">
        <f t="shared" si="178"/>
        <v>30</v>
      </c>
      <c r="AA730" s="15">
        <f t="shared" si="179"/>
        <v>0.61329999999999996</v>
      </c>
    </row>
    <row r="731" spans="13:27" ht="16.5" x14ac:dyDescent="0.2">
      <c r="M731" s="15">
        <v>652</v>
      </c>
      <c r="N731" s="15">
        <f t="shared" si="168"/>
        <v>13</v>
      </c>
      <c r="O731" s="15">
        <f>INDEX(卡牌消耗!$H$13:$H$33,世界BOSS专属武器!N731)</f>
        <v>1501013</v>
      </c>
      <c r="P731" s="49" t="s">
        <v>408</v>
      </c>
      <c r="Q731" s="15">
        <f t="shared" si="169"/>
        <v>39</v>
      </c>
      <c r="R731" s="49" t="str">
        <f t="shared" si="170"/>
        <v>金币</v>
      </c>
      <c r="S731" s="15">
        <f t="shared" si="171"/>
        <v>10000</v>
      </c>
      <c r="T731" s="15" t="str">
        <f t="shared" si="172"/>
        <v>中级专属强化石</v>
      </c>
      <c r="U731" s="15">
        <f t="shared" si="173"/>
        <v>8</v>
      </c>
      <c r="V731" s="15" t="str">
        <f t="shared" si="174"/>
        <v>高级专属强化石</v>
      </c>
      <c r="W731" s="15">
        <f t="shared" si="175"/>
        <v>3</v>
      </c>
      <c r="X731" s="15">
        <f t="shared" si="176"/>
        <v>0.1</v>
      </c>
      <c r="Y731" s="15">
        <f t="shared" si="177"/>
        <v>1</v>
      </c>
      <c r="Z731" s="15">
        <f t="shared" si="178"/>
        <v>30</v>
      </c>
      <c r="AA731" s="15">
        <f t="shared" si="179"/>
        <v>0.64</v>
      </c>
    </row>
    <row r="732" spans="13:27" ht="16.5" x14ac:dyDescent="0.2">
      <c r="M732" s="15">
        <v>653</v>
      </c>
      <c r="N732" s="15">
        <f t="shared" si="168"/>
        <v>13</v>
      </c>
      <c r="O732" s="15">
        <f>INDEX(卡牌消耗!$H$13:$H$33,世界BOSS专属武器!N732)</f>
        <v>1501013</v>
      </c>
      <c r="P732" s="49" t="s">
        <v>408</v>
      </c>
      <c r="Q732" s="15">
        <f t="shared" si="169"/>
        <v>40</v>
      </c>
      <c r="R732" s="49" t="str">
        <f t="shared" si="170"/>
        <v>金币</v>
      </c>
      <c r="S732" s="15">
        <f t="shared" si="171"/>
        <v>20000</v>
      </c>
      <c r="T732" s="15" t="str">
        <f t="shared" si="172"/>
        <v>高级专属强化石</v>
      </c>
      <c r="U732" s="15">
        <f t="shared" si="173"/>
        <v>5</v>
      </c>
      <c r="V732" s="15" t="str">
        <f t="shared" si="174"/>
        <v>[x]</v>
      </c>
      <c r="W732" s="15" t="str">
        <f t="shared" si="175"/>
        <v>[x]</v>
      </c>
      <c r="X732" s="15">
        <f t="shared" si="176"/>
        <v>0.1</v>
      </c>
      <c r="Y732" s="15">
        <f t="shared" si="177"/>
        <v>1</v>
      </c>
      <c r="Z732" s="15">
        <f t="shared" si="178"/>
        <v>35</v>
      </c>
      <c r="AA732" s="15">
        <f t="shared" si="179"/>
        <v>0.66669999999999996</v>
      </c>
    </row>
    <row r="733" spans="13:27" ht="16.5" x14ac:dyDescent="0.2">
      <c r="M733" s="15">
        <v>654</v>
      </c>
      <c r="N733" s="15">
        <f t="shared" si="168"/>
        <v>13</v>
      </c>
      <c r="O733" s="15">
        <f>INDEX(卡牌消耗!$H$13:$H$33,世界BOSS专属武器!N733)</f>
        <v>1501013</v>
      </c>
      <c r="P733" s="49" t="s">
        <v>408</v>
      </c>
      <c r="Q733" s="15">
        <f t="shared" si="169"/>
        <v>41</v>
      </c>
      <c r="R733" s="49" t="str">
        <f t="shared" si="170"/>
        <v>金币</v>
      </c>
      <c r="S733" s="15">
        <f t="shared" si="171"/>
        <v>20000</v>
      </c>
      <c r="T733" s="15" t="str">
        <f t="shared" si="172"/>
        <v>高级专属强化石</v>
      </c>
      <c r="U733" s="15">
        <f t="shared" si="173"/>
        <v>5</v>
      </c>
      <c r="V733" s="15" t="str">
        <f t="shared" si="174"/>
        <v>[x]</v>
      </c>
      <c r="W733" s="15" t="str">
        <f t="shared" si="175"/>
        <v>[x]</v>
      </c>
      <c r="X733" s="15">
        <f t="shared" si="176"/>
        <v>0.1</v>
      </c>
      <c r="Y733" s="15">
        <f t="shared" si="177"/>
        <v>1</v>
      </c>
      <c r="Z733" s="15">
        <f t="shared" si="178"/>
        <v>40</v>
      </c>
      <c r="AA733" s="15">
        <f t="shared" si="179"/>
        <v>0.7</v>
      </c>
    </row>
    <row r="734" spans="13:27" ht="16.5" x14ac:dyDescent="0.2">
      <c r="M734" s="15">
        <v>655</v>
      </c>
      <c r="N734" s="15">
        <f t="shared" si="168"/>
        <v>13</v>
      </c>
      <c r="O734" s="15">
        <f>INDEX(卡牌消耗!$H$13:$H$33,世界BOSS专属武器!N734)</f>
        <v>1501013</v>
      </c>
      <c r="P734" s="49" t="s">
        <v>408</v>
      </c>
      <c r="Q734" s="15">
        <f t="shared" si="169"/>
        <v>42</v>
      </c>
      <c r="R734" s="49" t="str">
        <f t="shared" si="170"/>
        <v>金币</v>
      </c>
      <c r="S734" s="15">
        <f t="shared" si="171"/>
        <v>20000</v>
      </c>
      <c r="T734" s="15" t="str">
        <f t="shared" si="172"/>
        <v>高级专属强化石</v>
      </c>
      <c r="U734" s="15">
        <f t="shared" si="173"/>
        <v>5</v>
      </c>
      <c r="V734" s="15" t="str">
        <f t="shared" si="174"/>
        <v>[x]</v>
      </c>
      <c r="W734" s="15" t="str">
        <f t="shared" si="175"/>
        <v>[x]</v>
      </c>
      <c r="X734" s="15">
        <f t="shared" si="176"/>
        <v>0.1</v>
      </c>
      <c r="Y734" s="15">
        <f t="shared" si="177"/>
        <v>1</v>
      </c>
      <c r="Z734" s="15">
        <f t="shared" si="178"/>
        <v>45</v>
      </c>
      <c r="AA734" s="15">
        <f t="shared" si="179"/>
        <v>0.73329999999999995</v>
      </c>
    </row>
    <row r="735" spans="13:27" ht="16.5" x14ac:dyDescent="0.2">
      <c r="M735" s="15">
        <v>656</v>
      </c>
      <c r="N735" s="15">
        <f t="shared" si="168"/>
        <v>13</v>
      </c>
      <c r="O735" s="15">
        <f>INDEX(卡牌消耗!$H$13:$H$33,世界BOSS专属武器!N735)</f>
        <v>1501013</v>
      </c>
      <c r="P735" s="49" t="s">
        <v>408</v>
      </c>
      <c r="Q735" s="15">
        <f t="shared" si="169"/>
        <v>43</v>
      </c>
      <c r="R735" s="49" t="str">
        <f t="shared" si="170"/>
        <v>金币</v>
      </c>
      <c r="S735" s="15">
        <f t="shared" si="171"/>
        <v>20000</v>
      </c>
      <c r="T735" s="15" t="str">
        <f t="shared" si="172"/>
        <v>高级专属强化石</v>
      </c>
      <c r="U735" s="15">
        <f t="shared" si="173"/>
        <v>5</v>
      </c>
      <c r="V735" s="15" t="str">
        <f t="shared" si="174"/>
        <v>[x]</v>
      </c>
      <c r="W735" s="15" t="str">
        <f t="shared" si="175"/>
        <v>[x]</v>
      </c>
      <c r="X735" s="15">
        <f t="shared" si="176"/>
        <v>0.1</v>
      </c>
      <c r="Y735" s="15">
        <f t="shared" si="177"/>
        <v>1</v>
      </c>
      <c r="Z735" s="15">
        <f t="shared" si="178"/>
        <v>50</v>
      </c>
      <c r="AA735" s="15">
        <f t="shared" si="179"/>
        <v>0.76670000000000005</v>
      </c>
    </row>
    <row r="736" spans="13:27" ht="16.5" x14ac:dyDescent="0.2">
      <c r="M736" s="15">
        <v>657</v>
      </c>
      <c r="N736" s="15">
        <f t="shared" si="168"/>
        <v>13</v>
      </c>
      <c r="O736" s="15">
        <f>INDEX(卡牌消耗!$H$13:$H$33,世界BOSS专属武器!N736)</f>
        <v>1501013</v>
      </c>
      <c r="P736" s="49" t="s">
        <v>408</v>
      </c>
      <c r="Q736" s="15">
        <f t="shared" si="169"/>
        <v>44</v>
      </c>
      <c r="R736" s="49" t="str">
        <f t="shared" si="170"/>
        <v>金币</v>
      </c>
      <c r="S736" s="15">
        <f t="shared" si="171"/>
        <v>20000</v>
      </c>
      <c r="T736" s="15" t="str">
        <f t="shared" si="172"/>
        <v>高级专属强化石</v>
      </c>
      <c r="U736" s="15">
        <f t="shared" si="173"/>
        <v>5</v>
      </c>
      <c r="V736" s="15" t="str">
        <f t="shared" si="174"/>
        <v>[x]</v>
      </c>
      <c r="W736" s="15" t="str">
        <f t="shared" si="175"/>
        <v>[x]</v>
      </c>
      <c r="X736" s="15">
        <f t="shared" si="176"/>
        <v>0.1</v>
      </c>
      <c r="Y736" s="15">
        <f t="shared" si="177"/>
        <v>1</v>
      </c>
      <c r="Z736" s="15">
        <f t="shared" si="178"/>
        <v>55</v>
      </c>
      <c r="AA736" s="15">
        <f t="shared" si="179"/>
        <v>0.8</v>
      </c>
    </row>
    <row r="737" spans="13:27" ht="16.5" x14ac:dyDescent="0.2">
      <c r="M737" s="15">
        <v>658</v>
      </c>
      <c r="N737" s="15">
        <f t="shared" si="168"/>
        <v>13</v>
      </c>
      <c r="O737" s="15">
        <f>INDEX(卡牌消耗!$H$13:$H$33,世界BOSS专属武器!N737)</f>
        <v>1501013</v>
      </c>
      <c r="P737" s="49" t="s">
        <v>408</v>
      </c>
      <c r="Q737" s="15">
        <f t="shared" si="169"/>
        <v>45</v>
      </c>
      <c r="R737" s="49" t="str">
        <f t="shared" si="170"/>
        <v>金币</v>
      </c>
      <c r="S737" s="15">
        <f t="shared" si="171"/>
        <v>20000</v>
      </c>
      <c r="T737" s="15" t="str">
        <f t="shared" si="172"/>
        <v>高级专属强化石</v>
      </c>
      <c r="U737" s="15">
        <f t="shared" si="173"/>
        <v>6</v>
      </c>
      <c r="V737" s="15" t="str">
        <f t="shared" si="174"/>
        <v>[x]</v>
      </c>
      <c r="W737" s="15" t="str">
        <f t="shared" si="175"/>
        <v>[x]</v>
      </c>
      <c r="X737" s="15">
        <f t="shared" si="176"/>
        <v>0.1</v>
      </c>
      <c r="Y737" s="15">
        <f t="shared" si="177"/>
        <v>1</v>
      </c>
      <c r="Z737" s="15">
        <f t="shared" si="178"/>
        <v>60</v>
      </c>
      <c r="AA737" s="15">
        <f t="shared" si="179"/>
        <v>0.83330000000000004</v>
      </c>
    </row>
    <row r="738" spans="13:27" ht="16.5" x14ac:dyDescent="0.2">
      <c r="M738" s="15">
        <v>659</v>
      </c>
      <c r="N738" s="15">
        <f t="shared" si="168"/>
        <v>13</v>
      </c>
      <c r="O738" s="15">
        <f>INDEX(卡牌消耗!$H$13:$H$33,世界BOSS专属武器!N738)</f>
        <v>1501013</v>
      </c>
      <c r="P738" s="49" t="s">
        <v>408</v>
      </c>
      <c r="Q738" s="15">
        <f t="shared" si="169"/>
        <v>46</v>
      </c>
      <c r="R738" s="49" t="str">
        <f t="shared" si="170"/>
        <v>金币</v>
      </c>
      <c r="S738" s="15">
        <f t="shared" si="171"/>
        <v>20000</v>
      </c>
      <c r="T738" s="15" t="str">
        <f t="shared" si="172"/>
        <v>高级专属强化石</v>
      </c>
      <c r="U738" s="15">
        <f t="shared" si="173"/>
        <v>7</v>
      </c>
      <c r="V738" s="15" t="str">
        <f t="shared" si="174"/>
        <v>[x]</v>
      </c>
      <c r="W738" s="15" t="str">
        <f t="shared" si="175"/>
        <v>[x]</v>
      </c>
      <c r="X738" s="15">
        <f t="shared" si="176"/>
        <v>0.1</v>
      </c>
      <c r="Y738" s="15">
        <f t="shared" si="177"/>
        <v>1</v>
      </c>
      <c r="Z738" s="15">
        <f t="shared" si="178"/>
        <v>70</v>
      </c>
      <c r="AA738" s="15">
        <f t="shared" si="179"/>
        <v>0.86670000000000003</v>
      </c>
    </row>
    <row r="739" spans="13:27" ht="16.5" x14ac:dyDescent="0.2">
      <c r="M739" s="15">
        <v>660</v>
      </c>
      <c r="N739" s="15">
        <f t="shared" si="168"/>
        <v>13</v>
      </c>
      <c r="O739" s="15">
        <f>INDEX(卡牌消耗!$H$13:$H$33,世界BOSS专属武器!N739)</f>
        <v>1501013</v>
      </c>
      <c r="P739" s="49" t="s">
        <v>408</v>
      </c>
      <c r="Q739" s="15">
        <f t="shared" si="169"/>
        <v>47</v>
      </c>
      <c r="R739" s="49" t="str">
        <f t="shared" si="170"/>
        <v>金币</v>
      </c>
      <c r="S739" s="15">
        <f t="shared" si="171"/>
        <v>20000</v>
      </c>
      <c r="T739" s="15" t="str">
        <f t="shared" si="172"/>
        <v>高级专属强化石</v>
      </c>
      <c r="U739" s="15">
        <f t="shared" si="173"/>
        <v>8</v>
      </c>
      <c r="V739" s="15" t="str">
        <f t="shared" si="174"/>
        <v>[x]</v>
      </c>
      <c r="W739" s="15" t="str">
        <f t="shared" si="175"/>
        <v>[x]</v>
      </c>
      <c r="X739" s="15">
        <f t="shared" si="176"/>
        <v>0.1</v>
      </c>
      <c r="Y739" s="15">
        <f t="shared" si="177"/>
        <v>1</v>
      </c>
      <c r="Z739" s="15">
        <f t="shared" si="178"/>
        <v>80</v>
      </c>
      <c r="AA739" s="15">
        <f t="shared" si="179"/>
        <v>0.9</v>
      </c>
    </row>
    <row r="740" spans="13:27" ht="16.5" x14ac:dyDescent="0.2">
      <c r="M740" s="15">
        <v>661</v>
      </c>
      <c r="N740" s="15">
        <f t="shared" si="168"/>
        <v>13</v>
      </c>
      <c r="O740" s="15">
        <f>INDEX(卡牌消耗!$H$13:$H$33,世界BOSS专属武器!N740)</f>
        <v>1501013</v>
      </c>
      <c r="P740" s="49" t="s">
        <v>408</v>
      </c>
      <c r="Q740" s="15">
        <f t="shared" si="169"/>
        <v>48</v>
      </c>
      <c r="R740" s="49" t="str">
        <f t="shared" si="170"/>
        <v>金币</v>
      </c>
      <c r="S740" s="15">
        <f t="shared" si="171"/>
        <v>20000</v>
      </c>
      <c r="T740" s="15" t="str">
        <f t="shared" si="172"/>
        <v>高级专属强化石</v>
      </c>
      <c r="U740" s="15">
        <f t="shared" si="173"/>
        <v>9</v>
      </c>
      <c r="V740" s="15" t="str">
        <f t="shared" si="174"/>
        <v>[x]</v>
      </c>
      <c r="W740" s="15" t="str">
        <f t="shared" si="175"/>
        <v>[x]</v>
      </c>
      <c r="X740" s="15">
        <f t="shared" si="176"/>
        <v>0.1</v>
      </c>
      <c r="Y740" s="15">
        <f t="shared" si="177"/>
        <v>1</v>
      </c>
      <c r="Z740" s="15">
        <f t="shared" si="178"/>
        <v>100</v>
      </c>
      <c r="AA740" s="15">
        <f t="shared" si="179"/>
        <v>0.93330000000000002</v>
      </c>
    </row>
    <row r="741" spans="13:27" ht="16.5" x14ac:dyDescent="0.2">
      <c r="M741" s="15">
        <v>662</v>
      </c>
      <c r="N741" s="15">
        <f t="shared" si="168"/>
        <v>13</v>
      </c>
      <c r="O741" s="15">
        <f>INDEX(卡牌消耗!$H$13:$H$33,世界BOSS专属武器!N741)</f>
        <v>1501013</v>
      </c>
      <c r="P741" s="49" t="s">
        <v>408</v>
      </c>
      <c r="Q741" s="15">
        <f t="shared" si="169"/>
        <v>49</v>
      </c>
      <c r="R741" s="49" t="str">
        <f t="shared" si="170"/>
        <v>金币</v>
      </c>
      <c r="S741" s="15">
        <f t="shared" si="171"/>
        <v>20000</v>
      </c>
      <c r="T741" s="15" t="str">
        <f t="shared" si="172"/>
        <v>高级专属强化石</v>
      </c>
      <c r="U741" s="15">
        <f t="shared" si="173"/>
        <v>10</v>
      </c>
      <c r="V741" s="15" t="str">
        <f t="shared" si="174"/>
        <v>[x]</v>
      </c>
      <c r="W741" s="15" t="str">
        <f t="shared" si="175"/>
        <v>[x]</v>
      </c>
      <c r="X741" s="15">
        <f t="shared" si="176"/>
        <v>0.1</v>
      </c>
      <c r="Y741" s="15">
        <f t="shared" si="177"/>
        <v>1</v>
      </c>
      <c r="Z741" s="15">
        <f t="shared" si="178"/>
        <v>120</v>
      </c>
      <c r="AA741" s="15">
        <f t="shared" si="179"/>
        <v>0.9667</v>
      </c>
    </row>
    <row r="742" spans="13:27" ht="16.5" x14ac:dyDescent="0.2">
      <c r="M742" s="15">
        <v>663</v>
      </c>
      <c r="N742" s="15">
        <f t="shared" si="168"/>
        <v>13</v>
      </c>
      <c r="O742" s="15">
        <f>INDEX(卡牌消耗!$H$13:$H$33,世界BOSS专属武器!N742)</f>
        <v>1501013</v>
      </c>
      <c r="P742" s="49" t="s">
        <v>408</v>
      </c>
      <c r="Q742" s="15">
        <f t="shared" si="169"/>
        <v>50</v>
      </c>
      <c r="R742" s="49" t="str">
        <f t="shared" si="170"/>
        <v>金币</v>
      </c>
      <c r="S742" s="15">
        <f t="shared" si="171"/>
        <v>20000</v>
      </c>
      <c r="T742" s="15" t="str">
        <f t="shared" si="172"/>
        <v>高级专属强化石</v>
      </c>
      <c r="U742" s="15">
        <f t="shared" si="173"/>
        <v>15</v>
      </c>
      <c r="V742" s="15" t="str">
        <f t="shared" si="174"/>
        <v>[x]</v>
      </c>
      <c r="W742" s="15" t="str">
        <f t="shared" si="175"/>
        <v>[x]</v>
      </c>
      <c r="X742" s="15">
        <f t="shared" si="176"/>
        <v>0.1</v>
      </c>
      <c r="Y742" s="15">
        <f t="shared" si="177"/>
        <v>1</v>
      </c>
      <c r="Z742" s="15">
        <f t="shared" si="178"/>
        <v>150</v>
      </c>
      <c r="AA742" s="15">
        <f t="shared" si="179"/>
        <v>1</v>
      </c>
    </row>
    <row r="743" spans="13:27" ht="16.5" x14ac:dyDescent="0.2">
      <c r="M743" s="15">
        <v>664</v>
      </c>
      <c r="N743" s="15">
        <f t="shared" si="168"/>
        <v>14</v>
      </c>
      <c r="O743" s="15">
        <f>INDEX(卡牌消耗!$H$13:$H$33,世界BOSS专属武器!N743)</f>
        <v>1501014</v>
      </c>
      <c r="P743" s="49" t="s">
        <v>408</v>
      </c>
      <c r="Q743" s="15">
        <f t="shared" si="169"/>
        <v>0</v>
      </c>
      <c r="R743" s="49" t="str">
        <f t="shared" si="170"/>
        <v>[x]</v>
      </c>
      <c r="S743" s="15" t="str">
        <f t="shared" si="171"/>
        <v>[x]</v>
      </c>
      <c r="T743" s="15" t="str">
        <f t="shared" si="172"/>
        <v>[x]</v>
      </c>
      <c r="U743" s="15" t="str">
        <f t="shared" si="173"/>
        <v>[x]</v>
      </c>
      <c r="V743" s="15" t="str">
        <f t="shared" si="174"/>
        <v>[x]</v>
      </c>
      <c r="W743" s="15" t="str">
        <f t="shared" si="175"/>
        <v>[x]</v>
      </c>
      <c r="X743" s="15" t="str">
        <f t="shared" si="176"/>
        <v>[x]</v>
      </c>
      <c r="Y743" s="15" t="str">
        <f t="shared" si="177"/>
        <v>[x]</v>
      </c>
      <c r="Z743" s="15" t="str">
        <f t="shared" si="178"/>
        <v>[x]</v>
      </c>
      <c r="AA743" s="15" t="str">
        <f t="shared" si="179"/>
        <v>[x]</v>
      </c>
    </row>
    <row r="744" spans="13:27" ht="16.5" x14ac:dyDescent="0.2">
      <c r="M744" s="15">
        <v>665</v>
      </c>
      <c r="N744" s="15">
        <f t="shared" si="168"/>
        <v>14</v>
      </c>
      <c r="O744" s="15">
        <f>INDEX(卡牌消耗!$H$13:$H$33,世界BOSS专属武器!N744)</f>
        <v>1501014</v>
      </c>
      <c r="P744" s="49" t="s">
        <v>408</v>
      </c>
      <c r="Q744" s="15">
        <f t="shared" si="169"/>
        <v>1</v>
      </c>
      <c r="R744" s="49" t="str">
        <f t="shared" si="170"/>
        <v>金币</v>
      </c>
      <c r="S744" s="15">
        <f t="shared" si="171"/>
        <v>100</v>
      </c>
      <c r="T744" s="15" t="str">
        <f t="shared" si="172"/>
        <v>低级专属强化石</v>
      </c>
      <c r="U744" s="15">
        <f t="shared" si="173"/>
        <v>1</v>
      </c>
      <c r="V744" s="15" t="str">
        <f t="shared" si="174"/>
        <v>[x]</v>
      </c>
      <c r="W744" s="15" t="str">
        <f t="shared" si="175"/>
        <v>[x]</v>
      </c>
      <c r="X744" s="15">
        <f t="shared" si="176"/>
        <v>1</v>
      </c>
      <c r="Y744" s="15">
        <f t="shared" si="177"/>
        <v>1</v>
      </c>
      <c r="Z744" s="15">
        <f t="shared" si="178"/>
        <v>1</v>
      </c>
      <c r="AA744" s="15">
        <f t="shared" si="179"/>
        <v>6.7000000000000002E-3</v>
      </c>
    </row>
    <row r="745" spans="13:27" ht="16.5" x14ac:dyDescent="0.2">
      <c r="M745" s="15">
        <v>666</v>
      </c>
      <c r="N745" s="15">
        <f t="shared" si="168"/>
        <v>14</v>
      </c>
      <c r="O745" s="15">
        <f>INDEX(卡牌消耗!$H$13:$H$33,世界BOSS专属武器!N745)</f>
        <v>1501014</v>
      </c>
      <c r="P745" s="49" t="s">
        <v>408</v>
      </c>
      <c r="Q745" s="15">
        <f t="shared" si="169"/>
        <v>2</v>
      </c>
      <c r="R745" s="49" t="str">
        <f t="shared" si="170"/>
        <v>金币</v>
      </c>
      <c r="S745" s="15">
        <f t="shared" si="171"/>
        <v>200</v>
      </c>
      <c r="T745" s="15" t="str">
        <f t="shared" si="172"/>
        <v>低级专属强化石</v>
      </c>
      <c r="U745" s="15">
        <f t="shared" si="173"/>
        <v>1</v>
      </c>
      <c r="V745" s="15" t="str">
        <f t="shared" si="174"/>
        <v>[x]</v>
      </c>
      <c r="W745" s="15" t="str">
        <f t="shared" si="175"/>
        <v>[x]</v>
      </c>
      <c r="X745" s="15">
        <f t="shared" si="176"/>
        <v>0.5</v>
      </c>
      <c r="Y745" s="15">
        <f t="shared" si="177"/>
        <v>1</v>
      </c>
      <c r="Z745" s="15">
        <f t="shared" si="178"/>
        <v>2</v>
      </c>
      <c r="AA745" s="15">
        <f t="shared" si="179"/>
        <v>1.3299999999999999E-2</v>
      </c>
    </row>
    <row r="746" spans="13:27" ht="16.5" x14ac:dyDescent="0.2">
      <c r="M746" s="15">
        <v>667</v>
      </c>
      <c r="N746" s="15">
        <f t="shared" si="168"/>
        <v>14</v>
      </c>
      <c r="O746" s="15">
        <f>INDEX(卡牌消耗!$H$13:$H$33,世界BOSS专属武器!N746)</f>
        <v>1501014</v>
      </c>
      <c r="P746" s="49" t="s">
        <v>408</v>
      </c>
      <c r="Q746" s="15">
        <f t="shared" si="169"/>
        <v>3</v>
      </c>
      <c r="R746" s="49" t="str">
        <f t="shared" si="170"/>
        <v>金币</v>
      </c>
      <c r="S746" s="15">
        <f t="shared" si="171"/>
        <v>300</v>
      </c>
      <c r="T746" s="15" t="str">
        <f t="shared" si="172"/>
        <v>低级专属强化石</v>
      </c>
      <c r="U746" s="15">
        <f t="shared" si="173"/>
        <v>2</v>
      </c>
      <c r="V746" s="15" t="str">
        <f t="shared" si="174"/>
        <v>[x]</v>
      </c>
      <c r="W746" s="15" t="str">
        <f t="shared" si="175"/>
        <v>[x]</v>
      </c>
      <c r="X746" s="15">
        <f t="shared" si="176"/>
        <v>0.48</v>
      </c>
      <c r="Y746" s="15">
        <f t="shared" si="177"/>
        <v>1</v>
      </c>
      <c r="Z746" s="15">
        <f t="shared" si="178"/>
        <v>3</v>
      </c>
      <c r="AA746" s="15">
        <f t="shared" si="179"/>
        <v>0.02</v>
      </c>
    </row>
    <row r="747" spans="13:27" ht="16.5" x14ac:dyDescent="0.2">
      <c r="M747" s="15">
        <v>668</v>
      </c>
      <c r="N747" s="15">
        <f t="shared" si="168"/>
        <v>14</v>
      </c>
      <c r="O747" s="15">
        <f>INDEX(卡牌消耗!$H$13:$H$33,世界BOSS专属武器!N747)</f>
        <v>1501014</v>
      </c>
      <c r="P747" s="49" t="s">
        <v>408</v>
      </c>
      <c r="Q747" s="15">
        <f t="shared" si="169"/>
        <v>4</v>
      </c>
      <c r="R747" s="49" t="str">
        <f t="shared" si="170"/>
        <v>金币</v>
      </c>
      <c r="S747" s="15">
        <f t="shared" si="171"/>
        <v>400</v>
      </c>
      <c r="T747" s="15" t="str">
        <f t="shared" si="172"/>
        <v>低级专属强化石</v>
      </c>
      <c r="U747" s="15">
        <f t="shared" si="173"/>
        <v>3</v>
      </c>
      <c r="V747" s="15" t="str">
        <f t="shared" si="174"/>
        <v>[x]</v>
      </c>
      <c r="W747" s="15" t="str">
        <f t="shared" si="175"/>
        <v>[x]</v>
      </c>
      <c r="X747" s="15">
        <f t="shared" si="176"/>
        <v>0.46</v>
      </c>
      <c r="Y747" s="15">
        <f t="shared" si="177"/>
        <v>1</v>
      </c>
      <c r="Z747" s="15">
        <f t="shared" si="178"/>
        <v>3</v>
      </c>
      <c r="AA747" s="15">
        <f t="shared" si="179"/>
        <v>2.6700000000000002E-2</v>
      </c>
    </row>
    <row r="748" spans="13:27" ht="16.5" x14ac:dyDescent="0.2">
      <c r="M748" s="15">
        <v>669</v>
      </c>
      <c r="N748" s="15">
        <f t="shared" si="168"/>
        <v>14</v>
      </c>
      <c r="O748" s="15">
        <f>INDEX(卡牌消耗!$H$13:$H$33,世界BOSS专属武器!N748)</f>
        <v>1501014</v>
      </c>
      <c r="P748" s="49" t="s">
        <v>408</v>
      </c>
      <c r="Q748" s="15">
        <f t="shared" si="169"/>
        <v>5</v>
      </c>
      <c r="R748" s="49" t="str">
        <f t="shared" si="170"/>
        <v>金币</v>
      </c>
      <c r="S748" s="15">
        <f t="shared" si="171"/>
        <v>500</v>
      </c>
      <c r="T748" s="15" t="str">
        <f t="shared" si="172"/>
        <v>低级专属强化石</v>
      </c>
      <c r="U748" s="15">
        <f t="shared" si="173"/>
        <v>4</v>
      </c>
      <c r="V748" s="15" t="str">
        <f t="shared" si="174"/>
        <v>[x]</v>
      </c>
      <c r="W748" s="15" t="str">
        <f t="shared" si="175"/>
        <v>[x]</v>
      </c>
      <c r="X748" s="15">
        <f t="shared" si="176"/>
        <v>0.44</v>
      </c>
      <c r="Y748" s="15">
        <f t="shared" si="177"/>
        <v>1</v>
      </c>
      <c r="Z748" s="15">
        <f t="shared" si="178"/>
        <v>3</v>
      </c>
      <c r="AA748" s="15">
        <f t="shared" si="179"/>
        <v>3.3300000000000003E-2</v>
      </c>
    </row>
    <row r="749" spans="13:27" ht="16.5" x14ac:dyDescent="0.2">
      <c r="M749" s="15">
        <v>670</v>
      </c>
      <c r="N749" s="15">
        <f t="shared" si="168"/>
        <v>14</v>
      </c>
      <c r="O749" s="15">
        <f>INDEX(卡牌消耗!$H$13:$H$33,世界BOSS专属武器!N749)</f>
        <v>1501014</v>
      </c>
      <c r="P749" s="49" t="s">
        <v>408</v>
      </c>
      <c r="Q749" s="15">
        <f t="shared" si="169"/>
        <v>6</v>
      </c>
      <c r="R749" s="49" t="str">
        <f t="shared" si="170"/>
        <v>金币</v>
      </c>
      <c r="S749" s="15">
        <f t="shared" si="171"/>
        <v>600</v>
      </c>
      <c r="T749" s="15" t="str">
        <f t="shared" si="172"/>
        <v>低级专属强化石</v>
      </c>
      <c r="U749" s="15">
        <f t="shared" si="173"/>
        <v>5</v>
      </c>
      <c r="V749" s="15" t="str">
        <f t="shared" si="174"/>
        <v>[x]</v>
      </c>
      <c r="W749" s="15" t="str">
        <f t="shared" si="175"/>
        <v>[x]</v>
      </c>
      <c r="X749" s="15">
        <f t="shared" si="176"/>
        <v>0.42</v>
      </c>
      <c r="Y749" s="15">
        <f t="shared" si="177"/>
        <v>1</v>
      </c>
      <c r="Z749" s="15">
        <f t="shared" si="178"/>
        <v>4</v>
      </c>
      <c r="AA749" s="15">
        <f t="shared" si="179"/>
        <v>0.04</v>
      </c>
    </row>
    <row r="750" spans="13:27" ht="16.5" x14ac:dyDescent="0.2">
      <c r="M750" s="15">
        <v>671</v>
      </c>
      <c r="N750" s="15">
        <f t="shared" si="168"/>
        <v>14</v>
      </c>
      <c r="O750" s="15">
        <f>INDEX(卡牌消耗!$H$13:$H$33,世界BOSS专属武器!N750)</f>
        <v>1501014</v>
      </c>
      <c r="P750" s="49" t="s">
        <v>408</v>
      </c>
      <c r="Q750" s="15">
        <f t="shared" si="169"/>
        <v>7</v>
      </c>
      <c r="R750" s="49" t="str">
        <f t="shared" si="170"/>
        <v>金币</v>
      </c>
      <c r="S750" s="15">
        <f t="shared" si="171"/>
        <v>700</v>
      </c>
      <c r="T750" s="15" t="str">
        <f t="shared" si="172"/>
        <v>低级专属强化石</v>
      </c>
      <c r="U750" s="15">
        <f t="shared" si="173"/>
        <v>5</v>
      </c>
      <c r="V750" s="15" t="str">
        <f t="shared" si="174"/>
        <v>[x]</v>
      </c>
      <c r="W750" s="15" t="str">
        <f t="shared" si="175"/>
        <v>[x]</v>
      </c>
      <c r="X750" s="15">
        <f t="shared" si="176"/>
        <v>0.4</v>
      </c>
      <c r="Y750" s="15">
        <f t="shared" si="177"/>
        <v>1</v>
      </c>
      <c r="Z750" s="15">
        <f t="shared" si="178"/>
        <v>4</v>
      </c>
      <c r="AA750" s="15">
        <f t="shared" si="179"/>
        <v>4.6699999999999998E-2</v>
      </c>
    </row>
    <row r="751" spans="13:27" ht="16.5" x14ac:dyDescent="0.2">
      <c r="M751" s="15">
        <v>672</v>
      </c>
      <c r="N751" s="15">
        <f t="shared" si="168"/>
        <v>14</v>
      </c>
      <c r="O751" s="15">
        <f>INDEX(卡牌消耗!$H$13:$H$33,世界BOSS专属武器!N751)</f>
        <v>1501014</v>
      </c>
      <c r="P751" s="49" t="s">
        <v>408</v>
      </c>
      <c r="Q751" s="15">
        <f t="shared" si="169"/>
        <v>8</v>
      </c>
      <c r="R751" s="49" t="str">
        <f t="shared" si="170"/>
        <v>金币</v>
      </c>
      <c r="S751" s="15">
        <f t="shared" si="171"/>
        <v>800</v>
      </c>
      <c r="T751" s="15" t="str">
        <f t="shared" si="172"/>
        <v>低级专属强化石</v>
      </c>
      <c r="U751" s="15">
        <f t="shared" si="173"/>
        <v>5</v>
      </c>
      <c r="V751" s="15" t="str">
        <f t="shared" si="174"/>
        <v>[x]</v>
      </c>
      <c r="W751" s="15" t="str">
        <f t="shared" si="175"/>
        <v>[x]</v>
      </c>
      <c r="X751" s="15">
        <f t="shared" si="176"/>
        <v>0.38</v>
      </c>
      <c r="Y751" s="15">
        <f t="shared" si="177"/>
        <v>1</v>
      </c>
      <c r="Z751" s="15">
        <f t="shared" si="178"/>
        <v>5</v>
      </c>
      <c r="AA751" s="15">
        <f t="shared" si="179"/>
        <v>5.33E-2</v>
      </c>
    </row>
    <row r="752" spans="13:27" ht="16.5" x14ac:dyDescent="0.2">
      <c r="M752" s="15">
        <v>673</v>
      </c>
      <c r="N752" s="15">
        <f t="shared" si="168"/>
        <v>14</v>
      </c>
      <c r="O752" s="15">
        <f>INDEX(卡牌消耗!$H$13:$H$33,世界BOSS专属武器!N752)</f>
        <v>1501014</v>
      </c>
      <c r="P752" s="49" t="s">
        <v>408</v>
      </c>
      <c r="Q752" s="15">
        <f t="shared" si="169"/>
        <v>9</v>
      </c>
      <c r="R752" s="49" t="str">
        <f t="shared" si="170"/>
        <v>金币</v>
      </c>
      <c r="S752" s="15">
        <f t="shared" si="171"/>
        <v>900</v>
      </c>
      <c r="T752" s="15" t="str">
        <f t="shared" si="172"/>
        <v>低级专属强化石</v>
      </c>
      <c r="U752" s="15">
        <f t="shared" si="173"/>
        <v>5</v>
      </c>
      <c r="V752" s="15" t="str">
        <f t="shared" si="174"/>
        <v>[x]</v>
      </c>
      <c r="W752" s="15" t="str">
        <f t="shared" si="175"/>
        <v>[x]</v>
      </c>
      <c r="X752" s="15">
        <f t="shared" si="176"/>
        <v>0.36</v>
      </c>
      <c r="Y752" s="15">
        <f t="shared" si="177"/>
        <v>1</v>
      </c>
      <c r="Z752" s="15">
        <f t="shared" si="178"/>
        <v>5</v>
      </c>
      <c r="AA752" s="15">
        <f t="shared" si="179"/>
        <v>0.06</v>
      </c>
    </row>
    <row r="753" spans="13:27" ht="16.5" x14ac:dyDescent="0.2">
      <c r="M753" s="15">
        <v>674</v>
      </c>
      <c r="N753" s="15">
        <f t="shared" si="168"/>
        <v>14</v>
      </c>
      <c r="O753" s="15">
        <f>INDEX(卡牌消耗!$H$13:$H$33,世界BOSS专属武器!N753)</f>
        <v>1501014</v>
      </c>
      <c r="P753" s="49" t="s">
        <v>408</v>
      </c>
      <c r="Q753" s="15">
        <f t="shared" si="169"/>
        <v>10</v>
      </c>
      <c r="R753" s="49" t="str">
        <f t="shared" si="170"/>
        <v>金币</v>
      </c>
      <c r="S753" s="15">
        <f t="shared" si="171"/>
        <v>1000</v>
      </c>
      <c r="T753" s="15" t="str">
        <f t="shared" si="172"/>
        <v>低级专属强化石</v>
      </c>
      <c r="U753" s="15">
        <f t="shared" si="173"/>
        <v>7</v>
      </c>
      <c r="V753" s="15" t="str">
        <f t="shared" si="174"/>
        <v>[x]</v>
      </c>
      <c r="W753" s="15" t="str">
        <f t="shared" si="175"/>
        <v>[x]</v>
      </c>
      <c r="X753" s="15">
        <f t="shared" si="176"/>
        <v>0.35</v>
      </c>
      <c r="Y753" s="15">
        <f t="shared" si="177"/>
        <v>1</v>
      </c>
      <c r="Z753" s="15">
        <f t="shared" si="178"/>
        <v>5</v>
      </c>
      <c r="AA753" s="15">
        <f t="shared" si="179"/>
        <v>6.6699999999999995E-2</v>
      </c>
    </row>
    <row r="754" spans="13:27" ht="16.5" x14ac:dyDescent="0.2">
      <c r="M754" s="15">
        <v>675</v>
      </c>
      <c r="N754" s="15">
        <f t="shared" si="168"/>
        <v>14</v>
      </c>
      <c r="O754" s="15">
        <f>INDEX(卡牌消耗!$H$13:$H$33,世界BOSS专属武器!N754)</f>
        <v>1501014</v>
      </c>
      <c r="P754" s="49" t="s">
        <v>408</v>
      </c>
      <c r="Q754" s="15">
        <f t="shared" si="169"/>
        <v>11</v>
      </c>
      <c r="R754" s="49" t="str">
        <f t="shared" si="170"/>
        <v>金币</v>
      </c>
      <c r="S754" s="15">
        <f t="shared" si="171"/>
        <v>1000</v>
      </c>
      <c r="T754" s="15" t="str">
        <f t="shared" si="172"/>
        <v>低级专属强化石</v>
      </c>
      <c r="U754" s="15">
        <f t="shared" si="173"/>
        <v>7</v>
      </c>
      <c r="V754" s="15" t="str">
        <f t="shared" si="174"/>
        <v>[x]</v>
      </c>
      <c r="W754" s="15" t="str">
        <f t="shared" si="175"/>
        <v>[x]</v>
      </c>
      <c r="X754" s="15">
        <f t="shared" si="176"/>
        <v>0.33</v>
      </c>
      <c r="Y754" s="15">
        <f t="shared" si="177"/>
        <v>1</v>
      </c>
      <c r="Z754" s="15">
        <f t="shared" si="178"/>
        <v>6</v>
      </c>
      <c r="AA754" s="15">
        <f t="shared" si="179"/>
        <v>0.08</v>
      </c>
    </row>
    <row r="755" spans="13:27" ht="16.5" x14ac:dyDescent="0.2">
      <c r="M755" s="15">
        <v>676</v>
      </c>
      <c r="N755" s="15">
        <f t="shared" si="168"/>
        <v>14</v>
      </c>
      <c r="O755" s="15">
        <f>INDEX(卡牌消耗!$H$13:$H$33,世界BOSS专属武器!N755)</f>
        <v>1501014</v>
      </c>
      <c r="P755" s="49" t="s">
        <v>408</v>
      </c>
      <c r="Q755" s="15">
        <f t="shared" si="169"/>
        <v>12</v>
      </c>
      <c r="R755" s="49" t="str">
        <f t="shared" si="170"/>
        <v>金币</v>
      </c>
      <c r="S755" s="15">
        <f t="shared" si="171"/>
        <v>1000</v>
      </c>
      <c r="T755" s="15" t="str">
        <f t="shared" si="172"/>
        <v>低级专属强化石</v>
      </c>
      <c r="U755" s="15">
        <f t="shared" si="173"/>
        <v>7</v>
      </c>
      <c r="V755" s="15" t="str">
        <f t="shared" si="174"/>
        <v>[x]</v>
      </c>
      <c r="W755" s="15" t="str">
        <f t="shared" si="175"/>
        <v>[x]</v>
      </c>
      <c r="X755" s="15">
        <f t="shared" si="176"/>
        <v>0.31</v>
      </c>
      <c r="Y755" s="15">
        <f t="shared" si="177"/>
        <v>1</v>
      </c>
      <c r="Z755" s="15">
        <f t="shared" si="178"/>
        <v>6</v>
      </c>
      <c r="AA755" s="15">
        <f t="shared" si="179"/>
        <v>9.3299999999999994E-2</v>
      </c>
    </row>
    <row r="756" spans="13:27" ht="16.5" x14ac:dyDescent="0.2">
      <c r="M756" s="15">
        <v>677</v>
      </c>
      <c r="N756" s="15">
        <f t="shared" si="168"/>
        <v>14</v>
      </c>
      <c r="O756" s="15">
        <f>INDEX(卡牌消耗!$H$13:$H$33,世界BOSS专属武器!N756)</f>
        <v>1501014</v>
      </c>
      <c r="P756" s="49" t="s">
        <v>408</v>
      </c>
      <c r="Q756" s="15">
        <f t="shared" si="169"/>
        <v>13</v>
      </c>
      <c r="R756" s="49" t="str">
        <f t="shared" si="170"/>
        <v>金币</v>
      </c>
      <c r="S756" s="15">
        <f t="shared" si="171"/>
        <v>1000</v>
      </c>
      <c r="T756" s="15" t="str">
        <f t="shared" si="172"/>
        <v>低级专属强化石</v>
      </c>
      <c r="U756" s="15">
        <f t="shared" si="173"/>
        <v>7</v>
      </c>
      <c r="V756" s="15" t="str">
        <f t="shared" si="174"/>
        <v>[x]</v>
      </c>
      <c r="W756" s="15" t="str">
        <f t="shared" si="175"/>
        <v>[x]</v>
      </c>
      <c r="X756" s="15">
        <f t="shared" si="176"/>
        <v>0.28999999999999998</v>
      </c>
      <c r="Y756" s="15">
        <f t="shared" si="177"/>
        <v>1</v>
      </c>
      <c r="Z756" s="15">
        <f t="shared" si="178"/>
        <v>7</v>
      </c>
      <c r="AA756" s="15">
        <f t="shared" si="179"/>
        <v>0.1067</v>
      </c>
    </row>
    <row r="757" spans="13:27" ht="16.5" x14ac:dyDescent="0.2">
      <c r="M757" s="15">
        <v>678</v>
      </c>
      <c r="N757" s="15">
        <f t="shared" si="168"/>
        <v>14</v>
      </c>
      <c r="O757" s="15">
        <f>INDEX(卡牌消耗!$H$13:$H$33,世界BOSS专属武器!N757)</f>
        <v>1501014</v>
      </c>
      <c r="P757" s="49" t="s">
        <v>408</v>
      </c>
      <c r="Q757" s="15">
        <f t="shared" si="169"/>
        <v>14</v>
      </c>
      <c r="R757" s="49" t="str">
        <f t="shared" si="170"/>
        <v>金币</v>
      </c>
      <c r="S757" s="15">
        <f t="shared" si="171"/>
        <v>1000</v>
      </c>
      <c r="T757" s="15" t="str">
        <f t="shared" si="172"/>
        <v>低级专属强化石</v>
      </c>
      <c r="U757" s="15">
        <f t="shared" si="173"/>
        <v>7</v>
      </c>
      <c r="V757" s="15" t="str">
        <f t="shared" si="174"/>
        <v>[x]</v>
      </c>
      <c r="W757" s="15" t="str">
        <f t="shared" si="175"/>
        <v>[x]</v>
      </c>
      <c r="X757" s="15">
        <f t="shared" si="176"/>
        <v>0.27</v>
      </c>
      <c r="Y757" s="15">
        <f t="shared" si="177"/>
        <v>1</v>
      </c>
      <c r="Z757" s="15">
        <f t="shared" si="178"/>
        <v>7</v>
      </c>
      <c r="AA757" s="15">
        <f t="shared" si="179"/>
        <v>0.12</v>
      </c>
    </row>
    <row r="758" spans="13:27" ht="16.5" x14ac:dyDescent="0.2">
      <c r="M758" s="15">
        <v>679</v>
      </c>
      <c r="N758" s="15">
        <f t="shared" si="168"/>
        <v>14</v>
      </c>
      <c r="O758" s="15">
        <f>INDEX(卡牌消耗!$H$13:$H$33,世界BOSS专属武器!N758)</f>
        <v>1501014</v>
      </c>
      <c r="P758" s="49" t="s">
        <v>408</v>
      </c>
      <c r="Q758" s="15">
        <f t="shared" si="169"/>
        <v>15</v>
      </c>
      <c r="R758" s="49" t="str">
        <f t="shared" si="170"/>
        <v>金币</v>
      </c>
      <c r="S758" s="15">
        <f t="shared" si="171"/>
        <v>1000</v>
      </c>
      <c r="T758" s="15" t="str">
        <f t="shared" si="172"/>
        <v>低级专属强化石</v>
      </c>
      <c r="U758" s="15">
        <f t="shared" si="173"/>
        <v>10</v>
      </c>
      <c r="V758" s="15" t="str">
        <f t="shared" si="174"/>
        <v>[x]</v>
      </c>
      <c r="W758" s="15" t="str">
        <f t="shared" si="175"/>
        <v>[x]</v>
      </c>
      <c r="X758" s="15">
        <f t="shared" si="176"/>
        <v>0.25</v>
      </c>
      <c r="Y758" s="15">
        <f t="shared" si="177"/>
        <v>1</v>
      </c>
      <c r="Z758" s="15">
        <f t="shared" si="178"/>
        <v>8</v>
      </c>
      <c r="AA758" s="15">
        <f t="shared" si="179"/>
        <v>0.1333</v>
      </c>
    </row>
    <row r="759" spans="13:27" ht="16.5" x14ac:dyDescent="0.2">
      <c r="M759" s="15">
        <v>680</v>
      </c>
      <c r="N759" s="15">
        <f t="shared" si="168"/>
        <v>14</v>
      </c>
      <c r="O759" s="15">
        <f>INDEX(卡牌消耗!$H$13:$H$33,世界BOSS专属武器!N759)</f>
        <v>1501014</v>
      </c>
      <c r="P759" s="49" t="s">
        <v>408</v>
      </c>
      <c r="Q759" s="15">
        <f t="shared" si="169"/>
        <v>16</v>
      </c>
      <c r="R759" s="49" t="str">
        <f t="shared" si="170"/>
        <v>金币</v>
      </c>
      <c r="S759" s="15">
        <f t="shared" si="171"/>
        <v>1000</v>
      </c>
      <c r="T759" s="15" t="str">
        <f t="shared" si="172"/>
        <v>低级专属强化石</v>
      </c>
      <c r="U759" s="15">
        <f t="shared" si="173"/>
        <v>10</v>
      </c>
      <c r="V759" s="15" t="str">
        <f t="shared" si="174"/>
        <v>[x]</v>
      </c>
      <c r="W759" s="15" t="str">
        <f t="shared" si="175"/>
        <v>[x]</v>
      </c>
      <c r="X759" s="15">
        <f t="shared" si="176"/>
        <v>0.23</v>
      </c>
      <c r="Y759" s="15">
        <f t="shared" si="177"/>
        <v>1</v>
      </c>
      <c r="Z759" s="15">
        <f t="shared" si="178"/>
        <v>9</v>
      </c>
      <c r="AA759" s="15">
        <f t="shared" si="179"/>
        <v>0.1467</v>
      </c>
    </row>
    <row r="760" spans="13:27" ht="16.5" x14ac:dyDescent="0.2">
      <c r="M760" s="15">
        <v>681</v>
      </c>
      <c r="N760" s="15">
        <f t="shared" si="168"/>
        <v>14</v>
      </c>
      <c r="O760" s="15">
        <f>INDEX(卡牌消耗!$H$13:$H$33,世界BOSS专属武器!N760)</f>
        <v>1501014</v>
      </c>
      <c r="P760" s="49" t="s">
        <v>408</v>
      </c>
      <c r="Q760" s="15">
        <f t="shared" si="169"/>
        <v>17</v>
      </c>
      <c r="R760" s="49" t="str">
        <f t="shared" si="170"/>
        <v>金币</v>
      </c>
      <c r="S760" s="15">
        <f t="shared" si="171"/>
        <v>1000</v>
      </c>
      <c r="T760" s="15" t="str">
        <f t="shared" si="172"/>
        <v>低级专属强化石</v>
      </c>
      <c r="U760" s="15">
        <f t="shared" si="173"/>
        <v>10</v>
      </c>
      <c r="V760" s="15" t="str">
        <f t="shared" si="174"/>
        <v>[x]</v>
      </c>
      <c r="W760" s="15" t="str">
        <f t="shared" si="175"/>
        <v>[x]</v>
      </c>
      <c r="X760" s="15">
        <f t="shared" si="176"/>
        <v>0.21</v>
      </c>
      <c r="Y760" s="15">
        <f t="shared" si="177"/>
        <v>1</v>
      </c>
      <c r="Z760" s="15">
        <f t="shared" si="178"/>
        <v>10</v>
      </c>
      <c r="AA760" s="15">
        <f t="shared" si="179"/>
        <v>0.16</v>
      </c>
    </row>
    <row r="761" spans="13:27" ht="16.5" x14ac:dyDescent="0.2">
      <c r="M761" s="15">
        <v>682</v>
      </c>
      <c r="N761" s="15">
        <f t="shared" si="168"/>
        <v>14</v>
      </c>
      <c r="O761" s="15">
        <f>INDEX(卡牌消耗!$H$13:$H$33,世界BOSS专属武器!N761)</f>
        <v>1501014</v>
      </c>
      <c r="P761" s="49" t="s">
        <v>408</v>
      </c>
      <c r="Q761" s="15">
        <f t="shared" si="169"/>
        <v>18</v>
      </c>
      <c r="R761" s="49" t="str">
        <f t="shared" si="170"/>
        <v>金币</v>
      </c>
      <c r="S761" s="15">
        <f t="shared" si="171"/>
        <v>1000</v>
      </c>
      <c r="T761" s="15" t="str">
        <f t="shared" si="172"/>
        <v>低级专属强化石</v>
      </c>
      <c r="U761" s="15">
        <f t="shared" si="173"/>
        <v>10</v>
      </c>
      <c r="V761" s="15" t="str">
        <f t="shared" si="174"/>
        <v>[x]</v>
      </c>
      <c r="W761" s="15" t="str">
        <f t="shared" si="175"/>
        <v>[x]</v>
      </c>
      <c r="X761" s="15">
        <f t="shared" si="176"/>
        <v>0.19</v>
      </c>
      <c r="Y761" s="15">
        <f t="shared" si="177"/>
        <v>1</v>
      </c>
      <c r="Z761" s="15">
        <f t="shared" si="178"/>
        <v>11</v>
      </c>
      <c r="AA761" s="15">
        <f t="shared" si="179"/>
        <v>0.17330000000000001</v>
      </c>
    </row>
    <row r="762" spans="13:27" ht="16.5" x14ac:dyDescent="0.2">
      <c r="M762" s="15">
        <v>683</v>
      </c>
      <c r="N762" s="15">
        <f t="shared" si="168"/>
        <v>14</v>
      </c>
      <c r="O762" s="15">
        <f>INDEX(卡牌消耗!$H$13:$H$33,世界BOSS专属武器!N762)</f>
        <v>1501014</v>
      </c>
      <c r="P762" s="49" t="s">
        <v>408</v>
      </c>
      <c r="Q762" s="15">
        <f t="shared" si="169"/>
        <v>19</v>
      </c>
      <c r="R762" s="49" t="str">
        <f t="shared" si="170"/>
        <v>金币</v>
      </c>
      <c r="S762" s="15">
        <f t="shared" si="171"/>
        <v>1000</v>
      </c>
      <c r="T762" s="15" t="str">
        <f t="shared" si="172"/>
        <v>低级专属强化石</v>
      </c>
      <c r="U762" s="15">
        <f t="shared" si="173"/>
        <v>10</v>
      </c>
      <c r="V762" s="15" t="str">
        <f t="shared" si="174"/>
        <v>[x]</v>
      </c>
      <c r="W762" s="15" t="str">
        <f t="shared" si="175"/>
        <v>[x]</v>
      </c>
      <c r="X762" s="15">
        <f t="shared" si="176"/>
        <v>0.17</v>
      </c>
      <c r="Y762" s="15">
        <f t="shared" si="177"/>
        <v>1</v>
      </c>
      <c r="Z762" s="15">
        <f t="shared" si="178"/>
        <v>12</v>
      </c>
      <c r="AA762" s="15">
        <f t="shared" si="179"/>
        <v>0.1867</v>
      </c>
    </row>
    <row r="763" spans="13:27" ht="16.5" x14ac:dyDescent="0.2">
      <c r="M763" s="15">
        <v>684</v>
      </c>
      <c r="N763" s="15">
        <f t="shared" si="168"/>
        <v>14</v>
      </c>
      <c r="O763" s="15">
        <f>INDEX(卡牌消耗!$H$13:$H$33,世界BOSS专属武器!N763)</f>
        <v>1501014</v>
      </c>
      <c r="P763" s="49" t="s">
        <v>408</v>
      </c>
      <c r="Q763" s="15">
        <f t="shared" si="169"/>
        <v>20</v>
      </c>
      <c r="R763" s="49" t="str">
        <f t="shared" si="170"/>
        <v>金币</v>
      </c>
      <c r="S763" s="15">
        <f t="shared" si="171"/>
        <v>5000</v>
      </c>
      <c r="T763" s="15" t="str">
        <f t="shared" si="172"/>
        <v>低级专属强化石</v>
      </c>
      <c r="U763" s="15">
        <f t="shared" si="173"/>
        <v>15</v>
      </c>
      <c r="V763" s="15" t="str">
        <f t="shared" si="174"/>
        <v>中级专属强化石</v>
      </c>
      <c r="W763" s="15">
        <f t="shared" si="175"/>
        <v>7</v>
      </c>
      <c r="X763" s="15">
        <f t="shared" si="176"/>
        <v>0.15</v>
      </c>
      <c r="Y763" s="15">
        <f t="shared" si="177"/>
        <v>1</v>
      </c>
      <c r="Z763" s="15">
        <f t="shared" si="178"/>
        <v>15</v>
      </c>
      <c r="AA763" s="15">
        <f t="shared" si="179"/>
        <v>0.2</v>
      </c>
    </row>
    <row r="764" spans="13:27" ht="16.5" x14ac:dyDescent="0.2">
      <c r="M764" s="15">
        <v>685</v>
      </c>
      <c r="N764" s="15">
        <f t="shared" si="168"/>
        <v>14</v>
      </c>
      <c r="O764" s="15">
        <f>INDEX(卡牌消耗!$H$13:$H$33,世界BOSS专属武器!N764)</f>
        <v>1501014</v>
      </c>
      <c r="P764" s="49" t="s">
        <v>408</v>
      </c>
      <c r="Q764" s="15">
        <f t="shared" si="169"/>
        <v>21</v>
      </c>
      <c r="R764" s="49" t="str">
        <f t="shared" si="170"/>
        <v>金币</v>
      </c>
      <c r="S764" s="15">
        <f t="shared" si="171"/>
        <v>5000</v>
      </c>
      <c r="T764" s="15" t="str">
        <f t="shared" si="172"/>
        <v>低级专属强化石</v>
      </c>
      <c r="U764" s="15">
        <f t="shared" si="173"/>
        <v>15</v>
      </c>
      <c r="V764" s="15" t="str">
        <f t="shared" si="174"/>
        <v>中级专属强化石</v>
      </c>
      <c r="W764" s="15">
        <f t="shared" si="175"/>
        <v>7</v>
      </c>
      <c r="X764" s="15">
        <f t="shared" si="176"/>
        <v>0.15</v>
      </c>
      <c r="Y764" s="15">
        <f t="shared" si="177"/>
        <v>1</v>
      </c>
      <c r="Z764" s="15">
        <f t="shared" si="178"/>
        <v>15</v>
      </c>
      <c r="AA764" s="15">
        <f t="shared" si="179"/>
        <v>0.22</v>
      </c>
    </row>
    <row r="765" spans="13:27" ht="16.5" x14ac:dyDescent="0.2">
      <c r="M765" s="15">
        <v>686</v>
      </c>
      <c r="N765" s="15">
        <f t="shared" si="168"/>
        <v>14</v>
      </c>
      <c r="O765" s="15">
        <f>INDEX(卡牌消耗!$H$13:$H$33,世界BOSS专属武器!N765)</f>
        <v>1501014</v>
      </c>
      <c r="P765" s="49" t="s">
        <v>408</v>
      </c>
      <c r="Q765" s="15">
        <f t="shared" si="169"/>
        <v>22</v>
      </c>
      <c r="R765" s="49" t="str">
        <f t="shared" si="170"/>
        <v>金币</v>
      </c>
      <c r="S765" s="15">
        <f t="shared" si="171"/>
        <v>5000</v>
      </c>
      <c r="T765" s="15" t="str">
        <f t="shared" si="172"/>
        <v>低级专属强化石</v>
      </c>
      <c r="U765" s="15">
        <f t="shared" si="173"/>
        <v>15</v>
      </c>
      <c r="V765" s="15" t="str">
        <f t="shared" si="174"/>
        <v>中级专属强化石</v>
      </c>
      <c r="W765" s="15">
        <f t="shared" si="175"/>
        <v>7</v>
      </c>
      <c r="X765" s="15">
        <f t="shared" si="176"/>
        <v>0.15</v>
      </c>
      <c r="Y765" s="15">
        <f t="shared" si="177"/>
        <v>1</v>
      </c>
      <c r="Z765" s="15">
        <f t="shared" si="178"/>
        <v>15</v>
      </c>
      <c r="AA765" s="15">
        <f t="shared" si="179"/>
        <v>0.24</v>
      </c>
    </row>
    <row r="766" spans="13:27" ht="16.5" x14ac:dyDescent="0.2">
      <c r="M766" s="15">
        <v>687</v>
      </c>
      <c r="N766" s="15">
        <f t="shared" si="168"/>
        <v>14</v>
      </c>
      <c r="O766" s="15">
        <f>INDEX(卡牌消耗!$H$13:$H$33,世界BOSS专属武器!N766)</f>
        <v>1501014</v>
      </c>
      <c r="P766" s="49" t="s">
        <v>408</v>
      </c>
      <c r="Q766" s="15">
        <f t="shared" si="169"/>
        <v>23</v>
      </c>
      <c r="R766" s="49" t="str">
        <f t="shared" si="170"/>
        <v>金币</v>
      </c>
      <c r="S766" s="15">
        <f t="shared" si="171"/>
        <v>5000</v>
      </c>
      <c r="T766" s="15" t="str">
        <f t="shared" si="172"/>
        <v>低级专属强化石</v>
      </c>
      <c r="U766" s="15">
        <f t="shared" si="173"/>
        <v>15</v>
      </c>
      <c r="V766" s="15" t="str">
        <f t="shared" si="174"/>
        <v>中级专属强化石</v>
      </c>
      <c r="W766" s="15">
        <f t="shared" si="175"/>
        <v>7</v>
      </c>
      <c r="X766" s="15">
        <f t="shared" si="176"/>
        <v>0.15</v>
      </c>
      <c r="Y766" s="15">
        <f t="shared" si="177"/>
        <v>1</v>
      </c>
      <c r="Z766" s="15">
        <f t="shared" si="178"/>
        <v>18</v>
      </c>
      <c r="AA766" s="15">
        <f t="shared" si="179"/>
        <v>0.26</v>
      </c>
    </row>
    <row r="767" spans="13:27" ht="16.5" x14ac:dyDescent="0.2">
      <c r="M767" s="15">
        <v>688</v>
      </c>
      <c r="N767" s="15">
        <f t="shared" si="168"/>
        <v>14</v>
      </c>
      <c r="O767" s="15">
        <f>INDEX(卡牌消耗!$H$13:$H$33,世界BOSS专属武器!N767)</f>
        <v>1501014</v>
      </c>
      <c r="P767" s="49" t="s">
        <v>408</v>
      </c>
      <c r="Q767" s="15">
        <f t="shared" si="169"/>
        <v>24</v>
      </c>
      <c r="R767" s="49" t="str">
        <f t="shared" si="170"/>
        <v>金币</v>
      </c>
      <c r="S767" s="15">
        <f t="shared" si="171"/>
        <v>5000</v>
      </c>
      <c r="T767" s="15" t="str">
        <f t="shared" si="172"/>
        <v>低级专属强化石</v>
      </c>
      <c r="U767" s="15">
        <f t="shared" si="173"/>
        <v>15</v>
      </c>
      <c r="V767" s="15" t="str">
        <f t="shared" si="174"/>
        <v>中级专属强化石</v>
      </c>
      <c r="W767" s="15">
        <f t="shared" si="175"/>
        <v>7</v>
      </c>
      <c r="X767" s="15">
        <f t="shared" si="176"/>
        <v>0.15</v>
      </c>
      <c r="Y767" s="15">
        <f t="shared" si="177"/>
        <v>1</v>
      </c>
      <c r="Z767" s="15">
        <f t="shared" si="178"/>
        <v>18</v>
      </c>
      <c r="AA767" s="15">
        <f t="shared" si="179"/>
        <v>0.28000000000000003</v>
      </c>
    </row>
    <row r="768" spans="13:27" ht="16.5" x14ac:dyDescent="0.2">
      <c r="M768" s="15">
        <v>689</v>
      </c>
      <c r="N768" s="15">
        <f t="shared" si="168"/>
        <v>14</v>
      </c>
      <c r="O768" s="15">
        <f>INDEX(卡牌消耗!$H$13:$H$33,世界BOSS专属武器!N768)</f>
        <v>1501014</v>
      </c>
      <c r="P768" s="49" t="s">
        <v>408</v>
      </c>
      <c r="Q768" s="15">
        <f t="shared" si="169"/>
        <v>25</v>
      </c>
      <c r="R768" s="49" t="str">
        <f t="shared" si="170"/>
        <v>金币</v>
      </c>
      <c r="S768" s="15">
        <f t="shared" si="171"/>
        <v>5000</v>
      </c>
      <c r="T768" s="15" t="str">
        <f t="shared" si="172"/>
        <v>低级专属强化石</v>
      </c>
      <c r="U768" s="15">
        <f t="shared" si="173"/>
        <v>15</v>
      </c>
      <c r="V768" s="15" t="str">
        <f t="shared" si="174"/>
        <v>中级专属强化石</v>
      </c>
      <c r="W768" s="15">
        <f t="shared" si="175"/>
        <v>7</v>
      </c>
      <c r="X768" s="15">
        <f t="shared" si="176"/>
        <v>0.15</v>
      </c>
      <c r="Y768" s="15">
        <f t="shared" si="177"/>
        <v>1</v>
      </c>
      <c r="Z768" s="15">
        <f t="shared" si="178"/>
        <v>18</v>
      </c>
      <c r="AA768" s="15">
        <f t="shared" si="179"/>
        <v>0.3</v>
      </c>
    </row>
    <row r="769" spans="13:27" ht="16.5" x14ac:dyDescent="0.2">
      <c r="M769" s="15">
        <v>690</v>
      </c>
      <c r="N769" s="15">
        <f t="shared" si="168"/>
        <v>14</v>
      </c>
      <c r="O769" s="15">
        <f>INDEX(卡牌消耗!$H$13:$H$33,世界BOSS专属武器!N769)</f>
        <v>1501014</v>
      </c>
      <c r="P769" s="49" t="s">
        <v>408</v>
      </c>
      <c r="Q769" s="15">
        <f t="shared" si="169"/>
        <v>26</v>
      </c>
      <c r="R769" s="49" t="str">
        <f t="shared" si="170"/>
        <v>金币</v>
      </c>
      <c r="S769" s="15">
        <f t="shared" si="171"/>
        <v>5000</v>
      </c>
      <c r="T769" s="15" t="str">
        <f t="shared" si="172"/>
        <v>低级专属强化石</v>
      </c>
      <c r="U769" s="15">
        <f t="shared" si="173"/>
        <v>15</v>
      </c>
      <c r="V769" s="15" t="str">
        <f t="shared" si="174"/>
        <v>中级专属强化石</v>
      </c>
      <c r="W769" s="15">
        <f t="shared" si="175"/>
        <v>7</v>
      </c>
      <c r="X769" s="15">
        <f t="shared" si="176"/>
        <v>0.15</v>
      </c>
      <c r="Y769" s="15">
        <f t="shared" si="177"/>
        <v>1</v>
      </c>
      <c r="Z769" s="15">
        <f t="shared" si="178"/>
        <v>21</v>
      </c>
      <c r="AA769" s="15">
        <f t="shared" si="179"/>
        <v>0.32</v>
      </c>
    </row>
    <row r="770" spans="13:27" ht="16.5" x14ac:dyDescent="0.2">
      <c r="M770" s="15">
        <v>691</v>
      </c>
      <c r="N770" s="15">
        <f t="shared" si="168"/>
        <v>14</v>
      </c>
      <c r="O770" s="15">
        <f>INDEX(卡牌消耗!$H$13:$H$33,世界BOSS专属武器!N770)</f>
        <v>1501014</v>
      </c>
      <c r="P770" s="49" t="s">
        <v>408</v>
      </c>
      <c r="Q770" s="15">
        <f t="shared" si="169"/>
        <v>27</v>
      </c>
      <c r="R770" s="49" t="str">
        <f t="shared" si="170"/>
        <v>金币</v>
      </c>
      <c r="S770" s="15">
        <f t="shared" si="171"/>
        <v>5000</v>
      </c>
      <c r="T770" s="15" t="str">
        <f t="shared" si="172"/>
        <v>低级专属强化石</v>
      </c>
      <c r="U770" s="15">
        <f t="shared" si="173"/>
        <v>15</v>
      </c>
      <c r="V770" s="15" t="str">
        <f t="shared" si="174"/>
        <v>中级专属强化石</v>
      </c>
      <c r="W770" s="15">
        <f t="shared" si="175"/>
        <v>7</v>
      </c>
      <c r="X770" s="15">
        <f t="shared" si="176"/>
        <v>0.15</v>
      </c>
      <c r="Y770" s="15">
        <f t="shared" si="177"/>
        <v>1</v>
      </c>
      <c r="Z770" s="15">
        <f t="shared" si="178"/>
        <v>22</v>
      </c>
      <c r="AA770" s="15">
        <f t="shared" si="179"/>
        <v>0.34</v>
      </c>
    </row>
    <row r="771" spans="13:27" ht="16.5" x14ac:dyDescent="0.2">
      <c r="M771" s="15">
        <v>692</v>
      </c>
      <c r="N771" s="15">
        <f t="shared" si="168"/>
        <v>14</v>
      </c>
      <c r="O771" s="15">
        <f>INDEX(卡牌消耗!$H$13:$H$33,世界BOSS专属武器!N771)</f>
        <v>1501014</v>
      </c>
      <c r="P771" s="49" t="s">
        <v>408</v>
      </c>
      <c r="Q771" s="15">
        <f t="shared" si="169"/>
        <v>28</v>
      </c>
      <c r="R771" s="49" t="str">
        <f t="shared" si="170"/>
        <v>金币</v>
      </c>
      <c r="S771" s="15">
        <f t="shared" si="171"/>
        <v>5000</v>
      </c>
      <c r="T771" s="15" t="str">
        <f t="shared" si="172"/>
        <v>低级专属强化石</v>
      </c>
      <c r="U771" s="15">
        <f t="shared" si="173"/>
        <v>15</v>
      </c>
      <c r="V771" s="15" t="str">
        <f t="shared" si="174"/>
        <v>中级专属强化石</v>
      </c>
      <c r="W771" s="15">
        <f t="shared" si="175"/>
        <v>7</v>
      </c>
      <c r="X771" s="15">
        <f t="shared" si="176"/>
        <v>0.15</v>
      </c>
      <c r="Y771" s="15">
        <f t="shared" si="177"/>
        <v>1</v>
      </c>
      <c r="Z771" s="15">
        <f t="shared" si="178"/>
        <v>23</v>
      </c>
      <c r="AA771" s="15">
        <f t="shared" si="179"/>
        <v>0.36</v>
      </c>
    </row>
    <row r="772" spans="13:27" ht="16.5" x14ac:dyDescent="0.2">
      <c r="M772" s="15">
        <v>693</v>
      </c>
      <c r="N772" s="15">
        <f t="shared" si="168"/>
        <v>14</v>
      </c>
      <c r="O772" s="15">
        <f>INDEX(卡牌消耗!$H$13:$H$33,世界BOSS专属武器!N772)</f>
        <v>1501014</v>
      </c>
      <c r="P772" s="49" t="s">
        <v>408</v>
      </c>
      <c r="Q772" s="15">
        <f t="shared" si="169"/>
        <v>29</v>
      </c>
      <c r="R772" s="49" t="str">
        <f t="shared" si="170"/>
        <v>金币</v>
      </c>
      <c r="S772" s="15">
        <f t="shared" si="171"/>
        <v>5000</v>
      </c>
      <c r="T772" s="15" t="str">
        <f t="shared" si="172"/>
        <v>低级专属强化石</v>
      </c>
      <c r="U772" s="15">
        <f t="shared" si="173"/>
        <v>15</v>
      </c>
      <c r="V772" s="15" t="str">
        <f t="shared" si="174"/>
        <v>中级专属强化石</v>
      </c>
      <c r="W772" s="15">
        <f t="shared" si="175"/>
        <v>7</v>
      </c>
      <c r="X772" s="15">
        <f t="shared" si="176"/>
        <v>0.15</v>
      </c>
      <c r="Y772" s="15">
        <f t="shared" si="177"/>
        <v>1</v>
      </c>
      <c r="Z772" s="15">
        <f t="shared" si="178"/>
        <v>25</v>
      </c>
      <c r="AA772" s="15">
        <f t="shared" si="179"/>
        <v>0.38</v>
      </c>
    </row>
    <row r="773" spans="13:27" ht="16.5" x14ac:dyDescent="0.2">
      <c r="M773" s="15">
        <v>694</v>
      </c>
      <c r="N773" s="15">
        <f t="shared" si="168"/>
        <v>14</v>
      </c>
      <c r="O773" s="15">
        <f>INDEX(卡牌消耗!$H$13:$H$33,世界BOSS专属武器!N773)</f>
        <v>1501014</v>
      </c>
      <c r="P773" s="49" t="s">
        <v>408</v>
      </c>
      <c r="Q773" s="15">
        <f t="shared" si="169"/>
        <v>30</v>
      </c>
      <c r="R773" s="49" t="str">
        <f t="shared" si="170"/>
        <v>金币</v>
      </c>
      <c r="S773" s="15">
        <f t="shared" si="171"/>
        <v>10000</v>
      </c>
      <c r="T773" s="15" t="str">
        <f t="shared" si="172"/>
        <v>中级专属强化石</v>
      </c>
      <c r="U773" s="15">
        <f t="shared" si="173"/>
        <v>8</v>
      </c>
      <c r="V773" s="15" t="str">
        <f t="shared" si="174"/>
        <v>高级专属强化石</v>
      </c>
      <c r="W773" s="15">
        <f t="shared" si="175"/>
        <v>3</v>
      </c>
      <c r="X773" s="15">
        <f t="shared" si="176"/>
        <v>0.1</v>
      </c>
      <c r="Y773" s="15">
        <f t="shared" si="177"/>
        <v>1</v>
      </c>
      <c r="Z773" s="15">
        <f t="shared" si="178"/>
        <v>30</v>
      </c>
      <c r="AA773" s="15">
        <f t="shared" si="179"/>
        <v>0.4</v>
      </c>
    </row>
    <row r="774" spans="13:27" ht="16.5" x14ac:dyDescent="0.2">
      <c r="M774" s="15">
        <v>695</v>
      </c>
      <c r="N774" s="15">
        <f t="shared" si="168"/>
        <v>14</v>
      </c>
      <c r="O774" s="15">
        <f>INDEX(卡牌消耗!$H$13:$H$33,世界BOSS专属武器!N774)</f>
        <v>1501014</v>
      </c>
      <c r="P774" s="49" t="s">
        <v>408</v>
      </c>
      <c r="Q774" s="15">
        <f t="shared" si="169"/>
        <v>31</v>
      </c>
      <c r="R774" s="49" t="str">
        <f t="shared" si="170"/>
        <v>金币</v>
      </c>
      <c r="S774" s="15">
        <f t="shared" si="171"/>
        <v>10000</v>
      </c>
      <c r="T774" s="15" t="str">
        <f t="shared" si="172"/>
        <v>中级专属强化石</v>
      </c>
      <c r="U774" s="15">
        <f t="shared" si="173"/>
        <v>8</v>
      </c>
      <c r="V774" s="15" t="str">
        <f t="shared" si="174"/>
        <v>高级专属强化石</v>
      </c>
      <c r="W774" s="15">
        <f t="shared" si="175"/>
        <v>3</v>
      </c>
      <c r="X774" s="15">
        <f t="shared" si="176"/>
        <v>0.1</v>
      </c>
      <c r="Y774" s="15">
        <f t="shared" si="177"/>
        <v>1</v>
      </c>
      <c r="Z774" s="15">
        <f t="shared" si="178"/>
        <v>30</v>
      </c>
      <c r="AA774" s="15">
        <f t="shared" si="179"/>
        <v>0.42670000000000002</v>
      </c>
    </row>
    <row r="775" spans="13:27" ht="16.5" x14ac:dyDescent="0.2">
      <c r="M775" s="15">
        <v>696</v>
      </c>
      <c r="N775" s="15">
        <f t="shared" si="168"/>
        <v>14</v>
      </c>
      <c r="O775" s="15">
        <f>INDEX(卡牌消耗!$H$13:$H$33,世界BOSS专属武器!N775)</f>
        <v>1501014</v>
      </c>
      <c r="P775" s="49" t="s">
        <v>408</v>
      </c>
      <c r="Q775" s="15">
        <f t="shared" si="169"/>
        <v>32</v>
      </c>
      <c r="R775" s="49" t="str">
        <f t="shared" si="170"/>
        <v>金币</v>
      </c>
      <c r="S775" s="15">
        <f t="shared" si="171"/>
        <v>10000</v>
      </c>
      <c r="T775" s="15" t="str">
        <f t="shared" si="172"/>
        <v>中级专属强化石</v>
      </c>
      <c r="U775" s="15">
        <f t="shared" si="173"/>
        <v>8</v>
      </c>
      <c r="V775" s="15" t="str">
        <f t="shared" si="174"/>
        <v>高级专属强化石</v>
      </c>
      <c r="W775" s="15">
        <f t="shared" si="175"/>
        <v>3</v>
      </c>
      <c r="X775" s="15">
        <f t="shared" si="176"/>
        <v>0.1</v>
      </c>
      <c r="Y775" s="15">
        <f t="shared" si="177"/>
        <v>1</v>
      </c>
      <c r="Z775" s="15">
        <f t="shared" si="178"/>
        <v>30</v>
      </c>
      <c r="AA775" s="15">
        <f t="shared" si="179"/>
        <v>0.45329999999999998</v>
      </c>
    </row>
    <row r="776" spans="13:27" ht="16.5" x14ac:dyDescent="0.2">
      <c r="M776" s="15">
        <v>697</v>
      </c>
      <c r="N776" s="15">
        <f t="shared" si="168"/>
        <v>14</v>
      </c>
      <c r="O776" s="15">
        <f>INDEX(卡牌消耗!$H$13:$H$33,世界BOSS专属武器!N776)</f>
        <v>1501014</v>
      </c>
      <c r="P776" s="49" t="s">
        <v>408</v>
      </c>
      <c r="Q776" s="15">
        <f t="shared" si="169"/>
        <v>33</v>
      </c>
      <c r="R776" s="49" t="str">
        <f t="shared" si="170"/>
        <v>金币</v>
      </c>
      <c r="S776" s="15">
        <f t="shared" si="171"/>
        <v>10000</v>
      </c>
      <c r="T776" s="15" t="str">
        <f t="shared" si="172"/>
        <v>中级专属强化石</v>
      </c>
      <c r="U776" s="15">
        <f t="shared" si="173"/>
        <v>8</v>
      </c>
      <c r="V776" s="15" t="str">
        <f t="shared" si="174"/>
        <v>高级专属强化石</v>
      </c>
      <c r="W776" s="15">
        <f t="shared" si="175"/>
        <v>3</v>
      </c>
      <c r="X776" s="15">
        <f t="shared" si="176"/>
        <v>0.1</v>
      </c>
      <c r="Y776" s="15">
        <f t="shared" si="177"/>
        <v>1</v>
      </c>
      <c r="Z776" s="15">
        <f t="shared" si="178"/>
        <v>30</v>
      </c>
      <c r="AA776" s="15">
        <f t="shared" si="179"/>
        <v>0.48</v>
      </c>
    </row>
    <row r="777" spans="13:27" ht="16.5" x14ac:dyDescent="0.2">
      <c r="M777" s="15">
        <v>698</v>
      </c>
      <c r="N777" s="15">
        <f t="shared" si="168"/>
        <v>14</v>
      </c>
      <c r="O777" s="15">
        <f>INDEX(卡牌消耗!$H$13:$H$33,世界BOSS专属武器!N777)</f>
        <v>1501014</v>
      </c>
      <c r="P777" s="49" t="s">
        <v>408</v>
      </c>
      <c r="Q777" s="15">
        <f t="shared" si="169"/>
        <v>34</v>
      </c>
      <c r="R777" s="49" t="str">
        <f t="shared" si="170"/>
        <v>金币</v>
      </c>
      <c r="S777" s="15">
        <f t="shared" si="171"/>
        <v>10000</v>
      </c>
      <c r="T777" s="15" t="str">
        <f t="shared" si="172"/>
        <v>中级专属强化石</v>
      </c>
      <c r="U777" s="15">
        <f t="shared" si="173"/>
        <v>8</v>
      </c>
      <c r="V777" s="15" t="str">
        <f t="shared" si="174"/>
        <v>高级专属强化石</v>
      </c>
      <c r="W777" s="15">
        <f t="shared" si="175"/>
        <v>3</v>
      </c>
      <c r="X777" s="15">
        <f t="shared" si="176"/>
        <v>0.1</v>
      </c>
      <c r="Y777" s="15">
        <f t="shared" si="177"/>
        <v>1</v>
      </c>
      <c r="Z777" s="15">
        <f t="shared" si="178"/>
        <v>30</v>
      </c>
      <c r="AA777" s="15">
        <f t="shared" si="179"/>
        <v>0.50670000000000004</v>
      </c>
    </row>
    <row r="778" spans="13:27" ht="16.5" x14ac:dyDescent="0.2">
      <c r="M778" s="15">
        <v>699</v>
      </c>
      <c r="N778" s="15">
        <f t="shared" si="168"/>
        <v>14</v>
      </c>
      <c r="O778" s="15">
        <f>INDEX(卡牌消耗!$H$13:$H$33,世界BOSS专属武器!N778)</f>
        <v>1501014</v>
      </c>
      <c r="P778" s="49" t="s">
        <v>408</v>
      </c>
      <c r="Q778" s="15">
        <f t="shared" si="169"/>
        <v>35</v>
      </c>
      <c r="R778" s="49" t="str">
        <f t="shared" si="170"/>
        <v>金币</v>
      </c>
      <c r="S778" s="15">
        <f t="shared" si="171"/>
        <v>10000</v>
      </c>
      <c r="T778" s="15" t="str">
        <f t="shared" si="172"/>
        <v>中级专属强化石</v>
      </c>
      <c r="U778" s="15">
        <f t="shared" si="173"/>
        <v>8</v>
      </c>
      <c r="V778" s="15" t="str">
        <f t="shared" si="174"/>
        <v>高级专属强化石</v>
      </c>
      <c r="W778" s="15">
        <f t="shared" si="175"/>
        <v>3</v>
      </c>
      <c r="X778" s="15">
        <f t="shared" si="176"/>
        <v>0.1</v>
      </c>
      <c r="Y778" s="15">
        <f t="shared" si="177"/>
        <v>1</v>
      </c>
      <c r="Z778" s="15">
        <f t="shared" si="178"/>
        <v>30</v>
      </c>
      <c r="AA778" s="15">
        <f t="shared" si="179"/>
        <v>0.5333</v>
      </c>
    </row>
    <row r="779" spans="13:27" ht="16.5" x14ac:dyDescent="0.2">
      <c r="M779" s="15">
        <v>700</v>
      </c>
      <c r="N779" s="15">
        <f t="shared" si="168"/>
        <v>14</v>
      </c>
      <c r="O779" s="15">
        <f>INDEX(卡牌消耗!$H$13:$H$33,世界BOSS专属武器!N779)</f>
        <v>1501014</v>
      </c>
      <c r="P779" s="49" t="s">
        <v>408</v>
      </c>
      <c r="Q779" s="15">
        <f t="shared" si="169"/>
        <v>36</v>
      </c>
      <c r="R779" s="49" t="str">
        <f t="shared" si="170"/>
        <v>金币</v>
      </c>
      <c r="S779" s="15">
        <f t="shared" si="171"/>
        <v>10000</v>
      </c>
      <c r="T779" s="15" t="str">
        <f t="shared" si="172"/>
        <v>中级专属强化石</v>
      </c>
      <c r="U779" s="15">
        <f t="shared" si="173"/>
        <v>8</v>
      </c>
      <c r="V779" s="15" t="str">
        <f t="shared" si="174"/>
        <v>高级专属强化石</v>
      </c>
      <c r="W779" s="15">
        <f t="shared" si="175"/>
        <v>3</v>
      </c>
      <c r="X779" s="15">
        <f t="shared" si="176"/>
        <v>0.1</v>
      </c>
      <c r="Y779" s="15">
        <f t="shared" si="177"/>
        <v>1</v>
      </c>
      <c r="Z779" s="15">
        <f t="shared" si="178"/>
        <v>30</v>
      </c>
      <c r="AA779" s="15">
        <f t="shared" si="179"/>
        <v>0.56000000000000005</v>
      </c>
    </row>
    <row r="780" spans="13:27" ht="16.5" x14ac:dyDescent="0.2">
      <c r="M780" s="15">
        <v>701</v>
      </c>
      <c r="N780" s="15">
        <f t="shared" si="168"/>
        <v>14</v>
      </c>
      <c r="O780" s="15">
        <f>INDEX(卡牌消耗!$H$13:$H$33,世界BOSS专属武器!N780)</f>
        <v>1501014</v>
      </c>
      <c r="P780" s="49" t="s">
        <v>408</v>
      </c>
      <c r="Q780" s="15">
        <f t="shared" si="169"/>
        <v>37</v>
      </c>
      <c r="R780" s="49" t="str">
        <f t="shared" si="170"/>
        <v>金币</v>
      </c>
      <c r="S780" s="15">
        <f t="shared" si="171"/>
        <v>10000</v>
      </c>
      <c r="T780" s="15" t="str">
        <f t="shared" si="172"/>
        <v>中级专属强化石</v>
      </c>
      <c r="U780" s="15">
        <f t="shared" si="173"/>
        <v>8</v>
      </c>
      <c r="V780" s="15" t="str">
        <f t="shared" si="174"/>
        <v>高级专属强化石</v>
      </c>
      <c r="W780" s="15">
        <f t="shared" si="175"/>
        <v>3</v>
      </c>
      <c r="X780" s="15">
        <f t="shared" si="176"/>
        <v>0.1</v>
      </c>
      <c r="Y780" s="15">
        <f t="shared" si="177"/>
        <v>1</v>
      </c>
      <c r="Z780" s="15">
        <f t="shared" si="178"/>
        <v>30</v>
      </c>
      <c r="AA780" s="15">
        <f t="shared" si="179"/>
        <v>0.5867</v>
      </c>
    </row>
    <row r="781" spans="13:27" ht="16.5" x14ac:dyDescent="0.2">
      <c r="M781" s="15">
        <v>702</v>
      </c>
      <c r="N781" s="15">
        <f t="shared" si="168"/>
        <v>14</v>
      </c>
      <c r="O781" s="15">
        <f>INDEX(卡牌消耗!$H$13:$H$33,世界BOSS专属武器!N781)</f>
        <v>1501014</v>
      </c>
      <c r="P781" s="49" t="s">
        <v>408</v>
      </c>
      <c r="Q781" s="15">
        <f t="shared" si="169"/>
        <v>38</v>
      </c>
      <c r="R781" s="49" t="str">
        <f t="shared" si="170"/>
        <v>金币</v>
      </c>
      <c r="S781" s="15">
        <f t="shared" si="171"/>
        <v>10000</v>
      </c>
      <c r="T781" s="15" t="str">
        <f t="shared" si="172"/>
        <v>中级专属强化石</v>
      </c>
      <c r="U781" s="15">
        <f t="shared" si="173"/>
        <v>8</v>
      </c>
      <c r="V781" s="15" t="str">
        <f t="shared" si="174"/>
        <v>高级专属强化石</v>
      </c>
      <c r="W781" s="15">
        <f t="shared" si="175"/>
        <v>3</v>
      </c>
      <c r="X781" s="15">
        <f t="shared" si="176"/>
        <v>0.1</v>
      </c>
      <c r="Y781" s="15">
        <f t="shared" si="177"/>
        <v>1</v>
      </c>
      <c r="Z781" s="15">
        <f t="shared" si="178"/>
        <v>30</v>
      </c>
      <c r="AA781" s="15">
        <f t="shared" si="179"/>
        <v>0.61329999999999996</v>
      </c>
    </row>
    <row r="782" spans="13:27" ht="16.5" x14ac:dyDescent="0.2">
      <c r="M782" s="15">
        <v>703</v>
      </c>
      <c r="N782" s="15">
        <f t="shared" si="168"/>
        <v>14</v>
      </c>
      <c r="O782" s="15">
        <f>INDEX(卡牌消耗!$H$13:$H$33,世界BOSS专属武器!N782)</f>
        <v>1501014</v>
      </c>
      <c r="P782" s="49" t="s">
        <v>408</v>
      </c>
      <c r="Q782" s="15">
        <f t="shared" si="169"/>
        <v>39</v>
      </c>
      <c r="R782" s="49" t="str">
        <f t="shared" si="170"/>
        <v>金币</v>
      </c>
      <c r="S782" s="15">
        <f t="shared" si="171"/>
        <v>10000</v>
      </c>
      <c r="T782" s="15" t="str">
        <f t="shared" si="172"/>
        <v>中级专属强化石</v>
      </c>
      <c r="U782" s="15">
        <f t="shared" si="173"/>
        <v>8</v>
      </c>
      <c r="V782" s="15" t="str">
        <f t="shared" si="174"/>
        <v>高级专属强化石</v>
      </c>
      <c r="W782" s="15">
        <f t="shared" si="175"/>
        <v>3</v>
      </c>
      <c r="X782" s="15">
        <f t="shared" si="176"/>
        <v>0.1</v>
      </c>
      <c r="Y782" s="15">
        <f t="shared" si="177"/>
        <v>1</v>
      </c>
      <c r="Z782" s="15">
        <f t="shared" si="178"/>
        <v>30</v>
      </c>
      <c r="AA782" s="15">
        <f t="shared" si="179"/>
        <v>0.64</v>
      </c>
    </row>
    <row r="783" spans="13:27" ht="16.5" x14ac:dyDescent="0.2">
      <c r="M783" s="15">
        <v>704</v>
      </c>
      <c r="N783" s="15">
        <f t="shared" si="168"/>
        <v>14</v>
      </c>
      <c r="O783" s="15">
        <f>INDEX(卡牌消耗!$H$13:$H$33,世界BOSS专属武器!N783)</f>
        <v>1501014</v>
      </c>
      <c r="P783" s="49" t="s">
        <v>408</v>
      </c>
      <c r="Q783" s="15">
        <f t="shared" si="169"/>
        <v>40</v>
      </c>
      <c r="R783" s="49" t="str">
        <f t="shared" si="170"/>
        <v>金币</v>
      </c>
      <c r="S783" s="15">
        <f t="shared" si="171"/>
        <v>20000</v>
      </c>
      <c r="T783" s="15" t="str">
        <f t="shared" si="172"/>
        <v>高级专属强化石</v>
      </c>
      <c r="U783" s="15">
        <f t="shared" si="173"/>
        <v>5</v>
      </c>
      <c r="V783" s="15" t="str">
        <f t="shared" si="174"/>
        <v>[x]</v>
      </c>
      <c r="W783" s="15" t="str">
        <f t="shared" si="175"/>
        <v>[x]</v>
      </c>
      <c r="X783" s="15">
        <f t="shared" si="176"/>
        <v>0.1</v>
      </c>
      <c r="Y783" s="15">
        <f t="shared" si="177"/>
        <v>1</v>
      </c>
      <c r="Z783" s="15">
        <f t="shared" si="178"/>
        <v>35</v>
      </c>
      <c r="AA783" s="15">
        <f t="shared" si="179"/>
        <v>0.66669999999999996</v>
      </c>
    </row>
    <row r="784" spans="13:27" ht="16.5" x14ac:dyDescent="0.2">
      <c r="M784" s="15">
        <v>705</v>
      </c>
      <c r="N784" s="15">
        <f t="shared" si="168"/>
        <v>14</v>
      </c>
      <c r="O784" s="15">
        <f>INDEX(卡牌消耗!$H$13:$H$33,世界BOSS专属武器!N784)</f>
        <v>1501014</v>
      </c>
      <c r="P784" s="49" t="s">
        <v>408</v>
      </c>
      <c r="Q784" s="15">
        <f t="shared" si="169"/>
        <v>41</v>
      </c>
      <c r="R784" s="49" t="str">
        <f t="shared" si="170"/>
        <v>金币</v>
      </c>
      <c r="S784" s="15">
        <f t="shared" si="171"/>
        <v>20000</v>
      </c>
      <c r="T784" s="15" t="str">
        <f t="shared" si="172"/>
        <v>高级专属强化石</v>
      </c>
      <c r="U784" s="15">
        <f t="shared" si="173"/>
        <v>5</v>
      </c>
      <c r="V784" s="15" t="str">
        <f t="shared" si="174"/>
        <v>[x]</v>
      </c>
      <c r="W784" s="15" t="str">
        <f t="shared" si="175"/>
        <v>[x]</v>
      </c>
      <c r="X784" s="15">
        <f t="shared" si="176"/>
        <v>0.1</v>
      </c>
      <c r="Y784" s="15">
        <f t="shared" si="177"/>
        <v>1</v>
      </c>
      <c r="Z784" s="15">
        <f t="shared" si="178"/>
        <v>40</v>
      </c>
      <c r="AA784" s="15">
        <f t="shared" si="179"/>
        <v>0.7</v>
      </c>
    </row>
    <row r="785" spans="13:27" ht="16.5" x14ac:dyDescent="0.2">
      <c r="M785" s="15">
        <v>706</v>
      </c>
      <c r="N785" s="15">
        <f t="shared" ref="N785:N848" si="180">INT((M785-1)/51)+1</f>
        <v>14</v>
      </c>
      <c r="O785" s="15">
        <f>INDEX(卡牌消耗!$H$13:$H$33,世界BOSS专属武器!N785)</f>
        <v>1501014</v>
      </c>
      <c r="P785" s="49" t="s">
        <v>408</v>
      </c>
      <c r="Q785" s="15">
        <f t="shared" ref="Q785:Q848" si="181">MOD(M785-1,51)</f>
        <v>42</v>
      </c>
      <c r="R785" s="49" t="str">
        <f t="shared" ref="R785:R848" si="182">IF(Q785&gt;0,"金币","[x]")</f>
        <v>金币</v>
      </c>
      <c r="S785" s="15">
        <f t="shared" ref="S785:S848" si="183">IF(Q785&gt;0,INDEX($V$27:$V$76,Q785),"[x]")</f>
        <v>20000</v>
      </c>
      <c r="T785" s="15" t="str">
        <f t="shared" ref="T785:T848" si="184">IF(Q785&gt;0,INDEX($W$27:$W$76,Q785),"[x]")</f>
        <v>高级专属强化石</v>
      </c>
      <c r="U785" s="15">
        <f t="shared" ref="U785:U848" si="185">IF(Q785&gt;0,INDEX($AA$27:$AF$76,Q785,INDEX($Y$27:$Y$76,Q785)),"[x]")</f>
        <v>5</v>
      </c>
      <c r="V785" s="15" t="str">
        <f t="shared" ref="V785:V848" si="186">IF(AND(Q785&gt;=20,Q785&lt;40),INDEX($X$27:$X$76,Q785),"[x]")</f>
        <v>[x]</v>
      </c>
      <c r="W785" s="15" t="str">
        <f t="shared" ref="W785:W848" si="187">IF(AND(Q785&gt;=20,Q785&lt;40),INDEX($AA$27:$AF$76,Q785,INDEX($Z$27:$Z$76,Q785)),"[x]")</f>
        <v>[x]</v>
      </c>
      <c r="X785" s="15">
        <f t="shared" ref="X785:X848" si="188">IF(Q785&gt;0,INDEX($T$27:$T$76,Q785),"[x]")</f>
        <v>0.1</v>
      </c>
      <c r="Y785" s="15">
        <f t="shared" ref="Y785:Y848" si="189">IF(Q785&gt;0,1,"[x]")</f>
        <v>1</v>
      </c>
      <c r="Z785" s="15">
        <f t="shared" ref="Z785:Z848" si="190">IF(Q785&gt;0,INDEX($AG$27:$AG$76,Q785),"[x]")</f>
        <v>45</v>
      </c>
      <c r="AA785" s="15">
        <f t="shared" ref="AA785:AA848" si="191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80"/>
        <v>14</v>
      </c>
      <c r="O786" s="15">
        <f>INDEX(卡牌消耗!$H$13:$H$33,世界BOSS专属武器!N786)</f>
        <v>1501014</v>
      </c>
      <c r="P786" s="49" t="s">
        <v>408</v>
      </c>
      <c r="Q786" s="15">
        <f t="shared" si="181"/>
        <v>43</v>
      </c>
      <c r="R786" s="49" t="str">
        <f t="shared" si="182"/>
        <v>金币</v>
      </c>
      <c r="S786" s="15">
        <f t="shared" si="183"/>
        <v>20000</v>
      </c>
      <c r="T786" s="15" t="str">
        <f t="shared" si="184"/>
        <v>高级专属强化石</v>
      </c>
      <c r="U786" s="15">
        <f t="shared" si="185"/>
        <v>5</v>
      </c>
      <c r="V786" s="15" t="str">
        <f t="shared" si="186"/>
        <v>[x]</v>
      </c>
      <c r="W786" s="15" t="str">
        <f t="shared" si="187"/>
        <v>[x]</v>
      </c>
      <c r="X786" s="15">
        <f t="shared" si="188"/>
        <v>0.1</v>
      </c>
      <c r="Y786" s="15">
        <f t="shared" si="189"/>
        <v>1</v>
      </c>
      <c r="Z786" s="15">
        <f t="shared" si="190"/>
        <v>50</v>
      </c>
      <c r="AA786" s="15">
        <f t="shared" si="191"/>
        <v>0.76670000000000005</v>
      </c>
    </row>
    <row r="787" spans="13:27" ht="16.5" x14ac:dyDescent="0.2">
      <c r="M787" s="15">
        <v>708</v>
      </c>
      <c r="N787" s="15">
        <f t="shared" si="180"/>
        <v>14</v>
      </c>
      <c r="O787" s="15">
        <f>INDEX(卡牌消耗!$H$13:$H$33,世界BOSS专属武器!N787)</f>
        <v>1501014</v>
      </c>
      <c r="P787" s="49" t="s">
        <v>408</v>
      </c>
      <c r="Q787" s="15">
        <f t="shared" si="181"/>
        <v>44</v>
      </c>
      <c r="R787" s="49" t="str">
        <f t="shared" si="182"/>
        <v>金币</v>
      </c>
      <c r="S787" s="15">
        <f t="shared" si="183"/>
        <v>20000</v>
      </c>
      <c r="T787" s="15" t="str">
        <f t="shared" si="184"/>
        <v>高级专属强化石</v>
      </c>
      <c r="U787" s="15">
        <f t="shared" si="185"/>
        <v>5</v>
      </c>
      <c r="V787" s="15" t="str">
        <f t="shared" si="186"/>
        <v>[x]</v>
      </c>
      <c r="W787" s="15" t="str">
        <f t="shared" si="187"/>
        <v>[x]</v>
      </c>
      <c r="X787" s="15">
        <f t="shared" si="188"/>
        <v>0.1</v>
      </c>
      <c r="Y787" s="15">
        <f t="shared" si="189"/>
        <v>1</v>
      </c>
      <c r="Z787" s="15">
        <f t="shared" si="190"/>
        <v>55</v>
      </c>
      <c r="AA787" s="15">
        <f t="shared" si="191"/>
        <v>0.8</v>
      </c>
    </row>
    <row r="788" spans="13:27" ht="16.5" x14ac:dyDescent="0.2">
      <c r="M788" s="15">
        <v>709</v>
      </c>
      <c r="N788" s="15">
        <f t="shared" si="180"/>
        <v>14</v>
      </c>
      <c r="O788" s="15">
        <f>INDEX(卡牌消耗!$H$13:$H$33,世界BOSS专属武器!N788)</f>
        <v>1501014</v>
      </c>
      <c r="P788" s="49" t="s">
        <v>408</v>
      </c>
      <c r="Q788" s="15">
        <f t="shared" si="181"/>
        <v>45</v>
      </c>
      <c r="R788" s="49" t="str">
        <f t="shared" si="182"/>
        <v>金币</v>
      </c>
      <c r="S788" s="15">
        <f t="shared" si="183"/>
        <v>20000</v>
      </c>
      <c r="T788" s="15" t="str">
        <f t="shared" si="184"/>
        <v>高级专属强化石</v>
      </c>
      <c r="U788" s="15">
        <f t="shared" si="185"/>
        <v>6</v>
      </c>
      <c r="V788" s="15" t="str">
        <f t="shared" si="186"/>
        <v>[x]</v>
      </c>
      <c r="W788" s="15" t="str">
        <f t="shared" si="187"/>
        <v>[x]</v>
      </c>
      <c r="X788" s="15">
        <f t="shared" si="188"/>
        <v>0.1</v>
      </c>
      <c r="Y788" s="15">
        <f t="shared" si="189"/>
        <v>1</v>
      </c>
      <c r="Z788" s="15">
        <f t="shared" si="190"/>
        <v>60</v>
      </c>
      <c r="AA788" s="15">
        <f t="shared" si="191"/>
        <v>0.83330000000000004</v>
      </c>
    </row>
    <row r="789" spans="13:27" ht="16.5" x14ac:dyDescent="0.2">
      <c r="M789" s="15">
        <v>710</v>
      </c>
      <c r="N789" s="15">
        <f t="shared" si="180"/>
        <v>14</v>
      </c>
      <c r="O789" s="15">
        <f>INDEX(卡牌消耗!$H$13:$H$33,世界BOSS专属武器!N789)</f>
        <v>1501014</v>
      </c>
      <c r="P789" s="49" t="s">
        <v>408</v>
      </c>
      <c r="Q789" s="15">
        <f t="shared" si="181"/>
        <v>46</v>
      </c>
      <c r="R789" s="49" t="str">
        <f t="shared" si="182"/>
        <v>金币</v>
      </c>
      <c r="S789" s="15">
        <f t="shared" si="183"/>
        <v>20000</v>
      </c>
      <c r="T789" s="15" t="str">
        <f t="shared" si="184"/>
        <v>高级专属强化石</v>
      </c>
      <c r="U789" s="15">
        <f t="shared" si="185"/>
        <v>7</v>
      </c>
      <c r="V789" s="15" t="str">
        <f t="shared" si="186"/>
        <v>[x]</v>
      </c>
      <c r="W789" s="15" t="str">
        <f t="shared" si="187"/>
        <v>[x]</v>
      </c>
      <c r="X789" s="15">
        <f t="shared" si="188"/>
        <v>0.1</v>
      </c>
      <c r="Y789" s="15">
        <f t="shared" si="189"/>
        <v>1</v>
      </c>
      <c r="Z789" s="15">
        <f t="shared" si="190"/>
        <v>70</v>
      </c>
      <c r="AA789" s="15">
        <f t="shared" si="191"/>
        <v>0.86670000000000003</v>
      </c>
    </row>
    <row r="790" spans="13:27" ht="16.5" x14ac:dyDescent="0.2">
      <c r="M790" s="15">
        <v>711</v>
      </c>
      <c r="N790" s="15">
        <f t="shared" si="180"/>
        <v>14</v>
      </c>
      <c r="O790" s="15">
        <f>INDEX(卡牌消耗!$H$13:$H$33,世界BOSS专属武器!N790)</f>
        <v>1501014</v>
      </c>
      <c r="P790" s="49" t="s">
        <v>408</v>
      </c>
      <c r="Q790" s="15">
        <f t="shared" si="181"/>
        <v>47</v>
      </c>
      <c r="R790" s="49" t="str">
        <f t="shared" si="182"/>
        <v>金币</v>
      </c>
      <c r="S790" s="15">
        <f t="shared" si="183"/>
        <v>20000</v>
      </c>
      <c r="T790" s="15" t="str">
        <f t="shared" si="184"/>
        <v>高级专属强化石</v>
      </c>
      <c r="U790" s="15">
        <f t="shared" si="185"/>
        <v>8</v>
      </c>
      <c r="V790" s="15" t="str">
        <f t="shared" si="186"/>
        <v>[x]</v>
      </c>
      <c r="W790" s="15" t="str">
        <f t="shared" si="187"/>
        <v>[x]</v>
      </c>
      <c r="X790" s="15">
        <f t="shared" si="188"/>
        <v>0.1</v>
      </c>
      <c r="Y790" s="15">
        <f t="shared" si="189"/>
        <v>1</v>
      </c>
      <c r="Z790" s="15">
        <f t="shared" si="190"/>
        <v>80</v>
      </c>
      <c r="AA790" s="15">
        <f t="shared" si="191"/>
        <v>0.9</v>
      </c>
    </row>
    <row r="791" spans="13:27" ht="16.5" x14ac:dyDescent="0.2">
      <c r="M791" s="15">
        <v>712</v>
      </c>
      <c r="N791" s="15">
        <f t="shared" si="180"/>
        <v>14</v>
      </c>
      <c r="O791" s="15">
        <f>INDEX(卡牌消耗!$H$13:$H$33,世界BOSS专属武器!N791)</f>
        <v>1501014</v>
      </c>
      <c r="P791" s="49" t="s">
        <v>408</v>
      </c>
      <c r="Q791" s="15">
        <f t="shared" si="181"/>
        <v>48</v>
      </c>
      <c r="R791" s="49" t="str">
        <f t="shared" si="182"/>
        <v>金币</v>
      </c>
      <c r="S791" s="15">
        <f t="shared" si="183"/>
        <v>20000</v>
      </c>
      <c r="T791" s="15" t="str">
        <f t="shared" si="184"/>
        <v>高级专属强化石</v>
      </c>
      <c r="U791" s="15">
        <f t="shared" si="185"/>
        <v>9</v>
      </c>
      <c r="V791" s="15" t="str">
        <f t="shared" si="186"/>
        <v>[x]</v>
      </c>
      <c r="W791" s="15" t="str">
        <f t="shared" si="187"/>
        <v>[x]</v>
      </c>
      <c r="X791" s="15">
        <f t="shared" si="188"/>
        <v>0.1</v>
      </c>
      <c r="Y791" s="15">
        <f t="shared" si="189"/>
        <v>1</v>
      </c>
      <c r="Z791" s="15">
        <f t="shared" si="190"/>
        <v>100</v>
      </c>
      <c r="AA791" s="15">
        <f t="shared" si="191"/>
        <v>0.93330000000000002</v>
      </c>
    </row>
    <row r="792" spans="13:27" ht="16.5" x14ac:dyDescent="0.2">
      <c r="M792" s="15">
        <v>713</v>
      </c>
      <c r="N792" s="15">
        <f t="shared" si="180"/>
        <v>14</v>
      </c>
      <c r="O792" s="15">
        <f>INDEX(卡牌消耗!$H$13:$H$33,世界BOSS专属武器!N792)</f>
        <v>1501014</v>
      </c>
      <c r="P792" s="49" t="s">
        <v>408</v>
      </c>
      <c r="Q792" s="15">
        <f t="shared" si="181"/>
        <v>49</v>
      </c>
      <c r="R792" s="49" t="str">
        <f t="shared" si="182"/>
        <v>金币</v>
      </c>
      <c r="S792" s="15">
        <f t="shared" si="183"/>
        <v>20000</v>
      </c>
      <c r="T792" s="15" t="str">
        <f t="shared" si="184"/>
        <v>高级专属强化石</v>
      </c>
      <c r="U792" s="15">
        <f t="shared" si="185"/>
        <v>10</v>
      </c>
      <c r="V792" s="15" t="str">
        <f t="shared" si="186"/>
        <v>[x]</v>
      </c>
      <c r="W792" s="15" t="str">
        <f t="shared" si="187"/>
        <v>[x]</v>
      </c>
      <c r="X792" s="15">
        <f t="shared" si="188"/>
        <v>0.1</v>
      </c>
      <c r="Y792" s="15">
        <f t="shared" si="189"/>
        <v>1</v>
      </c>
      <c r="Z792" s="15">
        <f t="shared" si="190"/>
        <v>120</v>
      </c>
      <c r="AA792" s="15">
        <f t="shared" si="191"/>
        <v>0.9667</v>
      </c>
    </row>
    <row r="793" spans="13:27" ht="16.5" x14ac:dyDescent="0.2">
      <c r="M793" s="15">
        <v>714</v>
      </c>
      <c r="N793" s="15">
        <f t="shared" si="180"/>
        <v>14</v>
      </c>
      <c r="O793" s="15">
        <f>INDEX(卡牌消耗!$H$13:$H$33,世界BOSS专属武器!N793)</f>
        <v>1501014</v>
      </c>
      <c r="P793" s="49" t="s">
        <v>408</v>
      </c>
      <c r="Q793" s="15">
        <f t="shared" si="181"/>
        <v>50</v>
      </c>
      <c r="R793" s="49" t="str">
        <f t="shared" si="182"/>
        <v>金币</v>
      </c>
      <c r="S793" s="15">
        <f t="shared" si="183"/>
        <v>20000</v>
      </c>
      <c r="T793" s="15" t="str">
        <f t="shared" si="184"/>
        <v>高级专属强化石</v>
      </c>
      <c r="U793" s="15">
        <f t="shared" si="185"/>
        <v>15</v>
      </c>
      <c r="V793" s="15" t="str">
        <f t="shared" si="186"/>
        <v>[x]</v>
      </c>
      <c r="W793" s="15" t="str">
        <f t="shared" si="187"/>
        <v>[x]</v>
      </c>
      <c r="X793" s="15">
        <f t="shared" si="188"/>
        <v>0.1</v>
      </c>
      <c r="Y793" s="15">
        <f t="shared" si="189"/>
        <v>1</v>
      </c>
      <c r="Z793" s="15">
        <f t="shared" si="190"/>
        <v>150</v>
      </c>
      <c r="AA793" s="15">
        <f t="shared" si="191"/>
        <v>1</v>
      </c>
    </row>
    <row r="794" spans="13:27" ht="16.5" x14ac:dyDescent="0.2">
      <c r="M794" s="15">
        <v>715</v>
      </c>
      <c r="N794" s="15">
        <f t="shared" si="180"/>
        <v>15</v>
      </c>
      <c r="O794" s="15">
        <f>INDEX(卡牌消耗!$H$13:$H$33,世界BOSS专属武器!N794)</f>
        <v>1501015</v>
      </c>
      <c r="P794" s="49" t="s">
        <v>408</v>
      </c>
      <c r="Q794" s="15">
        <f t="shared" si="181"/>
        <v>0</v>
      </c>
      <c r="R794" s="49" t="str">
        <f t="shared" si="182"/>
        <v>[x]</v>
      </c>
      <c r="S794" s="15" t="str">
        <f t="shared" si="183"/>
        <v>[x]</v>
      </c>
      <c r="T794" s="15" t="str">
        <f t="shared" si="184"/>
        <v>[x]</v>
      </c>
      <c r="U794" s="15" t="str">
        <f t="shared" si="185"/>
        <v>[x]</v>
      </c>
      <c r="V794" s="15" t="str">
        <f t="shared" si="186"/>
        <v>[x]</v>
      </c>
      <c r="W794" s="15" t="str">
        <f t="shared" si="187"/>
        <v>[x]</v>
      </c>
      <c r="X794" s="15" t="str">
        <f t="shared" si="188"/>
        <v>[x]</v>
      </c>
      <c r="Y794" s="15" t="str">
        <f t="shared" si="189"/>
        <v>[x]</v>
      </c>
      <c r="Z794" s="15" t="str">
        <f t="shared" si="190"/>
        <v>[x]</v>
      </c>
      <c r="AA794" s="15" t="str">
        <f t="shared" si="191"/>
        <v>[x]</v>
      </c>
    </row>
    <row r="795" spans="13:27" ht="16.5" x14ac:dyDescent="0.2">
      <c r="M795" s="15">
        <v>716</v>
      </c>
      <c r="N795" s="15">
        <f t="shared" si="180"/>
        <v>15</v>
      </c>
      <c r="O795" s="15">
        <f>INDEX(卡牌消耗!$H$13:$H$33,世界BOSS专属武器!N795)</f>
        <v>1501015</v>
      </c>
      <c r="P795" s="49" t="s">
        <v>408</v>
      </c>
      <c r="Q795" s="15">
        <f t="shared" si="181"/>
        <v>1</v>
      </c>
      <c r="R795" s="49" t="str">
        <f t="shared" si="182"/>
        <v>金币</v>
      </c>
      <c r="S795" s="15">
        <f t="shared" si="183"/>
        <v>100</v>
      </c>
      <c r="T795" s="15" t="str">
        <f t="shared" si="184"/>
        <v>低级专属强化石</v>
      </c>
      <c r="U795" s="15">
        <f t="shared" si="185"/>
        <v>1</v>
      </c>
      <c r="V795" s="15" t="str">
        <f t="shared" si="186"/>
        <v>[x]</v>
      </c>
      <c r="W795" s="15" t="str">
        <f t="shared" si="187"/>
        <v>[x]</v>
      </c>
      <c r="X795" s="15">
        <f t="shared" si="188"/>
        <v>1</v>
      </c>
      <c r="Y795" s="15">
        <f t="shared" si="189"/>
        <v>1</v>
      </c>
      <c r="Z795" s="15">
        <f t="shared" si="190"/>
        <v>1</v>
      </c>
      <c r="AA795" s="15">
        <f t="shared" si="191"/>
        <v>6.7000000000000002E-3</v>
      </c>
    </row>
    <row r="796" spans="13:27" ht="16.5" x14ac:dyDescent="0.2">
      <c r="M796" s="15">
        <v>717</v>
      </c>
      <c r="N796" s="15">
        <f t="shared" si="180"/>
        <v>15</v>
      </c>
      <c r="O796" s="15">
        <f>INDEX(卡牌消耗!$H$13:$H$33,世界BOSS专属武器!N796)</f>
        <v>1501015</v>
      </c>
      <c r="P796" s="49" t="s">
        <v>408</v>
      </c>
      <c r="Q796" s="15">
        <f t="shared" si="181"/>
        <v>2</v>
      </c>
      <c r="R796" s="49" t="str">
        <f t="shared" si="182"/>
        <v>金币</v>
      </c>
      <c r="S796" s="15">
        <f t="shared" si="183"/>
        <v>200</v>
      </c>
      <c r="T796" s="15" t="str">
        <f t="shared" si="184"/>
        <v>低级专属强化石</v>
      </c>
      <c r="U796" s="15">
        <f t="shared" si="185"/>
        <v>1</v>
      </c>
      <c r="V796" s="15" t="str">
        <f t="shared" si="186"/>
        <v>[x]</v>
      </c>
      <c r="W796" s="15" t="str">
        <f t="shared" si="187"/>
        <v>[x]</v>
      </c>
      <c r="X796" s="15">
        <f t="shared" si="188"/>
        <v>0.5</v>
      </c>
      <c r="Y796" s="15">
        <f t="shared" si="189"/>
        <v>1</v>
      </c>
      <c r="Z796" s="15">
        <f t="shared" si="190"/>
        <v>2</v>
      </c>
      <c r="AA796" s="15">
        <f t="shared" si="191"/>
        <v>1.3299999999999999E-2</v>
      </c>
    </row>
    <row r="797" spans="13:27" ht="16.5" x14ac:dyDescent="0.2">
      <c r="M797" s="15">
        <v>718</v>
      </c>
      <c r="N797" s="15">
        <f t="shared" si="180"/>
        <v>15</v>
      </c>
      <c r="O797" s="15">
        <f>INDEX(卡牌消耗!$H$13:$H$33,世界BOSS专属武器!N797)</f>
        <v>1501015</v>
      </c>
      <c r="P797" s="49" t="s">
        <v>408</v>
      </c>
      <c r="Q797" s="15">
        <f t="shared" si="181"/>
        <v>3</v>
      </c>
      <c r="R797" s="49" t="str">
        <f t="shared" si="182"/>
        <v>金币</v>
      </c>
      <c r="S797" s="15">
        <f t="shared" si="183"/>
        <v>300</v>
      </c>
      <c r="T797" s="15" t="str">
        <f t="shared" si="184"/>
        <v>低级专属强化石</v>
      </c>
      <c r="U797" s="15">
        <f t="shared" si="185"/>
        <v>2</v>
      </c>
      <c r="V797" s="15" t="str">
        <f t="shared" si="186"/>
        <v>[x]</v>
      </c>
      <c r="W797" s="15" t="str">
        <f t="shared" si="187"/>
        <v>[x]</v>
      </c>
      <c r="X797" s="15">
        <f t="shared" si="188"/>
        <v>0.48</v>
      </c>
      <c r="Y797" s="15">
        <f t="shared" si="189"/>
        <v>1</v>
      </c>
      <c r="Z797" s="15">
        <f t="shared" si="190"/>
        <v>3</v>
      </c>
      <c r="AA797" s="15">
        <f t="shared" si="191"/>
        <v>0.02</v>
      </c>
    </row>
    <row r="798" spans="13:27" ht="16.5" x14ac:dyDescent="0.2">
      <c r="M798" s="15">
        <v>719</v>
      </c>
      <c r="N798" s="15">
        <f t="shared" si="180"/>
        <v>15</v>
      </c>
      <c r="O798" s="15">
        <f>INDEX(卡牌消耗!$H$13:$H$33,世界BOSS专属武器!N798)</f>
        <v>1501015</v>
      </c>
      <c r="P798" s="49" t="s">
        <v>408</v>
      </c>
      <c r="Q798" s="15">
        <f t="shared" si="181"/>
        <v>4</v>
      </c>
      <c r="R798" s="49" t="str">
        <f t="shared" si="182"/>
        <v>金币</v>
      </c>
      <c r="S798" s="15">
        <f t="shared" si="183"/>
        <v>400</v>
      </c>
      <c r="T798" s="15" t="str">
        <f t="shared" si="184"/>
        <v>低级专属强化石</v>
      </c>
      <c r="U798" s="15">
        <f t="shared" si="185"/>
        <v>3</v>
      </c>
      <c r="V798" s="15" t="str">
        <f t="shared" si="186"/>
        <v>[x]</v>
      </c>
      <c r="W798" s="15" t="str">
        <f t="shared" si="187"/>
        <v>[x]</v>
      </c>
      <c r="X798" s="15">
        <f t="shared" si="188"/>
        <v>0.46</v>
      </c>
      <c r="Y798" s="15">
        <f t="shared" si="189"/>
        <v>1</v>
      </c>
      <c r="Z798" s="15">
        <f t="shared" si="190"/>
        <v>3</v>
      </c>
      <c r="AA798" s="15">
        <f t="shared" si="191"/>
        <v>2.6700000000000002E-2</v>
      </c>
    </row>
    <row r="799" spans="13:27" ht="16.5" x14ac:dyDescent="0.2">
      <c r="M799" s="15">
        <v>720</v>
      </c>
      <c r="N799" s="15">
        <f t="shared" si="180"/>
        <v>15</v>
      </c>
      <c r="O799" s="15">
        <f>INDEX(卡牌消耗!$H$13:$H$33,世界BOSS专属武器!N799)</f>
        <v>1501015</v>
      </c>
      <c r="P799" s="49" t="s">
        <v>408</v>
      </c>
      <c r="Q799" s="15">
        <f t="shared" si="181"/>
        <v>5</v>
      </c>
      <c r="R799" s="49" t="str">
        <f t="shared" si="182"/>
        <v>金币</v>
      </c>
      <c r="S799" s="15">
        <f t="shared" si="183"/>
        <v>500</v>
      </c>
      <c r="T799" s="15" t="str">
        <f t="shared" si="184"/>
        <v>低级专属强化石</v>
      </c>
      <c r="U799" s="15">
        <f t="shared" si="185"/>
        <v>4</v>
      </c>
      <c r="V799" s="15" t="str">
        <f t="shared" si="186"/>
        <v>[x]</v>
      </c>
      <c r="W799" s="15" t="str">
        <f t="shared" si="187"/>
        <v>[x]</v>
      </c>
      <c r="X799" s="15">
        <f t="shared" si="188"/>
        <v>0.44</v>
      </c>
      <c r="Y799" s="15">
        <f t="shared" si="189"/>
        <v>1</v>
      </c>
      <c r="Z799" s="15">
        <f t="shared" si="190"/>
        <v>3</v>
      </c>
      <c r="AA799" s="15">
        <f t="shared" si="191"/>
        <v>3.3300000000000003E-2</v>
      </c>
    </row>
    <row r="800" spans="13:27" ht="16.5" x14ac:dyDescent="0.2">
      <c r="M800" s="15">
        <v>721</v>
      </c>
      <c r="N800" s="15">
        <f t="shared" si="180"/>
        <v>15</v>
      </c>
      <c r="O800" s="15">
        <f>INDEX(卡牌消耗!$H$13:$H$33,世界BOSS专属武器!N800)</f>
        <v>1501015</v>
      </c>
      <c r="P800" s="49" t="s">
        <v>408</v>
      </c>
      <c r="Q800" s="15">
        <f t="shared" si="181"/>
        <v>6</v>
      </c>
      <c r="R800" s="49" t="str">
        <f t="shared" si="182"/>
        <v>金币</v>
      </c>
      <c r="S800" s="15">
        <f t="shared" si="183"/>
        <v>600</v>
      </c>
      <c r="T800" s="15" t="str">
        <f t="shared" si="184"/>
        <v>低级专属强化石</v>
      </c>
      <c r="U800" s="15">
        <f t="shared" si="185"/>
        <v>5</v>
      </c>
      <c r="V800" s="15" t="str">
        <f t="shared" si="186"/>
        <v>[x]</v>
      </c>
      <c r="W800" s="15" t="str">
        <f t="shared" si="187"/>
        <v>[x]</v>
      </c>
      <c r="X800" s="15">
        <f t="shared" si="188"/>
        <v>0.42</v>
      </c>
      <c r="Y800" s="15">
        <f t="shared" si="189"/>
        <v>1</v>
      </c>
      <c r="Z800" s="15">
        <f t="shared" si="190"/>
        <v>4</v>
      </c>
      <c r="AA800" s="15">
        <f t="shared" si="191"/>
        <v>0.04</v>
      </c>
    </row>
    <row r="801" spans="13:27" ht="16.5" x14ac:dyDescent="0.2">
      <c r="M801" s="15">
        <v>722</v>
      </c>
      <c r="N801" s="15">
        <f t="shared" si="180"/>
        <v>15</v>
      </c>
      <c r="O801" s="15">
        <f>INDEX(卡牌消耗!$H$13:$H$33,世界BOSS专属武器!N801)</f>
        <v>1501015</v>
      </c>
      <c r="P801" s="49" t="s">
        <v>408</v>
      </c>
      <c r="Q801" s="15">
        <f t="shared" si="181"/>
        <v>7</v>
      </c>
      <c r="R801" s="49" t="str">
        <f t="shared" si="182"/>
        <v>金币</v>
      </c>
      <c r="S801" s="15">
        <f t="shared" si="183"/>
        <v>700</v>
      </c>
      <c r="T801" s="15" t="str">
        <f t="shared" si="184"/>
        <v>低级专属强化石</v>
      </c>
      <c r="U801" s="15">
        <f t="shared" si="185"/>
        <v>5</v>
      </c>
      <c r="V801" s="15" t="str">
        <f t="shared" si="186"/>
        <v>[x]</v>
      </c>
      <c r="W801" s="15" t="str">
        <f t="shared" si="187"/>
        <v>[x]</v>
      </c>
      <c r="X801" s="15">
        <f t="shared" si="188"/>
        <v>0.4</v>
      </c>
      <c r="Y801" s="15">
        <f t="shared" si="189"/>
        <v>1</v>
      </c>
      <c r="Z801" s="15">
        <f t="shared" si="190"/>
        <v>4</v>
      </c>
      <c r="AA801" s="15">
        <f t="shared" si="191"/>
        <v>4.6699999999999998E-2</v>
      </c>
    </row>
    <row r="802" spans="13:27" ht="16.5" x14ac:dyDescent="0.2">
      <c r="M802" s="15">
        <v>723</v>
      </c>
      <c r="N802" s="15">
        <f t="shared" si="180"/>
        <v>15</v>
      </c>
      <c r="O802" s="15">
        <f>INDEX(卡牌消耗!$H$13:$H$33,世界BOSS专属武器!N802)</f>
        <v>1501015</v>
      </c>
      <c r="P802" s="49" t="s">
        <v>408</v>
      </c>
      <c r="Q802" s="15">
        <f t="shared" si="181"/>
        <v>8</v>
      </c>
      <c r="R802" s="49" t="str">
        <f t="shared" si="182"/>
        <v>金币</v>
      </c>
      <c r="S802" s="15">
        <f t="shared" si="183"/>
        <v>800</v>
      </c>
      <c r="T802" s="15" t="str">
        <f t="shared" si="184"/>
        <v>低级专属强化石</v>
      </c>
      <c r="U802" s="15">
        <f t="shared" si="185"/>
        <v>5</v>
      </c>
      <c r="V802" s="15" t="str">
        <f t="shared" si="186"/>
        <v>[x]</v>
      </c>
      <c r="W802" s="15" t="str">
        <f t="shared" si="187"/>
        <v>[x]</v>
      </c>
      <c r="X802" s="15">
        <f t="shared" si="188"/>
        <v>0.38</v>
      </c>
      <c r="Y802" s="15">
        <f t="shared" si="189"/>
        <v>1</v>
      </c>
      <c r="Z802" s="15">
        <f t="shared" si="190"/>
        <v>5</v>
      </c>
      <c r="AA802" s="15">
        <f t="shared" si="191"/>
        <v>5.33E-2</v>
      </c>
    </row>
    <row r="803" spans="13:27" ht="16.5" x14ac:dyDescent="0.2">
      <c r="M803" s="15">
        <v>724</v>
      </c>
      <c r="N803" s="15">
        <f t="shared" si="180"/>
        <v>15</v>
      </c>
      <c r="O803" s="15">
        <f>INDEX(卡牌消耗!$H$13:$H$33,世界BOSS专属武器!N803)</f>
        <v>1501015</v>
      </c>
      <c r="P803" s="49" t="s">
        <v>408</v>
      </c>
      <c r="Q803" s="15">
        <f t="shared" si="181"/>
        <v>9</v>
      </c>
      <c r="R803" s="49" t="str">
        <f t="shared" si="182"/>
        <v>金币</v>
      </c>
      <c r="S803" s="15">
        <f t="shared" si="183"/>
        <v>900</v>
      </c>
      <c r="T803" s="15" t="str">
        <f t="shared" si="184"/>
        <v>低级专属强化石</v>
      </c>
      <c r="U803" s="15">
        <f t="shared" si="185"/>
        <v>5</v>
      </c>
      <c r="V803" s="15" t="str">
        <f t="shared" si="186"/>
        <v>[x]</v>
      </c>
      <c r="W803" s="15" t="str">
        <f t="shared" si="187"/>
        <v>[x]</v>
      </c>
      <c r="X803" s="15">
        <f t="shared" si="188"/>
        <v>0.36</v>
      </c>
      <c r="Y803" s="15">
        <f t="shared" si="189"/>
        <v>1</v>
      </c>
      <c r="Z803" s="15">
        <f t="shared" si="190"/>
        <v>5</v>
      </c>
      <c r="AA803" s="15">
        <f t="shared" si="191"/>
        <v>0.06</v>
      </c>
    </row>
    <row r="804" spans="13:27" ht="16.5" x14ac:dyDescent="0.2">
      <c r="M804" s="15">
        <v>725</v>
      </c>
      <c r="N804" s="15">
        <f t="shared" si="180"/>
        <v>15</v>
      </c>
      <c r="O804" s="15">
        <f>INDEX(卡牌消耗!$H$13:$H$33,世界BOSS专属武器!N804)</f>
        <v>1501015</v>
      </c>
      <c r="P804" s="49" t="s">
        <v>408</v>
      </c>
      <c r="Q804" s="15">
        <f t="shared" si="181"/>
        <v>10</v>
      </c>
      <c r="R804" s="49" t="str">
        <f t="shared" si="182"/>
        <v>金币</v>
      </c>
      <c r="S804" s="15">
        <f t="shared" si="183"/>
        <v>1000</v>
      </c>
      <c r="T804" s="15" t="str">
        <f t="shared" si="184"/>
        <v>低级专属强化石</v>
      </c>
      <c r="U804" s="15">
        <f t="shared" si="185"/>
        <v>7</v>
      </c>
      <c r="V804" s="15" t="str">
        <f t="shared" si="186"/>
        <v>[x]</v>
      </c>
      <c r="W804" s="15" t="str">
        <f t="shared" si="187"/>
        <v>[x]</v>
      </c>
      <c r="X804" s="15">
        <f t="shared" si="188"/>
        <v>0.35</v>
      </c>
      <c r="Y804" s="15">
        <f t="shared" si="189"/>
        <v>1</v>
      </c>
      <c r="Z804" s="15">
        <f t="shared" si="190"/>
        <v>5</v>
      </c>
      <c r="AA804" s="15">
        <f t="shared" si="191"/>
        <v>6.6699999999999995E-2</v>
      </c>
    </row>
    <row r="805" spans="13:27" ht="16.5" x14ac:dyDescent="0.2">
      <c r="M805" s="15">
        <v>726</v>
      </c>
      <c r="N805" s="15">
        <f t="shared" si="180"/>
        <v>15</v>
      </c>
      <c r="O805" s="15">
        <f>INDEX(卡牌消耗!$H$13:$H$33,世界BOSS专属武器!N805)</f>
        <v>1501015</v>
      </c>
      <c r="P805" s="49" t="s">
        <v>408</v>
      </c>
      <c r="Q805" s="15">
        <f t="shared" si="181"/>
        <v>11</v>
      </c>
      <c r="R805" s="49" t="str">
        <f t="shared" si="182"/>
        <v>金币</v>
      </c>
      <c r="S805" s="15">
        <f t="shared" si="183"/>
        <v>1000</v>
      </c>
      <c r="T805" s="15" t="str">
        <f t="shared" si="184"/>
        <v>低级专属强化石</v>
      </c>
      <c r="U805" s="15">
        <f t="shared" si="185"/>
        <v>7</v>
      </c>
      <c r="V805" s="15" t="str">
        <f t="shared" si="186"/>
        <v>[x]</v>
      </c>
      <c r="W805" s="15" t="str">
        <f t="shared" si="187"/>
        <v>[x]</v>
      </c>
      <c r="X805" s="15">
        <f t="shared" si="188"/>
        <v>0.33</v>
      </c>
      <c r="Y805" s="15">
        <f t="shared" si="189"/>
        <v>1</v>
      </c>
      <c r="Z805" s="15">
        <f t="shared" si="190"/>
        <v>6</v>
      </c>
      <c r="AA805" s="15">
        <f t="shared" si="191"/>
        <v>0.08</v>
      </c>
    </row>
    <row r="806" spans="13:27" ht="16.5" x14ac:dyDescent="0.2">
      <c r="M806" s="15">
        <v>727</v>
      </c>
      <c r="N806" s="15">
        <f t="shared" si="180"/>
        <v>15</v>
      </c>
      <c r="O806" s="15">
        <f>INDEX(卡牌消耗!$H$13:$H$33,世界BOSS专属武器!N806)</f>
        <v>1501015</v>
      </c>
      <c r="P806" s="49" t="s">
        <v>408</v>
      </c>
      <c r="Q806" s="15">
        <f t="shared" si="181"/>
        <v>12</v>
      </c>
      <c r="R806" s="49" t="str">
        <f t="shared" si="182"/>
        <v>金币</v>
      </c>
      <c r="S806" s="15">
        <f t="shared" si="183"/>
        <v>1000</v>
      </c>
      <c r="T806" s="15" t="str">
        <f t="shared" si="184"/>
        <v>低级专属强化石</v>
      </c>
      <c r="U806" s="15">
        <f t="shared" si="185"/>
        <v>7</v>
      </c>
      <c r="V806" s="15" t="str">
        <f t="shared" si="186"/>
        <v>[x]</v>
      </c>
      <c r="W806" s="15" t="str">
        <f t="shared" si="187"/>
        <v>[x]</v>
      </c>
      <c r="X806" s="15">
        <f t="shared" si="188"/>
        <v>0.31</v>
      </c>
      <c r="Y806" s="15">
        <f t="shared" si="189"/>
        <v>1</v>
      </c>
      <c r="Z806" s="15">
        <f t="shared" si="190"/>
        <v>6</v>
      </c>
      <c r="AA806" s="15">
        <f t="shared" si="191"/>
        <v>9.3299999999999994E-2</v>
      </c>
    </row>
    <row r="807" spans="13:27" ht="16.5" x14ac:dyDescent="0.2">
      <c r="M807" s="15">
        <v>728</v>
      </c>
      <c r="N807" s="15">
        <f t="shared" si="180"/>
        <v>15</v>
      </c>
      <c r="O807" s="15">
        <f>INDEX(卡牌消耗!$H$13:$H$33,世界BOSS专属武器!N807)</f>
        <v>1501015</v>
      </c>
      <c r="P807" s="49" t="s">
        <v>408</v>
      </c>
      <c r="Q807" s="15">
        <f t="shared" si="181"/>
        <v>13</v>
      </c>
      <c r="R807" s="49" t="str">
        <f t="shared" si="182"/>
        <v>金币</v>
      </c>
      <c r="S807" s="15">
        <f t="shared" si="183"/>
        <v>1000</v>
      </c>
      <c r="T807" s="15" t="str">
        <f t="shared" si="184"/>
        <v>低级专属强化石</v>
      </c>
      <c r="U807" s="15">
        <f t="shared" si="185"/>
        <v>7</v>
      </c>
      <c r="V807" s="15" t="str">
        <f t="shared" si="186"/>
        <v>[x]</v>
      </c>
      <c r="W807" s="15" t="str">
        <f t="shared" si="187"/>
        <v>[x]</v>
      </c>
      <c r="X807" s="15">
        <f t="shared" si="188"/>
        <v>0.28999999999999998</v>
      </c>
      <c r="Y807" s="15">
        <f t="shared" si="189"/>
        <v>1</v>
      </c>
      <c r="Z807" s="15">
        <f t="shared" si="190"/>
        <v>7</v>
      </c>
      <c r="AA807" s="15">
        <f t="shared" si="191"/>
        <v>0.1067</v>
      </c>
    </row>
    <row r="808" spans="13:27" ht="16.5" x14ac:dyDescent="0.2">
      <c r="M808" s="15">
        <v>729</v>
      </c>
      <c r="N808" s="15">
        <f t="shared" si="180"/>
        <v>15</v>
      </c>
      <c r="O808" s="15">
        <f>INDEX(卡牌消耗!$H$13:$H$33,世界BOSS专属武器!N808)</f>
        <v>1501015</v>
      </c>
      <c r="P808" s="49" t="s">
        <v>408</v>
      </c>
      <c r="Q808" s="15">
        <f t="shared" si="181"/>
        <v>14</v>
      </c>
      <c r="R808" s="49" t="str">
        <f t="shared" si="182"/>
        <v>金币</v>
      </c>
      <c r="S808" s="15">
        <f t="shared" si="183"/>
        <v>1000</v>
      </c>
      <c r="T808" s="15" t="str">
        <f t="shared" si="184"/>
        <v>低级专属强化石</v>
      </c>
      <c r="U808" s="15">
        <f t="shared" si="185"/>
        <v>7</v>
      </c>
      <c r="V808" s="15" t="str">
        <f t="shared" si="186"/>
        <v>[x]</v>
      </c>
      <c r="W808" s="15" t="str">
        <f t="shared" si="187"/>
        <v>[x]</v>
      </c>
      <c r="X808" s="15">
        <f t="shared" si="188"/>
        <v>0.27</v>
      </c>
      <c r="Y808" s="15">
        <f t="shared" si="189"/>
        <v>1</v>
      </c>
      <c r="Z808" s="15">
        <f t="shared" si="190"/>
        <v>7</v>
      </c>
      <c r="AA808" s="15">
        <f t="shared" si="191"/>
        <v>0.12</v>
      </c>
    </row>
    <row r="809" spans="13:27" ht="16.5" x14ac:dyDescent="0.2">
      <c r="M809" s="15">
        <v>730</v>
      </c>
      <c r="N809" s="15">
        <f t="shared" si="180"/>
        <v>15</v>
      </c>
      <c r="O809" s="15">
        <f>INDEX(卡牌消耗!$H$13:$H$33,世界BOSS专属武器!N809)</f>
        <v>1501015</v>
      </c>
      <c r="P809" s="49" t="s">
        <v>408</v>
      </c>
      <c r="Q809" s="15">
        <f t="shared" si="181"/>
        <v>15</v>
      </c>
      <c r="R809" s="49" t="str">
        <f t="shared" si="182"/>
        <v>金币</v>
      </c>
      <c r="S809" s="15">
        <f t="shared" si="183"/>
        <v>1000</v>
      </c>
      <c r="T809" s="15" t="str">
        <f t="shared" si="184"/>
        <v>低级专属强化石</v>
      </c>
      <c r="U809" s="15">
        <f t="shared" si="185"/>
        <v>10</v>
      </c>
      <c r="V809" s="15" t="str">
        <f t="shared" si="186"/>
        <v>[x]</v>
      </c>
      <c r="W809" s="15" t="str">
        <f t="shared" si="187"/>
        <v>[x]</v>
      </c>
      <c r="X809" s="15">
        <f t="shared" si="188"/>
        <v>0.25</v>
      </c>
      <c r="Y809" s="15">
        <f t="shared" si="189"/>
        <v>1</v>
      </c>
      <c r="Z809" s="15">
        <f t="shared" si="190"/>
        <v>8</v>
      </c>
      <c r="AA809" s="15">
        <f t="shared" si="191"/>
        <v>0.1333</v>
      </c>
    </row>
    <row r="810" spans="13:27" ht="16.5" x14ac:dyDescent="0.2">
      <c r="M810" s="15">
        <v>731</v>
      </c>
      <c r="N810" s="15">
        <f t="shared" si="180"/>
        <v>15</v>
      </c>
      <c r="O810" s="15">
        <f>INDEX(卡牌消耗!$H$13:$H$33,世界BOSS专属武器!N810)</f>
        <v>1501015</v>
      </c>
      <c r="P810" s="49" t="s">
        <v>408</v>
      </c>
      <c r="Q810" s="15">
        <f t="shared" si="181"/>
        <v>16</v>
      </c>
      <c r="R810" s="49" t="str">
        <f t="shared" si="182"/>
        <v>金币</v>
      </c>
      <c r="S810" s="15">
        <f t="shared" si="183"/>
        <v>1000</v>
      </c>
      <c r="T810" s="15" t="str">
        <f t="shared" si="184"/>
        <v>低级专属强化石</v>
      </c>
      <c r="U810" s="15">
        <f t="shared" si="185"/>
        <v>10</v>
      </c>
      <c r="V810" s="15" t="str">
        <f t="shared" si="186"/>
        <v>[x]</v>
      </c>
      <c r="W810" s="15" t="str">
        <f t="shared" si="187"/>
        <v>[x]</v>
      </c>
      <c r="X810" s="15">
        <f t="shared" si="188"/>
        <v>0.23</v>
      </c>
      <c r="Y810" s="15">
        <f t="shared" si="189"/>
        <v>1</v>
      </c>
      <c r="Z810" s="15">
        <f t="shared" si="190"/>
        <v>9</v>
      </c>
      <c r="AA810" s="15">
        <f t="shared" si="191"/>
        <v>0.1467</v>
      </c>
    </row>
    <row r="811" spans="13:27" ht="16.5" x14ac:dyDescent="0.2">
      <c r="M811" s="15">
        <v>732</v>
      </c>
      <c r="N811" s="15">
        <f t="shared" si="180"/>
        <v>15</v>
      </c>
      <c r="O811" s="15">
        <f>INDEX(卡牌消耗!$H$13:$H$33,世界BOSS专属武器!N811)</f>
        <v>1501015</v>
      </c>
      <c r="P811" s="49" t="s">
        <v>408</v>
      </c>
      <c r="Q811" s="15">
        <f t="shared" si="181"/>
        <v>17</v>
      </c>
      <c r="R811" s="49" t="str">
        <f t="shared" si="182"/>
        <v>金币</v>
      </c>
      <c r="S811" s="15">
        <f t="shared" si="183"/>
        <v>1000</v>
      </c>
      <c r="T811" s="15" t="str">
        <f t="shared" si="184"/>
        <v>低级专属强化石</v>
      </c>
      <c r="U811" s="15">
        <f t="shared" si="185"/>
        <v>10</v>
      </c>
      <c r="V811" s="15" t="str">
        <f t="shared" si="186"/>
        <v>[x]</v>
      </c>
      <c r="W811" s="15" t="str">
        <f t="shared" si="187"/>
        <v>[x]</v>
      </c>
      <c r="X811" s="15">
        <f t="shared" si="188"/>
        <v>0.21</v>
      </c>
      <c r="Y811" s="15">
        <f t="shared" si="189"/>
        <v>1</v>
      </c>
      <c r="Z811" s="15">
        <f t="shared" si="190"/>
        <v>10</v>
      </c>
      <c r="AA811" s="15">
        <f t="shared" si="191"/>
        <v>0.16</v>
      </c>
    </row>
    <row r="812" spans="13:27" ht="16.5" x14ac:dyDescent="0.2">
      <c r="M812" s="15">
        <v>733</v>
      </c>
      <c r="N812" s="15">
        <f t="shared" si="180"/>
        <v>15</v>
      </c>
      <c r="O812" s="15">
        <f>INDEX(卡牌消耗!$H$13:$H$33,世界BOSS专属武器!N812)</f>
        <v>1501015</v>
      </c>
      <c r="P812" s="49" t="s">
        <v>408</v>
      </c>
      <c r="Q812" s="15">
        <f t="shared" si="181"/>
        <v>18</v>
      </c>
      <c r="R812" s="49" t="str">
        <f t="shared" si="182"/>
        <v>金币</v>
      </c>
      <c r="S812" s="15">
        <f t="shared" si="183"/>
        <v>1000</v>
      </c>
      <c r="T812" s="15" t="str">
        <f t="shared" si="184"/>
        <v>低级专属强化石</v>
      </c>
      <c r="U812" s="15">
        <f t="shared" si="185"/>
        <v>10</v>
      </c>
      <c r="V812" s="15" t="str">
        <f t="shared" si="186"/>
        <v>[x]</v>
      </c>
      <c r="W812" s="15" t="str">
        <f t="shared" si="187"/>
        <v>[x]</v>
      </c>
      <c r="X812" s="15">
        <f t="shared" si="188"/>
        <v>0.19</v>
      </c>
      <c r="Y812" s="15">
        <f t="shared" si="189"/>
        <v>1</v>
      </c>
      <c r="Z812" s="15">
        <f t="shared" si="190"/>
        <v>11</v>
      </c>
      <c r="AA812" s="15">
        <f t="shared" si="191"/>
        <v>0.17330000000000001</v>
      </c>
    </row>
    <row r="813" spans="13:27" ht="16.5" x14ac:dyDescent="0.2">
      <c r="M813" s="15">
        <v>734</v>
      </c>
      <c r="N813" s="15">
        <f t="shared" si="180"/>
        <v>15</v>
      </c>
      <c r="O813" s="15">
        <f>INDEX(卡牌消耗!$H$13:$H$33,世界BOSS专属武器!N813)</f>
        <v>1501015</v>
      </c>
      <c r="P813" s="49" t="s">
        <v>408</v>
      </c>
      <c r="Q813" s="15">
        <f t="shared" si="181"/>
        <v>19</v>
      </c>
      <c r="R813" s="49" t="str">
        <f t="shared" si="182"/>
        <v>金币</v>
      </c>
      <c r="S813" s="15">
        <f t="shared" si="183"/>
        <v>1000</v>
      </c>
      <c r="T813" s="15" t="str">
        <f t="shared" si="184"/>
        <v>低级专属强化石</v>
      </c>
      <c r="U813" s="15">
        <f t="shared" si="185"/>
        <v>10</v>
      </c>
      <c r="V813" s="15" t="str">
        <f t="shared" si="186"/>
        <v>[x]</v>
      </c>
      <c r="W813" s="15" t="str">
        <f t="shared" si="187"/>
        <v>[x]</v>
      </c>
      <c r="X813" s="15">
        <f t="shared" si="188"/>
        <v>0.17</v>
      </c>
      <c r="Y813" s="15">
        <f t="shared" si="189"/>
        <v>1</v>
      </c>
      <c r="Z813" s="15">
        <f t="shared" si="190"/>
        <v>12</v>
      </c>
      <c r="AA813" s="15">
        <f t="shared" si="191"/>
        <v>0.1867</v>
      </c>
    </row>
    <row r="814" spans="13:27" ht="16.5" x14ac:dyDescent="0.2">
      <c r="M814" s="15">
        <v>735</v>
      </c>
      <c r="N814" s="15">
        <f t="shared" si="180"/>
        <v>15</v>
      </c>
      <c r="O814" s="15">
        <f>INDEX(卡牌消耗!$H$13:$H$33,世界BOSS专属武器!N814)</f>
        <v>1501015</v>
      </c>
      <c r="P814" s="49" t="s">
        <v>408</v>
      </c>
      <c r="Q814" s="15">
        <f t="shared" si="181"/>
        <v>20</v>
      </c>
      <c r="R814" s="49" t="str">
        <f t="shared" si="182"/>
        <v>金币</v>
      </c>
      <c r="S814" s="15">
        <f t="shared" si="183"/>
        <v>5000</v>
      </c>
      <c r="T814" s="15" t="str">
        <f t="shared" si="184"/>
        <v>低级专属强化石</v>
      </c>
      <c r="U814" s="15">
        <f t="shared" si="185"/>
        <v>15</v>
      </c>
      <c r="V814" s="15" t="str">
        <f t="shared" si="186"/>
        <v>中级专属强化石</v>
      </c>
      <c r="W814" s="15">
        <f t="shared" si="187"/>
        <v>7</v>
      </c>
      <c r="X814" s="15">
        <f t="shared" si="188"/>
        <v>0.15</v>
      </c>
      <c r="Y814" s="15">
        <f t="shared" si="189"/>
        <v>1</v>
      </c>
      <c r="Z814" s="15">
        <f t="shared" si="190"/>
        <v>15</v>
      </c>
      <c r="AA814" s="15">
        <f t="shared" si="191"/>
        <v>0.2</v>
      </c>
    </row>
    <row r="815" spans="13:27" ht="16.5" x14ac:dyDescent="0.2">
      <c r="M815" s="15">
        <v>736</v>
      </c>
      <c r="N815" s="15">
        <f t="shared" si="180"/>
        <v>15</v>
      </c>
      <c r="O815" s="15">
        <f>INDEX(卡牌消耗!$H$13:$H$33,世界BOSS专属武器!N815)</f>
        <v>1501015</v>
      </c>
      <c r="P815" s="49" t="s">
        <v>408</v>
      </c>
      <c r="Q815" s="15">
        <f t="shared" si="181"/>
        <v>21</v>
      </c>
      <c r="R815" s="49" t="str">
        <f t="shared" si="182"/>
        <v>金币</v>
      </c>
      <c r="S815" s="15">
        <f t="shared" si="183"/>
        <v>5000</v>
      </c>
      <c r="T815" s="15" t="str">
        <f t="shared" si="184"/>
        <v>低级专属强化石</v>
      </c>
      <c r="U815" s="15">
        <f t="shared" si="185"/>
        <v>15</v>
      </c>
      <c r="V815" s="15" t="str">
        <f t="shared" si="186"/>
        <v>中级专属强化石</v>
      </c>
      <c r="W815" s="15">
        <f t="shared" si="187"/>
        <v>7</v>
      </c>
      <c r="X815" s="15">
        <f t="shared" si="188"/>
        <v>0.15</v>
      </c>
      <c r="Y815" s="15">
        <f t="shared" si="189"/>
        <v>1</v>
      </c>
      <c r="Z815" s="15">
        <f t="shared" si="190"/>
        <v>15</v>
      </c>
      <c r="AA815" s="15">
        <f t="shared" si="191"/>
        <v>0.22</v>
      </c>
    </row>
    <row r="816" spans="13:27" ht="16.5" x14ac:dyDescent="0.2">
      <c r="M816" s="15">
        <v>737</v>
      </c>
      <c r="N816" s="15">
        <f t="shared" si="180"/>
        <v>15</v>
      </c>
      <c r="O816" s="15">
        <f>INDEX(卡牌消耗!$H$13:$H$33,世界BOSS专属武器!N816)</f>
        <v>1501015</v>
      </c>
      <c r="P816" s="49" t="s">
        <v>408</v>
      </c>
      <c r="Q816" s="15">
        <f t="shared" si="181"/>
        <v>22</v>
      </c>
      <c r="R816" s="49" t="str">
        <f t="shared" si="182"/>
        <v>金币</v>
      </c>
      <c r="S816" s="15">
        <f t="shared" si="183"/>
        <v>5000</v>
      </c>
      <c r="T816" s="15" t="str">
        <f t="shared" si="184"/>
        <v>低级专属强化石</v>
      </c>
      <c r="U816" s="15">
        <f t="shared" si="185"/>
        <v>15</v>
      </c>
      <c r="V816" s="15" t="str">
        <f t="shared" si="186"/>
        <v>中级专属强化石</v>
      </c>
      <c r="W816" s="15">
        <f t="shared" si="187"/>
        <v>7</v>
      </c>
      <c r="X816" s="15">
        <f t="shared" si="188"/>
        <v>0.15</v>
      </c>
      <c r="Y816" s="15">
        <f t="shared" si="189"/>
        <v>1</v>
      </c>
      <c r="Z816" s="15">
        <f t="shared" si="190"/>
        <v>15</v>
      </c>
      <c r="AA816" s="15">
        <f t="shared" si="191"/>
        <v>0.24</v>
      </c>
    </row>
    <row r="817" spans="13:27" ht="16.5" x14ac:dyDescent="0.2">
      <c r="M817" s="15">
        <v>738</v>
      </c>
      <c r="N817" s="15">
        <f t="shared" si="180"/>
        <v>15</v>
      </c>
      <c r="O817" s="15">
        <f>INDEX(卡牌消耗!$H$13:$H$33,世界BOSS专属武器!N817)</f>
        <v>1501015</v>
      </c>
      <c r="P817" s="49" t="s">
        <v>408</v>
      </c>
      <c r="Q817" s="15">
        <f t="shared" si="181"/>
        <v>23</v>
      </c>
      <c r="R817" s="49" t="str">
        <f t="shared" si="182"/>
        <v>金币</v>
      </c>
      <c r="S817" s="15">
        <f t="shared" si="183"/>
        <v>5000</v>
      </c>
      <c r="T817" s="15" t="str">
        <f t="shared" si="184"/>
        <v>低级专属强化石</v>
      </c>
      <c r="U817" s="15">
        <f t="shared" si="185"/>
        <v>15</v>
      </c>
      <c r="V817" s="15" t="str">
        <f t="shared" si="186"/>
        <v>中级专属强化石</v>
      </c>
      <c r="W817" s="15">
        <f t="shared" si="187"/>
        <v>7</v>
      </c>
      <c r="X817" s="15">
        <f t="shared" si="188"/>
        <v>0.15</v>
      </c>
      <c r="Y817" s="15">
        <f t="shared" si="189"/>
        <v>1</v>
      </c>
      <c r="Z817" s="15">
        <f t="shared" si="190"/>
        <v>18</v>
      </c>
      <c r="AA817" s="15">
        <f t="shared" si="191"/>
        <v>0.26</v>
      </c>
    </row>
    <row r="818" spans="13:27" ht="16.5" x14ac:dyDescent="0.2">
      <c r="M818" s="15">
        <v>739</v>
      </c>
      <c r="N818" s="15">
        <f t="shared" si="180"/>
        <v>15</v>
      </c>
      <c r="O818" s="15">
        <f>INDEX(卡牌消耗!$H$13:$H$33,世界BOSS专属武器!N818)</f>
        <v>1501015</v>
      </c>
      <c r="P818" s="49" t="s">
        <v>408</v>
      </c>
      <c r="Q818" s="15">
        <f t="shared" si="181"/>
        <v>24</v>
      </c>
      <c r="R818" s="49" t="str">
        <f t="shared" si="182"/>
        <v>金币</v>
      </c>
      <c r="S818" s="15">
        <f t="shared" si="183"/>
        <v>5000</v>
      </c>
      <c r="T818" s="15" t="str">
        <f t="shared" si="184"/>
        <v>低级专属强化石</v>
      </c>
      <c r="U818" s="15">
        <f t="shared" si="185"/>
        <v>15</v>
      </c>
      <c r="V818" s="15" t="str">
        <f t="shared" si="186"/>
        <v>中级专属强化石</v>
      </c>
      <c r="W818" s="15">
        <f t="shared" si="187"/>
        <v>7</v>
      </c>
      <c r="X818" s="15">
        <f t="shared" si="188"/>
        <v>0.15</v>
      </c>
      <c r="Y818" s="15">
        <f t="shared" si="189"/>
        <v>1</v>
      </c>
      <c r="Z818" s="15">
        <f t="shared" si="190"/>
        <v>18</v>
      </c>
      <c r="AA818" s="15">
        <f t="shared" si="191"/>
        <v>0.28000000000000003</v>
      </c>
    </row>
    <row r="819" spans="13:27" ht="16.5" x14ac:dyDescent="0.2">
      <c r="M819" s="15">
        <v>740</v>
      </c>
      <c r="N819" s="15">
        <f t="shared" si="180"/>
        <v>15</v>
      </c>
      <c r="O819" s="15">
        <f>INDEX(卡牌消耗!$H$13:$H$33,世界BOSS专属武器!N819)</f>
        <v>1501015</v>
      </c>
      <c r="P819" s="49" t="s">
        <v>408</v>
      </c>
      <c r="Q819" s="15">
        <f t="shared" si="181"/>
        <v>25</v>
      </c>
      <c r="R819" s="49" t="str">
        <f t="shared" si="182"/>
        <v>金币</v>
      </c>
      <c r="S819" s="15">
        <f t="shared" si="183"/>
        <v>5000</v>
      </c>
      <c r="T819" s="15" t="str">
        <f t="shared" si="184"/>
        <v>低级专属强化石</v>
      </c>
      <c r="U819" s="15">
        <f t="shared" si="185"/>
        <v>15</v>
      </c>
      <c r="V819" s="15" t="str">
        <f t="shared" si="186"/>
        <v>中级专属强化石</v>
      </c>
      <c r="W819" s="15">
        <f t="shared" si="187"/>
        <v>7</v>
      </c>
      <c r="X819" s="15">
        <f t="shared" si="188"/>
        <v>0.15</v>
      </c>
      <c r="Y819" s="15">
        <f t="shared" si="189"/>
        <v>1</v>
      </c>
      <c r="Z819" s="15">
        <f t="shared" si="190"/>
        <v>18</v>
      </c>
      <c r="AA819" s="15">
        <f t="shared" si="191"/>
        <v>0.3</v>
      </c>
    </row>
    <row r="820" spans="13:27" ht="16.5" x14ac:dyDescent="0.2">
      <c r="M820" s="15">
        <v>741</v>
      </c>
      <c r="N820" s="15">
        <f t="shared" si="180"/>
        <v>15</v>
      </c>
      <c r="O820" s="15">
        <f>INDEX(卡牌消耗!$H$13:$H$33,世界BOSS专属武器!N820)</f>
        <v>1501015</v>
      </c>
      <c r="P820" s="49" t="s">
        <v>408</v>
      </c>
      <c r="Q820" s="15">
        <f t="shared" si="181"/>
        <v>26</v>
      </c>
      <c r="R820" s="49" t="str">
        <f t="shared" si="182"/>
        <v>金币</v>
      </c>
      <c r="S820" s="15">
        <f t="shared" si="183"/>
        <v>5000</v>
      </c>
      <c r="T820" s="15" t="str">
        <f t="shared" si="184"/>
        <v>低级专属强化石</v>
      </c>
      <c r="U820" s="15">
        <f t="shared" si="185"/>
        <v>15</v>
      </c>
      <c r="V820" s="15" t="str">
        <f t="shared" si="186"/>
        <v>中级专属强化石</v>
      </c>
      <c r="W820" s="15">
        <f t="shared" si="187"/>
        <v>7</v>
      </c>
      <c r="X820" s="15">
        <f t="shared" si="188"/>
        <v>0.15</v>
      </c>
      <c r="Y820" s="15">
        <f t="shared" si="189"/>
        <v>1</v>
      </c>
      <c r="Z820" s="15">
        <f t="shared" si="190"/>
        <v>21</v>
      </c>
      <c r="AA820" s="15">
        <f t="shared" si="191"/>
        <v>0.32</v>
      </c>
    </row>
    <row r="821" spans="13:27" ht="16.5" x14ac:dyDescent="0.2">
      <c r="M821" s="15">
        <v>742</v>
      </c>
      <c r="N821" s="15">
        <f t="shared" si="180"/>
        <v>15</v>
      </c>
      <c r="O821" s="15">
        <f>INDEX(卡牌消耗!$H$13:$H$33,世界BOSS专属武器!N821)</f>
        <v>1501015</v>
      </c>
      <c r="P821" s="49" t="s">
        <v>408</v>
      </c>
      <c r="Q821" s="15">
        <f t="shared" si="181"/>
        <v>27</v>
      </c>
      <c r="R821" s="49" t="str">
        <f t="shared" si="182"/>
        <v>金币</v>
      </c>
      <c r="S821" s="15">
        <f t="shared" si="183"/>
        <v>5000</v>
      </c>
      <c r="T821" s="15" t="str">
        <f t="shared" si="184"/>
        <v>低级专属强化石</v>
      </c>
      <c r="U821" s="15">
        <f t="shared" si="185"/>
        <v>15</v>
      </c>
      <c r="V821" s="15" t="str">
        <f t="shared" si="186"/>
        <v>中级专属强化石</v>
      </c>
      <c r="W821" s="15">
        <f t="shared" si="187"/>
        <v>7</v>
      </c>
      <c r="X821" s="15">
        <f t="shared" si="188"/>
        <v>0.15</v>
      </c>
      <c r="Y821" s="15">
        <f t="shared" si="189"/>
        <v>1</v>
      </c>
      <c r="Z821" s="15">
        <f t="shared" si="190"/>
        <v>22</v>
      </c>
      <c r="AA821" s="15">
        <f t="shared" si="191"/>
        <v>0.34</v>
      </c>
    </row>
    <row r="822" spans="13:27" ht="16.5" x14ac:dyDescent="0.2">
      <c r="M822" s="15">
        <v>743</v>
      </c>
      <c r="N822" s="15">
        <f t="shared" si="180"/>
        <v>15</v>
      </c>
      <c r="O822" s="15">
        <f>INDEX(卡牌消耗!$H$13:$H$33,世界BOSS专属武器!N822)</f>
        <v>1501015</v>
      </c>
      <c r="P822" s="49" t="s">
        <v>408</v>
      </c>
      <c r="Q822" s="15">
        <f t="shared" si="181"/>
        <v>28</v>
      </c>
      <c r="R822" s="49" t="str">
        <f t="shared" si="182"/>
        <v>金币</v>
      </c>
      <c r="S822" s="15">
        <f t="shared" si="183"/>
        <v>5000</v>
      </c>
      <c r="T822" s="15" t="str">
        <f t="shared" si="184"/>
        <v>低级专属强化石</v>
      </c>
      <c r="U822" s="15">
        <f t="shared" si="185"/>
        <v>15</v>
      </c>
      <c r="V822" s="15" t="str">
        <f t="shared" si="186"/>
        <v>中级专属强化石</v>
      </c>
      <c r="W822" s="15">
        <f t="shared" si="187"/>
        <v>7</v>
      </c>
      <c r="X822" s="15">
        <f t="shared" si="188"/>
        <v>0.15</v>
      </c>
      <c r="Y822" s="15">
        <f t="shared" si="189"/>
        <v>1</v>
      </c>
      <c r="Z822" s="15">
        <f t="shared" si="190"/>
        <v>23</v>
      </c>
      <c r="AA822" s="15">
        <f t="shared" si="191"/>
        <v>0.36</v>
      </c>
    </row>
    <row r="823" spans="13:27" ht="16.5" x14ac:dyDescent="0.2">
      <c r="M823" s="15">
        <v>744</v>
      </c>
      <c r="N823" s="15">
        <f t="shared" si="180"/>
        <v>15</v>
      </c>
      <c r="O823" s="15">
        <f>INDEX(卡牌消耗!$H$13:$H$33,世界BOSS专属武器!N823)</f>
        <v>1501015</v>
      </c>
      <c r="P823" s="49" t="s">
        <v>408</v>
      </c>
      <c r="Q823" s="15">
        <f t="shared" si="181"/>
        <v>29</v>
      </c>
      <c r="R823" s="49" t="str">
        <f t="shared" si="182"/>
        <v>金币</v>
      </c>
      <c r="S823" s="15">
        <f t="shared" si="183"/>
        <v>5000</v>
      </c>
      <c r="T823" s="15" t="str">
        <f t="shared" si="184"/>
        <v>低级专属强化石</v>
      </c>
      <c r="U823" s="15">
        <f t="shared" si="185"/>
        <v>15</v>
      </c>
      <c r="V823" s="15" t="str">
        <f t="shared" si="186"/>
        <v>中级专属强化石</v>
      </c>
      <c r="W823" s="15">
        <f t="shared" si="187"/>
        <v>7</v>
      </c>
      <c r="X823" s="15">
        <f t="shared" si="188"/>
        <v>0.15</v>
      </c>
      <c r="Y823" s="15">
        <f t="shared" si="189"/>
        <v>1</v>
      </c>
      <c r="Z823" s="15">
        <f t="shared" si="190"/>
        <v>25</v>
      </c>
      <c r="AA823" s="15">
        <f t="shared" si="191"/>
        <v>0.38</v>
      </c>
    </row>
    <row r="824" spans="13:27" ht="16.5" x14ac:dyDescent="0.2">
      <c r="M824" s="15">
        <v>745</v>
      </c>
      <c r="N824" s="15">
        <f t="shared" si="180"/>
        <v>15</v>
      </c>
      <c r="O824" s="15">
        <f>INDEX(卡牌消耗!$H$13:$H$33,世界BOSS专属武器!N824)</f>
        <v>1501015</v>
      </c>
      <c r="P824" s="49" t="s">
        <v>408</v>
      </c>
      <c r="Q824" s="15">
        <f t="shared" si="181"/>
        <v>30</v>
      </c>
      <c r="R824" s="49" t="str">
        <f t="shared" si="182"/>
        <v>金币</v>
      </c>
      <c r="S824" s="15">
        <f t="shared" si="183"/>
        <v>10000</v>
      </c>
      <c r="T824" s="15" t="str">
        <f t="shared" si="184"/>
        <v>中级专属强化石</v>
      </c>
      <c r="U824" s="15">
        <f t="shared" si="185"/>
        <v>8</v>
      </c>
      <c r="V824" s="15" t="str">
        <f t="shared" si="186"/>
        <v>高级专属强化石</v>
      </c>
      <c r="W824" s="15">
        <f t="shared" si="187"/>
        <v>3</v>
      </c>
      <c r="X824" s="15">
        <f t="shared" si="188"/>
        <v>0.1</v>
      </c>
      <c r="Y824" s="15">
        <f t="shared" si="189"/>
        <v>1</v>
      </c>
      <c r="Z824" s="15">
        <f t="shared" si="190"/>
        <v>30</v>
      </c>
      <c r="AA824" s="15">
        <f t="shared" si="191"/>
        <v>0.4</v>
      </c>
    </row>
    <row r="825" spans="13:27" ht="16.5" x14ac:dyDescent="0.2">
      <c r="M825" s="15">
        <v>746</v>
      </c>
      <c r="N825" s="15">
        <f t="shared" si="180"/>
        <v>15</v>
      </c>
      <c r="O825" s="15">
        <f>INDEX(卡牌消耗!$H$13:$H$33,世界BOSS专属武器!N825)</f>
        <v>1501015</v>
      </c>
      <c r="P825" s="49" t="s">
        <v>408</v>
      </c>
      <c r="Q825" s="15">
        <f t="shared" si="181"/>
        <v>31</v>
      </c>
      <c r="R825" s="49" t="str">
        <f t="shared" si="182"/>
        <v>金币</v>
      </c>
      <c r="S825" s="15">
        <f t="shared" si="183"/>
        <v>10000</v>
      </c>
      <c r="T825" s="15" t="str">
        <f t="shared" si="184"/>
        <v>中级专属强化石</v>
      </c>
      <c r="U825" s="15">
        <f t="shared" si="185"/>
        <v>8</v>
      </c>
      <c r="V825" s="15" t="str">
        <f t="shared" si="186"/>
        <v>高级专属强化石</v>
      </c>
      <c r="W825" s="15">
        <f t="shared" si="187"/>
        <v>3</v>
      </c>
      <c r="X825" s="15">
        <f t="shared" si="188"/>
        <v>0.1</v>
      </c>
      <c r="Y825" s="15">
        <f t="shared" si="189"/>
        <v>1</v>
      </c>
      <c r="Z825" s="15">
        <f t="shared" si="190"/>
        <v>30</v>
      </c>
      <c r="AA825" s="15">
        <f t="shared" si="191"/>
        <v>0.42670000000000002</v>
      </c>
    </row>
    <row r="826" spans="13:27" ht="16.5" x14ac:dyDescent="0.2">
      <c r="M826" s="15">
        <v>747</v>
      </c>
      <c r="N826" s="15">
        <f t="shared" si="180"/>
        <v>15</v>
      </c>
      <c r="O826" s="15">
        <f>INDEX(卡牌消耗!$H$13:$H$33,世界BOSS专属武器!N826)</f>
        <v>1501015</v>
      </c>
      <c r="P826" s="49" t="s">
        <v>408</v>
      </c>
      <c r="Q826" s="15">
        <f t="shared" si="181"/>
        <v>32</v>
      </c>
      <c r="R826" s="49" t="str">
        <f t="shared" si="182"/>
        <v>金币</v>
      </c>
      <c r="S826" s="15">
        <f t="shared" si="183"/>
        <v>10000</v>
      </c>
      <c r="T826" s="15" t="str">
        <f t="shared" si="184"/>
        <v>中级专属强化石</v>
      </c>
      <c r="U826" s="15">
        <f t="shared" si="185"/>
        <v>8</v>
      </c>
      <c r="V826" s="15" t="str">
        <f t="shared" si="186"/>
        <v>高级专属强化石</v>
      </c>
      <c r="W826" s="15">
        <f t="shared" si="187"/>
        <v>3</v>
      </c>
      <c r="X826" s="15">
        <f t="shared" si="188"/>
        <v>0.1</v>
      </c>
      <c r="Y826" s="15">
        <f t="shared" si="189"/>
        <v>1</v>
      </c>
      <c r="Z826" s="15">
        <f t="shared" si="190"/>
        <v>30</v>
      </c>
      <c r="AA826" s="15">
        <f t="shared" si="191"/>
        <v>0.45329999999999998</v>
      </c>
    </row>
    <row r="827" spans="13:27" ht="16.5" x14ac:dyDescent="0.2">
      <c r="M827" s="15">
        <v>748</v>
      </c>
      <c r="N827" s="15">
        <f t="shared" si="180"/>
        <v>15</v>
      </c>
      <c r="O827" s="15">
        <f>INDEX(卡牌消耗!$H$13:$H$33,世界BOSS专属武器!N827)</f>
        <v>1501015</v>
      </c>
      <c r="P827" s="49" t="s">
        <v>408</v>
      </c>
      <c r="Q827" s="15">
        <f t="shared" si="181"/>
        <v>33</v>
      </c>
      <c r="R827" s="49" t="str">
        <f t="shared" si="182"/>
        <v>金币</v>
      </c>
      <c r="S827" s="15">
        <f t="shared" si="183"/>
        <v>10000</v>
      </c>
      <c r="T827" s="15" t="str">
        <f t="shared" si="184"/>
        <v>中级专属强化石</v>
      </c>
      <c r="U827" s="15">
        <f t="shared" si="185"/>
        <v>8</v>
      </c>
      <c r="V827" s="15" t="str">
        <f t="shared" si="186"/>
        <v>高级专属强化石</v>
      </c>
      <c r="W827" s="15">
        <f t="shared" si="187"/>
        <v>3</v>
      </c>
      <c r="X827" s="15">
        <f t="shared" si="188"/>
        <v>0.1</v>
      </c>
      <c r="Y827" s="15">
        <f t="shared" si="189"/>
        <v>1</v>
      </c>
      <c r="Z827" s="15">
        <f t="shared" si="190"/>
        <v>30</v>
      </c>
      <c r="AA827" s="15">
        <f t="shared" si="191"/>
        <v>0.48</v>
      </c>
    </row>
    <row r="828" spans="13:27" ht="16.5" x14ac:dyDescent="0.2">
      <c r="M828" s="15">
        <v>749</v>
      </c>
      <c r="N828" s="15">
        <f t="shared" si="180"/>
        <v>15</v>
      </c>
      <c r="O828" s="15">
        <f>INDEX(卡牌消耗!$H$13:$H$33,世界BOSS专属武器!N828)</f>
        <v>1501015</v>
      </c>
      <c r="P828" s="49" t="s">
        <v>408</v>
      </c>
      <c r="Q828" s="15">
        <f t="shared" si="181"/>
        <v>34</v>
      </c>
      <c r="R828" s="49" t="str">
        <f t="shared" si="182"/>
        <v>金币</v>
      </c>
      <c r="S828" s="15">
        <f t="shared" si="183"/>
        <v>10000</v>
      </c>
      <c r="T828" s="15" t="str">
        <f t="shared" si="184"/>
        <v>中级专属强化石</v>
      </c>
      <c r="U828" s="15">
        <f t="shared" si="185"/>
        <v>8</v>
      </c>
      <c r="V828" s="15" t="str">
        <f t="shared" si="186"/>
        <v>高级专属强化石</v>
      </c>
      <c r="W828" s="15">
        <f t="shared" si="187"/>
        <v>3</v>
      </c>
      <c r="X828" s="15">
        <f t="shared" si="188"/>
        <v>0.1</v>
      </c>
      <c r="Y828" s="15">
        <f t="shared" si="189"/>
        <v>1</v>
      </c>
      <c r="Z828" s="15">
        <f t="shared" si="190"/>
        <v>30</v>
      </c>
      <c r="AA828" s="15">
        <f t="shared" si="191"/>
        <v>0.50670000000000004</v>
      </c>
    </row>
    <row r="829" spans="13:27" ht="16.5" x14ac:dyDescent="0.2">
      <c r="M829" s="15">
        <v>750</v>
      </c>
      <c r="N829" s="15">
        <f t="shared" si="180"/>
        <v>15</v>
      </c>
      <c r="O829" s="15">
        <f>INDEX(卡牌消耗!$H$13:$H$33,世界BOSS专属武器!N829)</f>
        <v>1501015</v>
      </c>
      <c r="P829" s="49" t="s">
        <v>408</v>
      </c>
      <c r="Q829" s="15">
        <f t="shared" si="181"/>
        <v>35</v>
      </c>
      <c r="R829" s="49" t="str">
        <f t="shared" si="182"/>
        <v>金币</v>
      </c>
      <c r="S829" s="15">
        <f t="shared" si="183"/>
        <v>10000</v>
      </c>
      <c r="T829" s="15" t="str">
        <f t="shared" si="184"/>
        <v>中级专属强化石</v>
      </c>
      <c r="U829" s="15">
        <f t="shared" si="185"/>
        <v>8</v>
      </c>
      <c r="V829" s="15" t="str">
        <f t="shared" si="186"/>
        <v>高级专属强化石</v>
      </c>
      <c r="W829" s="15">
        <f t="shared" si="187"/>
        <v>3</v>
      </c>
      <c r="X829" s="15">
        <f t="shared" si="188"/>
        <v>0.1</v>
      </c>
      <c r="Y829" s="15">
        <f t="shared" si="189"/>
        <v>1</v>
      </c>
      <c r="Z829" s="15">
        <f t="shared" si="190"/>
        <v>30</v>
      </c>
      <c r="AA829" s="15">
        <f t="shared" si="191"/>
        <v>0.5333</v>
      </c>
    </row>
    <row r="830" spans="13:27" ht="16.5" x14ac:dyDescent="0.2">
      <c r="M830" s="15">
        <v>751</v>
      </c>
      <c r="N830" s="15">
        <f t="shared" si="180"/>
        <v>15</v>
      </c>
      <c r="O830" s="15">
        <f>INDEX(卡牌消耗!$H$13:$H$33,世界BOSS专属武器!N830)</f>
        <v>1501015</v>
      </c>
      <c r="P830" s="49" t="s">
        <v>408</v>
      </c>
      <c r="Q830" s="15">
        <f t="shared" si="181"/>
        <v>36</v>
      </c>
      <c r="R830" s="49" t="str">
        <f t="shared" si="182"/>
        <v>金币</v>
      </c>
      <c r="S830" s="15">
        <f t="shared" si="183"/>
        <v>10000</v>
      </c>
      <c r="T830" s="15" t="str">
        <f t="shared" si="184"/>
        <v>中级专属强化石</v>
      </c>
      <c r="U830" s="15">
        <f t="shared" si="185"/>
        <v>8</v>
      </c>
      <c r="V830" s="15" t="str">
        <f t="shared" si="186"/>
        <v>高级专属强化石</v>
      </c>
      <c r="W830" s="15">
        <f t="shared" si="187"/>
        <v>3</v>
      </c>
      <c r="X830" s="15">
        <f t="shared" si="188"/>
        <v>0.1</v>
      </c>
      <c r="Y830" s="15">
        <f t="shared" si="189"/>
        <v>1</v>
      </c>
      <c r="Z830" s="15">
        <f t="shared" si="190"/>
        <v>30</v>
      </c>
      <c r="AA830" s="15">
        <f t="shared" si="191"/>
        <v>0.56000000000000005</v>
      </c>
    </row>
    <row r="831" spans="13:27" ht="16.5" x14ac:dyDescent="0.2">
      <c r="M831" s="15">
        <v>752</v>
      </c>
      <c r="N831" s="15">
        <f t="shared" si="180"/>
        <v>15</v>
      </c>
      <c r="O831" s="15">
        <f>INDEX(卡牌消耗!$H$13:$H$33,世界BOSS专属武器!N831)</f>
        <v>1501015</v>
      </c>
      <c r="P831" s="49" t="s">
        <v>408</v>
      </c>
      <c r="Q831" s="15">
        <f t="shared" si="181"/>
        <v>37</v>
      </c>
      <c r="R831" s="49" t="str">
        <f t="shared" si="182"/>
        <v>金币</v>
      </c>
      <c r="S831" s="15">
        <f t="shared" si="183"/>
        <v>10000</v>
      </c>
      <c r="T831" s="15" t="str">
        <f t="shared" si="184"/>
        <v>中级专属强化石</v>
      </c>
      <c r="U831" s="15">
        <f t="shared" si="185"/>
        <v>8</v>
      </c>
      <c r="V831" s="15" t="str">
        <f t="shared" si="186"/>
        <v>高级专属强化石</v>
      </c>
      <c r="W831" s="15">
        <f t="shared" si="187"/>
        <v>3</v>
      </c>
      <c r="X831" s="15">
        <f t="shared" si="188"/>
        <v>0.1</v>
      </c>
      <c r="Y831" s="15">
        <f t="shared" si="189"/>
        <v>1</v>
      </c>
      <c r="Z831" s="15">
        <f t="shared" si="190"/>
        <v>30</v>
      </c>
      <c r="AA831" s="15">
        <f t="shared" si="191"/>
        <v>0.5867</v>
      </c>
    </row>
    <row r="832" spans="13:27" ht="16.5" x14ac:dyDescent="0.2">
      <c r="M832" s="15">
        <v>753</v>
      </c>
      <c r="N832" s="15">
        <f t="shared" si="180"/>
        <v>15</v>
      </c>
      <c r="O832" s="15">
        <f>INDEX(卡牌消耗!$H$13:$H$33,世界BOSS专属武器!N832)</f>
        <v>1501015</v>
      </c>
      <c r="P832" s="49" t="s">
        <v>408</v>
      </c>
      <c r="Q832" s="15">
        <f t="shared" si="181"/>
        <v>38</v>
      </c>
      <c r="R832" s="49" t="str">
        <f t="shared" si="182"/>
        <v>金币</v>
      </c>
      <c r="S832" s="15">
        <f t="shared" si="183"/>
        <v>10000</v>
      </c>
      <c r="T832" s="15" t="str">
        <f t="shared" si="184"/>
        <v>中级专属强化石</v>
      </c>
      <c r="U832" s="15">
        <f t="shared" si="185"/>
        <v>8</v>
      </c>
      <c r="V832" s="15" t="str">
        <f t="shared" si="186"/>
        <v>高级专属强化石</v>
      </c>
      <c r="W832" s="15">
        <f t="shared" si="187"/>
        <v>3</v>
      </c>
      <c r="X832" s="15">
        <f t="shared" si="188"/>
        <v>0.1</v>
      </c>
      <c r="Y832" s="15">
        <f t="shared" si="189"/>
        <v>1</v>
      </c>
      <c r="Z832" s="15">
        <f t="shared" si="190"/>
        <v>30</v>
      </c>
      <c r="AA832" s="15">
        <f t="shared" si="191"/>
        <v>0.61329999999999996</v>
      </c>
    </row>
    <row r="833" spans="13:27" ht="16.5" x14ac:dyDescent="0.2">
      <c r="M833" s="15">
        <v>754</v>
      </c>
      <c r="N833" s="15">
        <f t="shared" si="180"/>
        <v>15</v>
      </c>
      <c r="O833" s="15">
        <f>INDEX(卡牌消耗!$H$13:$H$33,世界BOSS专属武器!N833)</f>
        <v>1501015</v>
      </c>
      <c r="P833" s="49" t="s">
        <v>408</v>
      </c>
      <c r="Q833" s="15">
        <f t="shared" si="181"/>
        <v>39</v>
      </c>
      <c r="R833" s="49" t="str">
        <f t="shared" si="182"/>
        <v>金币</v>
      </c>
      <c r="S833" s="15">
        <f t="shared" si="183"/>
        <v>10000</v>
      </c>
      <c r="T833" s="15" t="str">
        <f t="shared" si="184"/>
        <v>中级专属强化石</v>
      </c>
      <c r="U833" s="15">
        <f t="shared" si="185"/>
        <v>8</v>
      </c>
      <c r="V833" s="15" t="str">
        <f t="shared" si="186"/>
        <v>高级专属强化石</v>
      </c>
      <c r="W833" s="15">
        <f t="shared" si="187"/>
        <v>3</v>
      </c>
      <c r="X833" s="15">
        <f t="shared" si="188"/>
        <v>0.1</v>
      </c>
      <c r="Y833" s="15">
        <f t="shared" si="189"/>
        <v>1</v>
      </c>
      <c r="Z833" s="15">
        <f t="shared" si="190"/>
        <v>30</v>
      </c>
      <c r="AA833" s="15">
        <f t="shared" si="191"/>
        <v>0.64</v>
      </c>
    </row>
    <row r="834" spans="13:27" ht="16.5" x14ac:dyDescent="0.2">
      <c r="M834" s="15">
        <v>755</v>
      </c>
      <c r="N834" s="15">
        <f t="shared" si="180"/>
        <v>15</v>
      </c>
      <c r="O834" s="15">
        <f>INDEX(卡牌消耗!$H$13:$H$33,世界BOSS专属武器!N834)</f>
        <v>1501015</v>
      </c>
      <c r="P834" s="49" t="s">
        <v>408</v>
      </c>
      <c r="Q834" s="15">
        <f t="shared" si="181"/>
        <v>40</v>
      </c>
      <c r="R834" s="49" t="str">
        <f t="shared" si="182"/>
        <v>金币</v>
      </c>
      <c r="S834" s="15">
        <f t="shared" si="183"/>
        <v>20000</v>
      </c>
      <c r="T834" s="15" t="str">
        <f t="shared" si="184"/>
        <v>高级专属强化石</v>
      </c>
      <c r="U834" s="15">
        <f t="shared" si="185"/>
        <v>5</v>
      </c>
      <c r="V834" s="15" t="str">
        <f t="shared" si="186"/>
        <v>[x]</v>
      </c>
      <c r="W834" s="15" t="str">
        <f t="shared" si="187"/>
        <v>[x]</v>
      </c>
      <c r="X834" s="15">
        <f t="shared" si="188"/>
        <v>0.1</v>
      </c>
      <c r="Y834" s="15">
        <f t="shared" si="189"/>
        <v>1</v>
      </c>
      <c r="Z834" s="15">
        <f t="shared" si="190"/>
        <v>35</v>
      </c>
      <c r="AA834" s="15">
        <f t="shared" si="191"/>
        <v>0.66669999999999996</v>
      </c>
    </row>
    <row r="835" spans="13:27" ht="16.5" x14ac:dyDescent="0.2">
      <c r="M835" s="15">
        <v>756</v>
      </c>
      <c r="N835" s="15">
        <f t="shared" si="180"/>
        <v>15</v>
      </c>
      <c r="O835" s="15">
        <f>INDEX(卡牌消耗!$H$13:$H$33,世界BOSS专属武器!N835)</f>
        <v>1501015</v>
      </c>
      <c r="P835" s="49" t="s">
        <v>408</v>
      </c>
      <c r="Q835" s="15">
        <f t="shared" si="181"/>
        <v>41</v>
      </c>
      <c r="R835" s="49" t="str">
        <f t="shared" si="182"/>
        <v>金币</v>
      </c>
      <c r="S835" s="15">
        <f t="shared" si="183"/>
        <v>20000</v>
      </c>
      <c r="T835" s="15" t="str">
        <f t="shared" si="184"/>
        <v>高级专属强化石</v>
      </c>
      <c r="U835" s="15">
        <f t="shared" si="185"/>
        <v>5</v>
      </c>
      <c r="V835" s="15" t="str">
        <f t="shared" si="186"/>
        <v>[x]</v>
      </c>
      <c r="W835" s="15" t="str">
        <f t="shared" si="187"/>
        <v>[x]</v>
      </c>
      <c r="X835" s="15">
        <f t="shared" si="188"/>
        <v>0.1</v>
      </c>
      <c r="Y835" s="15">
        <f t="shared" si="189"/>
        <v>1</v>
      </c>
      <c r="Z835" s="15">
        <f t="shared" si="190"/>
        <v>40</v>
      </c>
      <c r="AA835" s="15">
        <f t="shared" si="191"/>
        <v>0.7</v>
      </c>
    </row>
    <row r="836" spans="13:27" ht="16.5" x14ac:dyDescent="0.2">
      <c r="M836" s="15">
        <v>757</v>
      </c>
      <c r="N836" s="15">
        <f t="shared" si="180"/>
        <v>15</v>
      </c>
      <c r="O836" s="15">
        <f>INDEX(卡牌消耗!$H$13:$H$33,世界BOSS专属武器!N836)</f>
        <v>1501015</v>
      </c>
      <c r="P836" s="49" t="s">
        <v>408</v>
      </c>
      <c r="Q836" s="15">
        <f t="shared" si="181"/>
        <v>42</v>
      </c>
      <c r="R836" s="49" t="str">
        <f t="shared" si="182"/>
        <v>金币</v>
      </c>
      <c r="S836" s="15">
        <f t="shared" si="183"/>
        <v>20000</v>
      </c>
      <c r="T836" s="15" t="str">
        <f t="shared" si="184"/>
        <v>高级专属强化石</v>
      </c>
      <c r="U836" s="15">
        <f t="shared" si="185"/>
        <v>5</v>
      </c>
      <c r="V836" s="15" t="str">
        <f t="shared" si="186"/>
        <v>[x]</v>
      </c>
      <c r="W836" s="15" t="str">
        <f t="shared" si="187"/>
        <v>[x]</v>
      </c>
      <c r="X836" s="15">
        <f t="shared" si="188"/>
        <v>0.1</v>
      </c>
      <c r="Y836" s="15">
        <f t="shared" si="189"/>
        <v>1</v>
      </c>
      <c r="Z836" s="15">
        <f t="shared" si="190"/>
        <v>45</v>
      </c>
      <c r="AA836" s="15">
        <f t="shared" si="191"/>
        <v>0.73329999999999995</v>
      </c>
    </row>
    <row r="837" spans="13:27" ht="16.5" x14ac:dyDescent="0.2">
      <c r="M837" s="15">
        <v>758</v>
      </c>
      <c r="N837" s="15">
        <f t="shared" si="180"/>
        <v>15</v>
      </c>
      <c r="O837" s="15">
        <f>INDEX(卡牌消耗!$H$13:$H$33,世界BOSS专属武器!N837)</f>
        <v>1501015</v>
      </c>
      <c r="P837" s="49" t="s">
        <v>408</v>
      </c>
      <c r="Q837" s="15">
        <f t="shared" si="181"/>
        <v>43</v>
      </c>
      <c r="R837" s="49" t="str">
        <f t="shared" si="182"/>
        <v>金币</v>
      </c>
      <c r="S837" s="15">
        <f t="shared" si="183"/>
        <v>20000</v>
      </c>
      <c r="T837" s="15" t="str">
        <f t="shared" si="184"/>
        <v>高级专属强化石</v>
      </c>
      <c r="U837" s="15">
        <f t="shared" si="185"/>
        <v>5</v>
      </c>
      <c r="V837" s="15" t="str">
        <f t="shared" si="186"/>
        <v>[x]</v>
      </c>
      <c r="W837" s="15" t="str">
        <f t="shared" si="187"/>
        <v>[x]</v>
      </c>
      <c r="X837" s="15">
        <f t="shared" si="188"/>
        <v>0.1</v>
      </c>
      <c r="Y837" s="15">
        <f t="shared" si="189"/>
        <v>1</v>
      </c>
      <c r="Z837" s="15">
        <f t="shared" si="190"/>
        <v>50</v>
      </c>
      <c r="AA837" s="15">
        <f t="shared" si="191"/>
        <v>0.76670000000000005</v>
      </c>
    </row>
    <row r="838" spans="13:27" ht="16.5" x14ac:dyDescent="0.2">
      <c r="M838" s="15">
        <v>759</v>
      </c>
      <c r="N838" s="15">
        <f t="shared" si="180"/>
        <v>15</v>
      </c>
      <c r="O838" s="15">
        <f>INDEX(卡牌消耗!$H$13:$H$33,世界BOSS专属武器!N838)</f>
        <v>1501015</v>
      </c>
      <c r="P838" s="49" t="s">
        <v>408</v>
      </c>
      <c r="Q838" s="15">
        <f t="shared" si="181"/>
        <v>44</v>
      </c>
      <c r="R838" s="49" t="str">
        <f t="shared" si="182"/>
        <v>金币</v>
      </c>
      <c r="S838" s="15">
        <f t="shared" si="183"/>
        <v>20000</v>
      </c>
      <c r="T838" s="15" t="str">
        <f t="shared" si="184"/>
        <v>高级专属强化石</v>
      </c>
      <c r="U838" s="15">
        <f t="shared" si="185"/>
        <v>5</v>
      </c>
      <c r="V838" s="15" t="str">
        <f t="shared" si="186"/>
        <v>[x]</v>
      </c>
      <c r="W838" s="15" t="str">
        <f t="shared" si="187"/>
        <v>[x]</v>
      </c>
      <c r="X838" s="15">
        <f t="shared" si="188"/>
        <v>0.1</v>
      </c>
      <c r="Y838" s="15">
        <f t="shared" si="189"/>
        <v>1</v>
      </c>
      <c r="Z838" s="15">
        <f t="shared" si="190"/>
        <v>55</v>
      </c>
      <c r="AA838" s="15">
        <f t="shared" si="191"/>
        <v>0.8</v>
      </c>
    </row>
    <row r="839" spans="13:27" ht="16.5" x14ac:dyDescent="0.2">
      <c r="M839" s="15">
        <v>760</v>
      </c>
      <c r="N839" s="15">
        <f t="shared" si="180"/>
        <v>15</v>
      </c>
      <c r="O839" s="15">
        <f>INDEX(卡牌消耗!$H$13:$H$33,世界BOSS专属武器!N839)</f>
        <v>1501015</v>
      </c>
      <c r="P839" s="49" t="s">
        <v>408</v>
      </c>
      <c r="Q839" s="15">
        <f t="shared" si="181"/>
        <v>45</v>
      </c>
      <c r="R839" s="49" t="str">
        <f t="shared" si="182"/>
        <v>金币</v>
      </c>
      <c r="S839" s="15">
        <f t="shared" si="183"/>
        <v>20000</v>
      </c>
      <c r="T839" s="15" t="str">
        <f t="shared" si="184"/>
        <v>高级专属强化石</v>
      </c>
      <c r="U839" s="15">
        <f t="shared" si="185"/>
        <v>6</v>
      </c>
      <c r="V839" s="15" t="str">
        <f t="shared" si="186"/>
        <v>[x]</v>
      </c>
      <c r="W839" s="15" t="str">
        <f t="shared" si="187"/>
        <v>[x]</v>
      </c>
      <c r="X839" s="15">
        <f t="shared" si="188"/>
        <v>0.1</v>
      </c>
      <c r="Y839" s="15">
        <f t="shared" si="189"/>
        <v>1</v>
      </c>
      <c r="Z839" s="15">
        <f t="shared" si="190"/>
        <v>60</v>
      </c>
      <c r="AA839" s="15">
        <f t="shared" si="191"/>
        <v>0.83330000000000004</v>
      </c>
    </row>
    <row r="840" spans="13:27" ht="16.5" x14ac:dyDescent="0.2">
      <c r="M840" s="15">
        <v>761</v>
      </c>
      <c r="N840" s="15">
        <f t="shared" si="180"/>
        <v>15</v>
      </c>
      <c r="O840" s="15">
        <f>INDEX(卡牌消耗!$H$13:$H$33,世界BOSS专属武器!N840)</f>
        <v>1501015</v>
      </c>
      <c r="P840" s="49" t="s">
        <v>408</v>
      </c>
      <c r="Q840" s="15">
        <f t="shared" si="181"/>
        <v>46</v>
      </c>
      <c r="R840" s="49" t="str">
        <f t="shared" si="182"/>
        <v>金币</v>
      </c>
      <c r="S840" s="15">
        <f t="shared" si="183"/>
        <v>20000</v>
      </c>
      <c r="T840" s="15" t="str">
        <f t="shared" si="184"/>
        <v>高级专属强化石</v>
      </c>
      <c r="U840" s="15">
        <f t="shared" si="185"/>
        <v>7</v>
      </c>
      <c r="V840" s="15" t="str">
        <f t="shared" si="186"/>
        <v>[x]</v>
      </c>
      <c r="W840" s="15" t="str">
        <f t="shared" si="187"/>
        <v>[x]</v>
      </c>
      <c r="X840" s="15">
        <f t="shared" si="188"/>
        <v>0.1</v>
      </c>
      <c r="Y840" s="15">
        <f t="shared" si="189"/>
        <v>1</v>
      </c>
      <c r="Z840" s="15">
        <f t="shared" si="190"/>
        <v>70</v>
      </c>
      <c r="AA840" s="15">
        <f t="shared" si="191"/>
        <v>0.86670000000000003</v>
      </c>
    </row>
    <row r="841" spans="13:27" ht="16.5" x14ac:dyDescent="0.2">
      <c r="M841" s="15">
        <v>762</v>
      </c>
      <c r="N841" s="15">
        <f t="shared" si="180"/>
        <v>15</v>
      </c>
      <c r="O841" s="15">
        <f>INDEX(卡牌消耗!$H$13:$H$33,世界BOSS专属武器!N841)</f>
        <v>1501015</v>
      </c>
      <c r="P841" s="49" t="s">
        <v>408</v>
      </c>
      <c r="Q841" s="15">
        <f t="shared" si="181"/>
        <v>47</v>
      </c>
      <c r="R841" s="49" t="str">
        <f t="shared" si="182"/>
        <v>金币</v>
      </c>
      <c r="S841" s="15">
        <f t="shared" si="183"/>
        <v>20000</v>
      </c>
      <c r="T841" s="15" t="str">
        <f t="shared" si="184"/>
        <v>高级专属强化石</v>
      </c>
      <c r="U841" s="15">
        <f t="shared" si="185"/>
        <v>8</v>
      </c>
      <c r="V841" s="15" t="str">
        <f t="shared" si="186"/>
        <v>[x]</v>
      </c>
      <c r="W841" s="15" t="str">
        <f t="shared" si="187"/>
        <v>[x]</v>
      </c>
      <c r="X841" s="15">
        <f t="shared" si="188"/>
        <v>0.1</v>
      </c>
      <c r="Y841" s="15">
        <f t="shared" si="189"/>
        <v>1</v>
      </c>
      <c r="Z841" s="15">
        <f t="shared" si="190"/>
        <v>80</v>
      </c>
      <c r="AA841" s="15">
        <f t="shared" si="191"/>
        <v>0.9</v>
      </c>
    </row>
    <row r="842" spans="13:27" ht="16.5" x14ac:dyDescent="0.2">
      <c r="M842" s="15">
        <v>763</v>
      </c>
      <c r="N842" s="15">
        <f t="shared" si="180"/>
        <v>15</v>
      </c>
      <c r="O842" s="15">
        <f>INDEX(卡牌消耗!$H$13:$H$33,世界BOSS专属武器!N842)</f>
        <v>1501015</v>
      </c>
      <c r="P842" s="49" t="s">
        <v>408</v>
      </c>
      <c r="Q842" s="15">
        <f t="shared" si="181"/>
        <v>48</v>
      </c>
      <c r="R842" s="49" t="str">
        <f t="shared" si="182"/>
        <v>金币</v>
      </c>
      <c r="S842" s="15">
        <f t="shared" si="183"/>
        <v>20000</v>
      </c>
      <c r="T842" s="15" t="str">
        <f t="shared" si="184"/>
        <v>高级专属强化石</v>
      </c>
      <c r="U842" s="15">
        <f t="shared" si="185"/>
        <v>9</v>
      </c>
      <c r="V842" s="15" t="str">
        <f t="shared" si="186"/>
        <v>[x]</v>
      </c>
      <c r="W842" s="15" t="str">
        <f t="shared" si="187"/>
        <v>[x]</v>
      </c>
      <c r="X842" s="15">
        <f t="shared" si="188"/>
        <v>0.1</v>
      </c>
      <c r="Y842" s="15">
        <f t="shared" si="189"/>
        <v>1</v>
      </c>
      <c r="Z842" s="15">
        <f t="shared" si="190"/>
        <v>100</v>
      </c>
      <c r="AA842" s="15">
        <f t="shared" si="191"/>
        <v>0.93330000000000002</v>
      </c>
    </row>
    <row r="843" spans="13:27" ht="16.5" x14ac:dyDescent="0.2">
      <c r="M843" s="15">
        <v>764</v>
      </c>
      <c r="N843" s="15">
        <f t="shared" si="180"/>
        <v>15</v>
      </c>
      <c r="O843" s="15">
        <f>INDEX(卡牌消耗!$H$13:$H$33,世界BOSS专属武器!N843)</f>
        <v>1501015</v>
      </c>
      <c r="P843" s="49" t="s">
        <v>408</v>
      </c>
      <c r="Q843" s="15">
        <f t="shared" si="181"/>
        <v>49</v>
      </c>
      <c r="R843" s="49" t="str">
        <f t="shared" si="182"/>
        <v>金币</v>
      </c>
      <c r="S843" s="15">
        <f t="shared" si="183"/>
        <v>20000</v>
      </c>
      <c r="T843" s="15" t="str">
        <f t="shared" si="184"/>
        <v>高级专属强化石</v>
      </c>
      <c r="U843" s="15">
        <f t="shared" si="185"/>
        <v>10</v>
      </c>
      <c r="V843" s="15" t="str">
        <f t="shared" si="186"/>
        <v>[x]</v>
      </c>
      <c r="W843" s="15" t="str">
        <f t="shared" si="187"/>
        <v>[x]</v>
      </c>
      <c r="X843" s="15">
        <f t="shared" si="188"/>
        <v>0.1</v>
      </c>
      <c r="Y843" s="15">
        <f t="shared" si="189"/>
        <v>1</v>
      </c>
      <c r="Z843" s="15">
        <f t="shared" si="190"/>
        <v>120</v>
      </c>
      <c r="AA843" s="15">
        <f t="shared" si="191"/>
        <v>0.9667</v>
      </c>
    </row>
    <row r="844" spans="13:27" ht="16.5" x14ac:dyDescent="0.2">
      <c r="M844" s="15">
        <v>765</v>
      </c>
      <c r="N844" s="15">
        <f t="shared" si="180"/>
        <v>15</v>
      </c>
      <c r="O844" s="15">
        <f>INDEX(卡牌消耗!$H$13:$H$33,世界BOSS专属武器!N844)</f>
        <v>1501015</v>
      </c>
      <c r="P844" s="49" t="s">
        <v>408</v>
      </c>
      <c r="Q844" s="15">
        <f t="shared" si="181"/>
        <v>50</v>
      </c>
      <c r="R844" s="49" t="str">
        <f t="shared" si="182"/>
        <v>金币</v>
      </c>
      <c r="S844" s="15">
        <f t="shared" si="183"/>
        <v>20000</v>
      </c>
      <c r="T844" s="15" t="str">
        <f t="shared" si="184"/>
        <v>高级专属强化石</v>
      </c>
      <c r="U844" s="15">
        <f t="shared" si="185"/>
        <v>15</v>
      </c>
      <c r="V844" s="15" t="str">
        <f t="shared" si="186"/>
        <v>[x]</v>
      </c>
      <c r="W844" s="15" t="str">
        <f t="shared" si="187"/>
        <v>[x]</v>
      </c>
      <c r="X844" s="15">
        <f t="shared" si="188"/>
        <v>0.1</v>
      </c>
      <c r="Y844" s="15">
        <f t="shared" si="189"/>
        <v>1</v>
      </c>
      <c r="Z844" s="15">
        <f t="shared" si="190"/>
        <v>150</v>
      </c>
      <c r="AA844" s="15">
        <f t="shared" si="191"/>
        <v>1</v>
      </c>
    </row>
    <row r="845" spans="13:27" ht="16.5" x14ac:dyDescent="0.2">
      <c r="M845" s="15">
        <v>766</v>
      </c>
      <c r="N845" s="15">
        <f t="shared" si="180"/>
        <v>16</v>
      </c>
      <c r="O845" s="15">
        <f>INDEX(卡牌消耗!$H$13:$H$33,世界BOSS专属武器!N845)</f>
        <v>1501016</v>
      </c>
      <c r="P845" s="49" t="s">
        <v>408</v>
      </c>
      <c r="Q845" s="15">
        <f t="shared" si="181"/>
        <v>0</v>
      </c>
      <c r="R845" s="49" t="str">
        <f t="shared" si="182"/>
        <v>[x]</v>
      </c>
      <c r="S845" s="15" t="str">
        <f t="shared" si="183"/>
        <v>[x]</v>
      </c>
      <c r="T845" s="15" t="str">
        <f t="shared" si="184"/>
        <v>[x]</v>
      </c>
      <c r="U845" s="15" t="str">
        <f t="shared" si="185"/>
        <v>[x]</v>
      </c>
      <c r="V845" s="15" t="str">
        <f t="shared" si="186"/>
        <v>[x]</v>
      </c>
      <c r="W845" s="15" t="str">
        <f t="shared" si="187"/>
        <v>[x]</v>
      </c>
      <c r="X845" s="15" t="str">
        <f t="shared" si="188"/>
        <v>[x]</v>
      </c>
      <c r="Y845" s="15" t="str">
        <f t="shared" si="189"/>
        <v>[x]</v>
      </c>
      <c r="Z845" s="15" t="str">
        <f t="shared" si="190"/>
        <v>[x]</v>
      </c>
      <c r="AA845" s="15" t="str">
        <f t="shared" si="191"/>
        <v>[x]</v>
      </c>
    </row>
    <row r="846" spans="13:27" ht="16.5" x14ac:dyDescent="0.2">
      <c r="M846" s="15">
        <v>767</v>
      </c>
      <c r="N846" s="15">
        <f t="shared" si="180"/>
        <v>16</v>
      </c>
      <c r="O846" s="15">
        <f>INDEX(卡牌消耗!$H$13:$H$33,世界BOSS专属武器!N846)</f>
        <v>1501016</v>
      </c>
      <c r="P846" s="49" t="s">
        <v>408</v>
      </c>
      <c r="Q846" s="15">
        <f t="shared" si="181"/>
        <v>1</v>
      </c>
      <c r="R846" s="49" t="str">
        <f t="shared" si="182"/>
        <v>金币</v>
      </c>
      <c r="S846" s="15">
        <f t="shared" si="183"/>
        <v>100</v>
      </c>
      <c r="T846" s="15" t="str">
        <f t="shared" si="184"/>
        <v>低级专属强化石</v>
      </c>
      <c r="U846" s="15">
        <f t="shared" si="185"/>
        <v>1</v>
      </c>
      <c r="V846" s="15" t="str">
        <f t="shared" si="186"/>
        <v>[x]</v>
      </c>
      <c r="W846" s="15" t="str">
        <f t="shared" si="187"/>
        <v>[x]</v>
      </c>
      <c r="X846" s="15">
        <f t="shared" si="188"/>
        <v>1</v>
      </c>
      <c r="Y846" s="15">
        <f t="shared" si="189"/>
        <v>1</v>
      </c>
      <c r="Z846" s="15">
        <f t="shared" si="190"/>
        <v>1</v>
      </c>
      <c r="AA846" s="15">
        <f t="shared" si="191"/>
        <v>6.7000000000000002E-3</v>
      </c>
    </row>
    <row r="847" spans="13:27" ht="16.5" x14ac:dyDescent="0.2">
      <c r="M847" s="15">
        <v>768</v>
      </c>
      <c r="N847" s="15">
        <f t="shared" si="180"/>
        <v>16</v>
      </c>
      <c r="O847" s="15">
        <f>INDEX(卡牌消耗!$H$13:$H$33,世界BOSS专属武器!N847)</f>
        <v>1501016</v>
      </c>
      <c r="P847" s="49" t="s">
        <v>408</v>
      </c>
      <c r="Q847" s="15">
        <f t="shared" si="181"/>
        <v>2</v>
      </c>
      <c r="R847" s="49" t="str">
        <f t="shared" si="182"/>
        <v>金币</v>
      </c>
      <c r="S847" s="15">
        <f t="shared" si="183"/>
        <v>200</v>
      </c>
      <c r="T847" s="15" t="str">
        <f t="shared" si="184"/>
        <v>低级专属强化石</v>
      </c>
      <c r="U847" s="15">
        <f t="shared" si="185"/>
        <v>1</v>
      </c>
      <c r="V847" s="15" t="str">
        <f t="shared" si="186"/>
        <v>[x]</v>
      </c>
      <c r="W847" s="15" t="str">
        <f t="shared" si="187"/>
        <v>[x]</v>
      </c>
      <c r="X847" s="15">
        <f t="shared" si="188"/>
        <v>0.5</v>
      </c>
      <c r="Y847" s="15">
        <f t="shared" si="189"/>
        <v>1</v>
      </c>
      <c r="Z847" s="15">
        <f t="shared" si="190"/>
        <v>2</v>
      </c>
      <c r="AA847" s="15">
        <f t="shared" si="191"/>
        <v>1.3299999999999999E-2</v>
      </c>
    </row>
    <row r="848" spans="13:27" ht="16.5" x14ac:dyDescent="0.2">
      <c r="M848" s="15">
        <v>769</v>
      </c>
      <c r="N848" s="15">
        <f t="shared" si="180"/>
        <v>16</v>
      </c>
      <c r="O848" s="15">
        <f>INDEX(卡牌消耗!$H$13:$H$33,世界BOSS专属武器!N848)</f>
        <v>1501016</v>
      </c>
      <c r="P848" s="49" t="s">
        <v>408</v>
      </c>
      <c r="Q848" s="15">
        <f t="shared" si="181"/>
        <v>3</v>
      </c>
      <c r="R848" s="49" t="str">
        <f t="shared" si="182"/>
        <v>金币</v>
      </c>
      <c r="S848" s="15">
        <f t="shared" si="183"/>
        <v>300</v>
      </c>
      <c r="T848" s="15" t="str">
        <f t="shared" si="184"/>
        <v>低级专属强化石</v>
      </c>
      <c r="U848" s="15">
        <f t="shared" si="185"/>
        <v>2</v>
      </c>
      <c r="V848" s="15" t="str">
        <f t="shared" si="186"/>
        <v>[x]</v>
      </c>
      <c r="W848" s="15" t="str">
        <f t="shared" si="187"/>
        <v>[x]</v>
      </c>
      <c r="X848" s="15">
        <f t="shared" si="188"/>
        <v>0.48</v>
      </c>
      <c r="Y848" s="15">
        <f t="shared" si="189"/>
        <v>1</v>
      </c>
      <c r="Z848" s="15">
        <f t="shared" si="190"/>
        <v>3</v>
      </c>
      <c r="AA848" s="15">
        <f t="shared" si="191"/>
        <v>0.02</v>
      </c>
    </row>
    <row r="849" spans="13:27" ht="16.5" x14ac:dyDescent="0.2">
      <c r="M849" s="15">
        <v>770</v>
      </c>
      <c r="N849" s="15">
        <f t="shared" ref="N849:N912" si="192">INT((M849-1)/51)+1</f>
        <v>16</v>
      </c>
      <c r="O849" s="15">
        <f>INDEX(卡牌消耗!$H$13:$H$33,世界BOSS专属武器!N849)</f>
        <v>1501016</v>
      </c>
      <c r="P849" s="49" t="s">
        <v>408</v>
      </c>
      <c r="Q849" s="15">
        <f t="shared" ref="Q849:Q912" si="193">MOD(M849-1,51)</f>
        <v>4</v>
      </c>
      <c r="R849" s="49" t="str">
        <f t="shared" ref="R849:R912" si="194">IF(Q849&gt;0,"金币","[x]")</f>
        <v>金币</v>
      </c>
      <c r="S849" s="15">
        <f t="shared" ref="S849:S912" si="195">IF(Q849&gt;0,INDEX($V$27:$V$76,Q849),"[x]")</f>
        <v>400</v>
      </c>
      <c r="T849" s="15" t="str">
        <f t="shared" ref="T849:T912" si="196">IF(Q849&gt;0,INDEX($W$27:$W$76,Q849),"[x]")</f>
        <v>低级专属强化石</v>
      </c>
      <c r="U849" s="15">
        <f t="shared" ref="U849:U912" si="197">IF(Q849&gt;0,INDEX($AA$27:$AF$76,Q849,INDEX($Y$27:$Y$76,Q849)),"[x]")</f>
        <v>3</v>
      </c>
      <c r="V849" s="15" t="str">
        <f t="shared" ref="V849:V912" si="198">IF(AND(Q849&gt;=20,Q849&lt;40),INDEX($X$27:$X$76,Q849),"[x]")</f>
        <v>[x]</v>
      </c>
      <c r="W849" s="15" t="str">
        <f t="shared" ref="W849:W912" si="199">IF(AND(Q849&gt;=20,Q849&lt;40),INDEX($AA$27:$AF$76,Q849,INDEX($Z$27:$Z$76,Q849)),"[x]")</f>
        <v>[x]</v>
      </c>
      <c r="X849" s="15">
        <f t="shared" ref="X849:X912" si="200">IF(Q849&gt;0,INDEX($T$27:$T$76,Q849),"[x]")</f>
        <v>0.46</v>
      </c>
      <c r="Y849" s="15">
        <f t="shared" ref="Y849:Y912" si="201">IF(Q849&gt;0,1,"[x]")</f>
        <v>1</v>
      </c>
      <c r="Z849" s="15">
        <f t="shared" ref="Z849:Z912" si="202">IF(Q849&gt;0,INDEX($AG$27:$AG$76,Q849),"[x]")</f>
        <v>3</v>
      </c>
      <c r="AA849" s="15">
        <f t="shared" ref="AA849:AA912" si="203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92"/>
        <v>16</v>
      </c>
      <c r="O850" s="15">
        <f>INDEX(卡牌消耗!$H$13:$H$33,世界BOSS专属武器!N850)</f>
        <v>1501016</v>
      </c>
      <c r="P850" s="49" t="s">
        <v>408</v>
      </c>
      <c r="Q850" s="15">
        <f t="shared" si="193"/>
        <v>5</v>
      </c>
      <c r="R850" s="49" t="str">
        <f t="shared" si="194"/>
        <v>金币</v>
      </c>
      <c r="S850" s="15">
        <f t="shared" si="195"/>
        <v>500</v>
      </c>
      <c r="T850" s="15" t="str">
        <f t="shared" si="196"/>
        <v>低级专属强化石</v>
      </c>
      <c r="U850" s="15">
        <f t="shared" si="197"/>
        <v>4</v>
      </c>
      <c r="V850" s="15" t="str">
        <f t="shared" si="198"/>
        <v>[x]</v>
      </c>
      <c r="W850" s="15" t="str">
        <f t="shared" si="199"/>
        <v>[x]</v>
      </c>
      <c r="X850" s="15">
        <f t="shared" si="200"/>
        <v>0.44</v>
      </c>
      <c r="Y850" s="15">
        <f t="shared" si="201"/>
        <v>1</v>
      </c>
      <c r="Z850" s="15">
        <f t="shared" si="202"/>
        <v>3</v>
      </c>
      <c r="AA850" s="15">
        <f t="shared" si="203"/>
        <v>3.3300000000000003E-2</v>
      </c>
    </row>
    <row r="851" spans="13:27" ht="16.5" x14ac:dyDescent="0.2">
      <c r="M851" s="15">
        <v>772</v>
      </c>
      <c r="N851" s="15">
        <f t="shared" si="192"/>
        <v>16</v>
      </c>
      <c r="O851" s="15">
        <f>INDEX(卡牌消耗!$H$13:$H$33,世界BOSS专属武器!N851)</f>
        <v>1501016</v>
      </c>
      <c r="P851" s="49" t="s">
        <v>408</v>
      </c>
      <c r="Q851" s="15">
        <f t="shared" si="193"/>
        <v>6</v>
      </c>
      <c r="R851" s="49" t="str">
        <f t="shared" si="194"/>
        <v>金币</v>
      </c>
      <c r="S851" s="15">
        <f t="shared" si="195"/>
        <v>600</v>
      </c>
      <c r="T851" s="15" t="str">
        <f t="shared" si="196"/>
        <v>低级专属强化石</v>
      </c>
      <c r="U851" s="15">
        <f t="shared" si="197"/>
        <v>5</v>
      </c>
      <c r="V851" s="15" t="str">
        <f t="shared" si="198"/>
        <v>[x]</v>
      </c>
      <c r="W851" s="15" t="str">
        <f t="shared" si="199"/>
        <v>[x]</v>
      </c>
      <c r="X851" s="15">
        <f t="shared" si="200"/>
        <v>0.42</v>
      </c>
      <c r="Y851" s="15">
        <f t="shared" si="201"/>
        <v>1</v>
      </c>
      <c r="Z851" s="15">
        <f t="shared" si="202"/>
        <v>4</v>
      </c>
      <c r="AA851" s="15">
        <f t="shared" si="203"/>
        <v>0.04</v>
      </c>
    </row>
    <row r="852" spans="13:27" ht="16.5" x14ac:dyDescent="0.2">
      <c r="M852" s="15">
        <v>773</v>
      </c>
      <c r="N852" s="15">
        <f t="shared" si="192"/>
        <v>16</v>
      </c>
      <c r="O852" s="15">
        <f>INDEX(卡牌消耗!$H$13:$H$33,世界BOSS专属武器!N852)</f>
        <v>1501016</v>
      </c>
      <c r="P852" s="49" t="s">
        <v>408</v>
      </c>
      <c r="Q852" s="15">
        <f t="shared" si="193"/>
        <v>7</v>
      </c>
      <c r="R852" s="49" t="str">
        <f t="shared" si="194"/>
        <v>金币</v>
      </c>
      <c r="S852" s="15">
        <f t="shared" si="195"/>
        <v>700</v>
      </c>
      <c r="T852" s="15" t="str">
        <f t="shared" si="196"/>
        <v>低级专属强化石</v>
      </c>
      <c r="U852" s="15">
        <f t="shared" si="197"/>
        <v>5</v>
      </c>
      <c r="V852" s="15" t="str">
        <f t="shared" si="198"/>
        <v>[x]</v>
      </c>
      <c r="W852" s="15" t="str">
        <f t="shared" si="199"/>
        <v>[x]</v>
      </c>
      <c r="X852" s="15">
        <f t="shared" si="200"/>
        <v>0.4</v>
      </c>
      <c r="Y852" s="15">
        <f t="shared" si="201"/>
        <v>1</v>
      </c>
      <c r="Z852" s="15">
        <f t="shared" si="202"/>
        <v>4</v>
      </c>
      <c r="AA852" s="15">
        <f t="shared" si="203"/>
        <v>4.6699999999999998E-2</v>
      </c>
    </row>
    <row r="853" spans="13:27" ht="16.5" x14ac:dyDescent="0.2">
      <c r="M853" s="15">
        <v>774</v>
      </c>
      <c r="N853" s="15">
        <f t="shared" si="192"/>
        <v>16</v>
      </c>
      <c r="O853" s="15">
        <f>INDEX(卡牌消耗!$H$13:$H$33,世界BOSS专属武器!N853)</f>
        <v>1501016</v>
      </c>
      <c r="P853" s="49" t="s">
        <v>408</v>
      </c>
      <c r="Q853" s="15">
        <f t="shared" si="193"/>
        <v>8</v>
      </c>
      <c r="R853" s="49" t="str">
        <f t="shared" si="194"/>
        <v>金币</v>
      </c>
      <c r="S853" s="15">
        <f t="shared" si="195"/>
        <v>800</v>
      </c>
      <c r="T853" s="15" t="str">
        <f t="shared" si="196"/>
        <v>低级专属强化石</v>
      </c>
      <c r="U853" s="15">
        <f t="shared" si="197"/>
        <v>5</v>
      </c>
      <c r="V853" s="15" t="str">
        <f t="shared" si="198"/>
        <v>[x]</v>
      </c>
      <c r="W853" s="15" t="str">
        <f t="shared" si="199"/>
        <v>[x]</v>
      </c>
      <c r="X853" s="15">
        <f t="shared" si="200"/>
        <v>0.38</v>
      </c>
      <c r="Y853" s="15">
        <f t="shared" si="201"/>
        <v>1</v>
      </c>
      <c r="Z853" s="15">
        <f t="shared" si="202"/>
        <v>5</v>
      </c>
      <c r="AA853" s="15">
        <f t="shared" si="203"/>
        <v>5.33E-2</v>
      </c>
    </row>
    <row r="854" spans="13:27" ht="16.5" x14ac:dyDescent="0.2">
      <c r="M854" s="15">
        <v>775</v>
      </c>
      <c r="N854" s="15">
        <f t="shared" si="192"/>
        <v>16</v>
      </c>
      <c r="O854" s="15">
        <f>INDEX(卡牌消耗!$H$13:$H$33,世界BOSS专属武器!N854)</f>
        <v>1501016</v>
      </c>
      <c r="P854" s="49" t="s">
        <v>408</v>
      </c>
      <c r="Q854" s="15">
        <f t="shared" si="193"/>
        <v>9</v>
      </c>
      <c r="R854" s="49" t="str">
        <f t="shared" si="194"/>
        <v>金币</v>
      </c>
      <c r="S854" s="15">
        <f t="shared" si="195"/>
        <v>900</v>
      </c>
      <c r="T854" s="15" t="str">
        <f t="shared" si="196"/>
        <v>低级专属强化石</v>
      </c>
      <c r="U854" s="15">
        <f t="shared" si="197"/>
        <v>5</v>
      </c>
      <c r="V854" s="15" t="str">
        <f t="shared" si="198"/>
        <v>[x]</v>
      </c>
      <c r="W854" s="15" t="str">
        <f t="shared" si="199"/>
        <v>[x]</v>
      </c>
      <c r="X854" s="15">
        <f t="shared" si="200"/>
        <v>0.36</v>
      </c>
      <c r="Y854" s="15">
        <f t="shared" si="201"/>
        <v>1</v>
      </c>
      <c r="Z854" s="15">
        <f t="shared" si="202"/>
        <v>5</v>
      </c>
      <c r="AA854" s="15">
        <f t="shared" si="203"/>
        <v>0.06</v>
      </c>
    </row>
    <row r="855" spans="13:27" ht="16.5" x14ac:dyDescent="0.2">
      <c r="M855" s="15">
        <v>776</v>
      </c>
      <c r="N855" s="15">
        <f t="shared" si="192"/>
        <v>16</v>
      </c>
      <c r="O855" s="15">
        <f>INDEX(卡牌消耗!$H$13:$H$33,世界BOSS专属武器!N855)</f>
        <v>1501016</v>
      </c>
      <c r="P855" s="49" t="s">
        <v>408</v>
      </c>
      <c r="Q855" s="15">
        <f t="shared" si="193"/>
        <v>10</v>
      </c>
      <c r="R855" s="49" t="str">
        <f t="shared" si="194"/>
        <v>金币</v>
      </c>
      <c r="S855" s="15">
        <f t="shared" si="195"/>
        <v>1000</v>
      </c>
      <c r="T855" s="15" t="str">
        <f t="shared" si="196"/>
        <v>低级专属强化石</v>
      </c>
      <c r="U855" s="15">
        <f t="shared" si="197"/>
        <v>7</v>
      </c>
      <c r="V855" s="15" t="str">
        <f t="shared" si="198"/>
        <v>[x]</v>
      </c>
      <c r="W855" s="15" t="str">
        <f t="shared" si="199"/>
        <v>[x]</v>
      </c>
      <c r="X855" s="15">
        <f t="shared" si="200"/>
        <v>0.35</v>
      </c>
      <c r="Y855" s="15">
        <f t="shared" si="201"/>
        <v>1</v>
      </c>
      <c r="Z855" s="15">
        <f t="shared" si="202"/>
        <v>5</v>
      </c>
      <c r="AA855" s="15">
        <f t="shared" si="203"/>
        <v>6.6699999999999995E-2</v>
      </c>
    </row>
    <row r="856" spans="13:27" ht="16.5" x14ac:dyDescent="0.2">
      <c r="M856" s="15">
        <v>777</v>
      </c>
      <c r="N856" s="15">
        <f t="shared" si="192"/>
        <v>16</v>
      </c>
      <c r="O856" s="15">
        <f>INDEX(卡牌消耗!$H$13:$H$33,世界BOSS专属武器!N856)</f>
        <v>1501016</v>
      </c>
      <c r="P856" s="49" t="s">
        <v>408</v>
      </c>
      <c r="Q856" s="15">
        <f t="shared" si="193"/>
        <v>11</v>
      </c>
      <c r="R856" s="49" t="str">
        <f t="shared" si="194"/>
        <v>金币</v>
      </c>
      <c r="S856" s="15">
        <f t="shared" si="195"/>
        <v>1000</v>
      </c>
      <c r="T856" s="15" t="str">
        <f t="shared" si="196"/>
        <v>低级专属强化石</v>
      </c>
      <c r="U856" s="15">
        <f t="shared" si="197"/>
        <v>7</v>
      </c>
      <c r="V856" s="15" t="str">
        <f t="shared" si="198"/>
        <v>[x]</v>
      </c>
      <c r="W856" s="15" t="str">
        <f t="shared" si="199"/>
        <v>[x]</v>
      </c>
      <c r="X856" s="15">
        <f t="shared" si="200"/>
        <v>0.33</v>
      </c>
      <c r="Y856" s="15">
        <f t="shared" si="201"/>
        <v>1</v>
      </c>
      <c r="Z856" s="15">
        <f t="shared" si="202"/>
        <v>6</v>
      </c>
      <c r="AA856" s="15">
        <f t="shared" si="203"/>
        <v>0.08</v>
      </c>
    </row>
    <row r="857" spans="13:27" ht="16.5" x14ac:dyDescent="0.2">
      <c r="M857" s="15">
        <v>778</v>
      </c>
      <c r="N857" s="15">
        <f t="shared" si="192"/>
        <v>16</v>
      </c>
      <c r="O857" s="15">
        <f>INDEX(卡牌消耗!$H$13:$H$33,世界BOSS专属武器!N857)</f>
        <v>1501016</v>
      </c>
      <c r="P857" s="49" t="s">
        <v>408</v>
      </c>
      <c r="Q857" s="15">
        <f t="shared" si="193"/>
        <v>12</v>
      </c>
      <c r="R857" s="49" t="str">
        <f t="shared" si="194"/>
        <v>金币</v>
      </c>
      <c r="S857" s="15">
        <f t="shared" si="195"/>
        <v>1000</v>
      </c>
      <c r="T857" s="15" t="str">
        <f t="shared" si="196"/>
        <v>低级专属强化石</v>
      </c>
      <c r="U857" s="15">
        <f t="shared" si="197"/>
        <v>7</v>
      </c>
      <c r="V857" s="15" t="str">
        <f t="shared" si="198"/>
        <v>[x]</v>
      </c>
      <c r="W857" s="15" t="str">
        <f t="shared" si="199"/>
        <v>[x]</v>
      </c>
      <c r="X857" s="15">
        <f t="shared" si="200"/>
        <v>0.31</v>
      </c>
      <c r="Y857" s="15">
        <f t="shared" si="201"/>
        <v>1</v>
      </c>
      <c r="Z857" s="15">
        <f t="shared" si="202"/>
        <v>6</v>
      </c>
      <c r="AA857" s="15">
        <f t="shared" si="203"/>
        <v>9.3299999999999994E-2</v>
      </c>
    </row>
    <row r="858" spans="13:27" ht="16.5" x14ac:dyDescent="0.2">
      <c r="M858" s="15">
        <v>779</v>
      </c>
      <c r="N858" s="15">
        <f t="shared" si="192"/>
        <v>16</v>
      </c>
      <c r="O858" s="15">
        <f>INDEX(卡牌消耗!$H$13:$H$33,世界BOSS专属武器!N858)</f>
        <v>1501016</v>
      </c>
      <c r="P858" s="49" t="s">
        <v>408</v>
      </c>
      <c r="Q858" s="15">
        <f t="shared" si="193"/>
        <v>13</v>
      </c>
      <c r="R858" s="49" t="str">
        <f t="shared" si="194"/>
        <v>金币</v>
      </c>
      <c r="S858" s="15">
        <f t="shared" si="195"/>
        <v>1000</v>
      </c>
      <c r="T858" s="15" t="str">
        <f t="shared" si="196"/>
        <v>低级专属强化石</v>
      </c>
      <c r="U858" s="15">
        <f t="shared" si="197"/>
        <v>7</v>
      </c>
      <c r="V858" s="15" t="str">
        <f t="shared" si="198"/>
        <v>[x]</v>
      </c>
      <c r="W858" s="15" t="str">
        <f t="shared" si="199"/>
        <v>[x]</v>
      </c>
      <c r="X858" s="15">
        <f t="shared" si="200"/>
        <v>0.28999999999999998</v>
      </c>
      <c r="Y858" s="15">
        <f t="shared" si="201"/>
        <v>1</v>
      </c>
      <c r="Z858" s="15">
        <f t="shared" si="202"/>
        <v>7</v>
      </c>
      <c r="AA858" s="15">
        <f t="shared" si="203"/>
        <v>0.1067</v>
      </c>
    </row>
    <row r="859" spans="13:27" ht="16.5" x14ac:dyDescent="0.2">
      <c r="M859" s="15">
        <v>780</v>
      </c>
      <c r="N859" s="15">
        <f t="shared" si="192"/>
        <v>16</v>
      </c>
      <c r="O859" s="15">
        <f>INDEX(卡牌消耗!$H$13:$H$33,世界BOSS专属武器!N859)</f>
        <v>1501016</v>
      </c>
      <c r="P859" s="49" t="s">
        <v>408</v>
      </c>
      <c r="Q859" s="15">
        <f t="shared" si="193"/>
        <v>14</v>
      </c>
      <c r="R859" s="49" t="str">
        <f t="shared" si="194"/>
        <v>金币</v>
      </c>
      <c r="S859" s="15">
        <f t="shared" si="195"/>
        <v>1000</v>
      </c>
      <c r="T859" s="15" t="str">
        <f t="shared" si="196"/>
        <v>低级专属强化石</v>
      </c>
      <c r="U859" s="15">
        <f t="shared" si="197"/>
        <v>7</v>
      </c>
      <c r="V859" s="15" t="str">
        <f t="shared" si="198"/>
        <v>[x]</v>
      </c>
      <c r="W859" s="15" t="str">
        <f t="shared" si="199"/>
        <v>[x]</v>
      </c>
      <c r="X859" s="15">
        <f t="shared" si="200"/>
        <v>0.27</v>
      </c>
      <c r="Y859" s="15">
        <f t="shared" si="201"/>
        <v>1</v>
      </c>
      <c r="Z859" s="15">
        <f t="shared" si="202"/>
        <v>7</v>
      </c>
      <c r="AA859" s="15">
        <f t="shared" si="203"/>
        <v>0.12</v>
      </c>
    </row>
    <row r="860" spans="13:27" ht="16.5" x14ac:dyDescent="0.2">
      <c r="M860" s="15">
        <v>781</v>
      </c>
      <c r="N860" s="15">
        <f t="shared" si="192"/>
        <v>16</v>
      </c>
      <c r="O860" s="15">
        <f>INDEX(卡牌消耗!$H$13:$H$33,世界BOSS专属武器!N860)</f>
        <v>1501016</v>
      </c>
      <c r="P860" s="49" t="s">
        <v>408</v>
      </c>
      <c r="Q860" s="15">
        <f t="shared" si="193"/>
        <v>15</v>
      </c>
      <c r="R860" s="49" t="str">
        <f t="shared" si="194"/>
        <v>金币</v>
      </c>
      <c r="S860" s="15">
        <f t="shared" si="195"/>
        <v>1000</v>
      </c>
      <c r="T860" s="15" t="str">
        <f t="shared" si="196"/>
        <v>低级专属强化石</v>
      </c>
      <c r="U860" s="15">
        <f t="shared" si="197"/>
        <v>10</v>
      </c>
      <c r="V860" s="15" t="str">
        <f t="shared" si="198"/>
        <v>[x]</v>
      </c>
      <c r="W860" s="15" t="str">
        <f t="shared" si="199"/>
        <v>[x]</v>
      </c>
      <c r="X860" s="15">
        <f t="shared" si="200"/>
        <v>0.25</v>
      </c>
      <c r="Y860" s="15">
        <f t="shared" si="201"/>
        <v>1</v>
      </c>
      <c r="Z860" s="15">
        <f t="shared" si="202"/>
        <v>8</v>
      </c>
      <c r="AA860" s="15">
        <f t="shared" si="203"/>
        <v>0.1333</v>
      </c>
    </row>
    <row r="861" spans="13:27" ht="16.5" x14ac:dyDescent="0.2">
      <c r="M861" s="15">
        <v>782</v>
      </c>
      <c r="N861" s="15">
        <f t="shared" si="192"/>
        <v>16</v>
      </c>
      <c r="O861" s="15">
        <f>INDEX(卡牌消耗!$H$13:$H$33,世界BOSS专属武器!N861)</f>
        <v>1501016</v>
      </c>
      <c r="P861" s="49" t="s">
        <v>408</v>
      </c>
      <c r="Q861" s="15">
        <f t="shared" si="193"/>
        <v>16</v>
      </c>
      <c r="R861" s="49" t="str">
        <f t="shared" si="194"/>
        <v>金币</v>
      </c>
      <c r="S861" s="15">
        <f t="shared" si="195"/>
        <v>1000</v>
      </c>
      <c r="T861" s="15" t="str">
        <f t="shared" si="196"/>
        <v>低级专属强化石</v>
      </c>
      <c r="U861" s="15">
        <f t="shared" si="197"/>
        <v>10</v>
      </c>
      <c r="V861" s="15" t="str">
        <f t="shared" si="198"/>
        <v>[x]</v>
      </c>
      <c r="W861" s="15" t="str">
        <f t="shared" si="199"/>
        <v>[x]</v>
      </c>
      <c r="X861" s="15">
        <f t="shared" si="200"/>
        <v>0.23</v>
      </c>
      <c r="Y861" s="15">
        <f t="shared" si="201"/>
        <v>1</v>
      </c>
      <c r="Z861" s="15">
        <f t="shared" si="202"/>
        <v>9</v>
      </c>
      <c r="AA861" s="15">
        <f t="shared" si="203"/>
        <v>0.1467</v>
      </c>
    </row>
    <row r="862" spans="13:27" ht="16.5" x14ac:dyDescent="0.2">
      <c r="M862" s="15">
        <v>783</v>
      </c>
      <c r="N862" s="15">
        <f t="shared" si="192"/>
        <v>16</v>
      </c>
      <c r="O862" s="15">
        <f>INDEX(卡牌消耗!$H$13:$H$33,世界BOSS专属武器!N862)</f>
        <v>1501016</v>
      </c>
      <c r="P862" s="49" t="s">
        <v>408</v>
      </c>
      <c r="Q862" s="15">
        <f t="shared" si="193"/>
        <v>17</v>
      </c>
      <c r="R862" s="49" t="str">
        <f t="shared" si="194"/>
        <v>金币</v>
      </c>
      <c r="S862" s="15">
        <f t="shared" si="195"/>
        <v>1000</v>
      </c>
      <c r="T862" s="15" t="str">
        <f t="shared" si="196"/>
        <v>低级专属强化石</v>
      </c>
      <c r="U862" s="15">
        <f t="shared" si="197"/>
        <v>10</v>
      </c>
      <c r="V862" s="15" t="str">
        <f t="shared" si="198"/>
        <v>[x]</v>
      </c>
      <c r="W862" s="15" t="str">
        <f t="shared" si="199"/>
        <v>[x]</v>
      </c>
      <c r="X862" s="15">
        <f t="shared" si="200"/>
        <v>0.21</v>
      </c>
      <c r="Y862" s="15">
        <f t="shared" si="201"/>
        <v>1</v>
      </c>
      <c r="Z862" s="15">
        <f t="shared" si="202"/>
        <v>10</v>
      </c>
      <c r="AA862" s="15">
        <f t="shared" si="203"/>
        <v>0.16</v>
      </c>
    </row>
    <row r="863" spans="13:27" ht="16.5" x14ac:dyDescent="0.2">
      <c r="M863" s="15">
        <v>784</v>
      </c>
      <c r="N863" s="15">
        <f t="shared" si="192"/>
        <v>16</v>
      </c>
      <c r="O863" s="15">
        <f>INDEX(卡牌消耗!$H$13:$H$33,世界BOSS专属武器!N863)</f>
        <v>1501016</v>
      </c>
      <c r="P863" s="49" t="s">
        <v>408</v>
      </c>
      <c r="Q863" s="15">
        <f t="shared" si="193"/>
        <v>18</v>
      </c>
      <c r="R863" s="49" t="str">
        <f t="shared" si="194"/>
        <v>金币</v>
      </c>
      <c r="S863" s="15">
        <f t="shared" si="195"/>
        <v>1000</v>
      </c>
      <c r="T863" s="15" t="str">
        <f t="shared" si="196"/>
        <v>低级专属强化石</v>
      </c>
      <c r="U863" s="15">
        <f t="shared" si="197"/>
        <v>10</v>
      </c>
      <c r="V863" s="15" t="str">
        <f t="shared" si="198"/>
        <v>[x]</v>
      </c>
      <c r="W863" s="15" t="str">
        <f t="shared" si="199"/>
        <v>[x]</v>
      </c>
      <c r="X863" s="15">
        <f t="shared" si="200"/>
        <v>0.19</v>
      </c>
      <c r="Y863" s="15">
        <f t="shared" si="201"/>
        <v>1</v>
      </c>
      <c r="Z863" s="15">
        <f t="shared" si="202"/>
        <v>11</v>
      </c>
      <c r="AA863" s="15">
        <f t="shared" si="203"/>
        <v>0.17330000000000001</v>
      </c>
    </row>
    <row r="864" spans="13:27" ht="16.5" x14ac:dyDescent="0.2">
      <c r="M864" s="15">
        <v>785</v>
      </c>
      <c r="N864" s="15">
        <f t="shared" si="192"/>
        <v>16</v>
      </c>
      <c r="O864" s="15">
        <f>INDEX(卡牌消耗!$H$13:$H$33,世界BOSS专属武器!N864)</f>
        <v>1501016</v>
      </c>
      <c r="P864" s="49" t="s">
        <v>408</v>
      </c>
      <c r="Q864" s="15">
        <f t="shared" si="193"/>
        <v>19</v>
      </c>
      <c r="R864" s="49" t="str">
        <f t="shared" si="194"/>
        <v>金币</v>
      </c>
      <c r="S864" s="15">
        <f t="shared" si="195"/>
        <v>1000</v>
      </c>
      <c r="T864" s="15" t="str">
        <f t="shared" si="196"/>
        <v>低级专属强化石</v>
      </c>
      <c r="U864" s="15">
        <f t="shared" si="197"/>
        <v>10</v>
      </c>
      <c r="V864" s="15" t="str">
        <f t="shared" si="198"/>
        <v>[x]</v>
      </c>
      <c r="W864" s="15" t="str">
        <f t="shared" si="199"/>
        <v>[x]</v>
      </c>
      <c r="X864" s="15">
        <f t="shared" si="200"/>
        <v>0.17</v>
      </c>
      <c r="Y864" s="15">
        <f t="shared" si="201"/>
        <v>1</v>
      </c>
      <c r="Z864" s="15">
        <f t="shared" si="202"/>
        <v>12</v>
      </c>
      <c r="AA864" s="15">
        <f t="shared" si="203"/>
        <v>0.1867</v>
      </c>
    </row>
    <row r="865" spans="13:27" ht="16.5" x14ac:dyDescent="0.2">
      <c r="M865" s="15">
        <v>786</v>
      </c>
      <c r="N865" s="15">
        <f t="shared" si="192"/>
        <v>16</v>
      </c>
      <c r="O865" s="15">
        <f>INDEX(卡牌消耗!$H$13:$H$33,世界BOSS专属武器!N865)</f>
        <v>1501016</v>
      </c>
      <c r="P865" s="49" t="s">
        <v>408</v>
      </c>
      <c r="Q865" s="15">
        <f t="shared" si="193"/>
        <v>20</v>
      </c>
      <c r="R865" s="49" t="str">
        <f t="shared" si="194"/>
        <v>金币</v>
      </c>
      <c r="S865" s="15">
        <f t="shared" si="195"/>
        <v>5000</v>
      </c>
      <c r="T865" s="15" t="str">
        <f t="shared" si="196"/>
        <v>低级专属强化石</v>
      </c>
      <c r="U865" s="15">
        <f t="shared" si="197"/>
        <v>15</v>
      </c>
      <c r="V865" s="15" t="str">
        <f t="shared" si="198"/>
        <v>中级专属强化石</v>
      </c>
      <c r="W865" s="15">
        <f t="shared" si="199"/>
        <v>7</v>
      </c>
      <c r="X865" s="15">
        <f t="shared" si="200"/>
        <v>0.15</v>
      </c>
      <c r="Y865" s="15">
        <f t="shared" si="201"/>
        <v>1</v>
      </c>
      <c r="Z865" s="15">
        <f t="shared" si="202"/>
        <v>15</v>
      </c>
      <c r="AA865" s="15">
        <f t="shared" si="203"/>
        <v>0.2</v>
      </c>
    </row>
    <row r="866" spans="13:27" ht="16.5" x14ac:dyDescent="0.2">
      <c r="M866" s="15">
        <v>787</v>
      </c>
      <c r="N866" s="15">
        <f t="shared" si="192"/>
        <v>16</v>
      </c>
      <c r="O866" s="15">
        <f>INDEX(卡牌消耗!$H$13:$H$33,世界BOSS专属武器!N866)</f>
        <v>1501016</v>
      </c>
      <c r="P866" s="49" t="s">
        <v>408</v>
      </c>
      <c r="Q866" s="15">
        <f t="shared" si="193"/>
        <v>21</v>
      </c>
      <c r="R866" s="49" t="str">
        <f t="shared" si="194"/>
        <v>金币</v>
      </c>
      <c r="S866" s="15">
        <f t="shared" si="195"/>
        <v>5000</v>
      </c>
      <c r="T866" s="15" t="str">
        <f t="shared" si="196"/>
        <v>低级专属强化石</v>
      </c>
      <c r="U866" s="15">
        <f t="shared" si="197"/>
        <v>15</v>
      </c>
      <c r="V866" s="15" t="str">
        <f t="shared" si="198"/>
        <v>中级专属强化石</v>
      </c>
      <c r="W866" s="15">
        <f t="shared" si="199"/>
        <v>7</v>
      </c>
      <c r="X866" s="15">
        <f t="shared" si="200"/>
        <v>0.15</v>
      </c>
      <c r="Y866" s="15">
        <f t="shared" si="201"/>
        <v>1</v>
      </c>
      <c r="Z866" s="15">
        <f t="shared" si="202"/>
        <v>15</v>
      </c>
      <c r="AA866" s="15">
        <f t="shared" si="203"/>
        <v>0.22</v>
      </c>
    </row>
    <row r="867" spans="13:27" ht="16.5" x14ac:dyDescent="0.2">
      <c r="M867" s="15">
        <v>788</v>
      </c>
      <c r="N867" s="15">
        <f t="shared" si="192"/>
        <v>16</v>
      </c>
      <c r="O867" s="15">
        <f>INDEX(卡牌消耗!$H$13:$H$33,世界BOSS专属武器!N867)</f>
        <v>1501016</v>
      </c>
      <c r="P867" s="49" t="s">
        <v>408</v>
      </c>
      <c r="Q867" s="15">
        <f t="shared" si="193"/>
        <v>22</v>
      </c>
      <c r="R867" s="49" t="str">
        <f t="shared" si="194"/>
        <v>金币</v>
      </c>
      <c r="S867" s="15">
        <f t="shared" si="195"/>
        <v>5000</v>
      </c>
      <c r="T867" s="15" t="str">
        <f t="shared" si="196"/>
        <v>低级专属强化石</v>
      </c>
      <c r="U867" s="15">
        <f t="shared" si="197"/>
        <v>15</v>
      </c>
      <c r="V867" s="15" t="str">
        <f t="shared" si="198"/>
        <v>中级专属强化石</v>
      </c>
      <c r="W867" s="15">
        <f t="shared" si="199"/>
        <v>7</v>
      </c>
      <c r="X867" s="15">
        <f t="shared" si="200"/>
        <v>0.15</v>
      </c>
      <c r="Y867" s="15">
        <f t="shared" si="201"/>
        <v>1</v>
      </c>
      <c r="Z867" s="15">
        <f t="shared" si="202"/>
        <v>15</v>
      </c>
      <c r="AA867" s="15">
        <f t="shared" si="203"/>
        <v>0.24</v>
      </c>
    </row>
    <row r="868" spans="13:27" ht="16.5" x14ac:dyDescent="0.2">
      <c r="M868" s="15">
        <v>789</v>
      </c>
      <c r="N868" s="15">
        <f t="shared" si="192"/>
        <v>16</v>
      </c>
      <c r="O868" s="15">
        <f>INDEX(卡牌消耗!$H$13:$H$33,世界BOSS专属武器!N868)</f>
        <v>1501016</v>
      </c>
      <c r="P868" s="49" t="s">
        <v>408</v>
      </c>
      <c r="Q868" s="15">
        <f t="shared" si="193"/>
        <v>23</v>
      </c>
      <c r="R868" s="49" t="str">
        <f t="shared" si="194"/>
        <v>金币</v>
      </c>
      <c r="S868" s="15">
        <f t="shared" si="195"/>
        <v>5000</v>
      </c>
      <c r="T868" s="15" t="str">
        <f t="shared" si="196"/>
        <v>低级专属强化石</v>
      </c>
      <c r="U868" s="15">
        <f t="shared" si="197"/>
        <v>15</v>
      </c>
      <c r="V868" s="15" t="str">
        <f t="shared" si="198"/>
        <v>中级专属强化石</v>
      </c>
      <c r="W868" s="15">
        <f t="shared" si="199"/>
        <v>7</v>
      </c>
      <c r="X868" s="15">
        <f t="shared" si="200"/>
        <v>0.15</v>
      </c>
      <c r="Y868" s="15">
        <f t="shared" si="201"/>
        <v>1</v>
      </c>
      <c r="Z868" s="15">
        <f t="shared" si="202"/>
        <v>18</v>
      </c>
      <c r="AA868" s="15">
        <f t="shared" si="203"/>
        <v>0.26</v>
      </c>
    </row>
    <row r="869" spans="13:27" ht="16.5" x14ac:dyDescent="0.2">
      <c r="M869" s="15">
        <v>790</v>
      </c>
      <c r="N869" s="15">
        <f t="shared" si="192"/>
        <v>16</v>
      </c>
      <c r="O869" s="15">
        <f>INDEX(卡牌消耗!$H$13:$H$33,世界BOSS专属武器!N869)</f>
        <v>1501016</v>
      </c>
      <c r="P869" s="49" t="s">
        <v>408</v>
      </c>
      <c r="Q869" s="15">
        <f t="shared" si="193"/>
        <v>24</v>
      </c>
      <c r="R869" s="49" t="str">
        <f t="shared" si="194"/>
        <v>金币</v>
      </c>
      <c r="S869" s="15">
        <f t="shared" si="195"/>
        <v>5000</v>
      </c>
      <c r="T869" s="15" t="str">
        <f t="shared" si="196"/>
        <v>低级专属强化石</v>
      </c>
      <c r="U869" s="15">
        <f t="shared" si="197"/>
        <v>15</v>
      </c>
      <c r="V869" s="15" t="str">
        <f t="shared" si="198"/>
        <v>中级专属强化石</v>
      </c>
      <c r="W869" s="15">
        <f t="shared" si="199"/>
        <v>7</v>
      </c>
      <c r="X869" s="15">
        <f t="shared" si="200"/>
        <v>0.15</v>
      </c>
      <c r="Y869" s="15">
        <f t="shared" si="201"/>
        <v>1</v>
      </c>
      <c r="Z869" s="15">
        <f t="shared" si="202"/>
        <v>18</v>
      </c>
      <c r="AA869" s="15">
        <f t="shared" si="203"/>
        <v>0.28000000000000003</v>
      </c>
    </row>
    <row r="870" spans="13:27" ht="16.5" x14ac:dyDescent="0.2">
      <c r="M870" s="15">
        <v>791</v>
      </c>
      <c r="N870" s="15">
        <f t="shared" si="192"/>
        <v>16</v>
      </c>
      <c r="O870" s="15">
        <f>INDEX(卡牌消耗!$H$13:$H$33,世界BOSS专属武器!N870)</f>
        <v>1501016</v>
      </c>
      <c r="P870" s="49" t="s">
        <v>408</v>
      </c>
      <c r="Q870" s="15">
        <f t="shared" si="193"/>
        <v>25</v>
      </c>
      <c r="R870" s="49" t="str">
        <f t="shared" si="194"/>
        <v>金币</v>
      </c>
      <c r="S870" s="15">
        <f t="shared" si="195"/>
        <v>5000</v>
      </c>
      <c r="T870" s="15" t="str">
        <f t="shared" si="196"/>
        <v>低级专属强化石</v>
      </c>
      <c r="U870" s="15">
        <f t="shared" si="197"/>
        <v>15</v>
      </c>
      <c r="V870" s="15" t="str">
        <f t="shared" si="198"/>
        <v>中级专属强化石</v>
      </c>
      <c r="W870" s="15">
        <f t="shared" si="199"/>
        <v>7</v>
      </c>
      <c r="X870" s="15">
        <f t="shared" si="200"/>
        <v>0.15</v>
      </c>
      <c r="Y870" s="15">
        <f t="shared" si="201"/>
        <v>1</v>
      </c>
      <c r="Z870" s="15">
        <f t="shared" si="202"/>
        <v>18</v>
      </c>
      <c r="AA870" s="15">
        <f t="shared" si="203"/>
        <v>0.3</v>
      </c>
    </row>
    <row r="871" spans="13:27" ht="16.5" x14ac:dyDescent="0.2">
      <c r="M871" s="15">
        <v>792</v>
      </c>
      <c r="N871" s="15">
        <f t="shared" si="192"/>
        <v>16</v>
      </c>
      <c r="O871" s="15">
        <f>INDEX(卡牌消耗!$H$13:$H$33,世界BOSS专属武器!N871)</f>
        <v>1501016</v>
      </c>
      <c r="P871" s="49" t="s">
        <v>408</v>
      </c>
      <c r="Q871" s="15">
        <f t="shared" si="193"/>
        <v>26</v>
      </c>
      <c r="R871" s="49" t="str">
        <f t="shared" si="194"/>
        <v>金币</v>
      </c>
      <c r="S871" s="15">
        <f t="shared" si="195"/>
        <v>5000</v>
      </c>
      <c r="T871" s="15" t="str">
        <f t="shared" si="196"/>
        <v>低级专属强化石</v>
      </c>
      <c r="U871" s="15">
        <f t="shared" si="197"/>
        <v>15</v>
      </c>
      <c r="V871" s="15" t="str">
        <f t="shared" si="198"/>
        <v>中级专属强化石</v>
      </c>
      <c r="W871" s="15">
        <f t="shared" si="199"/>
        <v>7</v>
      </c>
      <c r="X871" s="15">
        <f t="shared" si="200"/>
        <v>0.15</v>
      </c>
      <c r="Y871" s="15">
        <f t="shared" si="201"/>
        <v>1</v>
      </c>
      <c r="Z871" s="15">
        <f t="shared" si="202"/>
        <v>21</v>
      </c>
      <c r="AA871" s="15">
        <f t="shared" si="203"/>
        <v>0.32</v>
      </c>
    </row>
    <row r="872" spans="13:27" ht="16.5" x14ac:dyDescent="0.2">
      <c r="M872" s="15">
        <v>793</v>
      </c>
      <c r="N872" s="15">
        <f t="shared" si="192"/>
        <v>16</v>
      </c>
      <c r="O872" s="15">
        <f>INDEX(卡牌消耗!$H$13:$H$33,世界BOSS专属武器!N872)</f>
        <v>1501016</v>
      </c>
      <c r="P872" s="49" t="s">
        <v>408</v>
      </c>
      <c r="Q872" s="15">
        <f t="shared" si="193"/>
        <v>27</v>
      </c>
      <c r="R872" s="49" t="str">
        <f t="shared" si="194"/>
        <v>金币</v>
      </c>
      <c r="S872" s="15">
        <f t="shared" si="195"/>
        <v>5000</v>
      </c>
      <c r="T872" s="15" t="str">
        <f t="shared" si="196"/>
        <v>低级专属强化石</v>
      </c>
      <c r="U872" s="15">
        <f t="shared" si="197"/>
        <v>15</v>
      </c>
      <c r="V872" s="15" t="str">
        <f t="shared" si="198"/>
        <v>中级专属强化石</v>
      </c>
      <c r="W872" s="15">
        <f t="shared" si="199"/>
        <v>7</v>
      </c>
      <c r="X872" s="15">
        <f t="shared" si="200"/>
        <v>0.15</v>
      </c>
      <c r="Y872" s="15">
        <f t="shared" si="201"/>
        <v>1</v>
      </c>
      <c r="Z872" s="15">
        <f t="shared" si="202"/>
        <v>22</v>
      </c>
      <c r="AA872" s="15">
        <f t="shared" si="203"/>
        <v>0.34</v>
      </c>
    </row>
    <row r="873" spans="13:27" ht="16.5" x14ac:dyDescent="0.2">
      <c r="M873" s="15">
        <v>794</v>
      </c>
      <c r="N873" s="15">
        <f t="shared" si="192"/>
        <v>16</v>
      </c>
      <c r="O873" s="15">
        <f>INDEX(卡牌消耗!$H$13:$H$33,世界BOSS专属武器!N873)</f>
        <v>1501016</v>
      </c>
      <c r="P873" s="49" t="s">
        <v>408</v>
      </c>
      <c r="Q873" s="15">
        <f t="shared" si="193"/>
        <v>28</v>
      </c>
      <c r="R873" s="49" t="str">
        <f t="shared" si="194"/>
        <v>金币</v>
      </c>
      <c r="S873" s="15">
        <f t="shared" si="195"/>
        <v>5000</v>
      </c>
      <c r="T873" s="15" t="str">
        <f t="shared" si="196"/>
        <v>低级专属强化石</v>
      </c>
      <c r="U873" s="15">
        <f t="shared" si="197"/>
        <v>15</v>
      </c>
      <c r="V873" s="15" t="str">
        <f t="shared" si="198"/>
        <v>中级专属强化石</v>
      </c>
      <c r="W873" s="15">
        <f t="shared" si="199"/>
        <v>7</v>
      </c>
      <c r="X873" s="15">
        <f t="shared" si="200"/>
        <v>0.15</v>
      </c>
      <c r="Y873" s="15">
        <f t="shared" si="201"/>
        <v>1</v>
      </c>
      <c r="Z873" s="15">
        <f t="shared" si="202"/>
        <v>23</v>
      </c>
      <c r="AA873" s="15">
        <f t="shared" si="203"/>
        <v>0.36</v>
      </c>
    </row>
    <row r="874" spans="13:27" ht="16.5" x14ac:dyDescent="0.2">
      <c r="M874" s="15">
        <v>795</v>
      </c>
      <c r="N874" s="15">
        <f t="shared" si="192"/>
        <v>16</v>
      </c>
      <c r="O874" s="15">
        <f>INDEX(卡牌消耗!$H$13:$H$33,世界BOSS专属武器!N874)</f>
        <v>1501016</v>
      </c>
      <c r="P874" s="49" t="s">
        <v>408</v>
      </c>
      <c r="Q874" s="15">
        <f t="shared" si="193"/>
        <v>29</v>
      </c>
      <c r="R874" s="49" t="str">
        <f t="shared" si="194"/>
        <v>金币</v>
      </c>
      <c r="S874" s="15">
        <f t="shared" si="195"/>
        <v>5000</v>
      </c>
      <c r="T874" s="15" t="str">
        <f t="shared" si="196"/>
        <v>低级专属强化石</v>
      </c>
      <c r="U874" s="15">
        <f t="shared" si="197"/>
        <v>15</v>
      </c>
      <c r="V874" s="15" t="str">
        <f t="shared" si="198"/>
        <v>中级专属强化石</v>
      </c>
      <c r="W874" s="15">
        <f t="shared" si="199"/>
        <v>7</v>
      </c>
      <c r="X874" s="15">
        <f t="shared" si="200"/>
        <v>0.15</v>
      </c>
      <c r="Y874" s="15">
        <f t="shared" si="201"/>
        <v>1</v>
      </c>
      <c r="Z874" s="15">
        <f t="shared" si="202"/>
        <v>25</v>
      </c>
      <c r="AA874" s="15">
        <f t="shared" si="203"/>
        <v>0.38</v>
      </c>
    </row>
    <row r="875" spans="13:27" ht="16.5" x14ac:dyDescent="0.2">
      <c r="M875" s="15">
        <v>796</v>
      </c>
      <c r="N875" s="15">
        <f t="shared" si="192"/>
        <v>16</v>
      </c>
      <c r="O875" s="15">
        <f>INDEX(卡牌消耗!$H$13:$H$33,世界BOSS专属武器!N875)</f>
        <v>1501016</v>
      </c>
      <c r="P875" s="49" t="s">
        <v>408</v>
      </c>
      <c r="Q875" s="15">
        <f t="shared" si="193"/>
        <v>30</v>
      </c>
      <c r="R875" s="49" t="str">
        <f t="shared" si="194"/>
        <v>金币</v>
      </c>
      <c r="S875" s="15">
        <f t="shared" si="195"/>
        <v>10000</v>
      </c>
      <c r="T875" s="15" t="str">
        <f t="shared" si="196"/>
        <v>中级专属强化石</v>
      </c>
      <c r="U875" s="15">
        <f t="shared" si="197"/>
        <v>8</v>
      </c>
      <c r="V875" s="15" t="str">
        <f t="shared" si="198"/>
        <v>高级专属强化石</v>
      </c>
      <c r="W875" s="15">
        <f t="shared" si="199"/>
        <v>3</v>
      </c>
      <c r="X875" s="15">
        <f t="shared" si="200"/>
        <v>0.1</v>
      </c>
      <c r="Y875" s="15">
        <f t="shared" si="201"/>
        <v>1</v>
      </c>
      <c r="Z875" s="15">
        <f t="shared" si="202"/>
        <v>30</v>
      </c>
      <c r="AA875" s="15">
        <f t="shared" si="203"/>
        <v>0.4</v>
      </c>
    </row>
    <row r="876" spans="13:27" ht="16.5" x14ac:dyDescent="0.2">
      <c r="M876" s="15">
        <v>797</v>
      </c>
      <c r="N876" s="15">
        <f t="shared" si="192"/>
        <v>16</v>
      </c>
      <c r="O876" s="15">
        <f>INDEX(卡牌消耗!$H$13:$H$33,世界BOSS专属武器!N876)</f>
        <v>1501016</v>
      </c>
      <c r="P876" s="49" t="s">
        <v>408</v>
      </c>
      <c r="Q876" s="15">
        <f t="shared" si="193"/>
        <v>31</v>
      </c>
      <c r="R876" s="49" t="str">
        <f t="shared" si="194"/>
        <v>金币</v>
      </c>
      <c r="S876" s="15">
        <f t="shared" si="195"/>
        <v>10000</v>
      </c>
      <c r="T876" s="15" t="str">
        <f t="shared" si="196"/>
        <v>中级专属强化石</v>
      </c>
      <c r="U876" s="15">
        <f t="shared" si="197"/>
        <v>8</v>
      </c>
      <c r="V876" s="15" t="str">
        <f t="shared" si="198"/>
        <v>高级专属强化石</v>
      </c>
      <c r="W876" s="15">
        <f t="shared" si="199"/>
        <v>3</v>
      </c>
      <c r="X876" s="15">
        <f t="shared" si="200"/>
        <v>0.1</v>
      </c>
      <c r="Y876" s="15">
        <f t="shared" si="201"/>
        <v>1</v>
      </c>
      <c r="Z876" s="15">
        <f t="shared" si="202"/>
        <v>30</v>
      </c>
      <c r="AA876" s="15">
        <f t="shared" si="203"/>
        <v>0.42670000000000002</v>
      </c>
    </row>
    <row r="877" spans="13:27" ht="16.5" x14ac:dyDescent="0.2">
      <c r="M877" s="15">
        <v>798</v>
      </c>
      <c r="N877" s="15">
        <f t="shared" si="192"/>
        <v>16</v>
      </c>
      <c r="O877" s="15">
        <f>INDEX(卡牌消耗!$H$13:$H$33,世界BOSS专属武器!N877)</f>
        <v>1501016</v>
      </c>
      <c r="P877" s="49" t="s">
        <v>408</v>
      </c>
      <c r="Q877" s="15">
        <f t="shared" si="193"/>
        <v>32</v>
      </c>
      <c r="R877" s="49" t="str">
        <f t="shared" si="194"/>
        <v>金币</v>
      </c>
      <c r="S877" s="15">
        <f t="shared" si="195"/>
        <v>10000</v>
      </c>
      <c r="T877" s="15" t="str">
        <f t="shared" si="196"/>
        <v>中级专属强化石</v>
      </c>
      <c r="U877" s="15">
        <f t="shared" si="197"/>
        <v>8</v>
      </c>
      <c r="V877" s="15" t="str">
        <f t="shared" si="198"/>
        <v>高级专属强化石</v>
      </c>
      <c r="W877" s="15">
        <f t="shared" si="199"/>
        <v>3</v>
      </c>
      <c r="X877" s="15">
        <f t="shared" si="200"/>
        <v>0.1</v>
      </c>
      <c r="Y877" s="15">
        <f t="shared" si="201"/>
        <v>1</v>
      </c>
      <c r="Z877" s="15">
        <f t="shared" si="202"/>
        <v>30</v>
      </c>
      <c r="AA877" s="15">
        <f t="shared" si="203"/>
        <v>0.45329999999999998</v>
      </c>
    </row>
    <row r="878" spans="13:27" ht="16.5" x14ac:dyDescent="0.2">
      <c r="M878" s="15">
        <v>799</v>
      </c>
      <c r="N878" s="15">
        <f t="shared" si="192"/>
        <v>16</v>
      </c>
      <c r="O878" s="15">
        <f>INDEX(卡牌消耗!$H$13:$H$33,世界BOSS专属武器!N878)</f>
        <v>1501016</v>
      </c>
      <c r="P878" s="49" t="s">
        <v>408</v>
      </c>
      <c r="Q878" s="15">
        <f t="shared" si="193"/>
        <v>33</v>
      </c>
      <c r="R878" s="49" t="str">
        <f t="shared" si="194"/>
        <v>金币</v>
      </c>
      <c r="S878" s="15">
        <f t="shared" si="195"/>
        <v>10000</v>
      </c>
      <c r="T878" s="15" t="str">
        <f t="shared" si="196"/>
        <v>中级专属强化石</v>
      </c>
      <c r="U878" s="15">
        <f t="shared" si="197"/>
        <v>8</v>
      </c>
      <c r="V878" s="15" t="str">
        <f t="shared" si="198"/>
        <v>高级专属强化石</v>
      </c>
      <c r="W878" s="15">
        <f t="shared" si="199"/>
        <v>3</v>
      </c>
      <c r="X878" s="15">
        <f t="shared" si="200"/>
        <v>0.1</v>
      </c>
      <c r="Y878" s="15">
        <f t="shared" si="201"/>
        <v>1</v>
      </c>
      <c r="Z878" s="15">
        <f t="shared" si="202"/>
        <v>30</v>
      </c>
      <c r="AA878" s="15">
        <f t="shared" si="203"/>
        <v>0.48</v>
      </c>
    </row>
    <row r="879" spans="13:27" ht="16.5" x14ac:dyDescent="0.2">
      <c r="M879" s="15">
        <v>800</v>
      </c>
      <c r="N879" s="15">
        <f t="shared" si="192"/>
        <v>16</v>
      </c>
      <c r="O879" s="15">
        <f>INDEX(卡牌消耗!$H$13:$H$33,世界BOSS专属武器!N879)</f>
        <v>1501016</v>
      </c>
      <c r="P879" s="49" t="s">
        <v>408</v>
      </c>
      <c r="Q879" s="15">
        <f t="shared" si="193"/>
        <v>34</v>
      </c>
      <c r="R879" s="49" t="str">
        <f t="shared" si="194"/>
        <v>金币</v>
      </c>
      <c r="S879" s="15">
        <f t="shared" si="195"/>
        <v>10000</v>
      </c>
      <c r="T879" s="15" t="str">
        <f t="shared" si="196"/>
        <v>中级专属强化石</v>
      </c>
      <c r="U879" s="15">
        <f t="shared" si="197"/>
        <v>8</v>
      </c>
      <c r="V879" s="15" t="str">
        <f t="shared" si="198"/>
        <v>高级专属强化石</v>
      </c>
      <c r="W879" s="15">
        <f t="shared" si="199"/>
        <v>3</v>
      </c>
      <c r="X879" s="15">
        <f t="shared" si="200"/>
        <v>0.1</v>
      </c>
      <c r="Y879" s="15">
        <f t="shared" si="201"/>
        <v>1</v>
      </c>
      <c r="Z879" s="15">
        <f t="shared" si="202"/>
        <v>30</v>
      </c>
      <c r="AA879" s="15">
        <f t="shared" si="203"/>
        <v>0.50670000000000004</v>
      </c>
    </row>
    <row r="880" spans="13:27" ht="16.5" x14ac:dyDescent="0.2">
      <c r="M880" s="15">
        <v>801</v>
      </c>
      <c r="N880" s="15">
        <f t="shared" si="192"/>
        <v>16</v>
      </c>
      <c r="O880" s="15">
        <f>INDEX(卡牌消耗!$H$13:$H$33,世界BOSS专属武器!N880)</f>
        <v>1501016</v>
      </c>
      <c r="P880" s="49" t="s">
        <v>408</v>
      </c>
      <c r="Q880" s="15">
        <f t="shared" si="193"/>
        <v>35</v>
      </c>
      <c r="R880" s="49" t="str">
        <f t="shared" si="194"/>
        <v>金币</v>
      </c>
      <c r="S880" s="15">
        <f t="shared" si="195"/>
        <v>10000</v>
      </c>
      <c r="T880" s="15" t="str">
        <f t="shared" si="196"/>
        <v>中级专属强化石</v>
      </c>
      <c r="U880" s="15">
        <f t="shared" si="197"/>
        <v>8</v>
      </c>
      <c r="V880" s="15" t="str">
        <f t="shared" si="198"/>
        <v>高级专属强化石</v>
      </c>
      <c r="W880" s="15">
        <f t="shared" si="199"/>
        <v>3</v>
      </c>
      <c r="X880" s="15">
        <f t="shared" si="200"/>
        <v>0.1</v>
      </c>
      <c r="Y880" s="15">
        <f t="shared" si="201"/>
        <v>1</v>
      </c>
      <c r="Z880" s="15">
        <f t="shared" si="202"/>
        <v>30</v>
      </c>
      <c r="AA880" s="15">
        <f t="shared" si="203"/>
        <v>0.5333</v>
      </c>
    </row>
    <row r="881" spans="13:27" ht="16.5" x14ac:dyDescent="0.2">
      <c r="M881" s="15">
        <v>802</v>
      </c>
      <c r="N881" s="15">
        <f t="shared" si="192"/>
        <v>16</v>
      </c>
      <c r="O881" s="15">
        <f>INDEX(卡牌消耗!$H$13:$H$33,世界BOSS专属武器!N881)</f>
        <v>1501016</v>
      </c>
      <c r="P881" s="49" t="s">
        <v>408</v>
      </c>
      <c r="Q881" s="15">
        <f t="shared" si="193"/>
        <v>36</v>
      </c>
      <c r="R881" s="49" t="str">
        <f t="shared" si="194"/>
        <v>金币</v>
      </c>
      <c r="S881" s="15">
        <f t="shared" si="195"/>
        <v>10000</v>
      </c>
      <c r="T881" s="15" t="str">
        <f t="shared" si="196"/>
        <v>中级专属强化石</v>
      </c>
      <c r="U881" s="15">
        <f t="shared" si="197"/>
        <v>8</v>
      </c>
      <c r="V881" s="15" t="str">
        <f t="shared" si="198"/>
        <v>高级专属强化石</v>
      </c>
      <c r="W881" s="15">
        <f t="shared" si="199"/>
        <v>3</v>
      </c>
      <c r="X881" s="15">
        <f t="shared" si="200"/>
        <v>0.1</v>
      </c>
      <c r="Y881" s="15">
        <f t="shared" si="201"/>
        <v>1</v>
      </c>
      <c r="Z881" s="15">
        <f t="shared" si="202"/>
        <v>30</v>
      </c>
      <c r="AA881" s="15">
        <f t="shared" si="203"/>
        <v>0.56000000000000005</v>
      </c>
    </row>
    <row r="882" spans="13:27" ht="16.5" x14ac:dyDescent="0.2">
      <c r="M882" s="15">
        <v>803</v>
      </c>
      <c r="N882" s="15">
        <f t="shared" si="192"/>
        <v>16</v>
      </c>
      <c r="O882" s="15">
        <f>INDEX(卡牌消耗!$H$13:$H$33,世界BOSS专属武器!N882)</f>
        <v>1501016</v>
      </c>
      <c r="P882" s="49" t="s">
        <v>408</v>
      </c>
      <c r="Q882" s="15">
        <f t="shared" si="193"/>
        <v>37</v>
      </c>
      <c r="R882" s="49" t="str">
        <f t="shared" si="194"/>
        <v>金币</v>
      </c>
      <c r="S882" s="15">
        <f t="shared" si="195"/>
        <v>10000</v>
      </c>
      <c r="T882" s="15" t="str">
        <f t="shared" si="196"/>
        <v>中级专属强化石</v>
      </c>
      <c r="U882" s="15">
        <f t="shared" si="197"/>
        <v>8</v>
      </c>
      <c r="V882" s="15" t="str">
        <f t="shared" si="198"/>
        <v>高级专属强化石</v>
      </c>
      <c r="W882" s="15">
        <f t="shared" si="199"/>
        <v>3</v>
      </c>
      <c r="X882" s="15">
        <f t="shared" si="200"/>
        <v>0.1</v>
      </c>
      <c r="Y882" s="15">
        <f t="shared" si="201"/>
        <v>1</v>
      </c>
      <c r="Z882" s="15">
        <f t="shared" si="202"/>
        <v>30</v>
      </c>
      <c r="AA882" s="15">
        <f t="shared" si="203"/>
        <v>0.5867</v>
      </c>
    </row>
    <row r="883" spans="13:27" ht="16.5" x14ac:dyDescent="0.2">
      <c r="M883" s="15">
        <v>804</v>
      </c>
      <c r="N883" s="15">
        <f t="shared" si="192"/>
        <v>16</v>
      </c>
      <c r="O883" s="15">
        <f>INDEX(卡牌消耗!$H$13:$H$33,世界BOSS专属武器!N883)</f>
        <v>1501016</v>
      </c>
      <c r="P883" s="49" t="s">
        <v>408</v>
      </c>
      <c r="Q883" s="15">
        <f t="shared" si="193"/>
        <v>38</v>
      </c>
      <c r="R883" s="49" t="str">
        <f t="shared" si="194"/>
        <v>金币</v>
      </c>
      <c r="S883" s="15">
        <f t="shared" si="195"/>
        <v>10000</v>
      </c>
      <c r="T883" s="15" t="str">
        <f t="shared" si="196"/>
        <v>中级专属强化石</v>
      </c>
      <c r="U883" s="15">
        <f t="shared" si="197"/>
        <v>8</v>
      </c>
      <c r="V883" s="15" t="str">
        <f t="shared" si="198"/>
        <v>高级专属强化石</v>
      </c>
      <c r="W883" s="15">
        <f t="shared" si="199"/>
        <v>3</v>
      </c>
      <c r="X883" s="15">
        <f t="shared" si="200"/>
        <v>0.1</v>
      </c>
      <c r="Y883" s="15">
        <f t="shared" si="201"/>
        <v>1</v>
      </c>
      <c r="Z883" s="15">
        <f t="shared" si="202"/>
        <v>30</v>
      </c>
      <c r="AA883" s="15">
        <f t="shared" si="203"/>
        <v>0.61329999999999996</v>
      </c>
    </row>
    <row r="884" spans="13:27" ht="16.5" x14ac:dyDescent="0.2">
      <c r="M884" s="15">
        <v>805</v>
      </c>
      <c r="N884" s="15">
        <f t="shared" si="192"/>
        <v>16</v>
      </c>
      <c r="O884" s="15">
        <f>INDEX(卡牌消耗!$H$13:$H$33,世界BOSS专属武器!N884)</f>
        <v>1501016</v>
      </c>
      <c r="P884" s="49" t="s">
        <v>408</v>
      </c>
      <c r="Q884" s="15">
        <f t="shared" si="193"/>
        <v>39</v>
      </c>
      <c r="R884" s="49" t="str">
        <f t="shared" si="194"/>
        <v>金币</v>
      </c>
      <c r="S884" s="15">
        <f t="shared" si="195"/>
        <v>10000</v>
      </c>
      <c r="T884" s="15" t="str">
        <f t="shared" si="196"/>
        <v>中级专属强化石</v>
      </c>
      <c r="U884" s="15">
        <f t="shared" si="197"/>
        <v>8</v>
      </c>
      <c r="V884" s="15" t="str">
        <f t="shared" si="198"/>
        <v>高级专属强化石</v>
      </c>
      <c r="W884" s="15">
        <f t="shared" si="199"/>
        <v>3</v>
      </c>
      <c r="X884" s="15">
        <f t="shared" si="200"/>
        <v>0.1</v>
      </c>
      <c r="Y884" s="15">
        <f t="shared" si="201"/>
        <v>1</v>
      </c>
      <c r="Z884" s="15">
        <f t="shared" si="202"/>
        <v>30</v>
      </c>
      <c r="AA884" s="15">
        <f t="shared" si="203"/>
        <v>0.64</v>
      </c>
    </row>
    <row r="885" spans="13:27" ht="16.5" x14ac:dyDescent="0.2">
      <c r="M885" s="15">
        <v>806</v>
      </c>
      <c r="N885" s="15">
        <f t="shared" si="192"/>
        <v>16</v>
      </c>
      <c r="O885" s="15">
        <f>INDEX(卡牌消耗!$H$13:$H$33,世界BOSS专属武器!N885)</f>
        <v>1501016</v>
      </c>
      <c r="P885" s="49" t="s">
        <v>408</v>
      </c>
      <c r="Q885" s="15">
        <f t="shared" si="193"/>
        <v>40</v>
      </c>
      <c r="R885" s="49" t="str">
        <f t="shared" si="194"/>
        <v>金币</v>
      </c>
      <c r="S885" s="15">
        <f t="shared" si="195"/>
        <v>20000</v>
      </c>
      <c r="T885" s="15" t="str">
        <f t="shared" si="196"/>
        <v>高级专属强化石</v>
      </c>
      <c r="U885" s="15">
        <f t="shared" si="197"/>
        <v>5</v>
      </c>
      <c r="V885" s="15" t="str">
        <f t="shared" si="198"/>
        <v>[x]</v>
      </c>
      <c r="W885" s="15" t="str">
        <f t="shared" si="199"/>
        <v>[x]</v>
      </c>
      <c r="X885" s="15">
        <f t="shared" si="200"/>
        <v>0.1</v>
      </c>
      <c r="Y885" s="15">
        <f t="shared" si="201"/>
        <v>1</v>
      </c>
      <c r="Z885" s="15">
        <f t="shared" si="202"/>
        <v>35</v>
      </c>
      <c r="AA885" s="15">
        <f t="shared" si="203"/>
        <v>0.66669999999999996</v>
      </c>
    </row>
    <row r="886" spans="13:27" ht="16.5" x14ac:dyDescent="0.2">
      <c r="M886" s="15">
        <v>807</v>
      </c>
      <c r="N886" s="15">
        <f t="shared" si="192"/>
        <v>16</v>
      </c>
      <c r="O886" s="15">
        <f>INDEX(卡牌消耗!$H$13:$H$33,世界BOSS专属武器!N886)</f>
        <v>1501016</v>
      </c>
      <c r="P886" s="49" t="s">
        <v>408</v>
      </c>
      <c r="Q886" s="15">
        <f t="shared" si="193"/>
        <v>41</v>
      </c>
      <c r="R886" s="49" t="str">
        <f t="shared" si="194"/>
        <v>金币</v>
      </c>
      <c r="S886" s="15">
        <f t="shared" si="195"/>
        <v>20000</v>
      </c>
      <c r="T886" s="15" t="str">
        <f t="shared" si="196"/>
        <v>高级专属强化石</v>
      </c>
      <c r="U886" s="15">
        <f t="shared" si="197"/>
        <v>5</v>
      </c>
      <c r="V886" s="15" t="str">
        <f t="shared" si="198"/>
        <v>[x]</v>
      </c>
      <c r="W886" s="15" t="str">
        <f t="shared" si="199"/>
        <v>[x]</v>
      </c>
      <c r="X886" s="15">
        <f t="shared" si="200"/>
        <v>0.1</v>
      </c>
      <c r="Y886" s="15">
        <f t="shared" si="201"/>
        <v>1</v>
      </c>
      <c r="Z886" s="15">
        <f t="shared" si="202"/>
        <v>40</v>
      </c>
      <c r="AA886" s="15">
        <f t="shared" si="203"/>
        <v>0.7</v>
      </c>
    </row>
    <row r="887" spans="13:27" ht="16.5" x14ac:dyDescent="0.2">
      <c r="M887" s="15">
        <v>808</v>
      </c>
      <c r="N887" s="15">
        <f t="shared" si="192"/>
        <v>16</v>
      </c>
      <c r="O887" s="15">
        <f>INDEX(卡牌消耗!$H$13:$H$33,世界BOSS专属武器!N887)</f>
        <v>1501016</v>
      </c>
      <c r="P887" s="49" t="s">
        <v>408</v>
      </c>
      <c r="Q887" s="15">
        <f t="shared" si="193"/>
        <v>42</v>
      </c>
      <c r="R887" s="49" t="str">
        <f t="shared" si="194"/>
        <v>金币</v>
      </c>
      <c r="S887" s="15">
        <f t="shared" si="195"/>
        <v>20000</v>
      </c>
      <c r="T887" s="15" t="str">
        <f t="shared" si="196"/>
        <v>高级专属强化石</v>
      </c>
      <c r="U887" s="15">
        <f t="shared" si="197"/>
        <v>5</v>
      </c>
      <c r="V887" s="15" t="str">
        <f t="shared" si="198"/>
        <v>[x]</v>
      </c>
      <c r="W887" s="15" t="str">
        <f t="shared" si="199"/>
        <v>[x]</v>
      </c>
      <c r="X887" s="15">
        <f t="shared" si="200"/>
        <v>0.1</v>
      </c>
      <c r="Y887" s="15">
        <f t="shared" si="201"/>
        <v>1</v>
      </c>
      <c r="Z887" s="15">
        <f t="shared" si="202"/>
        <v>45</v>
      </c>
      <c r="AA887" s="15">
        <f t="shared" si="203"/>
        <v>0.73329999999999995</v>
      </c>
    </row>
    <row r="888" spans="13:27" ht="16.5" x14ac:dyDescent="0.2">
      <c r="M888" s="15">
        <v>809</v>
      </c>
      <c r="N888" s="15">
        <f t="shared" si="192"/>
        <v>16</v>
      </c>
      <c r="O888" s="15">
        <f>INDEX(卡牌消耗!$H$13:$H$33,世界BOSS专属武器!N888)</f>
        <v>1501016</v>
      </c>
      <c r="P888" s="49" t="s">
        <v>408</v>
      </c>
      <c r="Q888" s="15">
        <f t="shared" si="193"/>
        <v>43</v>
      </c>
      <c r="R888" s="49" t="str">
        <f t="shared" si="194"/>
        <v>金币</v>
      </c>
      <c r="S888" s="15">
        <f t="shared" si="195"/>
        <v>20000</v>
      </c>
      <c r="T888" s="15" t="str">
        <f t="shared" si="196"/>
        <v>高级专属强化石</v>
      </c>
      <c r="U888" s="15">
        <f t="shared" si="197"/>
        <v>5</v>
      </c>
      <c r="V888" s="15" t="str">
        <f t="shared" si="198"/>
        <v>[x]</v>
      </c>
      <c r="W888" s="15" t="str">
        <f t="shared" si="199"/>
        <v>[x]</v>
      </c>
      <c r="X888" s="15">
        <f t="shared" si="200"/>
        <v>0.1</v>
      </c>
      <c r="Y888" s="15">
        <f t="shared" si="201"/>
        <v>1</v>
      </c>
      <c r="Z888" s="15">
        <f t="shared" si="202"/>
        <v>50</v>
      </c>
      <c r="AA888" s="15">
        <f t="shared" si="203"/>
        <v>0.76670000000000005</v>
      </c>
    </row>
    <row r="889" spans="13:27" ht="16.5" x14ac:dyDescent="0.2">
      <c r="M889" s="15">
        <v>810</v>
      </c>
      <c r="N889" s="15">
        <f t="shared" si="192"/>
        <v>16</v>
      </c>
      <c r="O889" s="15">
        <f>INDEX(卡牌消耗!$H$13:$H$33,世界BOSS专属武器!N889)</f>
        <v>1501016</v>
      </c>
      <c r="P889" s="49" t="s">
        <v>408</v>
      </c>
      <c r="Q889" s="15">
        <f t="shared" si="193"/>
        <v>44</v>
      </c>
      <c r="R889" s="49" t="str">
        <f t="shared" si="194"/>
        <v>金币</v>
      </c>
      <c r="S889" s="15">
        <f t="shared" si="195"/>
        <v>20000</v>
      </c>
      <c r="T889" s="15" t="str">
        <f t="shared" si="196"/>
        <v>高级专属强化石</v>
      </c>
      <c r="U889" s="15">
        <f t="shared" si="197"/>
        <v>5</v>
      </c>
      <c r="V889" s="15" t="str">
        <f t="shared" si="198"/>
        <v>[x]</v>
      </c>
      <c r="W889" s="15" t="str">
        <f t="shared" si="199"/>
        <v>[x]</v>
      </c>
      <c r="X889" s="15">
        <f t="shared" si="200"/>
        <v>0.1</v>
      </c>
      <c r="Y889" s="15">
        <f t="shared" si="201"/>
        <v>1</v>
      </c>
      <c r="Z889" s="15">
        <f t="shared" si="202"/>
        <v>55</v>
      </c>
      <c r="AA889" s="15">
        <f t="shared" si="203"/>
        <v>0.8</v>
      </c>
    </row>
    <row r="890" spans="13:27" ht="16.5" x14ac:dyDescent="0.2">
      <c r="M890" s="15">
        <v>811</v>
      </c>
      <c r="N890" s="15">
        <f t="shared" si="192"/>
        <v>16</v>
      </c>
      <c r="O890" s="15">
        <f>INDEX(卡牌消耗!$H$13:$H$33,世界BOSS专属武器!N890)</f>
        <v>1501016</v>
      </c>
      <c r="P890" s="49" t="s">
        <v>408</v>
      </c>
      <c r="Q890" s="15">
        <f t="shared" si="193"/>
        <v>45</v>
      </c>
      <c r="R890" s="49" t="str">
        <f t="shared" si="194"/>
        <v>金币</v>
      </c>
      <c r="S890" s="15">
        <f t="shared" si="195"/>
        <v>20000</v>
      </c>
      <c r="T890" s="15" t="str">
        <f t="shared" si="196"/>
        <v>高级专属强化石</v>
      </c>
      <c r="U890" s="15">
        <f t="shared" si="197"/>
        <v>6</v>
      </c>
      <c r="V890" s="15" t="str">
        <f t="shared" si="198"/>
        <v>[x]</v>
      </c>
      <c r="W890" s="15" t="str">
        <f t="shared" si="199"/>
        <v>[x]</v>
      </c>
      <c r="X890" s="15">
        <f t="shared" si="200"/>
        <v>0.1</v>
      </c>
      <c r="Y890" s="15">
        <f t="shared" si="201"/>
        <v>1</v>
      </c>
      <c r="Z890" s="15">
        <f t="shared" si="202"/>
        <v>60</v>
      </c>
      <c r="AA890" s="15">
        <f t="shared" si="203"/>
        <v>0.83330000000000004</v>
      </c>
    </row>
    <row r="891" spans="13:27" ht="16.5" x14ac:dyDescent="0.2">
      <c r="M891" s="15">
        <v>812</v>
      </c>
      <c r="N891" s="15">
        <f t="shared" si="192"/>
        <v>16</v>
      </c>
      <c r="O891" s="15">
        <f>INDEX(卡牌消耗!$H$13:$H$33,世界BOSS专属武器!N891)</f>
        <v>1501016</v>
      </c>
      <c r="P891" s="49" t="s">
        <v>408</v>
      </c>
      <c r="Q891" s="15">
        <f t="shared" si="193"/>
        <v>46</v>
      </c>
      <c r="R891" s="49" t="str">
        <f t="shared" si="194"/>
        <v>金币</v>
      </c>
      <c r="S891" s="15">
        <f t="shared" si="195"/>
        <v>20000</v>
      </c>
      <c r="T891" s="15" t="str">
        <f t="shared" si="196"/>
        <v>高级专属强化石</v>
      </c>
      <c r="U891" s="15">
        <f t="shared" si="197"/>
        <v>7</v>
      </c>
      <c r="V891" s="15" t="str">
        <f t="shared" si="198"/>
        <v>[x]</v>
      </c>
      <c r="W891" s="15" t="str">
        <f t="shared" si="199"/>
        <v>[x]</v>
      </c>
      <c r="X891" s="15">
        <f t="shared" si="200"/>
        <v>0.1</v>
      </c>
      <c r="Y891" s="15">
        <f t="shared" si="201"/>
        <v>1</v>
      </c>
      <c r="Z891" s="15">
        <f t="shared" si="202"/>
        <v>70</v>
      </c>
      <c r="AA891" s="15">
        <f t="shared" si="203"/>
        <v>0.86670000000000003</v>
      </c>
    </row>
    <row r="892" spans="13:27" ht="16.5" x14ac:dyDescent="0.2">
      <c r="M892" s="15">
        <v>813</v>
      </c>
      <c r="N892" s="15">
        <f t="shared" si="192"/>
        <v>16</v>
      </c>
      <c r="O892" s="15">
        <f>INDEX(卡牌消耗!$H$13:$H$33,世界BOSS专属武器!N892)</f>
        <v>1501016</v>
      </c>
      <c r="P892" s="49" t="s">
        <v>408</v>
      </c>
      <c r="Q892" s="15">
        <f t="shared" si="193"/>
        <v>47</v>
      </c>
      <c r="R892" s="49" t="str">
        <f t="shared" si="194"/>
        <v>金币</v>
      </c>
      <c r="S892" s="15">
        <f t="shared" si="195"/>
        <v>20000</v>
      </c>
      <c r="T892" s="15" t="str">
        <f t="shared" si="196"/>
        <v>高级专属强化石</v>
      </c>
      <c r="U892" s="15">
        <f t="shared" si="197"/>
        <v>8</v>
      </c>
      <c r="V892" s="15" t="str">
        <f t="shared" si="198"/>
        <v>[x]</v>
      </c>
      <c r="W892" s="15" t="str">
        <f t="shared" si="199"/>
        <v>[x]</v>
      </c>
      <c r="X892" s="15">
        <f t="shared" si="200"/>
        <v>0.1</v>
      </c>
      <c r="Y892" s="15">
        <f t="shared" si="201"/>
        <v>1</v>
      </c>
      <c r="Z892" s="15">
        <f t="shared" si="202"/>
        <v>80</v>
      </c>
      <c r="AA892" s="15">
        <f t="shared" si="203"/>
        <v>0.9</v>
      </c>
    </row>
    <row r="893" spans="13:27" ht="16.5" x14ac:dyDescent="0.2">
      <c r="M893" s="15">
        <v>814</v>
      </c>
      <c r="N893" s="15">
        <f t="shared" si="192"/>
        <v>16</v>
      </c>
      <c r="O893" s="15">
        <f>INDEX(卡牌消耗!$H$13:$H$33,世界BOSS专属武器!N893)</f>
        <v>1501016</v>
      </c>
      <c r="P893" s="49" t="s">
        <v>408</v>
      </c>
      <c r="Q893" s="15">
        <f t="shared" si="193"/>
        <v>48</v>
      </c>
      <c r="R893" s="49" t="str">
        <f t="shared" si="194"/>
        <v>金币</v>
      </c>
      <c r="S893" s="15">
        <f t="shared" si="195"/>
        <v>20000</v>
      </c>
      <c r="T893" s="15" t="str">
        <f t="shared" si="196"/>
        <v>高级专属强化石</v>
      </c>
      <c r="U893" s="15">
        <f t="shared" si="197"/>
        <v>9</v>
      </c>
      <c r="V893" s="15" t="str">
        <f t="shared" si="198"/>
        <v>[x]</v>
      </c>
      <c r="W893" s="15" t="str">
        <f t="shared" si="199"/>
        <v>[x]</v>
      </c>
      <c r="X893" s="15">
        <f t="shared" si="200"/>
        <v>0.1</v>
      </c>
      <c r="Y893" s="15">
        <f t="shared" si="201"/>
        <v>1</v>
      </c>
      <c r="Z893" s="15">
        <f t="shared" si="202"/>
        <v>100</v>
      </c>
      <c r="AA893" s="15">
        <f t="shared" si="203"/>
        <v>0.93330000000000002</v>
      </c>
    </row>
    <row r="894" spans="13:27" ht="16.5" x14ac:dyDescent="0.2">
      <c r="M894" s="15">
        <v>815</v>
      </c>
      <c r="N894" s="15">
        <f t="shared" si="192"/>
        <v>16</v>
      </c>
      <c r="O894" s="15">
        <f>INDEX(卡牌消耗!$H$13:$H$33,世界BOSS专属武器!N894)</f>
        <v>1501016</v>
      </c>
      <c r="P894" s="49" t="s">
        <v>408</v>
      </c>
      <c r="Q894" s="15">
        <f t="shared" si="193"/>
        <v>49</v>
      </c>
      <c r="R894" s="49" t="str">
        <f t="shared" si="194"/>
        <v>金币</v>
      </c>
      <c r="S894" s="15">
        <f t="shared" si="195"/>
        <v>20000</v>
      </c>
      <c r="T894" s="15" t="str">
        <f t="shared" si="196"/>
        <v>高级专属强化石</v>
      </c>
      <c r="U894" s="15">
        <f t="shared" si="197"/>
        <v>10</v>
      </c>
      <c r="V894" s="15" t="str">
        <f t="shared" si="198"/>
        <v>[x]</v>
      </c>
      <c r="W894" s="15" t="str">
        <f t="shared" si="199"/>
        <v>[x]</v>
      </c>
      <c r="X894" s="15">
        <f t="shared" si="200"/>
        <v>0.1</v>
      </c>
      <c r="Y894" s="15">
        <f t="shared" si="201"/>
        <v>1</v>
      </c>
      <c r="Z894" s="15">
        <f t="shared" si="202"/>
        <v>120</v>
      </c>
      <c r="AA894" s="15">
        <f t="shared" si="203"/>
        <v>0.9667</v>
      </c>
    </row>
    <row r="895" spans="13:27" ht="16.5" x14ac:dyDescent="0.2">
      <c r="M895" s="15">
        <v>816</v>
      </c>
      <c r="N895" s="15">
        <f t="shared" si="192"/>
        <v>16</v>
      </c>
      <c r="O895" s="15">
        <f>INDEX(卡牌消耗!$H$13:$H$33,世界BOSS专属武器!N895)</f>
        <v>1501016</v>
      </c>
      <c r="P895" s="49" t="s">
        <v>408</v>
      </c>
      <c r="Q895" s="15">
        <f t="shared" si="193"/>
        <v>50</v>
      </c>
      <c r="R895" s="49" t="str">
        <f t="shared" si="194"/>
        <v>金币</v>
      </c>
      <c r="S895" s="15">
        <f t="shared" si="195"/>
        <v>20000</v>
      </c>
      <c r="T895" s="15" t="str">
        <f t="shared" si="196"/>
        <v>高级专属强化石</v>
      </c>
      <c r="U895" s="15">
        <f t="shared" si="197"/>
        <v>15</v>
      </c>
      <c r="V895" s="15" t="str">
        <f t="shared" si="198"/>
        <v>[x]</v>
      </c>
      <c r="W895" s="15" t="str">
        <f t="shared" si="199"/>
        <v>[x]</v>
      </c>
      <c r="X895" s="15">
        <f t="shared" si="200"/>
        <v>0.1</v>
      </c>
      <c r="Y895" s="15">
        <f t="shared" si="201"/>
        <v>1</v>
      </c>
      <c r="Z895" s="15">
        <f t="shared" si="202"/>
        <v>150</v>
      </c>
      <c r="AA895" s="15">
        <f t="shared" si="203"/>
        <v>1</v>
      </c>
    </row>
    <row r="896" spans="13:27" ht="16.5" x14ac:dyDescent="0.2">
      <c r="M896" s="15">
        <v>817</v>
      </c>
      <c r="N896" s="15">
        <f t="shared" si="192"/>
        <v>17</v>
      </c>
      <c r="O896" s="15">
        <f>INDEX(卡牌消耗!$H$13:$H$33,世界BOSS专属武器!N896)</f>
        <v>1501017</v>
      </c>
      <c r="P896" s="49" t="s">
        <v>408</v>
      </c>
      <c r="Q896" s="15">
        <f t="shared" si="193"/>
        <v>0</v>
      </c>
      <c r="R896" s="49" t="str">
        <f t="shared" si="194"/>
        <v>[x]</v>
      </c>
      <c r="S896" s="15" t="str">
        <f t="shared" si="195"/>
        <v>[x]</v>
      </c>
      <c r="T896" s="15" t="str">
        <f t="shared" si="196"/>
        <v>[x]</v>
      </c>
      <c r="U896" s="15" t="str">
        <f t="shared" si="197"/>
        <v>[x]</v>
      </c>
      <c r="V896" s="15" t="str">
        <f t="shared" si="198"/>
        <v>[x]</v>
      </c>
      <c r="W896" s="15" t="str">
        <f t="shared" si="199"/>
        <v>[x]</v>
      </c>
      <c r="X896" s="15" t="str">
        <f t="shared" si="200"/>
        <v>[x]</v>
      </c>
      <c r="Y896" s="15" t="str">
        <f t="shared" si="201"/>
        <v>[x]</v>
      </c>
      <c r="Z896" s="15" t="str">
        <f t="shared" si="202"/>
        <v>[x]</v>
      </c>
      <c r="AA896" s="15" t="str">
        <f t="shared" si="203"/>
        <v>[x]</v>
      </c>
    </row>
    <row r="897" spans="13:27" ht="16.5" x14ac:dyDescent="0.2">
      <c r="M897" s="15">
        <v>818</v>
      </c>
      <c r="N897" s="15">
        <f t="shared" si="192"/>
        <v>17</v>
      </c>
      <c r="O897" s="15">
        <f>INDEX(卡牌消耗!$H$13:$H$33,世界BOSS专属武器!N897)</f>
        <v>1501017</v>
      </c>
      <c r="P897" s="49" t="s">
        <v>408</v>
      </c>
      <c r="Q897" s="15">
        <f t="shared" si="193"/>
        <v>1</v>
      </c>
      <c r="R897" s="49" t="str">
        <f t="shared" si="194"/>
        <v>金币</v>
      </c>
      <c r="S897" s="15">
        <f t="shared" si="195"/>
        <v>100</v>
      </c>
      <c r="T897" s="15" t="str">
        <f t="shared" si="196"/>
        <v>低级专属强化石</v>
      </c>
      <c r="U897" s="15">
        <f t="shared" si="197"/>
        <v>1</v>
      </c>
      <c r="V897" s="15" t="str">
        <f t="shared" si="198"/>
        <v>[x]</v>
      </c>
      <c r="W897" s="15" t="str">
        <f t="shared" si="199"/>
        <v>[x]</v>
      </c>
      <c r="X897" s="15">
        <f t="shared" si="200"/>
        <v>1</v>
      </c>
      <c r="Y897" s="15">
        <f t="shared" si="201"/>
        <v>1</v>
      </c>
      <c r="Z897" s="15">
        <f t="shared" si="202"/>
        <v>1</v>
      </c>
      <c r="AA897" s="15">
        <f t="shared" si="203"/>
        <v>6.7000000000000002E-3</v>
      </c>
    </row>
    <row r="898" spans="13:27" ht="16.5" x14ac:dyDescent="0.2">
      <c r="M898" s="15">
        <v>819</v>
      </c>
      <c r="N898" s="15">
        <f t="shared" si="192"/>
        <v>17</v>
      </c>
      <c r="O898" s="15">
        <f>INDEX(卡牌消耗!$H$13:$H$33,世界BOSS专属武器!N898)</f>
        <v>1501017</v>
      </c>
      <c r="P898" s="49" t="s">
        <v>408</v>
      </c>
      <c r="Q898" s="15">
        <f t="shared" si="193"/>
        <v>2</v>
      </c>
      <c r="R898" s="49" t="str">
        <f t="shared" si="194"/>
        <v>金币</v>
      </c>
      <c r="S898" s="15">
        <f t="shared" si="195"/>
        <v>200</v>
      </c>
      <c r="T898" s="15" t="str">
        <f t="shared" si="196"/>
        <v>低级专属强化石</v>
      </c>
      <c r="U898" s="15">
        <f t="shared" si="197"/>
        <v>1</v>
      </c>
      <c r="V898" s="15" t="str">
        <f t="shared" si="198"/>
        <v>[x]</v>
      </c>
      <c r="W898" s="15" t="str">
        <f t="shared" si="199"/>
        <v>[x]</v>
      </c>
      <c r="X898" s="15">
        <f t="shared" si="200"/>
        <v>0.5</v>
      </c>
      <c r="Y898" s="15">
        <f t="shared" si="201"/>
        <v>1</v>
      </c>
      <c r="Z898" s="15">
        <f t="shared" si="202"/>
        <v>2</v>
      </c>
      <c r="AA898" s="15">
        <f t="shared" si="203"/>
        <v>1.3299999999999999E-2</v>
      </c>
    </row>
    <row r="899" spans="13:27" ht="16.5" x14ac:dyDescent="0.2">
      <c r="M899" s="15">
        <v>820</v>
      </c>
      <c r="N899" s="15">
        <f t="shared" si="192"/>
        <v>17</v>
      </c>
      <c r="O899" s="15">
        <f>INDEX(卡牌消耗!$H$13:$H$33,世界BOSS专属武器!N899)</f>
        <v>1501017</v>
      </c>
      <c r="P899" s="49" t="s">
        <v>408</v>
      </c>
      <c r="Q899" s="15">
        <f t="shared" si="193"/>
        <v>3</v>
      </c>
      <c r="R899" s="49" t="str">
        <f t="shared" si="194"/>
        <v>金币</v>
      </c>
      <c r="S899" s="15">
        <f t="shared" si="195"/>
        <v>300</v>
      </c>
      <c r="T899" s="15" t="str">
        <f t="shared" si="196"/>
        <v>低级专属强化石</v>
      </c>
      <c r="U899" s="15">
        <f t="shared" si="197"/>
        <v>2</v>
      </c>
      <c r="V899" s="15" t="str">
        <f t="shared" si="198"/>
        <v>[x]</v>
      </c>
      <c r="W899" s="15" t="str">
        <f t="shared" si="199"/>
        <v>[x]</v>
      </c>
      <c r="X899" s="15">
        <f t="shared" si="200"/>
        <v>0.48</v>
      </c>
      <c r="Y899" s="15">
        <f t="shared" si="201"/>
        <v>1</v>
      </c>
      <c r="Z899" s="15">
        <f t="shared" si="202"/>
        <v>3</v>
      </c>
      <c r="AA899" s="15">
        <f t="shared" si="203"/>
        <v>0.02</v>
      </c>
    </row>
    <row r="900" spans="13:27" ht="16.5" x14ac:dyDescent="0.2">
      <c r="M900" s="15">
        <v>821</v>
      </c>
      <c r="N900" s="15">
        <f t="shared" si="192"/>
        <v>17</v>
      </c>
      <c r="O900" s="15">
        <f>INDEX(卡牌消耗!$H$13:$H$33,世界BOSS专属武器!N900)</f>
        <v>1501017</v>
      </c>
      <c r="P900" s="49" t="s">
        <v>408</v>
      </c>
      <c r="Q900" s="15">
        <f t="shared" si="193"/>
        <v>4</v>
      </c>
      <c r="R900" s="49" t="str">
        <f t="shared" si="194"/>
        <v>金币</v>
      </c>
      <c r="S900" s="15">
        <f t="shared" si="195"/>
        <v>400</v>
      </c>
      <c r="T900" s="15" t="str">
        <f t="shared" si="196"/>
        <v>低级专属强化石</v>
      </c>
      <c r="U900" s="15">
        <f t="shared" si="197"/>
        <v>3</v>
      </c>
      <c r="V900" s="15" t="str">
        <f t="shared" si="198"/>
        <v>[x]</v>
      </c>
      <c r="W900" s="15" t="str">
        <f t="shared" si="199"/>
        <v>[x]</v>
      </c>
      <c r="X900" s="15">
        <f t="shared" si="200"/>
        <v>0.46</v>
      </c>
      <c r="Y900" s="15">
        <f t="shared" si="201"/>
        <v>1</v>
      </c>
      <c r="Z900" s="15">
        <f t="shared" si="202"/>
        <v>3</v>
      </c>
      <c r="AA900" s="15">
        <f t="shared" si="203"/>
        <v>2.6700000000000002E-2</v>
      </c>
    </row>
    <row r="901" spans="13:27" ht="16.5" x14ac:dyDescent="0.2">
      <c r="M901" s="15">
        <v>822</v>
      </c>
      <c r="N901" s="15">
        <f t="shared" si="192"/>
        <v>17</v>
      </c>
      <c r="O901" s="15">
        <f>INDEX(卡牌消耗!$H$13:$H$33,世界BOSS专属武器!N901)</f>
        <v>1501017</v>
      </c>
      <c r="P901" s="49" t="s">
        <v>408</v>
      </c>
      <c r="Q901" s="15">
        <f t="shared" si="193"/>
        <v>5</v>
      </c>
      <c r="R901" s="49" t="str">
        <f t="shared" si="194"/>
        <v>金币</v>
      </c>
      <c r="S901" s="15">
        <f t="shared" si="195"/>
        <v>500</v>
      </c>
      <c r="T901" s="15" t="str">
        <f t="shared" si="196"/>
        <v>低级专属强化石</v>
      </c>
      <c r="U901" s="15">
        <f t="shared" si="197"/>
        <v>4</v>
      </c>
      <c r="V901" s="15" t="str">
        <f t="shared" si="198"/>
        <v>[x]</v>
      </c>
      <c r="W901" s="15" t="str">
        <f t="shared" si="199"/>
        <v>[x]</v>
      </c>
      <c r="X901" s="15">
        <f t="shared" si="200"/>
        <v>0.44</v>
      </c>
      <c r="Y901" s="15">
        <f t="shared" si="201"/>
        <v>1</v>
      </c>
      <c r="Z901" s="15">
        <f t="shared" si="202"/>
        <v>3</v>
      </c>
      <c r="AA901" s="15">
        <f t="shared" si="203"/>
        <v>3.3300000000000003E-2</v>
      </c>
    </row>
    <row r="902" spans="13:27" ht="16.5" x14ac:dyDescent="0.2">
      <c r="M902" s="15">
        <v>823</v>
      </c>
      <c r="N902" s="15">
        <f t="shared" si="192"/>
        <v>17</v>
      </c>
      <c r="O902" s="15">
        <f>INDEX(卡牌消耗!$H$13:$H$33,世界BOSS专属武器!N902)</f>
        <v>1501017</v>
      </c>
      <c r="P902" s="49" t="s">
        <v>408</v>
      </c>
      <c r="Q902" s="15">
        <f t="shared" si="193"/>
        <v>6</v>
      </c>
      <c r="R902" s="49" t="str">
        <f t="shared" si="194"/>
        <v>金币</v>
      </c>
      <c r="S902" s="15">
        <f t="shared" si="195"/>
        <v>600</v>
      </c>
      <c r="T902" s="15" t="str">
        <f t="shared" si="196"/>
        <v>低级专属强化石</v>
      </c>
      <c r="U902" s="15">
        <f t="shared" si="197"/>
        <v>5</v>
      </c>
      <c r="V902" s="15" t="str">
        <f t="shared" si="198"/>
        <v>[x]</v>
      </c>
      <c r="W902" s="15" t="str">
        <f t="shared" si="199"/>
        <v>[x]</v>
      </c>
      <c r="X902" s="15">
        <f t="shared" si="200"/>
        <v>0.42</v>
      </c>
      <c r="Y902" s="15">
        <f t="shared" si="201"/>
        <v>1</v>
      </c>
      <c r="Z902" s="15">
        <f t="shared" si="202"/>
        <v>4</v>
      </c>
      <c r="AA902" s="15">
        <f t="shared" si="203"/>
        <v>0.04</v>
      </c>
    </row>
    <row r="903" spans="13:27" ht="16.5" x14ac:dyDescent="0.2">
      <c r="M903" s="15">
        <v>824</v>
      </c>
      <c r="N903" s="15">
        <f t="shared" si="192"/>
        <v>17</v>
      </c>
      <c r="O903" s="15">
        <f>INDEX(卡牌消耗!$H$13:$H$33,世界BOSS专属武器!N903)</f>
        <v>1501017</v>
      </c>
      <c r="P903" s="49" t="s">
        <v>408</v>
      </c>
      <c r="Q903" s="15">
        <f t="shared" si="193"/>
        <v>7</v>
      </c>
      <c r="R903" s="49" t="str">
        <f t="shared" si="194"/>
        <v>金币</v>
      </c>
      <c r="S903" s="15">
        <f t="shared" si="195"/>
        <v>700</v>
      </c>
      <c r="T903" s="15" t="str">
        <f t="shared" si="196"/>
        <v>低级专属强化石</v>
      </c>
      <c r="U903" s="15">
        <f t="shared" si="197"/>
        <v>5</v>
      </c>
      <c r="V903" s="15" t="str">
        <f t="shared" si="198"/>
        <v>[x]</v>
      </c>
      <c r="W903" s="15" t="str">
        <f t="shared" si="199"/>
        <v>[x]</v>
      </c>
      <c r="X903" s="15">
        <f t="shared" si="200"/>
        <v>0.4</v>
      </c>
      <c r="Y903" s="15">
        <f t="shared" si="201"/>
        <v>1</v>
      </c>
      <c r="Z903" s="15">
        <f t="shared" si="202"/>
        <v>4</v>
      </c>
      <c r="AA903" s="15">
        <f t="shared" si="203"/>
        <v>4.6699999999999998E-2</v>
      </c>
    </row>
    <row r="904" spans="13:27" ht="16.5" x14ac:dyDescent="0.2">
      <c r="M904" s="15">
        <v>825</v>
      </c>
      <c r="N904" s="15">
        <f t="shared" si="192"/>
        <v>17</v>
      </c>
      <c r="O904" s="15">
        <f>INDEX(卡牌消耗!$H$13:$H$33,世界BOSS专属武器!N904)</f>
        <v>1501017</v>
      </c>
      <c r="P904" s="49" t="s">
        <v>408</v>
      </c>
      <c r="Q904" s="15">
        <f t="shared" si="193"/>
        <v>8</v>
      </c>
      <c r="R904" s="49" t="str">
        <f t="shared" si="194"/>
        <v>金币</v>
      </c>
      <c r="S904" s="15">
        <f t="shared" si="195"/>
        <v>800</v>
      </c>
      <c r="T904" s="15" t="str">
        <f t="shared" si="196"/>
        <v>低级专属强化石</v>
      </c>
      <c r="U904" s="15">
        <f t="shared" si="197"/>
        <v>5</v>
      </c>
      <c r="V904" s="15" t="str">
        <f t="shared" si="198"/>
        <v>[x]</v>
      </c>
      <c r="W904" s="15" t="str">
        <f t="shared" si="199"/>
        <v>[x]</v>
      </c>
      <c r="X904" s="15">
        <f t="shared" si="200"/>
        <v>0.38</v>
      </c>
      <c r="Y904" s="15">
        <f t="shared" si="201"/>
        <v>1</v>
      </c>
      <c r="Z904" s="15">
        <f t="shared" si="202"/>
        <v>5</v>
      </c>
      <c r="AA904" s="15">
        <f t="shared" si="203"/>
        <v>5.33E-2</v>
      </c>
    </row>
    <row r="905" spans="13:27" ht="16.5" x14ac:dyDescent="0.2">
      <c r="M905" s="15">
        <v>826</v>
      </c>
      <c r="N905" s="15">
        <f t="shared" si="192"/>
        <v>17</v>
      </c>
      <c r="O905" s="15">
        <f>INDEX(卡牌消耗!$H$13:$H$33,世界BOSS专属武器!N905)</f>
        <v>1501017</v>
      </c>
      <c r="P905" s="49" t="s">
        <v>408</v>
      </c>
      <c r="Q905" s="15">
        <f t="shared" si="193"/>
        <v>9</v>
      </c>
      <c r="R905" s="49" t="str">
        <f t="shared" si="194"/>
        <v>金币</v>
      </c>
      <c r="S905" s="15">
        <f t="shared" si="195"/>
        <v>900</v>
      </c>
      <c r="T905" s="15" t="str">
        <f t="shared" si="196"/>
        <v>低级专属强化石</v>
      </c>
      <c r="U905" s="15">
        <f t="shared" si="197"/>
        <v>5</v>
      </c>
      <c r="V905" s="15" t="str">
        <f t="shared" si="198"/>
        <v>[x]</v>
      </c>
      <c r="W905" s="15" t="str">
        <f t="shared" si="199"/>
        <v>[x]</v>
      </c>
      <c r="X905" s="15">
        <f t="shared" si="200"/>
        <v>0.36</v>
      </c>
      <c r="Y905" s="15">
        <f t="shared" si="201"/>
        <v>1</v>
      </c>
      <c r="Z905" s="15">
        <f t="shared" si="202"/>
        <v>5</v>
      </c>
      <c r="AA905" s="15">
        <f t="shared" si="203"/>
        <v>0.06</v>
      </c>
    </row>
    <row r="906" spans="13:27" ht="16.5" x14ac:dyDescent="0.2">
      <c r="M906" s="15">
        <v>827</v>
      </c>
      <c r="N906" s="15">
        <f t="shared" si="192"/>
        <v>17</v>
      </c>
      <c r="O906" s="15">
        <f>INDEX(卡牌消耗!$H$13:$H$33,世界BOSS专属武器!N906)</f>
        <v>1501017</v>
      </c>
      <c r="P906" s="49" t="s">
        <v>408</v>
      </c>
      <c r="Q906" s="15">
        <f t="shared" si="193"/>
        <v>10</v>
      </c>
      <c r="R906" s="49" t="str">
        <f t="shared" si="194"/>
        <v>金币</v>
      </c>
      <c r="S906" s="15">
        <f t="shared" si="195"/>
        <v>1000</v>
      </c>
      <c r="T906" s="15" t="str">
        <f t="shared" si="196"/>
        <v>低级专属强化石</v>
      </c>
      <c r="U906" s="15">
        <f t="shared" si="197"/>
        <v>7</v>
      </c>
      <c r="V906" s="15" t="str">
        <f t="shared" si="198"/>
        <v>[x]</v>
      </c>
      <c r="W906" s="15" t="str">
        <f t="shared" si="199"/>
        <v>[x]</v>
      </c>
      <c r="X906" s="15">
        <f t="shared" si="200"/>
        <v>0.35</v>
      </c>
      <c r="Y906" s="15">
        <f t="shared" si="201"/>
        <v>1</v>
      </c>
      <c r="Z906" s="15">
        <f t="shared" si="202"/>
        <v>5</v>
      </c>
      <c r="AA906" s="15">
        <f t="shared" si="203"/>
        <v>6.6699999999999995E-2</v>
      </c>
    </row>
    <row r="907" spans="13:27" ht="16.5" x14ac:dyDescent="0.2">
      <c r="M907" s="15">
        <v>828</v>
      </c>
      <c r="N907" s="15">
        <f t="shared" si="192"/>
        <v>17</v>
      </c>
      <c r="O907" s="15">
        <f>INDEX(卡牌消耗!$H$13:$H$33,世界BOSS专属武器!N907)</f>
        <v>1501017</v>
      </c>
      <c r="P907" s="49" t="s">
        <v>408</v>
      </c>
      <c r="Q907" s="15">
        <f t="shared" si="193"/>
        <v>11</v>
      </c>
      <c r="R907" s="49" t="str">
        <f t="shared" si="194"/>
        <v>金币</v>
      </c>
      <c r="S907" s="15">
        <f t="shared" si="195"/>
        <v>1000</v>
      </c>
      <c r="T907" s="15" t="str">
        <f t="shared" si="196"/>
        <v>低级专属强化石</v>
      </c>
      <c r="U907" s="15">
        <f t="shared" si="197"/>
        <v>7</v>
      </c>
      <c r="V907" s="15" t="str">
        <f t="shared" si="198"/>
        <v>[x]</v>
      </c>
      <c r="W907" s="15" t="str">
        <f t="shared" si="199"/>
        <v>[x]</v>
      </c>
      <c r="X907" s="15">
        <f t="shared" si="200"/>
        <v>0.33</v>
      </c>
      <c r="Y907" s="15">
        <f t="shared" si="201"/>
        <v>1</v>
      </c>
      <c r="Z907" s="15">
        <f t="shared" si="202"/>
        <v>6</v>
      </c>
      <c r="AA907" s="15">
        <f t="shared" si="203"/>
        <v>0.08</v>
      </c>
    </row>
    <row r="908" spans="13:27" ht="16.5" x14ac:dyDescent="0.2">
      <c r="M908" s="15">
        <v>829</v>
      </c>
      <c r="N908" s="15">
        <f t="shared" si="192"/>
        <v>17</v>
      </c>
      <c r="O908" s="15">
        <f>INDEX(卡牌消耗!$H$13:$H$33,世界BOSS专属武器!N908)</f>
        <v>1501017</v>
      </c>
      <c r="P908" s="49" t="s">
        <v>408</v>
      </c>
      <c r="Q908" s="15">
        <f t="shared" si="193"/>
        <v>12</v>
      </c>
      <c r="R908" s="49" t="str">
        <f t="shared" si="194"/>
        <v>金币</v>
      </c>
      <c r="S908" s="15">
        <f t="shared" si="195"/>
        <v>1000</v>
      </c>
      <c r="T908" s="15" t="str">
        <f t="shared" si="196"/>
        <v>低级专属强化石</v>
      </c>
      <c r="U908" s="15">
        <f t="shared" si="197"/>
        <v>7</v>
      </c>
      <c r="V908" s="15" t="str">
        <f t="shared" si="198"/>
        <v>[x]</v>
      </c>
      <c r="W908" s="15" t="str">
        <f t="shared" si="199"/>
        <v>[x]</v>
      </c>
      <c r="X908" s="15">
        <f t="shared" si="200"/>
        <v>0.31</v>
      </c>
      <c r="Y908" s="15">
        <f t="shared" si="201"/>
        <v>1</v>
      </c>
      <c r="Z908" s="15">
        <f t="shared" si="202"/>
        <v>6</v>
      </c>
      <c r="AA908" s="15">
        <f t="shared" si="203"/>
        <v>9.3299999999999994E-2</v>
      </c>
    </row>
    <row r="909" spans="13:27" ht="16.5" x14ac:dyDescent="0.2">
      <c r="M909" s="15">
        <v>830</v>
      </c>
      <c r="N909" s="15">
        <f t="shared" si="192"/>
        <v>17</v>
      </c>
      <c r="O909" s="15">
        <f>INDEX(卡牌消耗!$H$13:$H$33,世界BOSS专属武器!N909)</f>
        <v>1501017</v>
      </c>
      <c r="P909" s="49" t="s">
        <v>408</v>
      </c>
      <c r="Q909" s="15">
        <f t="shared" si="193"/>
        <v>13</v>
      </c>
      <c r="R909" s="49" t="str">
        <f t="shared" si="194"/>
        <v>金币</v>
      </c>
      <c r="S909" s="15">
        <f t="shared" si="195"/>
        <v>1000</v>
      </c>
      <c r="T909" s="15" t="str">
        <f t="shared" si="196"/>
        <v>低级专属强化石</v>
      </c>
      <c r="U909" s="15">
        <f t="shared" si="197"/>
        <v>7</v>
      </c>
      <c r="V909" s="15" t="str">
        <f t="shared" si="198"/>
        <v>[x]</v>
      </c>
      <c r="W909" s="15" t="str">
        <f t="shared" si="199"/>
        <v>[x]</v>
      </c>
      <c r="X909" s="15">
        <f t="shared" si="200"/>
        <v>0.28999999999999998</v>
      </c>
      <c r="Y909" s="15">
        <f t="shared" si="201"/>
        <v>1</v>
      </c>
      <c r="Z909" s="15">
        <f t="shared" si="202"/>
        <v>7</v>
      </c>
      <c r="AA909" s="15">
        <f t="shared" si="203"/>
        <v>0.1067</v>
      </c>
    </row>
    <row r="910" spans="13:27" ht="16.5" x14ac:dyDescent="0.2">
      <c r="M910" s="15">
        <v>831</v>
      </c>
      <c r="N910" s="15">
        <f t="shared" si="192"/>
        <v>17</v>
      </c>
      <c r="O910" s="15">
        <f>INDEX(卡牌消耗!$H$13:$H$33,世界BOSS专属武器!N910)</f>
        <v>1501017</v>
      </c>
      <c r="P910" s="49" t="s">
        <v>408</v>
      </c>
      <c r="Q910" s="15">
        <f t="shared" si="193"/>
        <v>14</v>
      </c>
      <c r="R910" s="49" t="str">
        <f t="shared" si="194"/>
        <v>金币</v>
      </c>
      <c r="S910" s="15">
        <f t="shared" si="195"/>
        <v>1000</v>
      </c>
      <c r="T910" s="15" t="str">
        <f t="shared" si="196"/>
        <v>低级专属强化石</v>
      </c>
      <c r="U910" s="15">
        <f t="shared" si="197"/>
        <v>7</v>
      </c>
      <c r="V910" s="15" t="str">
        <f t="shared" si="198"/>
        <v>[x]</v>
      </c>
      <c r="W910" s="15" t="str">
        <f t="shared" si="199"/>
        <v>[x]</v>
      </c>
      <c r="X910" s="15">
        <f t="shared" si="200"/>
        <v>0.27</v>
      </c>
      <c r="Y910" s="15">
        <f t="shared" si="201"/>
        <v>1</v>
      </c>
      <c r="Z910" s="15">
        <f t="shared" si="202"/>
        <v>7</v>
      </c>
      <c r="AA910" s="15">
        <f t="shared" si="203"/>
        <v>0.12</v>
      </c>
    </row>
    <row r="911" spans="13:27" ht="16.5" x14ac:dyDescent="0.2">
      <c r="M911" s="15">
        <v>832</v>
      </c>
      <c r="N911" s="15">
        <f t="shared" si="192"/>
        <v>17</v>
      </c>
      <c r="O911" s="15">
        <f>INDEX(卡牌消耗!$H$13:$H$33,世界BOSS专属武器!N911)</f>
        <v>1501017</v>
      </c>
      <c r="P911" s="49" t="s">
        <v>408</v>
      </c>
      <c r="Q911" s="15">
        <f t="shared" si="193"/>
        <v>15</v>
      </c>
      <c r="R911" s="49" t="str">
        <f t="shared" si="194"/>
        <v>金币</v>
      </c>
      <c r="S911" s="15">
        <f t="shared" si="195"/>
        <v>1000</v>
      </c>
      <c r="T911" s="15" t="str">
        <f t="shared" si="196"/>
        <v>低级专属强化石</v>
      </c>
      <c r="U911" s="15">
        <f t="shared" si="197"/>
        <v>10</v>
      </c>
      <c r="V911" s="15" t="str">
        <f t="shared" si="198"/>
        <v>[x]</v>
      </c>
      <c r="W911" s="15" t="str">
        <f t="shared" si="199"/>
        <v>[x]</v>
      </c>
      <c r="X911" s="15">
        <f t="shared" si="200"/>
        <v>0.25</v>
      </c>
      <c r="Y911" s="15">
        <f t="shared" si="201"/>
        <v>1</v>
      </c>
      <c r="Z911" s="15">
        <f t="shared" si="202"/>
        <v>8</v>
      </c>
      <c r="AA911" s="15">
        <f t="shared" si="203"/>
        <v>0.1333</v>
      </c>
    </row>
    <row r="912" spans="13:27" ht="16.5" x14ac:dyDescent="0.2">
      <c r="M912" s="15">
        <v>833</v>
      </c>
      <c r="N912" s="15">
        <f t="shared" si="192"/>
        <v>17</v>
      </c>
      <c r="O912" s="15">
        <f>INDEX(卡牌消耗!$H$13:$H$33,世界BOSS专属武器!N912)</f>
        <v>1501017</v>
      </c>
      <c r="P912" s="49" t="s">
        <v>408</v>
      </c>
      <c r="Q912" s="15">
        <f t="shared" si="193"/>
        <v>16</v>
      </c>
      <c r="R912" s="49" t="str">
        <f t="shared" si="194"/>
        <v>金币</v>
      </c>
      <c r="S912" s="15">
        <f t="shared" si="195"/>
        <v>1000</v>
      </c>
      <c r="T912" s="15" t="str">
        <f t="shared" si="196"/>
        <v>低级专属强化石</v>
      </c>
      <c r="U912" s="15">
        <f t="shared" si="197"/>
        <v>10</v>
      </c>
      <c r="V912" s="15" t="str">
        <f t="shared" si="198"/>
        <v>[x]</v>
      </c>
      <c r="W912" s="15" t="str">
        <f t="shared" si="199"/>
        <v>[x]</v>
      </c>
      <c r="X912" s="15">
        <f t="shared" si="200"/>
        <v>0.23</v>
      </c>
      <c r="Y912" s="15">
        <f t="shared" si="201"/>
        <v>1</v>
      </c>
      <c r="Z912" s="15">
        <f t="shared" si="202"/>
        <v>9</v>
      </c>
      <c r="AA912" s="15">
        <f t="shared" si="203"/>
        <v>0.1467</v>
      </c>
    </row>
    <row r="913" spans="13:27" ht="16.5" x14ac:dyDescent="0.2">
      <c r="M913" s="15">
        <v>834</v>
      </c>
      <c r="N913" s="15">
        <f t="shared" ref="N913:N976" si="204">INT((M913-1)/51)+1</f>
        <v>17</v>
      </c>
      <c r="O913" s="15">
        <f>INDEX(卡牌消耗!$H$13:$H$33,世界BOSS专属武器!N913)</f>
        <v>1501017</v>
      </c>
      <c r="P913" s="49" t="s">
        <v>408</v>
      </c>
      <c r="Q913" s="15">
        <f t="shared" ref="Q913:Q976" si="205">MOD(M913-1,51)</f>
        <v>17</v>
      </c>
      <c r="R913" s="49" t="str">
        <f t="shared" ref="R913:R976" si="206">IF(Q913&gt;0,"金币","[x]")</f>
        <v>金币</v>
      </c>
      <c r="S913" s="15">
        <f t="shared" ref="S913:S976" si="207">IF(Q913&gt;0,INDEX($V$27:$V$76,Q913),"[x]")</f>
        <v>1000</v>
      </c>
      <c r="T913" s="15" t="str">
        <f t="shared" ref="T913:T976" si="208">IF(Q913&gt;0,INDEX($W$27:$W$76,Q913),"[x]")</f>
        <v>低级专属强化石</v>
      </c>
      <c r="U913" s="15">
        <f t="shared" ref="U913:U976" si="209">IF(Q913&gt;0,INDEX($AA$27:$AF$76,Q913,INDEX($Y$27:$Y$76,Q913)),"[x]")</f>
        <v>10</v>
      </c>
      <c r="V913" s="15" t="str">
        <f t="shared" ref="V913:V976" si="210">IF(AND(Q913&gt;=20,Q913&lt;40),INDEX($X$27:$X$76,Q913),"[x]")</f>
        <v>[x]</v>
      </c>
      <c r="W913" s="15" t="str">
        <f t="shared" ref="W913:W976" si="211">IF(AND(Q913&gt;=20,Q913&lt;40),INDEX($AA$27:$AF$76,Q913,INDEX($Z$27:$Z$76,Q913)),"[x]")</f>
        <v>[x]</v>
      </c>
      <c r="X913" s="15">
        <f t="shared" ref="X913:X976" si="212">IF(Q913&gt;0,INDEX($T$27:$T$76,Q913),"[x]")</f>
        <v>0.21</v>
      </c>
      <c r="Y913" s="15">
        <f t="shared" ref="Y913:Y976" si="213">IF(Q913&gt;0,1,"[x]")</f>
        <v>1</v>
      </c>
      <c r="Z913" s="15">
        <f t="shared" ref="Z913:Z976" si="214">IF(Q913&gt;0,INDEX($AG$27:$AG$76,Q913),"[x]")</f>
        <v>10</v>
      </c>
      <c r="AA913" s="15">
        <f t="shared" ref="AA913:AA976" si="215">IF(Q913&gt;0,INDEX($AL$27:$AL$76,Q913),"[x]")</f>
        <v>0.16</v>
      </c>
    </row>
    <row r="914" spans="13:27" ht="16.5" x14ac:dyDescent="0.2">
      <c r="M914" s="15">
        <v>835</v>
      </c>
      <c r="N914" s="15">
        <f t="shared" si="204"/>
        <v>17</v>
      </c>
      <c r="O914" s="15">
        <f>INDEX(卡牌消耗!$H$13:$H$33,世界BOSS专属武器!N914)</f>
        <v>1501017</v>
      </c>
      <c r="P914" s="49" t="s">
        <v>408</v>
      </c>
      <c r="Q914" s="15">
        <f t="shared" si="205"/>
        <v>18</v>
      </c>
      <c r="R914" s="49" t="str">
        <f t="shared" si="206"/>
        <v>金币</v>
      </c>
      <c r="S914" s="15">
        <f t="shared" si="207"/>
        <v>1000</v>
      </c>
      <c r="T914" s="15" t="str">
        <f t="shared" si="208"/>
        <v>低级专属强化石</v>
      </c>
      <c r="U914" s="15">
        <f t="shared" si="209"/>
        <v>10</v>
      </c>
      <c r="V914" s="15" t="str">
        <f t="shared" si="210"/>
        <v>[x]</v>
      </c>
      <c r="W914" s="15" t="str">
        <f t="shared" si="211"/>
        <v>[x]</v>
      </c>
      <c r="X914" s="15">
        <f t="shared" si="212"/>
        <v>0.19</v>
      </c>
      <c r="Y914" s="15">
        <f t="shared" si="213"/>
        <v>1</v>
      </c>
      <c r="Z914" s="15">
        <f t="shared" si="214"/>
        <v>11</v>
      </c>
      <c r="AA914" s="15">
        <f t="shared" si="215"/>
        <v>0.17330000000000001</v>
      </c>
    </row>
    <row r="915" spans="13:27" ht="16.5" x14ac:dyDescent="0.2">
      <c r="M915" s="15">
        <v>836</v>
      </c>
      <c r="N915" s="15">
        <f t="shared" si="204"/>
        <v>17</v>
      </c>
      <c r="O915" s="15">
        <f>INDEX(卡牌消耗!$H$13:$H$33,世界BOSS专属武器!N915)</f>
        <v>1501017</v>
      </c>
      <c r="P915" s="49" t="s">
        <v>408</v>
      </c>
      <c r="Q915" s="15">
        <f t="shared" si="205"/>
        <v>19</v>
      </c>
      <c r="R915" s="49" t="str">
        <f t="shared" si="206"/>
        <v>金币</v>
      </c>
      <c r="S915" s="15">
        <f t="shared" si="207"/>
        <v>1000</v>
      </c>
      <c r="T915" s="15" t="str">
        <f t="shared" si="208"/>
        <v>低级专属强化石</v>
      </c>
      <c r="U915" s="15">
        <f t="shared" si="209"/>
        <v>10</v>
      </c>
      <c r="V915" s="15" t="str">
        <f t="shared" si="210"/>
        <v>[x]</v>
      </c>
      <c r="W915" s="15" t="str">
        <f t="shared" si="211"/>
        <v>[x]</v>
      </c>
      <c r="X915" s="15">
        <f t="shared" si="212"/>
        <v>0.17</v>
      </c>
      <c r="Y915" s="15">
        <f t="shared" si="213"/>
        <v>1</v>
      </c>
      <c r="Z915" s="15">
        <f t="shared" si="214"/>
        <v>12</v>
      </c>
      <c r="AA915" s="15">
        <f t="shared" si="215"/>
        <v>0.1867</v>
      </c>
    </row>
    <row r="916" spans="13:27" ht="16.5" x14ac:dyDescent="0.2">
      <c r="M916" s="15">
        <v>837</v>
      </c>
      <c r="N916" s="15">
        <f t="shared" si="204"/>
        <v>17</v>
      </c>
      <c r="O916" s="15">
        <f>INDEX(卡牌消耗!$H$13:$H$33,世界BOSS专属武器!N916)</f>
        <v>1501017</v>
      </c>
      <c r="P916" s="49" t="s">
        <v>408</v>
      </c>
      <c r="Q916" s="15">
        <f t="shared" si="205"/>
        <v>20</v>
      </c>
      <c r="R916" s="49" t="str">
        <f t="shared" si="206"/>
        <v>金币</v>
      </c>
      <c r="S916" s="15">
        <f t="shared" si="207"/>
        <v>5000</v>
      </c>
      <c r="T916" s="15" t="str">
        <f t="shared" si="208"/>
        <v>低级专属强化石</v>
      </c>
      <c r="U916" s="15">
        <f t="shared" si="209"/>
        <v>15</v>
      </c>
      <c r="V916" s="15" t="str">
        <f t="shared" si="210"/>
        <v>中级专属强化石</v>
      </c>
      <c r="W916" s="15">
        <f t="shared" si="211"/>
        <v>7</v>
      </c>
      <c r="X916" s="15">
        <f t="shared" si="212"/>
        <v>0.15</v>
      </c>
      <c r="Y916" s="15">
        <f t="shared" si="213"/>
        <v>1</v>
      </c>
      <c r="Z916" s="15">
        <f t="shared" si="214"/>
        <v>15</v>
      </c>
      <c r="AA916" s="15">
        <f t="shared" si="215"/>
        <v>0.2</v>
      </c>
    </row>
    <row r="917" spans="13:27" ht="16.5" x14ac:dyDescent="0.2">
      <c r="M917" s="15">
        <v>838</v>
      </c>
      <c r="N917" s="15">
        <f t="shared" si="204"/>
        <v>17</v>
      </c>
      <c r="O917" s="15">
        <f>INDEX(卡牌消耗!$H$13:$H$33,世界BOSS专属武器!N917)</f>
        <v>1501017</v>
      </c>
      <c r="P917" s="49" t="s">
        <v>408</v>
      </c>
      <c r="Q917" s="15">
        <f t="shared" si="205"/>
        <v>21</v>
      </c>
      <c r="R917" s="49" t="str">
        <f t="shared" si="206"/>
        <v>金币</v>
      </c>
      <c r="S917" s="15">
        <f t="shared" si="207"/>
        <v>5000</v>
      </c>
      <c r="T917" s="15" t="str">
        <f t="shared" si="208"/>
        <v>低级专属强化石</v>
      </c>
      <c r="U917" s="15">
        <f t="shared" si="209"/>
        <v>15</v>
      </c>
      <c r="V917" s="15" t="str">
        <f t="shared" si="210"/>
        <v>中级专属强化石</v>
      </c>
      <c r="W917" s="15">
        <f t="shared" si="211"/>
        <v>7</v>
      </c>
      <c r="X917" s="15">
        <f t="shared" si="212"/>
        <v>0.15</v>
      </c>
      <c r="Y917" s="15">
        <f t="shared" si="213"/>
        <v>1</v>
      </c>
      <c r="Z917" s="15">
        <f t="shared" si="214"/>
        <v>15</v>
      </c>
      <c r="AA917" s="15">
        <f t="shared" si="215"/>
        <v>0.22</v>
      </c>
    </row>
    <row r="918" spans="13:27" ht="16.5" x14ac:dyDescent="0.2">
      <c r="M918" s="15">
        <v>839</v>
      </c>
      <c r="N918" s="15">
        <f t="shared" si="204"/>
        <v>17</v>
      </c>
      <c r="O918" s="15">
        <f>INDEX(卡牌消耗!$H$13:$H$33,世界BOSS专属武器!N918)</f>
        <v>1501017</v>
      </c>
      <c r="P918" s="49" t="s">
        <v>408</v>
      </c>
      <c r="Q918" s="15">
        <f t="shared" si="205"/>
        <v>22</v>
      </c>
      <c r="R918" s="49" t="str">
        <f t="shared" si="206"/>
        <v>金币</v>
      </c>
      <c r="S918" s="15">
        <f t="shared" si="207"/>
        <v>5000</v>
      </c>
      <c r="T918" s="15" t="str">
        <f t="shared" si="208"/>
        <v>低级专属强化石</v>
      </c>
      <c r="U918" s="15">
        <f t="shared" si="209"/>
        <v>15</v>
      </c>
      <c r="V918" s="15" t="str">
        <f t="shared" si="210"/>
        <v>中级专属强化石</v>
      </c>
      <c r="W918" s="15">
        <f t="shared" si="211"/>
        <v>7</v>
      </c>
      <c r="X918" s="15">
        <f t="shared" si="212"/>
        <v>0.15</v>
      </c>
      <c r="Y918" s="15">
        <f t="shared" si="213"/>
        <v>1</v>
      </c>
      <c r="Z918" s="15">
        <f t="shared" si="214"/>
        <v>15</v>
      </c>
      <c r="AA918" s="15">
        <f t="shared" si="215"/>
        <v>0.24</v>
      </c>
    </row>
    <row r="919" spans="13:27" ht="16.5" x14ac:dyDescent="0.2">
      <c r="M919" s="15">
        <v>840</v>
      </c>
      <c r="N919" s="15">
        <f t="shared" si="204"/>
        <v>17</v>
      </c>
      <c r="O919" s="15">
        <f>INDEX(卡牌消耗!$H$13:$H$33,世界BOSS专属武器!N919)</f>
        <v>1501017</v>
      </c>
      <c r="P919" s="49" t="s">
        <v>408</v>
      </c>
      <c r="Q919" s="15">
        <f t="shared" si="205"/>
        <v>23</v>
      </c>
      <c r="R919" s="49" t="str">
        <f t="shared" si="206"/>
        <v>金币</v>
      </c>
      <c r="S919" s="15">
        <f t="shared" si="207"/>
        <v>5000</v>
      </c>
      <c r="T919" s="15" t="str">
        <f t="shared" si="208"/>
        <v>低级专属强化石</v>
      </c>
      <c r="U919" s="15">
        <f t="shared" si="209"/>
        <v>15</v>
      </c>
      <c r="V919" s="15" t="str">
        <f t="shared" si="210"/>
        <v>中级专属强化石</v>
      </c>
      <c r="W919" s="15">
        <f t="shared" si="211"/>
        <v>7</v>
      </c>
      <c r="X919" s="15">
        <f t="shared" si="212"/>
        <v>0.15</v>
      </c>
      <c r="Y919" s="15">
        <f t="shared" si="213"/>
        <v>1</v>
      </c>
      <c r="Z919" s="15">
        <f t="shared" si="214"/>
        <v>18</v>
      </c>
      <c r="AA919" s="15">
        <f t="shared" si="215"/>
        <v>0.26</v>
      </c>
    </row>
    <row r="920" spans="13:27" ht="16.5" x14ac:dyDescent="0.2">
      <c r="M920" s="15">
        <v>841</v>
      </c>
      <c r="N920" s="15">
        <f t="shared" si="204"/>
        <v>17</v>
      </c>
      <c r="O920" s="15">
        <f>INDEX(卡牌消耗!$H$13:$H$33,世界BOSS专属武器!N920)</f>
        <v>1501017</v>
      </c>
      <c r="P920" s="49" t="s">
        <v>408</v>
      </c>
      <c r="Q920" s="15">
        <f t="shared" si="205"/>
        <v>24</v>
      </c>
      <c r="R920" s="49" t="str">
        <f t="shared" si="206"/>
        <v>金币</v>
      </c>
      <c r="S920" s="15">
        <f t="shared" si="207"/>
        <v>5000</v>
      </c>
      <c r="T920" s="15" t="str">
        <f t="shared" si="208"/>
        <v>低级专属强化石</v>
      </c>
      <c r="U920" s="15">
        <f t="shared" si="209"/>
        <v>15</v>
      </c>
      <c r="V920" s="15" t="str">
        <f t="shared" si="210"/>
        <v>中级专属强化石</v>
      </c>
      <c r="W920" s="15">
        <f t="shared" si="211"/>
        <v>7</v>
      </c>
      <c r="X920" s="15">
        <f t="shared" si="212"/>
        <v>0.15</v>
      </c>
      <c r="Y920" s="15">
        <f t="shared" si="213"/>
        <v>1</v>
      </c>
      <c r="Z920" s="15">
        <f t="shared" si="214"/>
        <v>18</v>
      </c>
      <c r="AA920" s="15">
        <f t="shared" si="215"/>
        <v>0.28000000000000003</v>
      </c>
    </row>
    <row r="921" spans="13:27" ht="16.5" x14ac:dyDescent="0.2">
      <c r="M921" s="15">
        <v>842</v>
      </c>
      <c r="N921" s="15">
        <f t="shared" si="204"/>
        <v>17</v>
      </c>
      <c r="O921" s="15">
        <f>INDEX(卡牌消耗!$H$13:$H$33,世界BOSS专属武器!N921)</f>
        <v>1501017</v>
      </c>
      <c r="P921" s="49" t="s">
        <v>408</v>
      </c>
      <c r="Q921" s="15">
        <f t="shared" si="205"/>
        <v>25</v>
      </c>
      <c r="R921" s="49" t="str">
        <f t="shared" si="206"/>
        <v>金币</v>
      </c>
      <c r="S921" s="15">
        <f t="shared" si="207"/>
        <v>5000</v>
      </c>
      <c r="T921" s="15" t="str">
        <f t="shared" si="208"/>
        <v>低级专属强化石</v>
      </c>
      <c r="U921" s="15">
        <f t="shared" si="209"/>
        <v>15</v>
      </c>
      <c r="V921" s="15" t="str">
        <f t="shared" si="210"/>
        <v>中级专属强化石</v>
      </c>
      <c r="W921" s="15">
        <f t="shared" si="211"/>
        <v>7</v>
      </c>
      <c r="X921" s="15">
        <f t="shared" si="212"/>
        <v>0.15</v>
      </c>
      <c r="Y921" s="15">
        <f t="shared" si="213"/>
        <v>1</v>
      </c>
      <c r="Z921" s="15">
        <f t="shared" si="214"/>
        <v>18</v>
      </c>
      <c r="AA921" s="15">
        <f t="shared" si="215"/>
        <v>0.3</v>
      </c>
    </row>
    <row r="922" spans="13:27" ht="16.5" x14ac:dyDescent="0.2">
      <c r="M922" s="15">
        <v>843</v>
      </c>
      <c r="N922" s="15">
        <f t="shared" si="204"/>
        <v>17</v>
      </c>
      <c r="O922" s="15">
        <f>INDEX(卡牌消耗!$H$13:$H$33,世界BOSS专属武器!N922)</f>
        <v>1501017</v>
      </c>
      <c r="P922" s="49" t="s">
        <v>408</v>
      </c>
      <c r="Q922" s="15">
        <f t="shared" si="205"/>
        <v>26</v>
      </c>
      <c r="R922" s="49" t="str">
        <f t="shared" si="206"/>
        <v>金币</v>
      </c>
      <c r="S922" s="15">
        <f t="shared" si="207"/>
        <v>5000</v>
      </c>
      <c r="T922" s="15" t="str">
        <f t="shared" si="208"/>
        <v>低级专属强化石</v>
      </c>
      <c r="U922" s="15">
        <f t="shared" si="209"/>
        <v>15</v>
      </c>
      <c r="V922" s="15" t="str">
        <f t="shared" si="210"/>
        <v>中级专属强化石</v>
      </c>
      <c r="W922" s="15">
        <f t="shared" si="211"/>
        <v>7</v>
      </c>
      <c r="X922" s="15">
        <f t="shared" si="212"/>
        <v>0.15</v>
      </c>
      <c r="Y922" s="15">
        <f t="shared" si="213"/>
        <v>1</v>
      </c>
      <c r="Z922" s="15">
        <f t="shared" si="214"/>
        <v>21</v>
      </c>
      <c r="AA922" s="15">
        <f t="shared" si="215"/>
        <v>0.32</v>
      </c>
    </row>
    <row r="923" spans="13:27" ht="16.5" x14ac:dyDescent="0.2">
      <c r="M923" s="15">
        <v>844</v>
      </c>
      <c r="N923" s="15">
        <f t="shared" si="204"/>
        <v>17</v>
      </c>
      <c r="O923" s="15">
        <f>INDEX(卡牌消耗!$H$13:$H$33,世界BOSS专属武器!N923)</f>
        <v>1501017</v>
      </c>
      <c r="P923" s="49" t="s">
        <v>408</v>
      </c>
      <c r="Q923" s="15">
        <f t="shared" si="205"/>
        <v>27</v>
      </c>
      <c r="R923" s="49" t="str">
        <f t="shared" si="206"/>
        <v>金币</v>
      </c>
      <c r="S923" s="15">
        <f t="shared" si="207"/>
        <v>5000</v>
      </c>
      <c r="T923" s="15" t="str">
        <f t="shared" si="208"/>
        <v>低级专属强化石</v>
      </c>
      <c r="U923" s="15">
        <f t="shared" si="209"/>
        <v>15</v>
      </c>
      <c r="V923" s="15" t="str">
        <f t="shared" si="210"/>
        <v>中级专属强化石</v>
      </c>
      <c r="W923" s="15">
        <f t="shared" si="211"/>
        <v>7</v>
      </c>
      <c r="X923" s="15">
        <f t="shared" si="212"/>
        <v>0.15</v>
      </c>
      <c r="Y923" s="15">
        <f t="shared" si="213"/>
        <v>1</v>
      </c>
      <c r="Z923" s="15">
        <f t="shared" si="214"/>
        <v>22</v>
      </c>
      <c r="AA923" s="15">
        <f t="shared" si="215"/>
        <v>0.34</v>
      </c>
    </row>
    <row r="924" spans="13:27" ht="16.5" x14ac:dyDescent="0.2">
      <c r="M924" s="15">
        <v>845</v>
      </c>
      <c r="N924" s="15">
        <f t="shared" si="204"/>
        <v>17</v>
      </c>
      <c r="O924" s="15">
        <f>INDEX(卡牌消耗!$H$13:$H$33,世界BOSS专属武器!N924)</f>
        <v>1501017</v>
      </c>
      <c r="P924" s="49" t="s">
        <v>408</v>
      </c>
      <c r="Q924" s="15">
        <f t="shared" si="205"/>
        <v>28</v>
      </c>
      <c r="R924" s="49" t="str">
        <f t="shared" si="206"/>
        <v>金币</v>
      </c>
      <c r="S924" s="15">
        <f t="shared" si="207"/>
        <v>5000</v>
      </c>
      <c r="T924" s="15" t="str">
        <f t="shared" si="208"/>
        <v>低级专属强化石</v>
      </c>
      <c r="U924" s="15">
        <f t="shared" si="209"/>
        <v>15</v>
      </c>
      <c r="V924" s="15" t="str">
        <f t="shared" si="210"/>
        <v>中级专属强化石</v>
      </c>
      <c r="W924" s="15">
        <f t="shared" si="211"/>
        <v>7</v>
      </c>
      <c r="X924" s="15">
        <f t="shared" si="212"/>
        <v>0.15</v>
      </c>
      <c r="Y924" s="15">
        <f t="shared" si="213"/>
        <v>1</v>
      </c>
      <c r="Z924" s="15">
        <f t="shared" si="214"/>
        <v>23</v>
      </c>
      <c r="AA924" s="15">
        <f t="shared" si="215"/>
        <v>0.36</v>
      </c>
    </row>
    <row r="925" spans="13:27" ht="16.5" x14ac:dyDescent="0.2">
      <c r="M925" s="15">
        <v>846</v>
      </c>
      <c r="N925" s="15">
        <f t="shared" si="204"/>
        <v>17</v>
      </c>
      <c r="O925" s="15">
        <f>INDEX(卡牌消耗!$H$13:$H$33,世界BOSS专属武器!N925)</f>
        <v>1501017</v>
      </c>
      <c r="P925" s="49" t="s">
        <v>408</v>
      </c>
      <c r="Q925" s="15">
        <f t="shared" si="205"/>
        <v>29</v>
      </c>
      <c r="R925" s="49" t="str">
        <f t="shared" si="206"/>
        <v>金币</v>
      </c>
      <c r="S925" s="15">
        <f t="shared" si="207"/>
        <v>5000</v>
      </c>
      <c r="T925" s="15" t="str">
        <f t="shared" si="208"/>
        <v>低级专属强化石</v>
      </c>
      <c r="U925" s="15">
        <f t="shared" si="209"/>
        <v>15</v>
      </c>
      <c r="V925" s="15" t="str">
        <f t="shared" si="210"/>
        <v>中级专属强化石</v>
      </c>
      <c r="W925" s="15">
        <f t="shared" si="211"/>
        <v>7</v>
      </c>
      <c r="X925" s="15">
        <f t="shared" si="212"/>
        <v>0.15</v>
      </c>
      <c r="Y925" s="15">
        <f t="shared" si="213"/>
        <v>1</v>
      </c>
      <c r="Z925" s="15">
        <f t="shared" si="214"/>
        <v>25</v>
      </c>
      <c r="AA925" s="15">
        <f t="shared" si="215"/>
        <v>0.38</v>
      </c>
    </row>
    <row r="926" spans="13:27" ht="16.5" x14ac:dyDescent="0.2">
      <c r="M926" s="15">
        <v>847</v>
      </c>
      <c r="N926" s="15">
        <f t="shared" si="204"/>
        <v>17</v>
      </c>
      <c r="O926" s="15">
        <f>INDEX(卡牌消耗!$H$13:$H$33,世界BOSS专属武器!N926)</f>
        <v>1501017</v>
      </c>
      <c r="P926" s="49" t="s">
        <v>408</v>
      </c>
      <c r="Q926" s="15">
        <f t="shared" si="205"/>
        <v>30</v>
      </c>
      <c r="R926" s="49" t="str">
        <f t="shared" si="206"/>
        <v>金币</v>
      </c>
      <c r="S926" s="15">
        <f t="shared" si="207"/>
        <v>10000</v>
      </c>
      <c r="T926" s="15" t="str">
        <f t="shared" si="208"/>
        <v>中级专属强化石</v>
      </c>
      <c r="U926" s="15">
        <f t="shared" si="209"/>
        <v>8</v>
      </c>
      <c r="V926" s="15" t="str">
        <f t="shared" si="210"/>
        <v>高级专属强化石</v>
      </c>
      <c r="W926" s="15">
        <f t="shared" si="211"/>
        <v>3</v>
      </c>
      <c r="X926" s="15">
        <f t="shared" si="212"/>
        <v>0.1</v>
      </c>
      <c r="Y926" s="15">
        <f t="shared" si="213"/>
        <v>1</v>
      </c>
      <c r="Z926" s="15">
        <f t="shared" si="214"/>
        <v>30</v>
      </c>
      <c r="AA926" s="15">
        <f t="shared" si="215"/>
        <v>0.4</v>
      </c>
    </row>
    <row r="927" spans="13:27" ht="16.5" x14ac:dyDescent="0.2">
      <c r="M927" s="15">
        <v>848</v>
      </c>
      <c r="N927" s="15">
        <f t="shared" si="204"/>
        <v>17</v>
      </c>
      <c r="O927" s="15">
        <f>INDEX(卡牌消耗!$H$13:$H$33,世界BOSS专属武器!N927)</f>
        <v>1501017</v>
      </c>
      <c r="P927" s="49" t="s">
        <v>408</v>
      </c>
      <c r="Q927" s="15">
        <f t="shared" si="205"/>
        <v>31</v>
      </c>
      <c r="R927" s="49" t="str">
        <f t="shared" si="206"/>
        <v>金币</v>
      </c>
      <c r="S927" s="15">
        <f t="shared" si="207"/>
        <v>10000</v>
      </c>
      <c r="T927" s="15" t="str">
        <f t="shared" si="208"/>
        <v>中级专属强化石</v>
      </c>
      <c r="U927" s="15">
        <f t="shared" si="209"/>
        <v>8</v>
      </c>
      <c r="V927" s="15" t="str">
        <f t="shared" si="210"/>
        <v>高级专属强化石</v>
      </c>
      <c r="W927" s="15">
        <f t="shared" si="211"/>
        <v>3</v>
      </c>
      <c r="X927" s="15">
        <f t="shared" si="212"/>
        <v>0.1</v>
      </c>
      <c r="Y927" s="15">
        <f t="shared" si="213"/>
        <v>1</v>
      </c>
      <c r="Z927" s="15">
        <f t="shared" si="214"/>
        <v>30</v>
      </c>
      <c r="AA927" s="15">
        <f t="shared" si="215"/>
        <v>0.42670000000000002</v>
      </c>
    </row>
    <row r="928" spans="13:27" ht="16.5" x14ac:dyDescent="0.2">
      <c r="M928" s="15">
        <v>849</v>
      </c>
      <c r="N928" s="15">
        <f t="shared" si="204"/>
        <v>17</v>
      </c>
      <c r="O928" s="15">
        <f>INDEX(卡牌消耗!$H$13:$H$33,世界BOSS专属武器!N928)</f>
        <v>1501017</v>
      </c>
      <c r="P928" s="49" t="s">
        <v>408</v>
      </c>
      <c r="Q928" s="15">
        <f t="shared" si="205"/>
        <v>32</v>
      </c>
      <c r="R928" s="49" t="str">
        <f t="shared" si="206"/>
        <v>金币</v>
      </c>
      <c r="S928" s="15">
        <f t="shared" si="207"/>
        <v>10000</v>
      </c>
      <c r="T928" s="15" t="str">
        <f t="shared" si="208"/>
        <v>中级专属强化石</v>
      </c>
      <c r="U928" s="15">
        <f t="shared" si="209"/>
        <v>8</v>
      </c>
      <c r="V928" s="15" t="str">
        <f t="shared" si="210"/>
        <v>高级专属强化石</v>
      </c>
      <c r="W928" s="15">
        <f t="shared" si="211"/>
        <v>3</v>
      </c>
      <c r="X928" s="15">
        <f t="shared" si="212"/>
        <v>0.1</v>
      </c>
      <c r="Y928" s="15">
        <f t="shared" si="213"/>
        <v>1</v>
      </c>
      <c r="Z928" s="15">
        <f t="shared" si="214"/>
        <v>30</v>
      </c>
      <c r="AA928" s="15">
        <f t="shared" si="215"/>
        <v>0.45329999999999998</v>
      </c>
    </row>
    <row r="929" spans="13:27" ht="16.5" x14ac:dyDescent="0.2">
      <c r="M929" s="15">
        <v>850</v>
      </c>
      <c r="N929" s="15">
        <f t="shared" si="204"/>
        <v>17</v>
      </c>
      <c r="O929" s="15">
        <f>INDEX(卡牌消耗!$H$13:$H$33,世界BOSS专属武器!N929)</f>
        <v>1501017</v>
      </c>
      <c r="P929" s="49" t="s">
        <v>408</v>
      </c>
      <c r="Q929" s="15">
        <f t="shared" si="205"/>
        <v>33</v>
      </c>
      <c r="R929" s="49" t="str">
        <f t="shared" si="206"/>
        <v>金币</v>
      </c>
      <c r="S929" s="15">
        <f t="shared" si="207"/>
        <v>10000</v>
      </c>
      <c r="T929" s="15" t="str">
        <f t="shared" si="208"/>
        <v>中级专属强化石</v>
      </c>
      <c r="U929" s="15">
        <f t="shared" si="209"/>
        <v>8</v>
      </c>
      <c r="V929" s="15" t="str">
        <f t="shared" si="210"/>
        <v>高级专属强化石</v>
      </c>
      <c r="W929" s="15">
        <f t="shared" si="211"/>
        <v>3</v>
      </c>
      <c r="X929" s="15">
        <f t="shared" si="212"/>
        <v>0.1</v>
      </c>
      <c r="Y929" s="15">
        <f t="shared" si="213"/>
        <v>1</v>
      </c>
      <c r="Z929" s="15">
        <f t="shared" si="214"/>
        <v>30</v>
      </c>
      <c r="AA929" s="15">
        <f t="shared" si="215"/>
        <v>0.48</v>
      </c>
    </row>
    <row r="930" spans="13:27" ht="16.5" x14ac:dyDescent="0.2">
      <c r="M930" s="15">
        <v>851</v>
      </c>
      <c r="N930" s="15">
        <f t="shared" si="204"/>
        <v>17</v>
      </c>
      <c r="O930" s="15">
        <f>INDEX(卡牌消耗!$H$13:$H$33,世界BOSS专属武器!N930)</f>
        <v>1501017</v>
      </c>
      <c r="P930" s="49" t="s">
        <v>408</v>
      </c>
      <c r="Q930" s="15">
        <f t="shared" si="205"/>
        <v>34</v>
      </c>
      <c r="R930" s="49" t="str">
        <f t="shared" si="206"/>
        <v>金币</v>
      </c>
      <c r="S930" s="15">
        <f t="shared" si="207"/>
        <v>10000</v>
      </c>
      <c r="T930" s="15" t="str">
        <f t="shared" si="208"/>
        <v>中级专属强化石</v>
      </c>
      <c r="U930" s="15">
        <f t="shared" si="209"/>
        <v>8</v>
      </c>
      <c r="V930" s="15" t="str">
        <f t="shared" si="210"/>
        <v>高级专属强化石</v>
      </c>
      <c r="W930" s="15">
        <f t="shared" si="211"/>
        <v>3</v>
      </c>
      <c r="X930" s="15">
        <f t="shared" si="212"/>
        <v>0.1</v>
      </c>
      <c r="Y930" s="15">
        <f t="shared" si="213"/>
        <v>1</v>
      </c>
      <c r="Z930" s="15">
        <f t="shared" si="214"/>
        <v>30</v>
      </c>
      <c r="AA930" s="15">
        <f t="shared" si="215"/>
        <v>0.50670000000000004</v>
      </c>
    </row>
    <row r="931" spans="13:27" ht="16.5" x14ac:dyDescent="0.2">
      <c r="M931" s="15">
        <v>852</v>
      </c>
      <c r="N931" s="15">
        <f t="shared" si="204"/>
        <v>17</v>
      </c>
      <c r="O931" s="15">
        <f>INDEX(卡牌消耗!$H$13:$H$33,世界BOSS专属武器!N931)</f>
        <v>1501017</v>
      </c>
      <c r="P931" s="49" t="s">
        <v>408</v>
      </c>
      <c r="Q931" s="15">
        <f t="shared" si="205"/>
        <v>35</v>
      </c>
      <c r="R931" s="49" t="str">
        <f t="shared" si="206"/>
        <v>金币</v>
      </c>
      <c r="S931" s="15">
        <f t="shared" si="207"/>
        <v>10000</v>
      </c>
      <c r="T931" s="15" t="str">
        <f t="shared" si="208"/>
        <v>中级专属强化石</v>
      </c>
      <c r="U931" s="15">
        <f t="shared" si="209"/>
        <v>8</v>
      </c>
      <c r="V931" s="15" t="str">
        <f t="shared" si="210"/>
        <v>高级专属强化石</v>
      </c>
      <c r="W931" s="15">
        <f t="shared" si="211"/>
        <v>3</v>
      </c>
      <c r="X931" s="15">
        <f t="shared" si="212"/>
        <v>0.1</v>
      </c>
      <c r="Y931" s="15">
        <f t="shared" si="213"/>
        <v>1</v>
      </c>
      <c r="Z931" s="15">
        <f t="shared" si="214"/>
        <v>30</v>
      </c>
      <c r="AA931" s="15">
        <f t="shared" si="215"/>
        <v>0.5333</v>
      </c>
    </row>
    <row r="932" spans="13:27" ht="16.5" x14ac:dyDescent="0.2">
      <c r="M932" s="15">
        <v>853</v>
      </c>
      <c r="N932" s="15">
        <f t="shared" si="204"/>
        <v>17</v>
      </c>
      <c r="O932" s="15">
        <f>INDEX(卡牌消耗!$H$13:$H$33,世界BOSS专属武器!N932)</f>
        <v>1501017</v>
      </c>
      <c r="P932" s="49" t="s">
        <v>408</v>
      </c>
      <c r="Q932" s="15">
        <f t="shared" si="205"/>
        <v>36</v>
      </c>
      <c r="R932" s="49" t="str">
        <f t="shared" si="206"/>
        <v>金币</v>
      </c>
      <c r="S932" s="15">
        <f t="shared" si="207"/>
        <v>10000</v>
      </c>
      <c r="T932" s="15" t="str">
        <f t="shared" si="208"/>
        <v>中级专属强化石</v>
      </c>
      <c r="U932" s="15">
        <f t="shared" si="209"/>
        <v>8</v>
      </c>
      <c r="V932" s="15" t="str">
        <f t="shared" si="210"/>
        <v>高级专属强化石</v>
      </c>
      <c r="W932" s="15">
        <f t="shared" si="211"/>
        <v>3</v>
      </c>
      <c r="X932" s="15">
        <f t="shared" si="212"/>
        <v>0.1</v>
      </c>
      <c r="Y932" s="15">
        <f t="shared" si="213"/>
        <v>1</v>
      </c>
      <c r="Z932" s="15">
        <f t="shared" si="214"/>
        <v>30</v>
      </c>
      <c r="AA932" s="15">
        <f t="shared" si="215"/>
        <v>0.56000000000000005</v>
      </c>
    </row>
    <row r="933" spans="13:27" ht="16.5" x14ac:dyDescent="0.2">
      <c r="M933" s="15">
        <v>854</v>
      </c>
      <c r="N933" s="15">
        <f t="shared" si="204"/>
        <v>17</v>
      </c>
      <c r="O933" s="15">
        <f>INDEX(卡牌消耗!$H$13:$H$33,世界BOSS专属武器!N933)</f>
        <v>1501017</v>
      </c>
      <c r="P933" s="49" t="s">
        <v>408</v>
      </c>
      <c r="Q933" s="15">
        <f t="shared" si="205"/>
        <v>37</v>
      </c>
      <c r="R933" s="49" t="str">
        <f t="shared" si="206"/>
        <v>金币</v>
      </c>
      <c r="S933" s="15">
        <f t="shared" si="207"/>
        <v>10000</v>
      </c>
      <c r="T933" s="15" t="str">
        <f t="shared" si="208"/>
        <v>中级专属强化石</v>
      </c>
      <c r="U933" s="15">
        <f t="shared" si="209"/>
        <v>8</v>
      </c>
      <c r="V933" s="15" t="str">
        <f t="shared" si="210"/>
        <v>高级专属强化石</v>
      </c>
      <c r="W933" s="15">
        <f t="shared" si="211"/>
        <v>3</v>
      </c>
      <c r="X933" s="15">
        <f t="shared" si="212"/>
        <v>0.1</v>
      </c>
      <c r="Y933" s="15">
        <f t="shared" si="213"/>
        <v>1</v>
      </c>
      <c r="Z933" s="15">
        <f t="shared" si="214"/>
        <v>30</v>
      </c>
      <c r="AA933" s="15">
        <f t="shared" si="215"/>
        <v>0.5867</v>
      </c>
    </row>
    <row r="934" spans="13:27" ht="16.5" x14ac:dyDescent="0.2">
      <c r="M934" s="15">
        <v>855</v>
      </c>
      <c r="N934" s="15">
        <f t="shared" si="204"/>
        <v>17</v>
      </c>
      <c r="O934" s="15">
        <f>INDEX(卡牌消耗!$H$13:$H$33,世界BOSS专属武器!N934)</f>
        <v>1501017</v>
      </c>
      <c r="P934" s="49" t="s">
        <v>408</v>
      </c>
      <c r="Q934" s="15">
        <f t="shared" si="205"/>
        <v>38</v>
      </c>
      <c r="R934" s="49" t="str">
        <f t="shared" si="206"/>
        <v>金币</v>
      </c>
      <c r="S934" s="15">
        <f t="shared" si="207"/>
        <v>10000</v>
      </c>
      <c r="T934" s="15" t="str">
        <f t="shared" si="208"/>
        <v>中级专属强化石</v>
      </c>
      <c r="U934" s="15">
        <f t="shared" si="209"/>
        <v>8</v>
      </c>
      <c r="V934" s="15" t="str">
        <f t="shared" si="210"/>
        <v>高级专属强化石</v>
      </c>
      <c r="W934" s="15">
        <f t="shared" si="211"/>
        <v>3</v>
      </c>
      <c r="X934" s="15">
        <f t="shared" si="212"/>
        <v>0.1</v>
      </c>
      <c r="Y934" s="15">
        <f t="shared" si="213"/>
        <v>1</v>
      </c>
      <c r="Z934" s="15">
        <f t="shared" si="214"/>
        <v>30</v>
      </c>
      <c r="AA934" s="15">
        <f t="shared" si="215"/>
        <v>0.61329999999999996</v>
      </c>
    </row>
    <row r="935" spans="13:27" ht="16.5" x14ac:dyDescent="0.2">
      <c r="M935" s="15">
        <v>856</v>
      </c>
      <c r="N935" s="15">
        <f t="shared" si="204"/>
        <v>17</v>
      </c>
      <c r="O935" s="15">
        <f>INDEX(卡牌消耗!$H$13:$H$33,世界BOSS专属武器!N935)</f>
        <v>1501017</v>
      </c>
      <c r="P935" s="49" t="s">
        <v>408</v>
      </c>
      <c r="Q935" s="15">
        <f t="shared" si="205"/>
        <v>39</v>
      </c>
      <c r="R935" s="49" t="str">
        <f t="shared" si="206"/>
        <v>金币</v>
      </c>
      <c r="S935" s="15">
        <f t="shared" si="207"/>
        <v>10000</v>
      </c>
      <c r="T935" s="15" t="str">
        <f t="shared" si="208"/>
        <v>中级专属强化石</v>
      </c>
      <c r="U935" s="15">
        <f t="shared" si="209"/>
        <v>8</v>
      </c>
      <c r="V935" s="15" t="str">
        <f t="shared" si="210"/>
        <v>高级专属强化石</v>
      </c>
      <c r="W935" s="15">
        <f t="shared" si="211"/>
        <v>3</v>
      </c>
      <c r="X935" s="15">
        <f t="shared" si="212"/>
        <v>0.1</v>
      </c>
      <c r="Y935" s="15">
        <f t="shared" si="213"/>
        <v>1</v>
      </c>
      <c r="Z935" s="15">
        <f t="shared" si="214"/>
        <v>30</v>
      </c>
      <c r="AA935" s="15">
        <f t="shared" si="215"/>
        <v>0.64</v>
      </c>
    </row>
    <row r="936" spans="13:27" ht="16.5" x14ac:dyDescent="0.2">
      <c r="M936" s="15">
        <v>857</v>
      </c>
      <c r="N936" s="15">
        <f t="shared" si="204"/>
        <v>17</v>
      </c>
      <c r="O936" s="15">
        <f>INDEX(卡牌消耗!$H$13:$H$33,世界BOSS专属武器!N936)</f>
        <v>1501017</v>
      </c>
      <c r="P936" s="49" t="s">
        <v>408</v>
      </c>
      <c r="Q936" s="15">
        <f t="shared" si="205"/>
        <v>40</v>
      </c>
      <c r="R936" s="49" t="str">
        <f t="shared" si="206"/>
        <v>金币</v>
      </c>
      <c r="S936" s="15">
        <f t="shared" si="207"/>
        <v>20000</v>
      </c>
      <c r="T936" s="15" t="str">
        <f t="shared" si="208"/>
        <v>高级专属强化石</v>
      </c>
      <c r="U936" s="15">
        <f t="shared" si="209"/>
        <v>5</v>
      </c>
      <c r="V936" s="15" t="str">
        <f t="shared" si="210"/>
        <v>[x]</v>
      </c>
      <c r="W936" s="15" t="str">
        <f t="shared" si="211"/>
        <v>[x]</v>
      </c>
      <c r="X936" s="15">
        <f t="shared" si="212"/>
        <v>0.1</v>
      </c>
      <c r="Y936" s="15">
        <f t="shared" si="213"/>
        <v>1</v>
      </c>
      <c r="Z936" s="15">
        <f t="shared" si="214"/>
        <v>35</v>
      </c>
      <c r="AA936" s="15">
        <f t="shared" si="215"/>
        <v>0.66669999999999996</v>
      </c>
    </row>
    <row r="937" spans="13:27" ht="16.5" x14ac:dyDescent="0.2">
      <c r="M937" s="15">
        <v>858</v>
      </c>
      <c r="N937" s="15">
        <f t="shared" si="204"/>
        <v>17</v>
      </c>
      <c r="O937" s="15">
        <f>INDEX(卡牌消耗!$H$13:$H$33,世界BOSS专属武器!N937)</f>
        <v>1501017</v>
      </c>
      <c r="P937" s="49" t="s">
        <v>408</v>
      </c>
      <c r="Q937" s="15">
        <f t="shared" si="205"/>
        <v>41</v>
      </c>
      <c r="R937" s="49" t="str">
        <f t="shared" si="206"/>
        <v>金币</v>
      </c>
      <c r="S937" s="15">
        <f t="shared" si="207"/>
        <v>20000</v>
      </c>
      <c r="T937" s="15" t="str">
        <f t="shared" si="208"/>
        <v>高级专属强化石</v>
      </c>
      <c r="U937" s="15">
        <f t="shared" si="209"/>
        <v>5</v>
      </c>
      <c r="V937" s="15" t="str">
        <f t="shared" si="210"/>
        <v>[x]</v>
      </c>
      <c r="W937" s="15" t="str">
        <f t="shared" si="211"/>
        <v>[x]</v>
      </c>
      <c r="X937" s="15">
        <f t="shared" si="212"/>
        <v>0.1</v>
      </c>
      <c r="Y937" s="15">
        <f t="shared" si="213"/>
        <v>1</v>
      </c>
      <c r="Z937" s="15">
        <f t="shared" si="214"/>
        <v>40</v>
      </c>
      <c r="AA937" s="15">
        <f t="shared" si="215"/>
        <v>0.7</v>
      </c>
    </row>
    <row r="938" spans="13:27" ht="16.5" x14ac:dyDescent="0.2">
      <c r="M938" s="15">
        <v>859</v>
      </c>
      <c r="N938" s="15">
        <f t="shared" si="204"/>
        <v>17</v>
      </c>
      <c r="O938" s="15">
        <f>INDEX(卡牌消耗!$H$13:$H$33,世界BOSS专属武器!N938)</f>
        <v>1501017</v>
      </c>
      <c r="P938" s="49" t="s">
        <v>408</v>
      </c>
      <c r="Q938" s="15">
        <f t="shared" si="205"/>
        <v>42</v>
      </c>
      <c r="R938" s="49" t="str">
        <f t="shared" si="206"/>
        <v>金币</v>
      </c>
      <c r="S938" s="15">
        <f t="shared" si="207"/>
        <v>20000</v>
      </c>
      <c r="T938" s="15" t="str">
        <f t="shared" si="208"/>
        <v>高级专属强化石</v>
      </c>
      <c r="U938" s="15">
        <f t="shared" si="209"/>
        <v>5</v>
      </c>
      <c r="V938" s="15" t="str">
        <f t="shared" si="210"/>
        <v>[x]</v>
      </c>
      <c r="W938" s="15" t="str">
        <f t="shared" si="211"/>
        <v>[x]</v>
      </c>
      <c r="X938" s="15">
        <f t="shared" si="212"/>
        <v>0.1</v>
      </c>
      <c r="Y938" s="15">
        <f t="shared" si="213"/>
        <v>1</v>
      </c>
      <c r="Z938" s="15">
        <f t="shared" si="214"/>
        <v>45</v>
      </c>
      <c r="AA938" s="15">
        <f t="shared" si="215"/>
        <v>0.73329999999999995</v>
      </c>
    </row>
    <row r="939" spans="13:27" ht="16.5" x14ac:dyDescent="0.2">
      <c r="M939" s="15">
        <v>860</v>
      </c>
      <c r="N939" s="15">
        <f t="shared" si="204"/>
        <v>17</v>
      </c>
      <c r="O939" s="15">
        <f>INDEX(卡牌消耗!$H$13:$H$33,世界BOSS专属武器!N939)</f>
        <v>1501017</v>
      </c>
      <c r="P939" s="49" t="s">
        <v>408</v>
      </c>
      <c r="Q939" s="15">
        <f t="shared" si="205"/>
        <v>43</v>
      </c>
      <c r="R939" s="49" t="str">
        <f t="shared" si="206"/>
        <v>金币</v>
      </c>
      <c r="S939" s="15">
        <f t="shared" si="207"/>
        <v>20000</v>
      </c>
      <c r="T939" s="15" t="str">
        <f t="shared" si="208"/>
        <v>高级专属强化石</v>
      </c>
      <c r="U939" s="15">
        <f t="shared" si="209"/>
        <v>5</v>
      </c>
      <c r="V939" s="15" t="str">
        <f t="shared" si="210"/>
        <v>[x]</v>
      </c>
      <c r="W939" s="15" t="str">
        <f t="shared" si="211"/>
        <v>[x]</v>
      </c>
      <c r="X939" s="15">
        <f t="shared" si="212"/>
        <v>0.1</v>
      </c>
      <c r="Y939" s="15">
        <f t="shared" si="213"/>
        <v>1</v>
      </c>
      <c r="Z939" s="15">
        <f t="shared" si="214"/>
        <v>50</v>
      </c>
      <c r="AA939" s="15">
        <f t="shared" si="215"/>
        <v>0.76670000000000005</v>
      </c>
    </row>
    <row r="940" spans="13:27" ht="16.5" x14ac:dyDescent="0.2">
      <c r="M940" s="15">
        <v>861</v>
      </c>
      <c r="N940" s="15">
        <f t="shared" si="204"/>
        <v>17</v>
      </c>
      <c r="O940" s="15">
        <f>INDEX(卡牌消耗!$H$13:$H$33,世界BOSS专属武器!N940)</f>
        <v>1501017</v>
      </c>
      <c r="P940" s="49" t="s">
        <v>408</v>
      </c>
      <c r="Q940" s="15">
        <f t="shared" si="205"/>
        <v>44</v>
      </c>
      <c r="R940" s="49" t="str">
        <f t="shared" si="206"/>
        <v>金币</v>
      </c>
      <c r="S940" s="15">
        <f t="shared" si="207"/>
        <v>20000</v>
      </c>
      <c r="T940" s="15" t="str">
        <f t="shared" si="208"/>
        <v>高级专属强化石</v>
      </c>
      <c r="U940" s="15">
        <f t="shared" si="209"/>
        <v>5</v>
      </c>
      <c r="V940" s="15" t="str">
        <f t="shared" si="210"/>
        <v>[x]</v>
      </c>
      <c r="W940" s="15" t="str">
        <f t="shared" si="211"/>
        <v>[x]</v>
      </c>
      <c r="X940" s="15">
        <f t="shared" si="212"/>
        <v>0.1</v>
      </c>
      <c r="Y940" s="15">
        <f t="shared" si="213"/>
        <v>1</v>
      </c>
      <c r="Z940" s="15">
        <f t="shared" si="214"/>
        <v>55</v>
      </c>
      <c r="AA940" s="15">
        <f t="shared" si="215"/>
        <v>0.8</v>
      </c>
    </row>
    <row r="941" spans="13:27" ht="16.5" x14ac:dyDescent="0.2">
      <c r="M941" s="15">
        <v>862</v>
      </c>
      <c r="N941" s="15">
        <f t="shared" si="204"/>
        <v>17</v>
      </c>
      <c r="O941" s="15">
        <f>INDEX(卡牌消耗!$H$13:$H$33,世界BOSS专属武器!N941)</f>
        <v>1501017</v>
      </c>
      <c r="P941" s="49" t="s">
        <v>408</v>
      </c>
      <c r="Q941" s="15">
        <f t="shared" si="205"/>
        <v>45</v>
      </c>
      <c r="R941" s="49" t="str">
        <f t="shared" si="206"/>
        <v>金币</v>
      </c>
      <c r="S941" s="15">
        <f t="shared" si="207"/>
        <v>20000</v>
      </c>
      <c r="T941" s="15" t="str">
        <f t="shared" si="208"/>
        <v>高级专属强化石</v>
      </c>
      <c r="U941" s="15">
        <f t="shared" si="209"/>
        <v>6</v>
      </c>
      <c r="V941" s="15" t="str">
        <f t="shared" si="210"/>
        <v>[x]</v>
      </c>
      <c r="W941" s="15" t="str">
        <f t="shared" si="211"/>
        <v>[x]</v>
      </c>
      <c r="X941" s="15">
        <f t="shared" si="212"/>
        <v>0.1</v>
      </c>
      <c r="Y941" s="15">
        <f t="shared" si="213"/>
        <v>1</v>
      </c>
      <c r="Z941" s="15">
        <f t="shared" si="214"/>
        <v>60</v>
      </c>
      <c r="AA941" s="15">
        <f t="shared" si="215"/>
        <v>0.83330000000000004</v>
      </c>
    </row>
    <row r="942" spans="13:27" ht="16.5" x14ac:dyDescent="0.2">
      <c r="M942" s="15">
        <v>863</v>
      </c>
      <c r="N942" s="15">
        <f t="shared" si="204"/>
        <v>17</v>
      </c>
      <c r="O942" s="15">
        <f>INDEX(卡牌消耗!$H$13:$H$33,世界BOSS专属武器!N942)</f>
        <v>1501017</v>
      </c>
      <c r="P942" s="49" t="s">
        <v>408</v>
      </c>
      <c r="Q942" s="15">
        <f t="shared" si="205"/>
        <v>46</v>
      </c>
      <c r="R942" s="49" t="str">
        <f t="shared" si="206"/>
        <v>金币</v>
      </c>
      <c r="S942" s="15">
        <f t="shared" si="207"/>
        <v>20000</v>
      </c>
      <c r="T942" s="15" t="str">
        <f t="shared" si="208"/>
        <v>高级专属强化石</v>
      </c>
      <c r="U942" s="15">
        <f t="shared" si="209"/>
        <v>7</v>
      </c>
      <c r="V942" s="15" t="str">
        <f t="shared" si="210"/>
        <v>[x]</v>
      </c>
      <c r="W942" s="15" t="str">
        <f t="shared" si="211"/>
        <v>[x]</v>
      </c>
      <c r="X942" s="15">
        <f t="shared" si="212"/>
        <v>0.1</v>
      </c>
      <c r="Y942" s="15">
        <f t="shared" si="213"/>
        <v>1</v>
      </c>
      <c r="Z942" s="15">
        <f t="shared" si="214"/>
        <v>70</v>
      </c>
      <c r="AA942" s="15">
        <f t="shared" si="215"/>
        <v>0.86670000000000003</v>
      </c>
    </row>
    <row r="943" spans="13:27" ht="16.5" x14ac:dyDescent="0.2">
      <c r="M943" s="15">
        <v>864</v>
      </c>
      <c r="N943" s="15">
        <f t="shared" si="204"/>
        <v>17</v>
      </c>
      <c r="O943" s="15">
        <f>INDEX(卡牌消耗!$H$13:$H$33,世界BOSS专属武器!N943)</f>
        <v>1501017</v>
      </c>
      <c r="P943" s="49" t="s">
        <v>408</v>
      </c>
      <c r="Q943" s="15">
        <f t="shared" si="205"/>
        <v>47</v>
      </c>
      <c r="R943" s="49" t="str">
        <f t="shared" si="206"/>
        <v>金币</v>
      </c>
      <c r="S943" s="15">
        <f t="shared" si="207"/>
        <v>20000</v>
      </c>
      <c r="T943" s="15" t="str">
        <f t="shared" si="208"/>
        <v>高级专属强化石</v>
      </c>
      <c r="U943" s="15">
        <f t="shared" si="209"/>
        <v>8</v>
      </c>
      <c r="V943" s="15" t="str">
        <f t="shared" si="210"/>
        <v>[x]</v>
      </c>
      <c r="W943" s="15" t="str">
        <f t="shared" si="211"/>
        <v>[x]</v>
      </c>
      <c r="X943" s="15">
        <f t="shared" si="212"/>
        <v>0.1</v>
      </c>
      <c r="Y943" s="15">
        <f t="shared" si="213"/>
        <v>1</v>
      </c>
      <c r="Z943" s="15">
        <f t="shared" si="214"/>
        <v>80</v>
      </c>
      <c r="AA943" s="15">
        <f t="shared" si="215"/>
        <v>0.9</v>
      </c>
    </row>
    <row r="944" spans="13:27" ht="16.5" x14ac:dyDescent="0.2">
      <c r="M944" s="15">
        <v>865</v>
      </c>
      <c r="N944" s="15">
        <f t="shared" si="204"/>
        <v>17</v>
      </c>
      <c r="O944" s="15">
        <f>INDEX(卡牌消耗!$H$13:$H$33,世界BOSS专属武器!N944)</f>
        <v>1501017</v>
      </c>
      <c r="P944" s="49" t="s">
        <v>408</v>
      </c>
      <c r="Q944" s="15">
        <f t="shared" si="205"/>
        <v>48</v>
      </c>
      <c r="R944" s="49" t="str">
        <f t="shared" si="206"/>
        <v>金币</v>
      </c>
      <c r="S944" s="15">
        <f t="shared" si="207"/>
        <v>20000</v>
      </c>
      <c r="T944" s="15" t="str">
        <f t="shared" si="208"/>
        <v>高级专属强化石</v>
      </c>
      <c r="U944" s="15">
        <f t="shared" si="209"/>
        <v>9</v>
      </c>
      <c r="V944" s="15" t="str">
        <f t="shared" si="210"/>
        <v>[x]</v>
      </c>
      <c r="W944" s="15" t="str">
        <f t="shared" si="211"/>
        <v>[x]</v>
      </c>
      <c r="X944" s="15">
        <f t="shared" si="212"/>
        <v>0.1</v>
      </c>
      <c r="Y944" s="15">
        <f t="shared" si="213"/>
        <v>1</v>
      </c>
      <c r="Z944" s="15">
        <f t="shared" si="214"/>
        <v>100</v>
      </c>
      <c r="AA944" s="15">
        <f t="shared" si="215"/>
        <v>0.93330000000000002</v>
      </c>
    </row>
    <row r="945" spans="13:27" ht="16.5" x14ac:dyDescent="0.2">
      <c r="M945" s="15">
        <v>866</v>
      </c>
      <c r="N945" s="15">
        <f t="shared" si="204"/>
        <v>17</v>
      </c>
      <c r="O945" s="15">
        <f>INDEX(卡牌消耗!$H$13:$H$33,世界BOSS专属武器!N945)</f>
        <v>1501017</v>
      </c>
      <c r="P945" s="49" t="s">
        <v>408</v>
      </c>
      <c r="Q945" s="15">
        <f t="shared" si="205"/>
        <v>49</v>
      </c>
      <c r="R945" s="49" t="str">
        <f t="shared" si="206"/>
        <v>金币</v>
      </c>
      <c r="S945" s="15">
        <f t="shared" si="207"/>
        <v>20000</v>
      </c>
      <c r="T945" s="15" t="str">
        <f t="shared" si="208"/>
        <v>高级专属强化石</v>
      </c>
      <c r="U945" s="15">
        <f t="shared" si="209"/>
        <v>10</v>
      </c>
      <c r="V945" s="15" t="str">
        <f t="shared" si="210"/>
        <v>[x]</v>
      </c>
      <c r="W945" s="15" t="str">
        <f t="shared" si="211"/>
        <v>[x]</v>
      </c>
      <c r="X945" s="15">
        <f t="shared" si="212"/>
        <v>0.1</v>
      </c>
      <c r="Y945" s="15">
        <f t="shared" si="213"/>
        <v>1</v>
      </c>
      <c r="Z945" s="15">
        <f t="shared" si="214"/>
        <v>120</v>
      </c>
      <c r="AA945" s="15">
        <f t="shared" si="215"/>
        <v>0.9667</v>
      </c>
    </row>
    <row r="946" spans="13:27" ht="16.5" x14ac:dyDescent="0.2">
      <c r="M946" s="15">
        <v>867</v>
      </c>
      <c r="N946" s="15">
        <f t="shared" si="204"/>
        <v>17</v>
      </c>
      <c r="O946" s="15">
        <f>INDEX(卡牌消耗!$H$13:$H$33,世界BOSS专属武器!N946)</f>
        <v>1501017</v>
      </c>
      <c r="P946" s="49" t="s">
        <v>408</v>
      </c>
      <c r="Q946" s="15">
        <f t="shared" si="205"/>
        <v>50</v>
      </c>
      <c r="R946" s="49" t="str">
        <f t="shared" si="206"/>
        <v>金币</v>
      </c>
      <c r="S946" s="15">
        <f t="shared" si="207"/>
        <v>20000</v>
      </c>
      <c r="T946" s="15" t="str">
        <f t="shared" si="208"/>
        <v>高级专属强化石</v>
      </c>
      <c r="U946" s="15">
        <f t="shared" si="209"/>
        <v>15</v>
      </c>
      <c r="V946" s="15" t="str">
        <f t="shared" si="210"/>
        <v>[x]</v>
      </c>
      <c r="W946" s="15" t="str">
        <f t="shared" si="211"/>
        <v>[x]</v>
      </c>
      <c r="X946" s="15">
        <f t="shared" si="212"/>
        <v>0.1</v>
      </c>
      <c r="Y946" s="15">
        <f t="shared" si="213"/>
        <v>1</v>
      </c>
      <c r="Z946" s="15">
        <f t="shared" si="214"/>
        <v>150</v>
      </c>
      <c r="AA946" s="15">
        <f t="shared" si="215"/>
        <v>1</v>
      </c>
    </row>
    <row r="947" spans="13:27" ht="16.5" x14ac:dyDescent="0.2">
      <c r="M947" s="15">
        <v>868</v>
      </c>
      <c r="N947" s="15">
        <f t="shared" si="204"/>
        <v>18</v>
      </c>
      <c r="O947" s="15">
        <f>INDEX(卡牌消耗!$H$13:$H$33,世界BOSS专属武器!N947)</f>
        <v>1501018</v>
      </c>
      <c r="P947" s="49" t="s">
        <v>408</v>
      </c>
      <c r="Q947" s="15">
        <f t="shared" si="205"/>
        <v>0</v>
      </c>
      <c r="R947" s="49" t="str">
        <f t="shared" si="206"/>
        <v>[x]</v>
      </c>
      <c r="S947" s="15" t="str">
        <f t="shared" si="207"/>
        <v>[x]</v>
      </c>
      <c r="T947" s="15" t="str">
        <f t="shared" si="208"/>
        <v>[x]</v>
      </c>
      <c r="U947" s="15" t="str">
        <f t="shared" si="209"/>
        <v>[x]</v>
      </c>
      <c r="V947" s="15" t="str">
        <f t="shared" si="210"/>
        <v>[x]</v>
      </c>
      <c r="W947" s="15" t="str">
        <f t="shared" si="211"/>
        <v>[x]</v>
      </c>
      <c r="X947" s="15" t="str">
        <f t="shared" si="212"/>
        <v>[x]</v>
      </c>
      <c r="Y947" s="15" t="str">
        <f t="shared" si="213"/>
        <v>[x]</v>
      </c>
      <c r="Z947" s="15" t="str">
        <f t="shared" si="214"/>
        <v>[x]</v>
      </c>
      <c r="AA947" s="15" t="str">
        <f t="shared" si="215"/>
        <v>[x]</v>
      </c>
    </row>
    <row r="948" spans="13:27" ht="16.5" x14ac:dyDescent="0.2">
      <c r="M948" s="15">
        <v>869</v>
      </c>
      <c r="N948" s="15">
        <f t="shared" si="204"/>
        <v>18</v>
      </c>
      <c r="O948" s="15">
        <f>INDEX(卡牌消耗!$H$13:$H$33,世界BOSS专属武器!N948)</f>
        <v>1501018</v>
      </c>
      <c r="P948" s="49" t="s">
        <v>408</v>
      </c>
      <c r="Q948" s="15">
        <f t="shared" si="205"/>
        <v>1</v>
      </c>
      <c r="R948" s="49" t="str">
        <f t="shared" si="206"/>
        <v>金币</v>
      </c>
      <c r="S948" s="15">
        <f t="shared" si="207"/>
        <v>100</v>
      </c>
      <c r="T948" s="15" t="str">
        <f t="shared" si="208"/>
        <v>低级专属强化石</v>
      </c>
      <c r="U948" s="15">
        <f t="shared" si="209"/>
        <v>1</v>
      </c>
      <c r="V948" s="15" t="str">
        <f t="shared" si="210"/>
        <v>[x]</v>
      </c>
      <c r="W948" s="15" t="str">
        <f t="shared" si="211"/>
        <v>[x]</v>
      </c>
      <c r="X948" s="15">
        <f t="shared" si="212"/>
        <v>1</v>
      </c>
      <c r="Y948" s="15">
        <f t="shared" si="213"/>
        <v>1</v>
      </c>
      <c r="Z948" s="15">
        <f t="shared" si="214"/>
        <v>1</v>
      </c>
      <c r="AA948" s="15">
        <f t="shared" si="215"/>
        <v>6.7000000000000002E-3</v>
      </c>
    </row>
    <row r="949" spans="13:27" ht="16.5" x14ac:dyDescent="0.2">
      <c r="M949" s="15">
        <v>870</v>
      </c>
      <c r="N949" s="15">
        <f t="shared" si="204"/>
        <v>18</v>
      </c>
      <c r="O949" s="15">
        <f>INDEX(卡牌消耗!$H$13:$H$33,世界BOSS专属武器!N949)</f>
        <v>1501018</v>
      </c>
      <c r="P949" s="49" t="s">
        <v>408</v>
      </c>
      <c r="Q949" s="15">
        <f t="shared" si="205"/>
        <v>2</v>
      </c>
      <c r="R949" s="49" t="str">
        <f t="shared" si="206"/>
        <v>金币</v>
      </c>
      <c r="S949" s="15">
        <f t="shared" si="207"/>
        <v>200</v>
      </c>
      <c r="T949" s="15" t="str">
        <f t="shared" si="208"/>
        <v>低级专属强化石</v>
      </c>
      <c r="U949" s="15">
        <f t="shared" si="209"/>
        <v>1</v>
      </c>
      <c r="V949" s="15" t="str">
        <f t="shared" si="210"/>
        <v>[x]</v>
      </c>
      <c r="W949" s="15" t="str">
        <f t="shared" si="211"/>
        <v>[x]</v>
      </c>
      <c r="X949" s="15">
        <f t="shared" si="212"/>
        <v>0.5</v>
      </c>
      <c r="Y949" s="15">
        <f t="shared" si="213"/>
        <v>1</v>
      </c>
      <c r="Z949" s="15">
        <f t="shared" si="214"/>
        <v>2</v>
      </c>
      <c r="AA949" s="15">
        <f t="shared" si="215"/>
        <v>1.3299999999999999E-2</v>
      </c>
    </row>
    <row r="950" spans="13:27" ht="16.5" x14ac:dyDescent="0.2">
      <c r="M950" s="15">
        <v>871</v>
      </c>
      <c r="N950" s="15">
        <f t="shared" si="204"/>
        <v>18</v>
      </c>
      <c r="O950" s="15">
        <f>INDEX(卡牌消耗!$H$13:$H$33,世界BOSS专属武器!N950)</f>
        <v>1501018</v>
      </c>
      <c r="P950" s="49" t="s">
        <v>408</v>
      </c>
      <c r="Q950" s="15">
        <f t="shared" si="205"/>
        <v>3</v>
      </c>
      <c r="R950" s="49" t="str">
        <f t="shared" si="206"/>
        <v>金币</v>
      </c>
      <c r="S950" s="15">
        <f t="shared" si="207"/>
        <v>300</v>
      </c>
      <c r="T950" s="15" t="str">
        <f t="shared" si="208"/>
        <v>低级专属强化石</v>
      </c>
      <c r="U950" s="15">
        <f t="shared" si="209"/>
        <v>2</v>
      </c>
      <c r="V950" s="15" t="str">
        <f t="shared" si="210"/>
        <v>[x]</v>
      </c>
      <c r="W950" s="15" t="str">
        <f t="shared" si="211"/>
        <v>[x]</v>
      </c>
      <c r="X950" s="15">
        <f t="shared" si="212"/>
        <v>0.48</v>
      </c>
      <c r="Y950" s="15">
        <f t="shared" si="213"/>
        <v>1</v>
      </c>
      <c r="Z950" s="15">
        <f t="shared" si="214"/>
        <v>3</v>
      </c>
      <c r="AA950" s="15">
        <f t="shared" si="215"/>
        <v>0.02</v>
      </c>
    </row>
    <row r="951" spans="13:27" ht="16.5" x14ac:dyDescent="0.2">
      <c r="M951" s="15">
        <v>872</v>
      </c>
      <c r="N951" s="15">
        <f t="shared" si="204"/>
        <v>18</v>
      </c>
      <c r="O951" s="15">
        <f>INDEX(卡牌消耗!$H$13:$H$33,世界BOSS专属武器!N951)</f>
        <v>1501018</v>
      </c>
      <c r="P951" s="49" t="s">
        <v>408</v>
      </c>
      <c r="Q951" s="15">
        <f t="shared" si="205"/>
        <v>4</v>
      </c>
      <c r="R951" s="49" t="str">
        <f t="shared" si="206"/>
        <v>金币</v>
      </c>
      <c r="S951" s="15">
        <f t="shared" si="207"/>
        <v>400</v>
      </c>
      <c r="T951" s="15" t="str">
        <f t="shared" si="208"/>
        <v>低级专属强化石</v>
      </c>
      <c r="U951" s="15">
        <f t="shared" si="209"/>
        <v>3</v>
      </c>
      <c r="V951" s="15" t="str">
        <f t="shared" si="210"/>
        <v>[x]</v>
      </c>
      <c r="W951" s="15" t="str">
        <f t="shared" si="211"/>
        <v>[x]</v>
      </c>
      <c r="X951" s="15">
        <f t="shared" si="212"/>
        <v>0.46</v>
      </c>
      <c r="Y951" s="15">
        <f t="shared" si="213"/>
        <v>1</v>
      </c>
      <c r="Z951" s="15">
        <f t="shared" si="214"/>
        <v>3</v>
      </c>
      <c r="AA951" s="15">
        <f t="shared" si="215"/>
        <v>2.6700000000000002E-2</v>
      </c>
    </row>
    <row r="952" spans="13:27" ht="16.5" x14ac:dyDescent="0.2">
      <c r="M952" s="15">
        <v>873</v>
      </c>
      <c r="N952" s="15">
        <f t="shared" si="204"/>
        <v>18</v>
      </c>
      <c r="O952" s="15">
        <f>INDEX(卡牌消耗!$H$13:$H$33,世界BOSS专属武器!N952)</f>
        <v>1501018</v>
      </c>
      <c r="P952" s="49" t="s">
        <v>408</v>
      </c>
      <c r="Q952" s="15">
        <f t="shared" si="205"/>
        <v>5</v>
      </c>
      <c r="R952" s="49" t="str">
        <f t="shared" si="206"/>
        <v>金币</v>
      </c>
      <c r="S952" s="15">
        <f t="shared" si="207"/>
        <v>500</v>
      </c>
      <c r="T952" s="15" t="str">
        <f t="shared" si="208"/>
        <v>低级专属强化石</v>
      </c>
      <c r="U952" s="15">
        <f t="shared" si="209"/>
        <v>4</v>
      </c>
      <c r="V952" s="15" t="str">
        <f t="shared" si="210"/>
        <v>[x]</v>
      </c>
      <c r="W952" s="15" t="str">
        <f t="shared" si="211"/>
        <v>[x]</v>
      </c>
      <c r="X952" s="15">
        <f t="shared" si="212"/>
        <v>0.44</v>
      </c>
      <c r="Y952" s="15">
        <f t="shared" si="213"/>
        <v>1</v>
      </c>
      <c r="Z952" s="15">
        <f t="shared" si="214"/>
        <v>3</v>
      </c>
      <c r="AA952" s="15">
        <f t="shared" si="215"/>
        <v>3.3300000000000003E-2</v>
      </c>
    </row>
    <row r="953" spans="13:27" ht="16.5" x14ac:dyDescent="0.2">
      <c r="M953" s="15">
        <v>874</v>
      </c>
      <c r="N953" s="15">
        <f t="shared" si="204"/>
        <v>18</v>
      </c>
      <c r="O953" s="15">
        <f>INDEX(卡牌消耗!$H$13:$H$33,世界BOSS专属武器!N953)</f>
        <v>1501018</v>
      </c>
      <c r="P953" s="49" t="s">
        <v>408</v>
      </c>
      <c r="Q953" s="15">
        <f t="shared" si="205"/>
        <v>6</v>
      </c>
      <c r="R953" s="49" t="str">
        <f t="shared" si="206"/>
        <v>金币</v>
      </c>
      <c r="S953" s="15">
        <f t="shared" si="207"/>
        <v>600</v>
      </c>
      <c r="T953" s="15" t="str">
        <f t="shared" si="208"/>
        <v>低级专属强化石</v>
      </c>
      <c r="U953" s="15">
        <f t="shared" si="209"/>
        <v>5</v>
      </c>
      <c r="V953" s="15" t="str">
        <f t="shared" si="210"/>
        <v>[x]</v>
      </c>
      <c r="W953" s="15" t="str">
        <f t="shared" si="211"/>
        <v>[x]</v>
      </c>
      <c r="X953" s="15">
        <f t="shared" si="212"/>
        <v>0.42</v>
      </c>
      <c r="Y953" s="15">
        <f t="shared" si="213"/>
        <v>1</v>
      </c>
      <c r="Z953" s="15">
        <f t="shared" si="214"/>
        <v>4</v>
      </c>
      <c r="AA953" s="15">
        <f t="shared" si="215"/>
        <v>0.04</v>
      </c>
    </row>
    <row r="954" spans="13:27" ht="16.5" x14ac:dyDescent="0.2">
      <c r="M954" s="15">
        <v>875</v>
      </c>
      <c r="N954" s="15">
        <f t="shared" si="204"/>
        <v>18</v>
      </c>
      <c r="O954" s="15">
        <f>INDEX(卡牌消耗!$H$13:$H$33,世界BOSS专属武器!N954)</f>
        <v>1501018</v>
      </c>
      <c r="P954" s="49" t="s">
        <v>408</v>
      </c>
      <c r="Q954" s="15">
        <f t="shared" si="205"/>
        <v>7</v>
      </c>
      <c r="R954" s="49" t="str">
        <f t="shared" si="206"/>
        <v>金币</v>
      </c>
      <c r="S954" s="15">
        <f t="shared" si="207"/>
        <v>700</v>
      </c>
      <c r="T954" s="15" t="str">
        <f t="shared" si="208"/>
        <v>低级专属强化石</v>
      </c>
      <c r="U954" s="15">
        <f t="shared" si="209"/>
        <v>5</v>
      </c>
      <c r="V954" s="15" t="str">
        <f t="shared" si="210"/>
        <v>[x]</v>
      </c>
      <c r="W954" s="15" t="str">
        <f t="shared" si="211"/>
        <v>[x]</v>
      </c>
      <c r="X954" s="15">
        <f t="shared" si="212"/>
        <v>0.4</v>
      </c>
      <c r="Y954" s="15">
        <f t="shared" si="213"/>
        <v>1</v>
      </c>
      <c r="Z954" s="15">
        <f t="shared" si="214"/>
        <v>4</v>
      </c>
      <c r="AA954" s="15">
        <f t="shared" si="215"/>
        <v>4.6699999999999998E-2</v>
      </c>
    </row>
    <row r="955" spans="13:27" ht="16.5" x14ac:dyDescent="0.2">
      <c r="M955" s="15">
        <v>876</v>
      </c>
      <c r="N955" s="15">
        <f t="shared" si="204"/>
        <v>18</v>
      </c>
      <c r="O955" s="15">
        <f>INDEX(卡牌消耗!$H$13:$H$33,世界BOSS专属武器!N955)</f>
        <v>1501018</v>
      </c>
      <c r="P955" s="49" t="s">
        <v>408</v>
      </c>
      <c r="Q955" s="15">
        <f t="shared" si="205"/>
        <v>8</v>
      </c>
      <c r="R955" s="49" t="str">
        <f t="shared" si="206"/>
        <v>金币</v>
      </c>
      <c r="S955" s="15">
        <f t="shared" si="207"/>
        <v>800</v>
      </c>
      <c r="T955" s="15" t="str">
        <f t="shared" si="208"/>
        <v>低级专属强化石</v>
      </c>
      <c r="U955" s="15">
        <f t="shared" si="209"/>
        <v>5</v>
      </c>
      <c r="V955" s="15" t="str">
        <f t="shared" si="210"/>
        <v>[x]</v>
      </c>
      <c r="W955" s="15" t="str">
        <f t="shared" si="211"/>
        <v>[x]</v>
      </c>
      <c r="X955" s="15">
        <f t="shared" si="212"/>
        <v>0.38</v>
      </c>
      <c r="Y955" s="15">
        <f t="shared" si="213"/>
        <v>1</v>
      </c>
      <c r="Z955" s="15">
        <f t="shared" si="214"/>
        <v>5</v>
      </c>
      <c r="AA955" s="15">
        <f t="shared" si="215"/>
        <v>5.33E-2</v>
      </c>
    </row>
    <row r="956" spans="13:27" ht="16.5" x14ac:dyDescent="0.2">
      <c r="M956" s="15">
        <v>877</v>
      </c>
      <c r="N956" s="15">
        <f t="shared" si="204"/>
        <v>18</v>
      </c>
      <c r="O956" s="15">
        <f>INDEX(卡牌消耗!$H$13:$H$33,世界BOSS专属武器!N956)</f>
        <v>1501018</v>
      </c>
      <c r="P956" s="49" t="s">
        <v>408</v>
      </c>
      <c r="Q956" s="15">
        <f t="shared" si="205"/>
        <v>9</v>
      </c>
      <c r="R956" s="49" t="str">
        <f t="shared" si="206"/>
        <v>金币</v>
      </c>
      <c r="S956" s="15">
        <f t="shared" si="207"/>
        <v>900</v>
      </c>
      <c r="T956" s="15" t="str">
        <f t="shared" si="208"/>
        <v>低级专属强化石</v>
      </c>
      <c r="U956" s="15">
        <f t="shared" si="209"/>
        <v>5</v>
      </c>
      <c r="V956" s="15" t="str">
        <f t="shared" si="210"/>
        <v>[x]</v>
      </c>
      <c r="W956" s="15" t="str">
        <f t="shared" si="211"/>
        <v>[x]</v>
      </c>
      <c r="X956" s="15">
        <f t="shared" si="212"/>
        <v>0.36</v>
      </c>
      <c r="Y956" s="15">
        <f t="shared" si="213"/>
        <v>1</v>
      </c>
      <c r="Z956" s="15">
        <f t="shared" si="214"/>
        <v>5</v>
      </c>
      <c r="AA956" s="15">
        <f t="shared" si="215"/>
        <v>0.06</v>
      </c>
    </row>
    <row r="957" spans="13:27" ht="16.5" x14ac:dyDescent="0.2">
      <c r="M957" s="15">
        <v>878</v>
      </c>
      <c r="N957" s="15">
        <f t="shared" si="204"/>
        <v>18</v>
      </c>
      <c r="O957" s="15">
        <f>INDEX(卡牌消耗!$H$13:$H$33,世界BOSS专属武器!N957)</f>
        <v>1501018</v>
      </c>
      <c r="P957" s="49" t="s">
        <v>408</v>
      </c>
      <c r="Q957" s="15">
        <f t="shared" si="205"/>
        <v>10</v>
      </c>
      <c r="R957" s="49" t="str">
        <f t="shared" si="206"/>
        <v>金币</v>
      </c>
      <c r="S957" s="15">
        <f t="shared" si="207"/>
        <v>1000</v>
      </c>
      <c r="T957" s="15" t="str">
        <f t="shared" si="208"/>
        <v>低级专属强化石</v>
      </c>
      <c r="U957" s="15">
        <f t="shared" si="209"/>
        <v>7</v>
      </c>
      <c r="V957" s="15" t="str">
        <f t="shared" si="210"/>
        <v>[x]</v>
      </c>
      <c r="W957" s="15" t="str">
        <f t="shared" si="211"/>
        <v>[x]</v>
      </c>
      <c r="X957" s="15">
        <f t="shared" si="212"/>
        <v>0.35</v>
      </c>
      <c r="Y957" s="15">
        <f t="shared" si="213"/>
        <v>1</v>
      </c>
      <c r="Z957" s="15">
        <f t="shared" si="214"/>
        <v>5</v>
      </c>
      <c r="AA957" s="15">
        <f t="shared" si="215"/>
        <v>6.6699999999999995E-2</v>
      </c>
    </row>
    <row r="958" spans="13:27" ht="16.5" x14ac:dyDescent="0.2">
      <c r="M958" s="15">
        <v>879</v>
      </c>
      <c r="N958" s="15">
        <f t="shared" si="204"/>
        <v>18</v>
      </c>
      <c r="O958" s="15">
        <f>INDEX(卡牌消耗!$H$13:$H$33,世界BOSS专属武器!N958)</f>
        <v>1501018</v>
      </c>
      <c r="P958" s="49" t="s">
        <v>408</v>
      </c>
      <c r="Q958" s="15">
        <f t="shared" si="205"/>
        <v>11</v>
      </c>
      <c r="R958" s="49" t="str">
        <f t="shared" si="206"/>
        <v>金币</v>
      </c>
      <c r="S958" s="15">
        <f t="shared" si="207"/>
        <v>1000</v>
      </c>
      <c r="T958" s="15" t="str">
        <f t="shared" si="208"/>
        <v>低级专属强化石</v>
      </c>
      <c r="U958" s="15">
        <f t="shared" si="209"/>
        <v>7</v>
      </c>
      <c r="V958" s="15" t="str">
        <f t="shared" si="210"/>
        <v>[x]</v>
      </c>
      <c r="W958" s="15" t="str">
        <f t="shared" si="211"/>
        <v>[x]</v>
      </c>
      <c r="X958" s="15">
        <f t="shared" si="212"/>
        <v>0.33</v>
      </c>
      <c r="Y958" s="15">
        <f t="shared" si="213"/>
        <v>1</v>
      </c>
      <c r="Z958" s="15">
        <f t="shared" si="214"/>
        <v>6</v>
      </c>
      <c r="AA958" s="15">
        <f t="shared" si="215"/>
        <v>0.08</v>
      </c>
    </row>
    <row r="959" spans="13:27" ht="16.5" x14ac:dyDescent="0.2">
      <c r="M959" s="15">
        <v>880</v>
      </c>
      <c r="N959" s="15">
        <f t="shared" si="204"/>
        <v>18</v>
      </c>
      <c r="O959" s="15">
        <f>INDEX(卡牌消耗!$H$13:$H$33,世界BOSS专属武器!N959)</f>
        <v>1501018</v>
      </c>
      <c r="P959" s="49" t="s">
        <v>408</v>
      </c>
      <c r="Q959" s="15">
        <f t="shared" si="205"/>
        <v>12</v>
      </c>
      <c r="R959" s="49" t="str">
        <f t="shared" si="206"/>
        <v>金币</v>
      </c>
      <c r="S959" s="15">
        <f t="shared" si="207"/>
        <v>1000</v>
      </c>
      <c r="T959" s="15" t="str">
        <f t="shared" si="208"/>
        <v>低级专属强化石</v>
      </c>
      <c r="U959" s="15">
        <f t="shared" si="209"/>
        <v>7</v>
      </c>
      <c r="V959" s="15" t="str">
        <f t="shared" si="210"/>
        <v>[x]</v>
      </c>
      <c r="W959" s="15" t="str">
        <f t="shared" si="211"/>
        <v>[x]</v>
      </c>
      <c r="X959" s="15">
        <f t="shared" si="212"/>
        <v>0.31</v>
      </c>
      <c r="Y959" s="15">
        <f t="shared" si="213"/>
        <v>1</v>
      </c>
      <c r="Z959" s="15">
        <f t="shared" si="214"/>
        <v>6</v>
      </c>
      <c r="AA959" s="15">
        <f t="shared" si="215"/>
        <v>9.3299999999999994E-2</v>
      </c>
    </row>
    <row r="960" spans="13:27" ht="16.5" x14ac:dyDescent="0.2">
      <c r="M960" s="15">
        <v>881</v>
      </c>
      <c r="N960" s="15">
        <f t="shared" si="204"/>
        <v>18</v>
      </c>
      <c r="O960" s="15">
        <f>INDEX(卡牌消耗!$H$13:$H$33,世界BOSS专属武器!N960)</f>
        <v>1501018</v>
      </c>
      <c r="P960" s="49" t="s">
        <v>408</v>
      </c>
      <c r="Q960" s="15">
        <f t="shared" si="205"/>
        <v>13</v>
      </c>
      <c r="R960" s="49" t="str">
        <f t="shared" si="206"/>
        <v>金币</v>
      </c>
      <c r="S960" s="15">
        <f t="shared" si="207"/>
        <v>1000</v>
      </c>
      <c r="T960" s="15" t="str">
        <f t="shared" si="208"/>
        <v>低级专属强化石</v>
      </c>
      <c r="U960" s="15">
        <f t="shared" si="209"/>
        <v>7</v>
      </c>
      <c r="V960" s="15" t="str">
        <f t="shared" si="210"/>
        <v>[x]</v>
      </c>
      <c r="W960" s="15" t="str">
        <f t="shared" si="211"/>
        <v>[x]</v>
      </c>
      <c r="X960" s="15">
        <f t="shared" si="212"/>
        <v>0.28999999999999998</v>
      </c>
      <c r="Y960" s="15">
        <f t="shared" si="213"/>
        <v>1</v>
      </c>
      <c r="Z960" s="15">
        <f t="shared" si="214"/>
        <v>7</v>
      </c>
      <c r="AA960" s="15">
        <f t="shared" si="215"/>
        <v>0.1067</v>
      </c>
    </row>
    <row r="961" spans="13:27" ht="16.5" x14ac:dyDescent="0.2">
      <c r="M961" s="15">
        <v>882</v>
      </c>
      <c r="N961" s="15">
        <f t="shared" si="204"/>
        <v>18</v>
      </c>
      <c r="O961" s="15">
        <f>INDEX(卡牌消耗!$H$13:$H$33,世界BOSS专属武器!N961)</f>
        <v>1501018</v>
      </c>
      <c r="P961" s="49" t="s">
        <v>408</v>
      </c>
      <c r="Q961" s="15">
        <f t="shared" si="205"/>
        <v>14</v>
      </c>
      <c r="R961" s="49" t="str">
        <f t="shared" si="206"/>
        <v>金币</v>
      </c>
      <c r="S961" s="15">
        <f t="shared" si="207"/>
        <v>1000</v>
      </c>
      <c r="T961" s="15" t="str">
        <f t="shared" si="208"/>
        <v>低级专属强化石</v>
      </c>
      <c r="U961" s="15">
        <f t="shared" si="209"/>
        <v>7</v>
      </c>
      <c r="V961" s="15" t="str">
        <f t="shared" si="210"/>
        <v>[x]</v>
      </c>
      <c r="W961" s="15" t="str">
        <f t="shared" si="211"/>
        <v>[x]</v>
      </c>
      <c r="X961" s="15">
        <f t="shared" si="212"/>
        <v>0.27</v>
      </c>
      <c r="Y961" s="15">
        <f t="shared" si="213"/>
        <v>1</v>
      </c>
      <c r="Z961" s="15">
        <f t="shared" si="214"/>
        <v>7</v>
      </c>
      <c r="AA961" s="15">
        <f t="shared" si="215"/>
        <v>0.12</v>
      </c>
    </row>
    <row r="962" spans="13:27" ht="16.5" x14ac:dyDescent="0.2">
      <c r="M962" s="15">
        <v>883</v>
      </c>
      <c r="N962" s="15">
        <f t="shared" si="204"/>
        <v>18</v>
      </c>
      <c r="O962" s="15">
        <f>INDEX(卡牌消耗!$H$13:$H$33,世界BOSS专属武器!N962)</f>
        <v>1501018</v>
      </c>
      <c r="P962" s="49" t="s">
        <v>408</v>
      </c>
      <c r="Q962" s="15">
        <f t="shared" si="205"/>
        <v>15</v>
      </c>
      <c r="R962" s="49" t="str">
        <f t="shared" si="206"/>
        <v>金币</v>
      </c>
      <c r="S962" s="15">
        <f t="shared" si="207"/>
        <v>1000</v>
      </c>
      <c r="T962" s="15" t="str">
        <f t="shared" si="208"/>
        <v>低级专属强化石</v>
      </c>
      <c r="U962" s="15">
        <f t="shared" si="209"/>
        <v>10</v>
      </c>
      <c r="V962" s="15" t="str">
        <f t="shared" si="210"/>
        <v>[x]</v>
      </c>
      <c r="W962" s="15" t="str">
        <f t="shared" si="211"/>
        <v>[x]</v>
      </c>
      <c r="X962" s="15">
        <f t="shared" si="212"/>
        <v>0.25</v>
      </c>
      <c r="Y962" s="15">
        <f t="shared" si="213"/>
        <v>1</v>
      </c>
      <c r="Z962" s="15">
        <f t="shared" si="214"/>
        <v>8</v>
      </c>
      <c r="AA962" s="15">
        <f t="shared" si="215"/>
        <v>0.1333</v>
      </c>
    </row>
    <row r="963" spans="13:27" ht="16.5" x14ac:dyDescent="0.2">
      <c r="M963" s="15">
        <v>884</v>
      </c>
      <c r="N963" s="15">
        <f t="shared" si="204"/>
        <v>18</v>
      </c>
      <c r="O963" s="15">
        <f>INDEX(卡牌消耗!$H$13:$H$33,世界BOSS专属武器!N963)</f>
        <v>1501018</v>
      </c>
      <c r="P963" s="49" t="s">
        <v>408</v>
      </c>
      <c r="Q963" s="15">
        <f t="shared" si="205"/>
        <v>16</v>
      </c>
      <c r="R963" s="49" t="str">
        <f t="shared" si="206"/>
        <v>金币</v>
      </c>
      <c r="S963" s="15">
        <f t="shared" si="207"/>
        <v>1000</v>
      </c>
      <c r="T963" s="15" t="str">
        <f t="shared" si="208"/>
        <v>低级专属强化石</v>
      </c>
      <c r="U963" s="15">
        <f t="shared" si="209"/>
        <v>10</v>
      </c>
      <c r="V963" s="15" t="str">
        <f t="shared" si="210"/>
        <v>[x]</v>
      </c>
      <c r="W963" s="15" t="str">
        <f t="shared" si="211"/>
        <v>[x]</v>
      </c>
      <c r="X963" s="15">
        <f t="shared" si="212"/>
        <v>0.23</v>
      </c>
      <c r="Y963" s="15">
        <f t="shared" si="213"/>
        <v>1</v>
      </c>
      <c r="Z963" s="15">
        <f t="shared" si="214"/>
        <v>9</v>
      </c>
      <c r="AA963" s="15">
        <f t="shared" si="215"/>
        <v>0.1467</v>
      </c>
    </row>
    <row r="964" spans="13:27" ht="16.5" x14ac:dyDescent="0.2">
      <c r="M964" s="15">
        <v>885</v>
      </c>
      <c r="N964" s="15">
        <f t="shared" si="204"/>
        <v>18</v>
      </c>
      <c r="O964" s="15">
        <f>INDEX(卡牌消耗!$H$13:$H$33,世界BOSS专属武器!N964)</f>
        <v>1501018</v>
      </c>
      <c r="P964" s="49" t="s">
        <v>408</v>
      </c>
      <c r="Q964" s="15">
        <f t="shared" si="205"/>
        <v>17</v>
      </c>
      <c r="R964" s="49" t="str">
        <f t="shared" si="206"/>
        <v>金币</v>
      </c>
      <c r="S964" s="15">
        <f t="shared" si="207"/>
        <v>1000</v>
      </c>
      <c r="T964" s="15" t="str">
        <f t="shared" si="208"/>
        <v>低级专属强化石</v>
      </c>
      <c r="U964" s="15">
        <f t="shared" si="209"/>
        <v>10</v>
      </c>
      <c r="V964" s="15" t="str">
        <f t="shared" si="210"/>
        <v>[x]</v>
      </c>
      <c r="W964" s="15" t="str">
        <f t="shared" si="211"/>
        <v>[x]</v>
      </c>
      <c r="X964" s="15">
        <f t="shared" si="212"/>
        <v>0.21</v>
      </c>
      <c r="Y964" s="15">
        <f t="shared" si="213"/>
        <v>1</v>
      </c>
      <c r="Z964" s="15">
        <f t="shared" si="214"/>
        <v>10</v>
      </c>
      <c r="AA964" s="15">
        <f t="shared" si="215"/>
        <v>0.16</v>
      </c>
    </row>
    <row r="965" spans="13:27" ht="16.5" x14ac:dyDescent="0.2">
      <c r="M965" s="15">
        <v>886</v>
      </c>
      <c r="N965" s="15">
        <f t="shared" si="204"/>
        <v>18</v>
      </c>
      <c r="O965" s="15">
        <f>INDEX(卡牌消耗!$H$13:$H$33,世界BOSS专属武器!N965)</f>
        <v>1501018</v>
      </c>
      <c r="P965" s="49" t="s">
        <v>408</v>
      </c>
      <c r="Q965" s="15">
        <f t="shared" si="205"/>
        <v>18</v>
      </c>
      <c r="R965" s="49" t="str">
        <f t="shared" si="206"/>
        <v>金币</v>
      </c>
      <c r="S965" s="15">
        <f t="shared" si="207"/>
        <v>1000</v>
      </c>
      <c r="T965" s="15" t="str">
        <f t="shared" si="208"/>
        <v>低级专属强化石</v>
      </c>
      <c r="U965" s="15">
        <f t="shared" si="209"/>
        <v>10</v>
      </c>
      <c r="V965" s="15" t="str">
        <f t="shared" si="210"/>
        <v>[x]</v>
      </c>
      <c r="W965" s="15" t="str">
        <f t="shared" si="211"/>
        <v>[x]</v>
      </c>
      <c r="X965" s="15">
        <f t="shared" si="212"/>
        <v>0.19</v>
      </c>
      <c r="Y965" s="15">
        <f t="shared" si="213"/>
        <v>1</v>
      </c>
      <c r="Z965" s="15">
        <f t="shared" si="214"/>
        <v>11</v>
      </c>
      <c r="AA965" s="15">
        <f t="shared" si="215"/>
        <v>0.17330000000000001</v>
      </c>
    </row>
    <row r="966" spans="13:27" ht="16.5" x14ac:dyDescent="0.2">
      <c r="M966" s="15">
        <v>887</v>
      </c>
      <c r="N966" s="15">
        <f t="shared" si="204"/>
        <v>18</v>
      </c>
      <c r="O966" s="15">
        <f>INDEX(卡牌消耗!$H$13:$H$33,世界BOSS专属武器!N966)</f>
        <v>1501018</v>
      </c>
      <c r="P966" s="49" t="s">
        <v>408</v>
      </c>
      <c r="Q966" s="15">
        <f t="shared" si="205"/>
        <v>19</v>
      </c>
      <c r="R966" s="49" t="str">
        <f t="shared" si="206"/>
        <v>金币</v>
      </c>
      <c r="S966" s="15">
        <f t="shared" si="207"/>
        <v>1000</v>
      </c>
      <c r="T966" s="15" t="str">
        <f t="shared" si="208"/>
        <v>低级专属强化石</v>
      </c>
      <c r="U966" s="15">
        <f t="shared" si="209"/>
        <v>10</v>
      </c>
      <c r="V966" s="15" t="str">
        <f t="shared" si="210"/>
        <v>[x]</v>
      </c>
      <c r="W966" s="15" t="str">
        <f t="shared" si="211"/>
        <v>[x]</v>
      </c>
      <c r="X966" s="15">
        <f t="shared" si="212"/>
        <v>0.17</v>
      </c>
      <c r="Y966" s="15">
        <f t="shared" si="213"/>
        <v>1</v>
      </c>
      <c r="Z966" s="15">
        <f t="shared" si="214"/>
        <v>12</v>
      </c>
      <c r="AA966" s="15">
        <f t="shared" si="215"/>
        <v>0.1867</v>
      </c>
    </row>
    <row r="967" spans="13:27" ht="16.5" x14ac:dyDescent="0.2">
      <c r="M967" s="15">
        <v>888</v>
      </c>
      <c r="N967" s="15">
        <f t="shared" si="204"/>
        <v>18</v>
      </c>
      <c r="O967" s="15">
        <f>INDEX(卡牌消耗!$H$13:$H$33,世界BOSS专属武器!N967)</f>
        <v>1501018</v>
      </c>
      <c r="P967" s="49" t="s">
        <v>408</v>
      </c>
      <c r="Q967" s="15">
        <f t="shared" si="205"/>
        <v>20</v>
      </c>
      <c r="R967" s="49" t="str">
        <f t="shared" si="206"/>
        <v>金币</v>
      </c>
      <c r="S967" s="15">
        <f t="shared" si="207"/>
        <v>5000</v>
      </c>
      <c r="T967" s="15" t="str">
        <f t="shared" si="208"/>
        <v>低级专属强化石</v>
      </c>
      <c r="U967" s="15">
        <f t="shared" si="209"/>
        <v>15</v>
      </c>
      <c r="V967" s="15" t="str">
        <f t="shared" si="210"/>
        <v>中级专属强化石</v>
      </c>
      <c r="W967" s="15">
        <f t="shared" si="211"/>
        <v>7</v>
      </c>
      <c r="X967" s="15">
        <f t="shared" si="212"/>
        <v>0.15</v>
      </c>
      <c r="Y967" s="15">
        <f t="shared" si="213"/>
        <v>1</v>
      </c>
      <c r="Z967" s="15">
        <f t="shared" si="214"/>
        <v>15</v>
      </c>
      <c r="AA967" s="15">
        <f t="shared" si="215"/>
        <v>0.2</v>
      </c>
    </row>
    <row r="968" spans="13:27" ht="16.5" x14ac:dyDescent="0.2">
      <c r="M968" s="15">
        <v>889</v>
      </c>
      <c r="N968" s="15">
        <f t="shared" si="204"/>
        <v>18</v>
      </c>
      <c r="O968" s="15">
        <f>INDEX(卡牌消耗!$H$13:$H$33,世界BOSS专属武器!N968)</f>
        <v>1501018</v>
      </c>
      <c r="P968" s="49" t="s">
        <v>408</v>
      </c>
      <c r="Q968" s="15">
        <f t="shared" si="205"/>
        <v>21</v>
      </c>
      <c r="R968" s="49" t="str">
        <f t="shared" si="206"/>
        <v>金币</v>
      </c>
      <c r="S968" s="15">
        <f t="shared" si="207"/>
        <v>5000</v>
      </c>
      <c r="T968" s="15" t="str">
        <f t="shared" si="208"/>
        <v>低级专属强化石</v>
      </c>
      <c r="U968" s="15">
        <f t="shared" si="209"/>
        <v>15</v>
      </c>
      <c r="V968" s="15" t="str">
        <f t="shared" si="210"/>
        <v>中级专属强化石</v>
      </c>
      <c r="W968" s="15">
        <f t="shared" si="211"/>
        <v>7</v>
      </c>
      <c r="X968" s="15">
        <f t="shared" si="212"/>
        <v>0.15</v>
      </c>
      <c r="Y968" s="15">
        <f t="shared" si="213"/>
        <v>1</v>
      </c>
      <c r="Z968" s="15">
        <f t="shared" si="214"/>
        <v>15</v>
      </c>
      <c r="AA968" s="15">
        <f t="shared" si="215"/>
        <v>0.22</v>
      </c>
    </row>
    <row r="969" spans="13:27" ht="16.5" x14ac:dyDescent="0.2">
      <c r="M969" s="15">
        <v>890</v>
      </c>
      <c r="N969" s="15">
        <f t="shared" si="204"/>
        <v>18</v>
      </c>
      <c r="O969" s="15">
        <f>INDEX(卡牌消耗!$H$13:$H$33,世界BOSS专属武器!N969)</f>
        <v>1501018</v>
      </c>
      <c r="P969" s="49" t="s">
        <v>408</v>
      </c>
      <c r="Q969" s="15">
        <f t="shared" si="205"/>
        <v>22</v>
      </c>
      <c r="R969" s="49" t="str">
        <f t="shared" si="206"/>
        <v>金币</v>
      </c>
      <c r="S969" s="15">
        <f t="shared" si="207"/>
        <v>5000</v>
      </c>
      <c r="T969" s="15" t="str">
        <f t="shared" si="208"/>
        <v>低级专属强化石</v>
      </c>
      <c r="U969" s="15">
        <f t="shared" si="209"/>
        <v>15</v>
      </c>
      <c r="V969" s="15" t="str">
        <f t="shared" si="210"/>
        <v>中级专属强化石</v>
      </c>
      <c r="W969" s="15">
        <f t="shared" si="211"/>
        <v>7</v>
      </c>
      <c r="X969" s="15">
        <f t="shared" si="212"/>
        <v>0.15</v>
      </c>
      <c r="Y969" s="15">
        <f t="shared" si="213"/>
        <v>1</v>
      </c>
      <c r="Z969" s="15">
        <f t="shared" si="214"/>
        <v>15</v>
      </c>
      <c r="AA969" s="15">
        <f t="shared" si="215"/>
        <v>0.24</v>
      </c>
    </row>
    <row r="970" spans="13:27" ht="16.5" x14ac:dyDescent="0.2">
      <c r="M970" s="15">
        <v>891</v>
      </c>
      <c r="N970" s="15">
        <f t="shared" si="204"/>
        <v>18</v>
      </c>
      <c r="O970" s="15">
        <f>INDEX(卡牌消耗!$H$13:$H$33,世界BOSS专属武器!N970)</f>
        <v>1501018</v>
      </c>
      <c r="P970" s="49" t="s">
        <v>408</v>
      </c>
      <c r="Q970" s="15">
        <f t="shared" si="205"/>
        <v>23</v>
      </c>
      <c r="R970" s="49" t="str">
        <f t="shared" si="206"/>
        <v>金币</v>
      </c>
      <c r="S970" s="15">
        <f t="shared" si="207"/>
        <v>5000</v>
      </c>
      <c r="T970" s="15" t="str">
        <f t="shared" si="208"/>
        <v>低级专属强化石</v>
      </c>
      <c r="U970" s="15">
        <f t="shared" si="209"/>
        <v>15</v>
      </c>
      <c r="V970" s="15" t="str">
        <f t="shared" si="210"/>
        <v>中级专属强化石</v>
      </c>
      <c r="W970" s="15">
        <f t="shared" si="211"/>
        <v>7</v>
      </c>
      <c r="X970" s="15">
        <f t="shared" si="212"/>
        <v>0.15</v>
      </c>
      <c r="Y970" s="15">
        <f t="shared" si="213"/>
        <v>1</v>
      </c>
      <c r="Z970" s="15">
        <f t="shared" si="214"/>
        <v>18</v>
      </c>
      <c r="AA970" s="15">
        <f t="shared" si="215"/>
        <v>0.26</v>
      </c>
    </row>
    <row r="971" spans="13:27" ht="16.5" x14ac:dyDescent="0.2">
      <c r="M971" s="15">
        <v>892</v>
      </c>
      <c r="N971" s="15">
        <f t="shared" si="204"/>
        <v>18</v>
      </c>
      <c r="O971" s="15">
        <f>INDEX(卡牌消耗!$H$13:$H$33,世界BOSS专属武器!N971)</f>
        <v>1501018</v>
      </c>
      <c r="P971" s="49" t="s">
        <v>408</v>
      </c>
      <c r="Q971" s="15">
        <f t="shared" si="205"/>
        <v>24</v>
      </c>
      <c r="R971" s="49" t="str">
        <f t="shared" si="206"/>
        <v>金币</v>
      </c>
      <c r="S971" s="15">
        <f t="shared" si="207"/>
        <v>5000</v>
      </c>
      <c r="T971" s="15" t="str">
        <f t="shared" si="208"/>
        <v>低级专属强化石</v>
      </c>
      <c r="U971" s="15">
        <f t="shared" si="209"/>
        <v>15</v>
      </c>
      <c r="V971" s="15" t="str">
        <f t="shared" si="210"/>
        <v>中级专属强化石</v>
      </c>
      <c r="W971" s="15">
        <f t="shared" si="211"/>
        <v>7</v>
      </c>
      <c r="X971" s="15">
        <f t="shared" si="212"/>
        <v>0.15</v>
      </c>
      <c r="Y971" s="15">
        <f t="shared" si="213"/>
        <v>1</v>
      </c>
      <c r="Z971" s="15">
        <f t="shared" si="214"/>
        <v>18</v>
      </c>
      <c r="AA971" s="15">
        <f t="shared" si="215"/>
        <v>0.28000000000000003</v>
      </c>
    </row>
    <row r="972" spans="13:27" ht="16.5" x14ac:dyDescent="0.2">
      <c r="M972" s="15">
        <v>893</v>
      </c>
      <c r="N972" s="15">
        <f t="shared" si="204"/>
        <v>18</v>
      </c>
      <c r="O972" s="15">
        <f>INDEX(卡牌消耗!$H$13:$H$33,世界BOSS专属武器!N972)</f>
        <v>1501018</v>
      </c>
      <c r="P972" s="49" t="s">
        <v>408</v>
      </c>
      <c r="Q972" s="15">
        <f t="shared" si="205"/>
        <v>25</v>
      </c>
      <c r="R972" s="49" t="str">
        <f t="shared" si="206"/>
        <v>金币</v>
      </c>
      <c r="S972" s="15">
        <f t="shared" si="207"/>
        <v>5000</v>
      </c>
      <c r="T972" s="15" t="str">
        <f t="shared" si="208"/>
        <v>低级专属强化石</v>
      </c>
      <c r="U972" s="15">
        <f t="shared" si="209"/>
        <v>15</v>
      </c>
      <c r="V972" s="15" t="str">
        <f t="shared" si="210"/>
        <v>中级专属强化石</v>
      </c>
      <c r="W972" s="15">
        <f t="shared" si="211"/>
        <v>7</v>
      </c>
      <c r="X972" s="15">
        <f t="shared" si="212"/>
        <v>0.15</v>
      </c>
      <c r="Y972" s="15">
        <f t="shared" si="213"/>
        <v>1</v>
      </c>
      <c r="Z972" s="15">
        <f t="shared" si="214"/>
        <v>18</v>
      </c>
      <c r="AA972" s="15">
        <f t="shared" si="215"/>
        <v>0.3</v>
      </c>
    </row>
    <row r="973" spans="13:27" ht="16.5" x14ac:dyDescent="0.2">
      <c r="M973" s="15">
        <v>894</v>
      </c>
      <c r="N973" s="15">
        <f t="shared" si="204"/>
        <v>18</v>
      </c>
      <c r="O973" s="15">
        <f>INDEX(卡牌消耗!$H$13:$H$33,世界BOSS专属武器!N973)</f>
        <v>1501018</v>
      </c>
      <c r="P973" s="49" t="s">
        <v>408</v>
      </c>
      <c r="Q973" s="15">
        <f t="shared" si="205"/>
        <v>26</v>
      </c>
      <c r="R973" s="49" t="str">
        <f t="shared" si="206"/>
        <v>金币</v>
      </c>
      <c r="S973" s="15">
        <f t="shared" si="207"/>
        <v>5000</v>
      </c>
      <c r="T973" s="15" t="str">
        <f t="shared" si="208"/>
        <v>低级专属强化石</v>
      </c>
      <c r="U973" s="15">
        <f t="shared" si="209"/>
        <v>15</v>
      </c>
      <c r="V973" s="15" t="str">
        <f t="shared" si="210"/>
        <v>中级专属强化石</v>
      </c>
      <c r="W973" s="15">
        <f t="shared" si="211"/>
        <v>7</v>
      </c>
      <c r="X973" s="15">
        <f t="shared" si="212"/>
        <v>0.15</v>
      </c>
      <c r="Y973" s="15">
        <f t="shared" si="213"/>
        <v>1</v>
      </c>
      <c r="Z973" s="15">
        <f t="shared" si="214"/>
        <v>21</v>
      </c>
      <c r="AA973" s="15">
        <f t="shared" si="215"/>
        <v>0.32</v>
      </c>
    </row>
    <row r="974" spans="13:27" ht="16.5" x14ac:dyDescent="0.2">
      <c r="M974" s="15">
        <v>895</v>
      </c>
      <c r="N974" s="15">
        <f t="shared" si="204"/>
        <v>18</v>
      </c>
      <c r="O974" s="15">
        <f>INDEX(卡牌消耗!$H$13:$H$33,世界BOSS专属武器!N974)</f>
        <v>1501018</v>
      </c>
      <c r="P974" s="49" t="s">
        <v>408</v>
      </c>
      <c r="Q974" s="15">
        <f t="shared" si="205"/>
        <v>27</v>
      </c>
      <c r="R974" s="49" t="str">
        <f t="shared" si="206"/>
        <v>金币</v>
      </c>
      <c r="S974" s="15">
        <f t="shared" si="207"/>
        <v>5000</v>
      </c>
      <c r="T974" s="15" t="str">
        <f t="shared" si="208"/>
        <v>低级专属强化石</v>
      </c>
      <c r="U974" s="15">
        <f t="shared" si="209"/>
        <v>15</v>
      </c>
      <c r="V974" s="15" t="str">
        <f t="shared" si="210"/>
        <v>中级专属强化石</v>
      </c>
      <c r="W974" s="15">
        <f t="shared" si="211"/>
        <v>7</v>
      </c>
      <c r="X974" s="15">
        <f t="shared" si="212"/>
        <v>0.15</v>
      </c>
      <c r="Y974" s="15">
        <f t="shared" si="213"/>
        <v>1</v>
      </c>
      <c r="Z974" s="15">
        <f t="shared" si="214"/>
        <v>22</v>
      </c>
      <c r="AA974" s="15">
        <f t="shared" si="215"/>
        <v>0.34</v>
      </c>
    </row>
    <row r="975" spans="13:27" ht="16.5" x14ac:dyDescent="0.2">
      <c r="M975" s="15">
        <v>896</v>
      </c>
      <c r="N975" s="15">
        <f t="shared" si="204"/>
        <v>18</v>
      </c>
      <c r="O975" s="15">
        <f>INDEX(卡牌消耗!$H$13:$H$33,世界BOSS专属武器!N975)</f>
        <v>1501018</v>
      </c>
      <c r="P975" s="49" t="s">
        <v>408</v>
      </c>
      <c r="Q975" s="15">
        <f t="shared" si="205"/>
        <v>28</v>
      </c>
      <c r="R975" s="49" t="str">
        <f t="shared" si="206"/>
        <v>金币</v>
      </c>
      <c r="S975" s="15">
        <f t="shared" si="207"/>
        <v>5000</v>
      </c>
      <c r="T975" s="15" t="str">
        <f t="shared" si="208"/>
        <v>低级专属强化石</v>
      </c>
      <c r="U975" s="15">
        <f t="shared" si="209"/>
        <v>15</v>
      </c>
      <c r="V975" s="15" t="str">
        <f t="shared" si="210"/>
        <v>中级专属强化石</v>
      </c>
      <c r="W975" s="15">
        <f t="shared" si="211"/>
        <v>7</v>
      </c>
      <c r="X975" s="15">
        <f t="shared" si="212"/>
        <v>0.15</v>
      </c>
      <c r="Y975" s="15">
        <f t="shared" si="213"/>
        <v>1</v>
      </c>
      <c r="Z975" s="15">
        <f t="shared" si="214"/>
        <v>23</v>
      </c>
      <c r="AA975" s="15">
        <f t="shared" si="215"/>
        <v>0.36</v>
      </c>
    </row>
    <row r="976" spans="13:27" ht="16.5" x14ac:dyDescent="0.2">
      <c r="M976" s="15">
        <v>897</v>
      </c>
      <c r="N976" s="15">
        <f t="shared" si="204"/>
        <v>18</v>
      </c>
      <c r="O976" s="15">
        <f>INDEX(卡牌消耗!$H$13:$H$33,世界BOSS专属武器!N976)</f>
        <v>1501018</v>
      </c>
      <c r="P976" s="49" t="s">
        <v>408</v>
      </c>
      <c r="Q976" s="15">
        <f t="shared" si="205"/>
        <v>29</v>
      </c>
      <c r="R976" s="49" t="str">
        <f t="shared" si="206"/>
        <v>金币</v>
      </c>
      <c r="S976" s="15">
        <f t="shared" si="207"/>
        <v>5000</v>
      </c>
      <c r="T976" s="15" t="str">
        <f t="shared" si="208"/>
        <v>低级专属强化石</v>
      </c>
      <c r="U976" s="15">
        <f t="shared" si="209"/>
        <v>15</v>
      </c>
      <c r="V976" s="15" t="str">
        <f t="shared" si="210"/>
        <v>中级专属强化石</v>
      </c>
      <c r="W976" s="15">
        <f t="shared" si="211"/>
        <v>7</v>
      </c>
      <c r="X976" s="15">
        <f t="shared" si="212"/>
        <v>0.15</v>
      </c>
      <c r="Y976" s="15">
        <f t="shared" si="213"/>
        <v>1</v>
      </c>
      <c r="Z976" s="15">
        <f t="shared" si="214"/>
        <v>25</v>
      </c>
      <c r="AA976" s="15">
        <f t="shared" si="215"/>
        <v>0.38</v>
      </c>
    </row>
    <row r="977" spans="13:27" ht="16.5" x14ac:dyDescent="0.2">
      <c r="M977" s="15">
        <v>898</v>
      </c>
      <c r="N977" s="15">
        <f t="shared" ref="N977:N1040" si="216">INT((M977-1)/51)+1</f>
        <v>18</v>
      </c>
      <c r="O977" s="15">
        <f>INDEX(卡牌消耗!$H$13:$H$33,世界BOSS专属武器!N977)</f>
        <v>1501018</v>
      </c>
      <c r="P977" s="49" t="s">
        <v>408</v>
      </c>
      <c r="Q977" s="15">
        <f t="shared" ref="Q977:Q1040" si="217">MOD(M977-1,51)</f>
        <v>30</v>
      </c>
      <c r="R977" s="49" t="str">
        <f t="shared" ref="R977:R1040" si="218">IF(Q977&gt;0,"金币","[x]")</f>
        <v>金币</v>
      </c>
      <c r="S977" s="15">
        <f t="shared" ref="S977:S1040" si="219">IF(Q977&gt;0,INDEX($V$27:$V$76,Q977),"[x]")</f>
        <v>10000</v>
      </c>
      <c r="T977" s="15" t="str">
        <f t="shared" ref="T977:T1040" si="220">IF(Q977&gt;0,INDEX($W$27:$W$76,Q977),"[x]")</f>
        <v>中级专属强化石</v>
      </c>
      <c r="U977" s="15">
        <f t="shared" ref="U977:U1040" si="221">IF(Q977&gt;0,INDEX($AA$27:$AF$76,Q977,INDEX($Y$27:$Y$76,Q977)),"[x]")</f>
        <v>8</v>
      </c>
      <c r="V977" s="15" t="str">
        <f t="shared" ref="V977:V1040" si="222">IF(AND(Q977&gt;=20,Q977&lt;40),INDEX($X$27:$X$76,Q977),"[x]")</f>
        <v>高级专属强化石</v>
      </c>
      <c r="W977" s="15">
        <f t="shared" ref="W977:W1040" si="223">IF(AND(Q977&gt;=20,Q977&lt;40),INDEX($AA$27:$AF$76,Q977,INDEX($Z$27:$Z$76,Q977)),"[x]")</f>
        <v>3</v>
      </c>
      <c r="X977" s="15">
        <f t="shared" ref="X977:X1040" si="224">IF(Q977&gt;0,INDEX($T$27:$T$76,Q977),"[x]")</f>
        <v>0.1</v>
      </c>
      <c r="Y977" s="15">
        <f t="shared" ref="Y977:Y1040" si="225">IF(Q977&gt;0,1,"[x]")</f>
        <v>1</v>
      </c>
      <c r="Z977" s="15">
        <f t="shared" ref="Z977:Z1040" si="226">IF(Q977&gt;0,INDEX($AG$27:$AG$76,Q977),"[x]")</f>
        <v>30</v>
      </c>
      <c r="AA977" s="15">
        <f t="shared" ref="AA977:AA1040" si="227">IF(Q977&gt;0,INDEX($AL$27:$AL$76,Q977),"[x]")</f>
        <v>0.4</v>
      </c>
    </row>
    <row r="978" spans="13:27" ht="16.5" x14ac:dyDescent="0.2">
      <c r="M978" s="15">
        <v>899</v>
      </c>
      <c r="N978" s="15">
        <f t="shared" si="216"/>
        <v>18</v>
      </c>
      <c r="O978" s="15">
        <f>INDEX(卡牌消耗!$H$13:$H$33,世界BOSS专属武器!N978)</f>
        <v>1501018</v>
      </c>
      <c r="P978" s="49" t="s">
        <v>408</v>
      </c>
      <c r="Q978" s="15">
        <f t="shared" si="217"/>
        <v>31</v>
      </c>
      <c r="R978" s="49" t="str">
        <f t="shared" si="218"/>
        <v>金币</v>
      </c>
      <c r="S978" s="15">
        <f t="shared" si="219"/>
        <v>10000</v>
      </c>
      <c r="T978" s="15" t="str">
        <f t="shared" si="220"/>
        <v>中级专属强化石</v>
      </c>
      <c r="U978" s="15">
        <f t="shared" si="221"/>
        <v>8</v>
      </c>
      <c r="V978" s="15" t="str">
        <f t="shared" si="222"/>
        <v>高级专属强化石</v>
      </c>
      <c r="W978" s="15">
        <f t="shared" si="223"/>
        <v>3</v>
      </c>
      <c r="X978" s="15">
        <f t="shared" si="224"/>
        <v>0.1</v>
      </c>
      <c r="Y978" s="15">
        <f t="shared" si="225"/>
        <v>1</v>
      </c>
      <c r="Z978" s="15">
        <f t="shared" si="226"/>
        <v>30</v>
      </c>
      <c r="AA978" s="15">
        <f t="shared" si="227"/>
        <v>0.42670000000000002</v>
      </c>
    </row>
    <row r="979" spans="13:27" ht="16.5" x14ac:dyDescent="0.2">
      <c r="M979" s="15">
        <v>900</v>
      </c>
      <c r="N979" s="15">
        <f t="shared" si="216"/>
        <v>18</v>
      </c>
      <c r="O979" s="15">
        <f>INDEX(卡牌消耗!$H$13:$H$33,世界BOSS专属武器!N979)</f>
        <v>1501018</v>
      </c>
      <c r="P979" s="49" t="s">
        <v>408</v>
      </c>
      <c r="Q979" s="15">
        <f t="shared" si="217"/>
        <v>32</v>
      </c>
      <c r="R979" s="49" t="str">
        <f t="shared" si="218"/>
        <v>金币</v>
      </c>
      <c r="S979" s="15">
        <f t="shared" si="219"/>
        <v>10000</v>
      </c>
      <c r="T979" s="15" t="str">
        <f t="shared" si="220"/>
        <v>中级专属强化石</v>
      </c>
      <c r="U979" s="15">
        <f t="shared" si="221"/>
        <v>8</v>
      </c>
      <c r="V979" s="15" t="str">
        <f t="shared" si="222"/>
        <v>高级专属强化石</v>
      </c>
      <c r="W979" s="15">
        <f t="shared" si="223"/>
        <v>3</v>
      </c>
      <c r="X979" s="15">
        <f t="shared" si="224"/>
        <v>0.1</v>
      </c>
      <c r="Y979" s="15">
        <f t="shared" si="225"/>
        <v>1</v>
      </c>
      <c r="Z979" s="15">
        <f t="shared" si="226"/>
        <v>30</v>
      </c>
      <c r="AA979" s="15">
        <f t="shared" si="227"/>
        <v>0.45329999999999998</v>
      </c>
    </row>
    <row r="980" spans="13:27" ht="16.5" x14ac:dyDescent="0.2">
      <c r="M980" s="15">
        <v>901</v>
      </c>
      <c r="N980" s="15">
        <f t="shared" si="216"/>
        <v>18</v>
      </c>
      <c r="O980" s="15">
        <f>INDEX(卡牌消耗!$H$13:$H$33,世界BOSS专属武器!N980)</f>
        <v>1501018</v>
      </c>
      <c r="P980" s="49" t="s">
        <v>408</v>
      </c>
      <c r="Q980" s="15">
        <f t="shared" si="217"/>
        <v>33</v>
      </c>
      <c r="R980" s="49" t="str">
        <f t="shared" si="218"/>
        <v>金币</v>
      </c>
      <c r="S980" s="15">
        <f t="shared" si="219"/>
        <v>10000</v>
      </c>
      <c r="T980" s="15" t="str">
        <f t="shared" si="220"/>
        <v>中级专属强化石</v>
      </c>
      <c r="U980" s="15">
        <f t="shared" si="221"/>
        <v>8</v>
      </c>
      <c r="V980" s="15" t="str">
        <f t="shared" si="222"/>
        <v>高级专属强化石</v>
      </c>
      <c r="W980" s="15">
        <f t="shared" si="223"/>
        <v>3</v>
      </c>
      <c r="X980" s="15">
        <f t="shared" si="224"/>
        <v>0.1</v>
      </c>
      <c r="Y980" s="15">
        <f t="shared" si="225"/>
        <v>1</v>
      </c>
      <c r="Z980" s="15">
        <f t="shared" si="226"/>
        <v>30</v>
      </c>
      <c r="AA980" s="15">
        <f t="shared" si="227"/>
        <v>0.48</v>
      </c>
    </row>
    <row r="981" spans="13:27" ht="16.5" x14ac:dyDescent="0.2">
      <c r="M981" s="15">
        <v>902</v>
      </c>
      <c r="N981" s="15">
        <f t="shared" si="216"/>
        <v>18</v>
      </c>
      <c r="O981" s="15">
        <f>INDEX(卡牌消耗!$H$13:$H$33,世界BOSS专属武器!N981)</f>
        <v>1501018</v>
      </c>
      <c r="P981" s="49" t="s">
        <v>408</v>
      </c>
      <c r="Q981" s="15">
        <f t="shared" si="217"/>
        <v>34</v>
      </c>
      <c r="R981" s="49" t="str">
        <f t="shared" si="218"/>
        <v>金币</v>
      </c>
      <c r="S981" s="15">
        <f t="shared" si="219"/>
        <v>10000</v>
      </c>
      <c r="T981" s="15" t="str">
        <f t="shared" si="220"/>
        <v>中级专属强化石</v>
      </c>
      <c r="U981" s="15">
        <f t="shared" si="221"/>
        <v>8</v>
      </c>
      <c r="V981" s="15" t="str">
        <f t="shared" si="222"/>
        <v>高级专属强化石</v>
      </c>
      <c r="W981" s="15">
        <f t="shared" si="223"/>
        <v>3</v>
      </c>
      <c r="X981" s="15">
        <f t="shared" si="224"/>
        <v>0.1</v>
      </c>
      <c r="Y981" s="15">
        <f t="shared" si="225"/>
        <v>1</v>
      </c>
      <c r="Z981" s="15">
        <f t="shared" si="226"/>
        <v>30</v>
      </c>
      <c r="AA981" s="15">
        <f t="shared" si="227"/>
        <v>0.50670000000000004</v>
      </c>
    </row>
    <row r="982" spans="13:27" ht="16.5" x14ac:dyDescent="0.2">
      <c r="M982" s="15">
        <v>903</v>
      </c>
      <c r="N982" s="15">
        <f t="shared" si="216"/>
        <v>18</v>
      </c>
      <c r="O982" s="15">
        <f>INDEX(卡牌消耗!$H$13:$H$33,世界BOSS专属武器!N982)</f>
        <v>1501018</v>
      </c>
      <c r="P982" s="49" t="s">
        <v>408</v>
      </c>
      <c r="Q982" s="15">
        <f t="shared" si="217"/>
        <v>35</v>
      </c>
      <c r="R982" s="49" t="str">
        <f t="shared" si="218"/>
        <v>金币</v>
      </c>
      <c r="S982" s="15">
        <f t="shared" si="219"/>
        <v>10000</v>
      </c>
      <c r="T982" s="15" t="str">
        <f t="shared" si="220"/>
        <v>中级专属强化石</v>
      </c>
      <c r="U982" s="15">
        <f t="shared" si="221"/>
        <v>8</v>
      </c>
      <c r="V982" s="15" t="str">
        <f t="shared" si="222"/>
        <v>高级专属强化石</v>
      </c>
      <c r="W982" s="15">
        <f t="shared" si="223"/>
        <v>3</v>
      </c>
      <c r="X982" s="15">
        <f t="shared" si="224"/>
        <v>0.1</v>
      </c>
      <c r="Y982" s="15">
        <f t="shared" si="225"/>
        <v>1</v>
      </c>
      <c r="Z982" s="15">
        <f t="shared" si="226"/>
        <v>30</v>
      </c>
      <c r="AA982" s="15">
        <f t="shared" si="227"/>
        <v>0.5333</v>
      </c>
    </row>
    <row r="983" spans="13:27" ht="16.5" x14ac:dyDescent="0.2">
      <c r="M983" s="15">
        <v>904</v>
      </c>
      <c r="N983" s="15">
        <f t="shared" si="216"/>
        <v>18</v>
      </c>
      <c r="O983" s="15">
        <f>INDEX(卡牌消耗!$H$13:$H$33,世界BOSS专属武器!N983)</f>
        <v>1501018</v>
      </c>
      <c r="P983" s="49" t="s">
        <v>408</v>
      </c>
      <c r="Q983" s="15">
        <f t="shared" si="217"/>
        <v>36</v>
      </c>
      <c r="R983" s="49" t="str">
        <f t="shared" si="218"/>
        <v>金币</v>
      </c>
      <c r="S983" s="15">
        <f t="shared" si="219"/>
        <v>10000</v>
      </c>
      <c r="T983" s="15" t="str">
        <f t="shared" si="220"/>
        <v>中级专属强化石</v>
      </c>
      <c r="U983" s="15">
        <f t="shared" si="221"/>
        <v>8</v>
      </c>
      <c r="V983" s="15" t="str">
        <f t="shared" si="222"/>
        <v>高级专属强化石</v>
      </c>
      <c r="W983" s="15">
        <f t="shared" si="223"/>
        <v>3</v>
      </c>
      <c r="X983" s="15">
        <f t="shared" si="224"/>
        <v>0.1</v>
      </c>
      <c r="Y983" s="15">
        <f t="shared" si="225"/>
        <v>1</v>
      </c>
      <c r="Z983" s="15">
        <f t="shared" si="226"/>
        <v>30</v>
      </c>
      <c r="AA983" s="15">
        <f t="shared" si="227"/>
        <v>0.56000000000000005</v>
      </c>
    </row>
    <row r="984" spans="13:27" ht="16.5" x14ac:dyDescent="0.2">
      <c r="M984" s="15">
        <v>905</v>
      </c>
      <c r="N984" s="15">
        <f t="shared" si="216"/>
        <v>18</v>
      </c>
      <c r="O984" s="15">
        <f>INDEX(卡牌消耗!$H$13:$H$33,世界BOSS专属武器!N984)</f>
        <v>1501018</v>
      </c>
      <c r="P984" s="49" t="s">
        <v>408</v>
      </c>
      <c r="Q984" s="15">
        <f t="shared" si="217"/>
        <v>37</v>
      </c>
      <c r="R984" s="49" t="str">
        <f t="shared" si="218"/>
        <v>金币</v>
      </c>
      <c r="S984" s="15">
        <f t="shared" si="219"/>
        <v>10000</v>
      </c>
      <c r="T984" s="15" t="str">
        <f t="shared" si="220"/>
        <v>中级专属强化石</v>
      </c>
      <c r="U984" s="15">
        <f t="shared" si="221"/>
        <v>8</v>
      </c>
      <c r="V984" s="15" t="str">
        <f t="shared" si="222"/>
        <v>高级专属强化石</v>
      </c>
      <c r="W984" s="15">
        <f t="shared" si="223"/>
        <v>3</v>
      </c>
      <c r="X984" s="15">
        <f t="shared" si="224"/>
        <v>0.1</v>
      </c>
      <c r="Y984" s="15">
        <f t="shared" si="225"/>
        <v>1</v>
      </c>
      <c r="Z984" s="15">
        <f t="shared" si="226"/>
        <v>30</v>
      </c>
      <c r="AA984" s="15">
        <f t="shared" si="227"/>
        <v>0.5867</v>
      </c>
    </row>
    <row r="985" spans="13:27" ht="16.5" x14ac:dyDescent="0.2">
      <c r="M985" s="15">
        <v>906</v>
      </c>
      <c r="N985" s="15">
        <f t="shared" si="216"/>
        <v>18</v>
      </c>
      <c r="O985" s="15">
        <f>INDEX(卡牌消耗!$H$13:$H$33,世界BOSS专属武器!N985)</f>
        <v>1501018</v>
      </c>
      <c r="P985" s="49" t="s">
        <v>408</v>
      </c>
      <c r="Q985" s="15">
        <f t="shared" si="217"/>
        <v>38</v>
      </c>
      <c r="R985" s="49" t="str">
        <f t="shared" si="218"/>
        <v>金币</v>
      </c>
      <c r="S985" s="15">
        <f t="shared" si="219"/>
        <v>10000</v>
      </c>
      <c r="T985" s="15" t="str">
        <f t="shared" si="220"/>
        <v>中级专属强化石</v>
      </c>
      <c r="U985" s="15">
        <f t="shared" si="221"/>
        <v>8</v>
      </c>
      <c r="V985" s="15" t="str">
        <f t="shared" si="222"/>
        <v>高级专属强化石</v>
      </c>
      <c r="W985" s="15">
        <f t="shared" si="223"/>
        <v>3</v>
      </c>
      <c r="X985" s="15">
        <f t="shared" si="224"/>
        <v>0.1</v>
      </c>
      <c r="Y985" s="15">
        <f t="shared" si="225"/>
        <v>1</v>
      </c>
      <c r="Z985" s="15">
        <f t="shared" si="226"/>
        <v>30</v>
      </c>
      <c r="AA985" s="15">
        <f t="shared" si="227"/>
        <v>0.61329999999999996</v>
      </c>
    </row>
    <row r="986" spans="13:27" ht="16.5" x14ac:dyDescent="0.2">
      <c r="M986" s="15">
        <v>907</v>
      </c>
      <c r="N986" s="15">
        <f t="shared" si="216"/>
        <v>18</v>
      </c>
      <c r="O986" s="15">
        <f>INDEX(卡牌消耗!$H$13:$H$33,世界BOSS专属武器!N986)</f>
        <v>1501018</v>
      </c>
      <c r="P986" s="49" t="s">
        <v>408</v>
      </c>
      <c r="Q986" s="15">
        <f t="shared" si="217"/>
        <v>39</v>
      </c>
      <c r="R986" s="49" t="str">
        <f t="shared" si="218"/>
        <v>金币</v>
      </c>
      <c r="S986" s="15">
        <f t="shared" si="219"/>
        <v>10000</v>
      </c>
      <c r="T986" s="15" t="str">
        <f t="shared" si="220"/>
        <v>中级专属强化石</v>
      </c>
      <c r="U986" s="15">
        <f t="shared" si="221"/>
        <v>8</v>
      </c>
      <c r="V986" s="15" t="str">
        <f t="shared" si="222"/>
        <v>高级专属强化石</v>
      </c>
      <c r="W986" s="15">
        <f t="shared" si="223"/>
        <v>3</v>
      </c>
      <c r="X986" s="15">
        <f t="shared" si="224"/>
        <v>0.1</v>
      </c>
      <c r="Y986" s="15">
        <f t="shared" si="225"/>
        <v>1</v>
      </c>
      <c r="Z986" s="15">
        <f t="shared" si="226"/>
        <v>30</v>
      </c>
      <c r="AA986" s="15">
        <f t="shared" si="227"/>
        <v>0.64</v>
      </c>
    </row>
    <row r="987" spans="13:27" ht="16.5" x14ac:dyDescent="0.2">
      <c r="M987" s="15">
        <v>908</v>
      </c>
      <c r="N987" s="15">
        <f t="shared" si="216"/>
        <v>18</v>
      </c>
      <c r="O987" s="15">
        <f>INDEX(卡牌消耗!$H$13:$H$33,世界BOSS专属武器!N987)</f>
        <v>1501018</v>
      </c>
      <c r="P987" s="49" t="s">
        <v>408</v>
      </c>
      <c r="Q987" s="15">
        <f t="shared" si="217"/>
        <v>40</v>
      </c>
      <c r="R987" s="49" t="str">
        <f t="shared" si="218"/>
        <v>金币</v>
      </c>
      <c r="S987" s="15">
        <f t="shared" si="219"/>
        <v>20000</v>
      </c>
      <c r="T987" s="15" t="str">
        <f t="shared" si="220"/>
        <v>高级专属强化石</v>
      </c>
      <c r="U987" s="15">
        <f t="shared" si="221"/>
        <v>5</v>
      </c>
      <c r="V987" s="15" t="str">
        <f t="shared" si="222"/>
        <v>[x]</v>
      </c>
      <c r="W987" s="15" t="str">
        <f t="shared" si="223"/>
        <v>[x]</v>
      </c>
      <c r="X987" s="15">
        <f t="shared" si="224"/>
        <v>0.1</v>
      </c>
      <c r="Y987" s="15">
        <f t="shared" si="225"/>
        <v>1</v>
      </c>
      <c r="Z987" s="15">
        <f t="shared" si="226"/>
        <v>35</v>
      </c>
      <c r="AA987" s="15">
        <f t="shared" si="227"/>
        <v>0.66669999999999996</v>
      </c>
    </row>
    <row r="988" spans="13:27" ht="16.5" x14ac:dyDescent="0.2">
      <c r="M988" s="15">
        <v>909</v>
      </c>
      <c r="N988" s="15">
        <f t="shared" si="216"/>
        <v>18</v>
      </c>
      <c r="O988" s="15">
        <f>INDEX(卡牌消耗!$H$13:$H$33,世界BOSS专属武器!N988)</f>
        <v>1501018</v>
      </c>
      <c r="P988" s="49" t="s">
        <v>408</v>
      </c>
      <c r="Q988" s="15">
        <f t="shared" si="217"/>
        <v>41</v>
      </c>
      <c r="R988" s="49" t="str">
        <f t="shared" si="218"/>
        <v>金币</v>
      </c>
      <c r="S988" s="15">
        <f t="shared" si="219"/>
        <v>20000</v>
      </c>
      <c r="T988" s="15" t="str">
        <f t="shared" si="220"/>
        <v>高级专属强化石</v>
      </c>
      <c r="U988" s="15">
        <f t="shared" si="221"/>
        <v>5</v>
      </c>
      <c r="V988" s="15" t="str">
        <f t="shared" si="222"/>
        <v>[x]</v>
      </c>
      <c r="W988" s="15" t="str">
        <f t="shared" si="223"/>
        <v>[x]</v>
      </c>
      <c r="X988" s="15">
        <f t="shared" si="224"/>
        <v>0.1</v>
      </c>
      <c r="Y988" s="15">
        <f t="shared" si="225"/>
        <v>1</v>
      </c>
      <c r="Z988" s="15">
        <f t="shared" si="226"/>
        <v>40</v>
      </c>
      <c r="AA988" s="15">
        <f t="shared" si="227"/>
        <v>0.7</v>
      </c>
    </row>
    <row r="989" spans="13:27" ht="16.5" x14ac:dyDescent="0.2">
      <c r="M989" s="15">
        <v>910</v>
      </c>
      <c r="N989" s="15">
        <f t="shared" si="216"/>
        <v>18</v>
      </c>
      <c r="O989" s="15">
        <f>INDEX(卡牌消耗!$H$13:$H$33,世界BOSS专属武器!N989)</f>
        <v>1501018</v>
      </c>
      <c r="P989" s="49" t="s">
        <v>408</v>
      </c>
      <c r="Q989" s="15">
        <f t="shared" si="217"/>
        <v>42</v>
      </c>
      <c r="R989" s="49" t="str">
        <f t="shared" si="218"/>
        <v>金币</v>
      </c>
      <c r="S989" s="15">
        <f t="shared" si="219"/>
        <v>20000</v>
      </c>
      <c r="T989" s="15" t="str">
        <f t="shared" si="220"/>
        <v>高级专属强化石</v>
      </c>
      <c r="U989" s="15">
        <f t="shared" si="221"/>
        <v>5</v>
      </c>
      <c r="V989" s="15" t="str">
        <f t="shared" si="222"/>
        <v>[x]</v>
      </c>
      <c r="W989" s="15" t="str">
        <f t="shared" si="223"/>
        <v>[x]</v>
      </c>
      <c r="X989" s="15">
        <f t="shared" si="224"/>
        <v>0.1</v>
      </c>
      <c r="Y989" s="15">
        <f t="shared" si="225"/>
        <v>1</v>
      </c>
      <c r="Z989" s="15">
        <f t="shared" si="226"/>
        <v>45</v>
      </c>
      <c r="AA989" s="15">
        <f t="shared" si="227"/>
        <v>0.73329999999999995</v>
      </c>
    </row>
    <row r="990" spans="13:27" ht="16.5" x14ac:dyDescent="0.2">
      <c r="M990" s="15">
        <v>911</v>
      </c>
      <c r="N990" s="15">
        <f t="shared" si="216"/>
        <v>18</v>
      </c>
      <c r="O990" s="15">
        <f>INDEX(卡牌消耗!$H$13:$H$33,世界BOSS专属武器!N990)</f>
        <v>1501018</v>
      </c>
      <c r="P990" s="49" t="s">
        <v>408</v>
      </c>
      <c r="Q990" s="15">
        <f t="shared" si="217"/>
        <v>43</v>
      </c>
      <c r="R990" s="49" t="str">
        <f t="shared" si="218"/>
        <v>金币</v>
      </c>
      <c r="S990" s="15">
        <f t="shared" si="219"/>
        <v>20000</v>
      </c>
      <c r="T990" s="15" t="str">
        <f t="shared" si="220"/>
        <v>高级专属强化石</v>
      </c>
      <c r="U990" s="15">
        <f t="shared" si="221"/>
        <v>5</v>
      </c>
      <c r="V990" s="15" t="str">
        <f t="shared" si="222"/>
        <v>[x]</v>
      </c>
      <c r="W990" s="15" t="str">
        <f t="shared" si="223"/>
        <v>[x]</v>
      </c>
      <c r="X990" s="15">
        <f t="shared" si="224"/>
        <v>0.1</v>
      </c>
      <c r="Y990" s="15">
        <f t="shared" si="225"/>
        <v>1</v>
      </c>
      <c r="Z990" s="15">
        <f t="shared" si="226"/>
        <v>50</v>
      </c>
      <c r="AA990" s="15">
        <f t="shared" si="227"/>
        <v>0.76670000000000005</v>
      </c>
    </row>
    <row r="991" spans="13:27" ht="16.5" x14ac:dyDescent="0.2">
      <c r="M991" s="15">
        <v>912</v>
      </c>
      <c r="N991" s="15">
        <f t="shared" si="216"/>
        <v>18</v>
      </c>
      <c r="O991" s="15">
        <f>INDEX(卡牌消耗!$H$13:$H$33,世界BOSS专属武器!N991)</f>
        <v>1501018</v>
      </c>
      <c r="P991" s="49" t="s">
        <v>408</v>
      </c>
      <c r="Q991" s="15">
        <f t="shared" si="217"/>
        <v>44</v>
      </c>
      <c r="R991" s="49" t="str">
        <f t="shared" si="218"/>
        <v>金币</v>
      </c>
      <c r="S991" s="15">
        <f t="shared" si="219"/>
        <v>20000</v>
      </c>
      <c r="T991" s="15" t="str">
        <f t="shared" si="220"/>
        <v>高级专属强化石</v>
      </c>
      <c r="U991" s="15">
        <f t="shared" si="221"/>
        <v>5</v>
      </c>
      <c r="V991" s="15" t="str">
        <f t="shared" si="222"/>
        <v>[x]</v>
      </c>
      <c r="W991" s="15" t="str">
        <f t="shared" si="223"/>
        <v>[x]</v>
      </c>
      <c r="X991" s="15">
        <f t="shared" si="224"/>
        <v>0.1</v>
      </c>
      <c r="Y991" s="15">
        <f t="shared" si="225"/>
        <v>1</v>
      </c>
      <c r="Z991" s="15">
        <f t="shared" si="226"/>
        <v>55</v>
      </c>
      <c r="AA991" s="15">
        <f t="shared" si="227"/>
        <v>0.8</v>
      </c>
    </row>
    <row r="992" spans="13:27" ht="16.5" x14ac:dyDescent="0.2">
      <c r="M992" s="15">
        <v>913</v>
      </c>
      <c r="N992" s="15">
        <f t="shared" si="216"/>
        <v>18</v>
      </c>
      <c r="O992" s="15">
        <f>INDEX(卡牌消耗!$H$13:$H$33,世界BOSS专属武器!N992)</f>
        <v>1501018</v>
      </c>
      <c r="P992" s="49" t="s">
        <v>408</v>
      </c>
      <c r="Q992" s="15">
        <f t="shared" si="217"/>
        <v>45</v>
      </c>
      <c r="R992" s="49" t="str">
        <f t="shared" si="218"/>
        <v>金币</v>
      </c>
      <c r="S992" s="15">
        <f t="shared" si="219"/>
        <v>20000</v>
      </c>
      <c r="T992" s="15" t="str">
        <f t="shared" si="220"/>
        <v>高级专属强化石</v>
      </c>
      <c r="U992" s="15">
        <f t="shared" si="221"/>
        <v>6</v>
      </c>
      <c r="V992" s="15" t="str">
        <f t="shared" si="222"/>
        <v>[x]</v>
      </c>
      <c r="W992" s="15" t="str">
        <f t="shared" si="223"/>
        <v>[x]</v>
      </c>
      <c r="X992" s="15">
        <f t="shared" si="224"/>
        <v>0.1</v>
      </c>
      <c r="Y992" s="15">
        <f t="shared" si="225"/>
        <v>1</v>
      </c>
      <c r="Z992" s="15">
        <f t="shared" si="226"/>
        <v>60</v>
      </c>
      <c r="AA992" s="15">
        <f t="shared" si="227"/>
        <v>0.83330000000000004</v>
      </c>
    </row>
    <row r="993" spans="13:27" ht="16.5" x14ac:dyDescent="0.2">
      <c r="M993" s="15">
        <v>914</v>
      </c>
      <c r="N993" s="15">
        <f t="shared" si="216"/>
        <v>18</v>
      </c>
      <c r="O993" s="15">
        <f>INDEX(卡牌消耗!$H$13:$H$33,世界BOSS专属武器!N993)</f>
        <v>1501018</v>
      </c>
      <c r="P993" s="49" t="s">
        <v>408</v>
      </c>
      <c r="Q993" s="15">
        <f t="shared" si="217"/>
        <v>46</v>
      </c>
      <c r="R993" s="49" t="str">
        <f t="shared" si="218"/>
        <v>金币</v>
      </c>
      <c r="S993" s="15">
        <f t="shared" si="219"/>
        <v>20000</v>
      </c>
      <c r="T993" s="15" t="str">
        <f t="shared" si="220"/>
        <v>高级专属强化石</v>
      </c>
      <c r="U993" s="15">
        <f t="shared" si="221"/>
        <v>7</v>
      </c>
      <c r="V993" s="15" t="str">
        <f t="shared" si="222"/>
        <v>[x]</v>
      </c>
      <c r="W993" s="15" t="str">
        <f t="shared" si="223"/>
        <v>[x]</v>
      </c>
      <c r="X993" s="15">
        <f t="shared" si="224"/>
        <v>0.1</v>
      </c>
      <c r="Y993" s="15">
        <f t="shared" si="225"/>
        <v>1</v>
      </c>
      <c r="Z993" s="15">
        <f t="shared" si="226"/>
        <v>70</v>
      </c>
      <c r="AA993" s="15">
        <f t="shared" si="227"/>
        <v>0.86670000000000003</v>
      </c>
    </row>
    <row r="994" spans="13:27" ht="16.5" x14ac:dyDescent="0.2">
      <c r="M994" s="15">
        <v>915</v>
      </c>
      <c r="N994" s="15">
        <f t="shared" si="216"/>
        <v>18</v>
      </c>
      <c r="O994" s="15">
        <f>INDEX(卡牌消耗!$H$13:$H$33,世界BOSS专属武器!N994)</f>
        <v>1501018</v>
      </c>
      <c r="P994" s="49" t="s">
        <v>408</v>
      </c>
      <c r="Q994" s="15">
        <f t="shared" si="217"/>
        <v>47</v>
      </c>
      <c r="R994" s="49" t="str">
        <f t="shared" si="218"/>
        <v>金币</v>
      </c>
      <c r="S994" s="15">
        <f t="shared" si="219"/>
        <v>20000</v>
      </c>
      <c r="T994" s="15" t="str">
        <f t="shared" si="220"/>
        <v>高级专属强化石</v>
      </c>
      <c r="U994" s="15">
        <f t="shared" si="221"/>
        <v>8</v>
      </c>
      <c r="V994" s="15" t="str">
        <f t="shared" si="222"/>
        <v>[x]</v>
      </c>
      <c r="W994" s="15" t="str">
        <f t="shared" si="223"/>
        <v>[x]</v>
      </c>
      <c r="X994" s="15">
        <f t="shared" si="224"/>
        <v>0.1</v>
      </c>
      <c r="Y994" s="15">
        <f t="shared" si="225"/>
        <v>1</v>
      </c>
      <c r="Z994" s="15">
        <f t="shared" si="226"/>
        <v>80</v>
      </c>
      <c r="AA994" s="15">
        <f t="shared" si="227"/>
        <v>0.9</v>
      </c>
    </row>
    <row r="995" spans="13:27" ht="16.5" x14ac:dyDescent="0.2">
      <c r="M995" s="15">
        <v>916</v>
      </c>
      <c r="N995" s="15">
        <f t="shared" si="216"/>
        <v>18</v>
      </c>
      <c r="O995" s="15">
        <f>INDEX(卡牌消耗!$H$13:$H$33,世界BOSS专属武器!N995)</f>
        <v>1501018</v>
      </c>
      <c r="P995" s="49" t="s">
        <v>408</v>
      </c>
      <c r="Q995" s="15">
        <f t="shared" si="217"/>
        <v>48</v>
      </c>
      <c r="R995" s="49" t="str">
        <f t="shared" si="218"/>
        <v>金币</v>
      </c>
      <c r="S995" s="15">
        <f t="shared" si="219"/>
        <v>20000</v>
      </c>
      <c r="T995" s="15" t="str">
        <f t="shared" si="220"/>
        <v>高级专属强化石</v>
      </c>
      <c r="U995" s="15">
        <f t="shared" si="221"/>
        <v>9</v>
      </c>
      <c r="V995" s="15" t="str">
        <f t="shared" si="222"/>
        <v>[x]</v>
      </c>
      <c r="W995" s="15" t="str">
        <f t="shared" si="223"/>
        <v>[x]</v>
      </c>
      <c r="X995" s="15">
        <f t="shared" si="224"/>
        <v>0.1</v>
      </c>
      <c r="Y995" s="15">
        <f t="shared" si="225"/>
        <v>1</v>
      </c>
      <c r="Z995" s="15">
        <f t="shared" si="226"/>
        <v>100</v>
      </c>
      <c r="AA995" s="15">
        <f t="shared" si="227"/>
        <v>0.93330000000000002</v>
      </c>
    </row>
    <row r="996" spans="13:27" ht="16.5" x14ac:dyDescent="0.2">
      <c r="M996" s="15">
        <v>917</v>
      </c>
      <c r="N996" s="15">
        <f t="shared" si="216"/>
        <v>18</v>
      </c>
      <c r="O996" s="15">
        <f>INDEX(卡牌消耗!$H$13:$H$33,世界BOSS专属武器!N996)</f>
        <v>1501018</v>
      </c>
      <c r="P996" s="49" t="s">
        <v>408</v>
      </c>
      <c r="Q996" s="15">
        <f t="shared" si="217"/>
        <v>49</v>
      </c>
      <c r="R996" s="49" t="str">
        <f t="shared" si="218"/>
        <v>金币</v>
      </c>
      <c r="S996" s="15">
        <f t="shared" si="219"/>
        <v>20000</v>
      </c>
      <c r="T996" s="15" t="str">
        <f t="shared" si="220"/>
        <v>高级专属强化石</v>
      </c>
      <c r="U996" s="15">
        <f t="shared" si="221"/>
        <v>10</v>
      </c>
      <c r="V996" s="15" t="str">
        <f t="shared" si="222"/>
        <v>[x]</v>
      </c>
      <c r="W996" s="15" t="str">
        <f t="shared" si="223"/>
        <v>[x]</v>
      </c>
      <c r="X996" s="15">
        <f t="shared" si="224"/>
        <v>0.1</v>
      </c>
      <c r="Y996" s="15">
        <f t="shared" si="225"/>
        <v>1</v>
      </c>
      <c r="Z996" s="15">
        <f t="shared" si="226"/>
        <v>120</v>
      </c>
      <c r="AA996" s="15">
        <f t="shared" si="227"/>
        <v>0.9667</v>
      </c>
    </row>
    <row r="997" spans="13:27" ht="16.5" x14ac:dyDescent="0.2">
      <c r="M997" s="15">
        <v>918</v>
      </c>
      <c r="N997" s="15">
        <f t="shared" si="216"/>
        <v>18</v>
      </c>
      <c r="O997" s="15">
        <f>INDEX(卡牌消耗!$H$13:$H$33,世界BOSS专属武器!N997)</f>
        <v>1501018</v>
      </c>
      <c r="P997" s="49" t="s">
        <v>408</v>
      </c>
      <c r="Q997" s="15">
        <f t="shared" si="217"/>
        <v>50</v>
      </c>
      <c r="R997" s="49" t="str">
        <f t="shared" si="218"/>
        <v>金币</v>
      </c>
      <c r="S997" s="15">
        <f t="shared" si="219"/>
        <v>20000</v>
      </c>
      <c r="T997" s="15" t="str">
        <f t="shared" si="220"/>
        <v>高级专属强化石</v>
      </c>
      <c r="U997" s="15">
        <f t="shared" si="221"/>
        <v>15</v>
      </c>
      <c r="V997" s="15" t="str">
        <f t="shared" si="222"/>
        <v>[x]</v>
      </c>
      <c r="W997" s="15" t="str">
        <f t="shared" si="223"/>
        <v>[x]</v>
      </c>
      <c r="X997" s="15">
        <f t="shared" si="224"/>
        <v>0.1</v>
      </c>
      <c r="Y997" s="15">
        <f t="shared" si="225"/>
        <v>1</v>
      </c>
      <c r="Z997" s="15">
        <f t="shared" si="226"/>
        <v>150</v>
      </c>
      <c r="AA997" s="15">
        <f t="shared" si="227"/>
        <v>1</v>
      </c>
    </row>
    <row r="998" spans="13:27" ht="16.5" x14ac:dyDescent="0.2">
      <c r="M998" s="15">
        <v>919</v>
      </c>
      <c r="N998" s="15">
        <f t="shared" si="216"/>
        <v>19</v>
      </c>
      <c r="O998" s="15">
        <f>INDEX(卡牌消耗!$H$13:$H$33,世界BOSS专属武器!N998)</f>
        <v>1501019</v>
      </c>
      <c r="P998" s="49" t="s">
        <v>408</v>
      </c>
      <c r="Q998" s="15">
        <f t="shared" si="217"/>
        <v>0</v>
      </c>
      <c r="R998" s="49" t="str">
        <f t="shared" si="218"/>
        <v>[x]</v>
      </c>
      <c r="S998" s="15" t="str">
        <f t="shared" si="219"/>
        <v>[x]</v>
      </c>
      <c r="T998" s="15" t="str">
        <f t="shared" si="220"/>
        <v>[x]</v>
      </c>
      <c r="U998" s="15" t="str">
        <f t="shared" si="221"/>
        <v>[x]</v>
      </c>
      <c r="V998" s="15" t="str">
        <f t="shared" si="222"/>
        <v>[x]</v>
      </c>
      <c r="W998" s="15" t="str">
        <f t="shared" si="223"/>
        <v>[x]</v>
      </c>
      <c r="X998" s="15" t="str">
        <f t="shared" si="224"/>
        <v>[x]</v>
      </c>
      <c r="Y998" s="15" t="str">
        <f t="shared" si="225"/>
        <v>[x]</v>
      </c>
      <c r="Z998" s="15" t="str">
        <f t="shared" si="226"/>
        <v>[x]</v>
      </c>
      <c r="AA998" s="15" t="str">
        <f t="shared" si="227"/>
        <v>[x]</v>
      </c>
    </row>
    <row r="999" spans="13:27" ht="16.5" x14ac:dyDescent="0.2">
      <c r="M999" s="15">
        <v>920</v>
      </c>
      <c r="N999" s="15">
        <f t="shared" si="216"/>
        <v>19</v>
      </c>
      <c r="O999" s="15">
        <f>INDEX(卡牌消耗!$H$13:$H$33,世界BOSS专属武器!N999)</f>
        <v>1501019</v>
      </c>
      <c r="P999" s="49" t="s">
        <v>408</v>
      </c>
      <c r="Q999" s="15">
        <f t="shared" si="217"/>
        <v>1</v>
      </c>
      <c r="R999" s="49" t="str">
        <f t="shared" si="218"/>
        <v>金币</v>
      </c>
      <c r="S999" s="15">
        <f t="shared" si="219"/>
        <v>100</v>
      </c>
      <c r="T999" s="15" t="str">
        <f t="shared" si="220"/>
        <v>低级专属强化石</v>
      </c>
      <c r="U999" s="15">
        <f t="shared" si="221"/>
        <v>1</v>
      </c>
      <c r="V999" s="15" t="str">
        <f t="shared" si="222"/>
        <v>[x]</v>
      </c>
      <c r="W999" s="15" t="str">
        <f t="shared" si="223"/>
        <v>[x]</v>
      </c>
      <c r="X999" s="15">
        <f t="shared" si="224"/>
        <v>1</v>
      </c>
      <c r="Y999" s="15">
        <f t="shared" si="225"/>
        <v>1</v>
      </c>
      <c r="Z999" s="15">
        <f t="shared" si="226"/>
        <v>1</v>
      </c>
      <c r="AA999" s="15">
        <f t="shared" si="227"/>
        <v>6.7000000000000002E-3</v>
      </c>
    </row>
    <row r="1000" spans="13:27" ht="16.5" x14ac:dyDescent="0.2">
      <c r="M1000" s="15">
        <v>921</v>
      </c>
      <c r="N1000" s="15">
        <f t="shared" si="216"/>
        <v>19</v>
      </c>
      <c r="O1000" s="15">
        <f>INDEX(卡牌消耗!$H$13:$H$33,世界BOSS专属武器!N1000)</f>
        <v>1501019</v>
      </c>
      <c r="P1000" s="49" t="s">
        <v>408</v>
      </c>
      <c r="Q1000" s="15">
        <f t="shared" si="217"/>
        <v>2</v>
      </c>
      <c r="R1000" s="49" t="str">
        <f t="shared" si="218"/>
        <v>金币</v>
      </c>
      <c r="S1000" s="15">
        <f t="shared" si="219"/>
        <v>200</v>
      </c>
      <c r="T1000" s="15" t="str">
        <f t="shared" si="220"/>
        <v>低级专属强化石</v>
      </c>
      <c r="U1000" s="15">
        <f t="shared" si="221"/>
        <v>1</v>
      </c>
      <c r="V1000" s="15" t="str">
        <f t="shared" si="222"/>
        <v>[x]</v>
      </c>
      <c r="W1000" s="15" t="str">
        <f t="shared" si="223"/>
        <v>[x]</v>
      </c>
      <c r="X1000" s="15">
        <f t="shared" si="224"/>
        <v>0.5</v>
      </c>
      <c r="Y1000" s="15">
        <f t="shared" si="225"/>
        <v>1</v>
      </c>
      <c r="Z1000" s="15">
        <f t="shared" si="226"/>
        <v>2</v>
      </c>
      <c r="AA1000" s="15">
        <f t="shared" si="227"/>
        <v>1.3299999999999999E-2</v>
      </c>
    </row>
    <row r="1001" spans="13:27" ht="16.5" x14ac:dyDescent="0.2">
      <c r="M1001" s="15">
        <v>922</v>
      </c>
      <c r="N1001" s="15">
        <f t="shared" si="216"/>
        <v>19</v>
      </c>
      <c r="O1001" s="15">
        <f>INDEX(卡牌消耗!$H$13:$H$33,世界BOSS专属武器!N1001)</f>
        <v>1501019</v>
      </c>
      <c r="P1001" s="49" t="s">
        <v>408</v>
      </c>
      <c r="Q1001" s="15">
        <f t="shared" si="217"/>
        <v>3</v>
      </c>
      <c r="R1001" s="49" t="str">
        <f t="shared" si="218"/>
        <v>金币</v>
      </c>
      <c r="S1001" s="15">
        <f t="shared" si="219"/>
        <v>300</v>
      </c>
      <c r="T1001" s="15" t="str">
        <f t="shared" si="220"/>
        <v>低级专属强化石</v>
      </c>
      <c r="U1001" s="15">
        <f t="shared" si="221"/>
        <v>2</v>
      </c>
      <c r="V1001" s="15" t="str">
        <f t="shared" si="222"/>
        <v>[x]</v>
      </c>
      <c r="W1001" s="15" t="str">
        <f t="shared" si="223"/>
        <v>[x]</v>
      </c>
      <c r="X1001" s="15">
        <f t="shared" si="224"/>
        <v>0.48</v>
      </c>
      <c r="Y1001" s="15">
        <f t="shared" si="225"/>
        <v>1</v>
      </c>
      <c r="Z1001" s="15">
        <f t="shared" si="226"/>
        <v>3</v>
      </c>
      <c r="AA1001" s="15">
        <f t="shared" si="227"/>
        <v>0.02</v>
      </c>
    </row>
    <row r="1002" spans="13:27" ht="16.5" x14ac:dyDescent="0.2">
      <c r="M1002" s="15">
        <v>923</v>
      </c>
      <c r="N1002" s="15">
        <f t="shared" si="216"/>
        <v>19</v>
      </c>
      <c r="O1002" s="15">
        <f>INDEX(卡牌消耗!$H$13:$H$33,世界BOSS专属武器!N1002)</f>
        <v>1501019</v>
      </c>
      <c r="P1002" s="49" t="s">
        <v>408</v>
      </c>
      <c r="Q1002" s="15">
        <f t="shared" si="217"/>
        <v>4</v>
      </c>
      <c r="R1002" s="49" t="str">
        <f t="shared" si="218"/>
        <v>金币</v>
      </c>
      <c r="S1002" s="15">
        <f t="shared" si="219"/>
        <v>400</v>
      </c>
      <c r="T1002" s="15" t="str">
        <f t="shared" si="220"/>
        <v>低级专属强化石</v>
      </c>
      <c r="U1002" s="15">
        <f t="shared" si="221"/>
        <v>3</v>
      </c>
      <c r="V1002" s="15" t="str">
        <f t="shared" si="222"/>
        <v>[x]</v>
      </c>
      <c r="W1002" s="15" t="str">
        <f t="shared" si="223"/>
        <v>[x]</v>
      </c>
      <c r="X1002" s="15">
        <f t="shared" si="224"/>
        <v>0.46</v>
      </c>
      <c r="Y1002" s="15">
        <f t="shared" si="225"/>
        <v>1</v>
      </c>
      <c r="Z1002" s="15">
        <f t="shared" si="226"/>
        <v>3</v>
      </c>
      <c r="AA1002" s="15">
        <f t="shared" si="227"/>
        <v>2.6700000000000002E-2</v>
      </c>
    </row>
    <row r="1003" spans="13:27" ht="16.5" x14ac:dyDescent="0.2">
      <c r="M1003" s="15">
        <v>924</v>
      </c>
      <c r="N1003" s="15">
        <f t="shared" si="216"/>
        <v>19</v>
      </c>
      <c r="O1003" s="15">
        <f>INDEX(卡牌消耗!$H$13:$H$33,世界BOSS专属武器!N1003)</f>
        <v>1501019</v>
      </c>
      <c r="P1003" s="49" t="s">
        <v>408</v>
      </c>
      <c r="Q1003" s="15">
        <f t="shared" si="217"/>
        <v>5</v>
      </c>
      <c r="R1003" s="49" t="str">
        <f t="shared" si="218"/>
        <v>金币</v>
      </c>
      <c r="S1003" s="15">
        <f t="shared" si="219"/>
        <v>500</v>
      </c>
      <c r="T1003" s="15" t="str">
        <f t="shared" si="220"/>
        <v>低级专属强化石</v>
      </c>
      <c r="U1003" s="15">
        <f t="shared" si="221"/>
        <v>4</v>
      </c>
      <c r="V1003" s="15" t="str">
        <f t="shared" si="222"/>
        <v>[x]</v>
      </c>
      <c r="W1003" s="15" t="str">
        <f t="shared" si="223"/>
        <v>[x]</v>
      </c>
      <c r="X1003" s="15">
        <f t="shared" si="224"/>
        <v>0.44</v>
      </c>
      <c r="Y1003" s="15">
        <f t="shared" si="225"/>
        <v>1</v>
      </c>
      <c r="Z1003" s="15">
        <f t="shared" si="226"/>
        <v>3</v>
      </c>
      <c r="AA1003" s="15">
        <f t="shared" si="227"/>
        <v>3.3300000000000003E-2</v>
      </c>
    </row>
    <row r="1004" spans="13:27" ht="16.5" x14ac:dyDescent="0.2">
      <c r="M1004" s="15">
        <v>925</v>
      </c>
      <c r="N1004" s="15">
        <f t="shared" si="216"/>
        <v>19</v>
      </c>
      <c r="O1004" s="15">
        <f>INDEX(卡牌消耗!$H$13:$H$33,世界BOSS专属武器!N1004)</f>
        <v>1501019</v>
      </c>
      <c r="P1004" s="49" t="s">
        <v>408</v>
      </c>
      <c r="Q1004" s="15">
        <f t="shared" si="217"/>
        <v>6</v>
      </c>
      <c r="R1004" s="49" t="str">
        <f t="shared" si="218"/>
        <v>金币</v>
      </c>
      <c r="S1004" s="15">
        <f t="shared" si="219"/>
        <v>600</v>
      </c>
      <c r="T1004" s="15" t="str">
        <f t="shared" si="220"/>
        <v>低级专属强化石</v>
      </c>
      <c r="U1004" s="15">
        <f t="shared" si="221"/>
        <v>5</v>
      </c>
      <c r="V1004" s="15" t="str">
        <f t="shared" si="222"/>
        <v>[x]</v>
      </c>
      <c r="W1004" s="15" t="str">
        <f t="shared" si="223"/>
        <v>[x]</v>
      </c>
      <c r="X1004" s="15">
        <f t="shared" si="224"/>
        <v>0.42</v>
      </c>
      <c r="Y1004" s="15">
        <f t="shared" si="225"/>
        <v>1</v>
      </c>
      <c r="Z1004" s="15">
        <f t="shared" si="226"/>
        <v>4</v>
      </c>
      <c r="AA1004" s="15">
        <f t="shared" si="227"/>
        <v>0.04</v>
      </c>
    </row>
    <row r="1005" spans="13:27" ht="16.5" x14ac:dyDescent="0.2">
      <c r="M1005" s="15">
        <v>926</v>
      </c>
      <c r="N1005" s="15">
        <f t="shared" si="216"/>
        <v>19</v>
      </c>
      <c r="O1005" s="15">
        <f>INDEX(卡牌消耗!$H$13:$H$33,世界BOSS专属武器!N1005)</f>
        <v>1501019</v>
      </c>
      <c r="P1005" s="49" t="s">
        <v>408</v>
      </c>
      <c r="Q1005" s="15">
        <f t="shared" si="217"/>
        <v>7</v>
      </c>
      <c r="R1005" s="49" t="str">
        <f t="shared" si="218"/>
        <v>金币</v>
      </c>
      <c r="S1005" s="15">
        <f t="shared" si="219"/>
        <v>700</v>
      </c>
      <c r="T1005" s="15" t="str">
        <f t="shared" si="220"/>
        <v>低级专属强化石</v>
      </c>
      <c r="U1005" s="15">
        <f t="shared" si="221"/>
        <v>5</v>
      </c>
      <c r="V1005" s="15" t="str">
        <f t="shared" si="222"/>
        <v>[x]</v>
      </c>
      <c r="W1005" s="15" t="str">
        <f t="shared" si="223"/>
        <v>[x]</v>
      </c>
      <c r="X1005" s="15">
        <f t="shared" si="224"/>
        <v>0.4</v>
      </c>
      <c r="Y1005" s="15">
        <f t="shared" si="225"/>
        <v>1</v>
      </c>
      <c r="Z1005" s="15">
        <f t="shared" si="226"/>
        <v>4</v>
      </c>
      <c r="AA1005" s="15">
        <f t="shared" si="227"/>
        <v>4.6699999999999998E-2</v>
      </c>
    </row>
    <row r="1006" spans="13:27" ht="16.5" x14ac:dyDescent="0.2">
      <c r="M1006" s="15">
        <v>927</v>
      </c>
      <c r="N1006" s="15">
        <f t="shared" si="216"/>
        <v>19</v>
      </c>
      <c r="O1006" s="15">
        <f>INDEX(卡牌消耗!$H$13:$H$33,世界BOSS专属武器!N1006)</f>
        <v>1501019</v>
      </c>
      <c r="P1006" s="49" t="s">
        <v>408</v>
      </c>
      <c r="Q1006" s="15">
        <f t="shared" si="217"/>
        <v>8</v>
      </c>
      <c r="R1006" s="49" t="str">
        <f t="shared" si="218"/>
        <v>金币</v>
      </c>
      <c r="S1006" s="15">
        <f t="shared" si="219"/>
        <v>800</v>
      </c>
      <c r="T1006" s="15" t="str">
        <f t="shared" si="220"/>
        <v>低级专属强化石</v>
      </c>
      <c r="U1006" s="15">
        <f t="shared" si="221"/>
        <v>5</v>
      </c>
      <c r="V1006" s="15" t="str">
        <f t="shared" si="222"/>
        <v>[x]</v>
      </c>
      <c r="W1006" s="15" t="str">
        <f t="shared" si="223"/>
        <v>[x]</v>
      </c>
      <c r="X1006" s="15">
        <f t="shared" si="224"/>
        <v>0.38</v>
      </c>
      <c r="Y1006" s="15">
        <f t="shared" si="225"/>
        <v>1</v>
      </c>
      <c r="Z1006" s="15">
        <f t="shared" si="226"/>
        <v>5</v>
      </c>
      <c r="AA1006" s="15">
        <f t="shared" si="227"/>
        <v>5.33E-2</v>
      </c>
    </row>
    <row r="1007" spans="13:27" ht="16.5" x14ac:dyDescent="0.2">
      <c r="M1007" s="15">
        <v>928</v>
      </c>
      <c r="N1007" s="15">
        <f t="shared" si="216"/>
        <v>19</v>
      </c>
      <c r="O1007" s="15">
        <f>INDEX(卡牌消耗!$H$13:$H$33,世界BOSS专属武器!N1007)</f>
        <v>1501019</v>
      </c>
      <c r="P1007" s="49" t="s">
        <v>408</v>
      </c>
      <c r="Q1007" s="15">
        <f t="shared" si="217"/>
        <v>9</v>
      </c>
      <c r="R1007" s="49" t="str">
        <f t="shared" si="218"/>
        <v>金币</v>
      </c>
      <c r="S1007" s="15">
        <f t="shared" si="219"/>
        <v>900</v>
      </c>
      <c r="T1007" s="15" t="str">
        <f t="shared" si="220"/>
        <v>低级专属强化石</v>
      </c>
      <c r="U1007" s="15">
        <f t="shared" si="221"/>
        <v>5</v>
      </c>
      <c r="V1007" s="15" t="str">
        <f t="shared" si="222"/>
        <v>[x]</v>
      </c>
      <c r="W1007" s="15" t="str">
        <f t="shared" si="223"/>
        <v>[x]</v>
      </c>
      <c r="X1007" s="15">
        <f t="shared" si="224"/>
        <v>0.36</v>
      </c>
      <c r="Y1007" s="15">
        <f t="shared" si="225"/>
        <v>1</v>
      </c>
      <c r="Z1007" s="15">
        <f t="shared" si="226"/>
        <v>5</v>
      </c>
      <c r="AA1007" s="15">
        <f t="shared" si="227"/>
        <v>0.06</v>
      </c>
    </row>
    <row r="1008" spans="13:27" ht="16.5" x14ac:dyDescent="0.2">
      <c r="M1008" s="15">
        <v>929</v>
      </c>
      <c r="N1008" s="15">
        <f t="shared" si="216"/>
        <v>19</v>
      </c>
      <c r="O1008" s="15">
        <f>INDEX(卡牌消耗!$H$13:$H$33,世界BOSS专属武器!N1008)</f>
        <v>1501019</v>
      </c>
      <c r="P1008" s="49" t="s">
        <v>408</v>
      </c>
      <c r="Q1008" s="15">
        <f t="shared" si="217"/>
        <v>10</v>
      </c>
      <c r="R1008" s="49" t="str">
        <f t="shared" si="218"/>
        <v>金币</v>
      </c>
      <c r="S1008" s="15">
        <f t="shared" si="219"/>
        <v>1000</v>
      </c>
      <c r="T1008" s="15" t="str">
        <f t="shared" si="220"/>
        <v>低级专属强化石</v>
      </c>
      <c r="U1008" s="15">
        <f t="shared" si="221"/>
        <v>7</v>
      </c>
      <c r="V1008" s="15" t="str">
        <f t="shared" si="222"/>
        <v>[x]</v>
      </c>
      <c r="W1008" s="15" t="str">
        <f t="shared" si="223"/>
        <v>[x]</v>
      </c>
      <c r="X1008" s="15">
        <f t="shared" si="224"/>
        <v>0.35</v>
      </c>
      <c r="Y1008" s="15">
        <f t="shared" si="225"/>
        <v>1</v>
      </c>
      <c r="Z1008" s="15">
        <f t="shared" si="226"/>
        <v>5</v>
      </c>
      <c r="AA1008" s="15">
        <f t="shared" si="227"/>
        <v>6.6699999999999995E-2</v>
      </c>
    </row>
    <row r="1009" spans="13:27" ht="16.5" x14ac:dyDescent="0.2">
      <c r="M1009" s="15">
        <v>930</v>
      </c>
      <c r="N1009" s="15">
        <f t="shared" si="216"/>
        <v>19</v>
      </c>
      <c r="O1009" s="15">
        <f>INDEX(卡牌消耗!$H$13:$H$33,世界BOSS专属武器!N1009)</f>
        <v>1501019</v>
      </c>
      <c r="P1009" s="49" t="s">
        <v>408</v>
      </c>
      <c r="Q1009" s="15">
        <f t="shared" si="217"/>
        <v>11</v>
      </c>
      <c r="R1009" s="49" t="str">
        <f t="shared" si="218"/>
        <v>金币</v>
      </c>
      <c r="S1009" s="15">
        <f t="shared" si="219"/>
        <v>1000</v>
      </c>
      <c r="T1009" s="15" t="str">
        <f t="shared" si="220"/>
        <v>低级专属强化石</v>
      </c>
      <c r="U1009" s="15">
        <f t="shared" si="221"/>
        <v>7</v>
      </c>
      <c r="V1009" s="15" t="str">
        <f t="shared" si="222"/>
        <v>[x]</v>
      </c>
      <c r="W1009" s="15" t="str">
        <f t="shared" si="223"/>
        <v>[x]</v>
      </c>
      <c r="X1009" s="15">
        <f t="shared" si="224"/>
        <v>0.33</v>
      </c>
      <c r="Y1009" s="15">
        <f t="shared" si="225"/>
        <v>1</v>
      </c>
      <c r="Z1009" s="15">
        <f t="shared" si="226"/>
        <v>6</v>
      </c>
      <c r="AA1009" s="15">
        <f t="shared" si="227"/>
        <v>0.08</v>
      </c>
    </row>
    <row r="1010" spans="13:27" ht="16.5" x14ac:dyDescent="0.2">
      <c r="M1010" s="15">
        <v>931</v>
      </c>
      <c r="N1010" s="15">
        <f t="shared" si="216"/>
        <v>19</v>
      </c>
      <c r="O1010" s="15">
        <f>INDEX(卡牌消耗!$H$13:$H$33,世界BOSS专属武器!N1010)</f>
        <v>1501019</v>
      </c>
      <c r="P1010" s="49" t="s">
        <v>408</v>
      </c>
      <c r="Q1010" s="15">
        <f t="shared" si="217"/>
        <v>12</v>
      </c>
      <c r="R1010" s="49" t="str">
        <f t="shared" si="218"/>
        <v>金币</v>
      </c>
      <c r="S1010" s="15">
        <f t="shared" si="219"/>
        <v>1000</v>
      </c>
      <c r="T1010" s="15" t="str">
        <f t="shared" si="220"/>
        <v>低级专属强化石</v>
      </c>
      <c r="U1010" s="15">
        <f t="shared" si="221"/>
        <v>7</v>
      </c>
      <c r="V1010" s="15" t="str">
        <f t="shared" si="222"/>
        <v>[x]</v>
      </c>
      <c r="W1010" s="15" t="str">
        <f t="shared" si="223"/>
        <v>[x]</v>
      </c>
      <c r="X1010" s="15">
        <f t="shared" si="224"/>
        <v>0.31</v>
      </c>
      <c r="Y1010" s="15">
        <f t="shared" si="225"/>
        <v>1</v>
      </c>
      <c r="Z1010" s="15">
        <f t="shared" si="226"/>
        <v>6</v>
      </c>
      <c r="AA1010" s="15">
        <f t="shared" si="227"/>
        <v>9.3299999999999994E-2</v>
      </c>
    </row>
    <row r="1011" spans="13:27" ht="16.5" x14ac:dyDescent="0.2">
      <c r="M1011" s="15">
        <v>932</v>
      </c>
      <c r="N1011" s="15">
        <f t="shared" si="216"/>
        <v>19</v>
      </c>
      <c r="O1011" s="15">
        <f>INDEX(卡牌消耗!$H$13:$H$33,世界BOSS专属武器!N1011)</f>
        <v>1501019</v>
      </c>
      <c r="P1011" s="49" t="s">
        <v>408</v>
      </c>
      <c r="Q1011" s="15">
        <f t="shared" si="217"/>
        <v>13</v>
      </c>
      <c r="R1011" s="49" t="str">
        <f t="shared" si="218"/>
        <v>金币</v>
      </c>
      <c r="S1011" s="15">
        <f t="shared" si="219"/>
        <v>1000</v>
      </c>
      <c r="T1011" s="15" t="str">
        <f t="shared" si="220"/>
        <v>低级专属强化石</v>
      </c>
      <c r="U1011" s="15">
        <f t="shared" si="221"/>
        <v>7</v>
      </c>
      <c r="V1011" s="15" t="str">
        <f t="shared" si="222"/>
        <v>[x]</v>
      </c>
      <c r="W1011" s="15" t="str">
        <f t="shared" si="223"/>
        <v>[x]</v>
      </c>
      <c r="X1011" s="15">
        <f t="shared" si="224"/>
        <v>0.28999999999999998</v>
      </c>
      <c r="Y1011" s="15">
        <f t="shared" si="225"/>
        <v>1</v>
      </c>
      <c r="Z1011" s="15">
        <f t="shared" si="226"/>
        <v>7</v>
      </c>
      <c r="AA1011" s="15">
        <f t="shared" si="227"/>
        <v>0.1067</v>
      </c>
    </row>
    <row r="1012" spans="13:27" ht="16.5" x14ac:dyDescent="0.2">
      <c r="M1012" s="15">
        <v>933</v>
      </c>
      <c r="N1012" s="15">
        <f t="shared" si="216"/>
        <v>19</v>
      </c>
      <c r="O1012" s="15">
        <f>INDEX(卡牌消耗!$H$13:$H$33,世界BOSS专属武器!N1012)</f>
        <v>1501019</v>
      </c>
      <c r="P1012" s="49" t="s">
        <v>408</v>
      </c>
      <c r="Q1012" s="15">
        <f t="shared" si="217"/>
        <v>14</v>
      </c>
      <c r="R1012" s="49" t="str">
        <f t="shared" si="218"/>
        <v>金币</v>
      </c>
      <c r="S1012" s="15">
        <f t="shared" si="219"/>
        <v>1000</v>
      </c>
      <c r="T1012" s="15" t="str">
        <f t="shared" si="220"/>
        <v>低级专属强化石</v>
      </c>
      <c r="U1012" s="15">
        <f t="shared" si="221"/>
        <v>7</v>
      </c>
      <c r="V1012" s="15" t="str">
        <f t="shared" si="222"/>
        <v>[x]</v>
      </c>
      <c r="W1012" s="15" t="str">
        <f t="shared" si="223"/>
        <v>[x]</v>
      </c>
      <c r="X1012" s="15">
        <f t="shared" si="224"/>
        <v>0.27</v>
      </c>
      <c r="Y1012" s="15">
        <f t="shared" si="225"/>
        <v>1</v>
      </c>
      <c r="Z1012" s="15">
        <f t="shared" si="226"/>
        <v>7</v>
      </c>
      <c r="AA1012" s="15">
        <f t="shared" si="227"/>
        <v>0.12</v>
      </c>
    </row>
    <row r="1013" spans="13:27" ht="16.5" x14ac:dyDescent="0.2">
      <c r="M1013" s="15">
        <v>934</v>
      </c>
      <c r="N1013" s="15">
        <f t="shared" si="216"/>
        <v>19</v>
      </c>
      <c r="O1013" s="15">
        <f>INDEX(卡牌消耗!$H$13:$H$33,世界BOSS专属武器!N1013)</f>
        <v>1501019</v>
      </c>
      <c r="P1013" s="49" t="s">
        <v>408</v>
      </c>
      <c r="Q1013" s="15">
        <f t="shared" si="217"/>
        <v>15</v>
      </c>
      <c r="R1013" s="49" t="str">
        <f t="shared" si="218"/>
        <v>金币</v>
      </c>
      <c r="S1013" s="15">
        <f t="shared" si="219"/>
        <v>1000</v>
      </c>
      <c r="T1013" s="15" t="str">
        <f t="shared" si="220"/>
        <v>低级专属强化石</v>
      </c>
      <c r="U1013" s="15">
        <f t="shared" si="221"/>
        <v>10</v>
      </c>
      <c r="V1013" s="15" t="str">
        <f t="shared" si="222"/>
        <v>[x]</v>
      </c>
      <c r="W1013" s="15" t="str">
        <f t="shared" si="223"/>
        <v>[x]</v>
      </c>
      <c r="X1013" s="15">
        <f t="shared" si="224"/>
        <v>0.25</v>
      </c>
      <c r="Y1013" s="15">
        <f t="shared" si="225"/>
        <v>1</v>
      </c>
      <c r="Z1013" s="15">
        <f t="shared" si="226"/>
        <v>8</v>
      </c>
      <c r="AA1013" s="15">
        <f t="shared" si="227"/>
        <v>0.1333</v>
      </c>
    </row>
    <row r="1014" spans="13:27" ht="16.5" x14ac:dyDescent="0.2">
      <c r="M1014" s="15">
        <v>935</v>
      </c>
      <c r="N1014" s="15">
        <f t="shared" si="216"/>
        <v>19</v>
      </c>
      <c r="O1014" s="15">
        <f>INDEX(卡牌消耗!$H$13:$H$33,世界BOSS专属武器!N1014)</f>
        <v>1501019</v>
      </c>
      <c r="P1014" s="49" t="s">
        <v>408</v>
      </c>
      <c r="Q1014" s="15">
        <f t="shared" si="217"/>
        <v>16</v>
      </c>
      <c r="R1014" s="49" t="str">
        <f t="shared" si="218"/>
        <v>金币</v>
      </c>
      <c r="S1014" s="15">
        <f t="shared" si="219"/>
        <v>1000</v>
      </c>
      <c r="T1014" s="15" t="str">
        <f t="shared" si="220"/>
        <v>低级专属强化石</v>
      </c>
      <c r="U1014" s="15">
        <f t="shared" si="221"/>
        <v>10</v>
      </c>
      <c r="V1014" s="15" t="str">
        <f t="shared" si="222"/>
        <v>[x]</v>
      </c>
      <c r="W1014" s="15" t="str">
        <f t="shared" si="223"/>
        <v>[x]</v>
      </c>
      <c r="X1014" s="15">
        <f t="shared" si="224"/>
        <v>0.23</v>
      </c>
      <c r="Y1014" s="15">
        <f t="shared" si="225"/>
        <v>1</v>
      </c>
      <c r="Z1014" s="15">
        <f t="shared" si="226"/>
        <v>9</v>
      </c>
      <c r="AA1014" s="15">
        <f t="shared" si="227"/>
        <v>0.1467</v>
      </c>
    </row>
    <row r="1015" spans="13:27" ht="16.5" x14ac:dyDescent="0.2">
      <c r="M1015" s="15">
        <v>936</v>
      </c>
      <c r="N1015" s="15">
        <f t="shared" si="216"/>
        <v>19</v>
      </c>
      <c r="O1015" s="15">
        <f>INDEX(卡牌消耗!$H$13:$H$33,世界BOSS专属武器!N1015)</f>
        <v>1501019</v>
      </c>
      <c r="P1015" s="49" t="s">
        <v>408</v>
      </c>
      <c r="Q1015" s="15">
        <f t="shared" si="217"/>
        <v>17</v>
      </c>
      <c r="R1015" s="49" t="str">
        <f t="shared" si="218"/>
        <v>金币</v>
      </c>
      <c r="S1015" s="15">
        <f t="shared" si="219"/>
        <v>1000</v>
      </c>
      <c r="T1015" s="15" t="str">
        <f t="shared" si="220"/>
        <v>低级专属强化石</v>
      </c>
      <c r="U1015" s="15">
        <f t="shared" si="221"/>
        <v>10</v>
      </c>
      <c r="V1015" s="15" t="str">
        <f t="shared" si="222"/>
        <v>[x]</v>
      </c>
      <c r="W1015" s="15" t="str">
        <f t="shared" si="223"/>
        <v>[x]</v>
      </c>
      <c r="X1015" s="15">
        <f t="shared" si="224"/>
        <v>0.21</v>
      </c>
      <c r="Y1015" s="15">
        <f t="shared" si="225"/>
        <v>1</v>
      </c>
      <c r="Z1015" s="15">
        <f t="shared" si="226"/>
        <v>10</v>
      </c>
      <c r="AA1015" s="15">
        <f t="shared" si="227"/>
        <v>0.16</v>
      </c>
    </row>
    <row r="1016" spans="13:27" ht="16.5" x14ac:dyDescent="0.2">
      <c r="M1016" s="15">
        <v>937</v>
      </c>
      <c r="N1016" s="15">
        <f t="shared" si="216"/>
        <v>19</v>
      </c>
      <c r="O1016" s="15">
        <f>INDEX(卡牌消耗!$H$13:$H$33,世界BOSS专属武器!N1016)</f>
        <v>1501019</v>
      </c>
      <c r="P1016" s="49" t="s">
        <v>408</v>
      </c>
      <c r="Q1016" s="15">
        <f t="shared" si="217"/>
        <v>18</v>
      </c>
      <c r="R1016" s="49" t="str">
        <f t="shared" si="218"/>
        <v>金币</v>
      </c>
      <c r="S1016" s="15">
        <f t="shared" si="219"/>
        <v>1000</v>
      </c>
      <c r="T1016" s="15" t="str">
        <f t="shared" si="220"/>
        <v>低级专属强化石</v>
      </c>
      <c r="U1016" s="15">
        <f t="shared" si="221"/>
        <v>10</v>
      </c>
      <c r="V1016" s="15" t="str">
        <f t="shared" si="222"/>
        <v>[x]</v>
      </c>
      <c r="W1016" s="15" t="str">
        <f t="shared" si="223"/>
        <v>[x]</v>
      </c>
      <c r="X1016" s="15">
        <f t="shared" si="224"/>
        <v>0.19</v>
      </c>
      <c r="Y1016" s="15">
        <f t="shared" si="225"/>
        <v>1</v>
      </c>
      <c r="Z1016" s="15">
        <f t="shared" si="226"/>
        <v>11</v>
      </c>
      <c r="AA1016" s="15">
        <f t="shared" si="227"/>
        <v>0.17330000000000001</v>
      </c>
    </row>
    <row r="1017" spans="13:27" ht="16.5" x14ac:dyDescent="0.2">
      <c r="M1017" s="15">
        <v>938</v>
      </c>
      <c r="N1017" s="15">
        <f t="shared" si="216"/>
        <v>19</v>
      </c>
      <c r="O1017" s="15">
        <f>INDEX(卡牌消耗!$H$13:$H$33,世界BOSS专属武器!N1017)</f>
        <v>1501019</v>
      </c>
      <c r="P1017" s="49" t="s">
        <v>408</v>
      </c>
      <c r="Q1017" s="15">
        <f t="shared" si="217"/>
        <v>19</v>
      </c>
      <c r="R1017" s="49" t="str">
        <f t="shared" si="218"/>
        <v>金币</v>
      </c>
      <c r="S1017" s="15">
        <f t="shared" si="219"/>
        <v>1000</v>
      </c>
      <c r="T1017" s="15" t="str">
        <f t="shared" si="220"/>
        <v>低级专属强化石</v>
      </c>
      <c r="U1017" s="15">
        <f t="shared" si="221"/>
        <v>10</v>
      </c>
      <c r="V1017" s="15" t="str">
        <f t="shared" si="222"/>
        <v>[x]</v>
      </c>
      <c r="W1017" s="15" t="str">
        <f t="shared" si="223"/>
        <v>[x]</v>
      </c>
      <c r="X1017" s="15">
        <f t="shared" si="224"/>
        <v>0.17</v>
      </c>
      <c r="Y1017" s="15">
        <f t="shared" si="225"/>
        <v>1</v>
      </c>
      <c r="Z1017" s="15">
        <f t="shared" si="226"/>
        <v>12</v>
      </c>
      <c r="AA1017" s="15">
        <f t="shared" si="227"/>
        <v>0.1867</v>
      </c>
    </row>
    <row r="1018" spans="13:27" ht="16.5" x14ac:dyDescent="0.2">
      <c r="M1018" s="15">
        <v>939</v>
      </c>
      <c r="N1018" s="15">
        <f t="shared" si="216"/>
        <v>19</v>
      </c>
      <c r="O1018" s="15">
        <f>INDEX(卡牌消耗!$H$13:$H$33,世界BOSS专属武器!N1018)</f>
        <v>1501019</v>
      </c>
      <c r="P1018" s="49" t="s">
        <v>408</v>
      </c>
      <c r="Q1018" s="15">
        <f t="shared" si="217"/>
        <v>20</v>
      </c>
      <c r="R1018" s="49" t="str">
        <f t="shared" si="218"/>
        <v>金币</v>
      </c>
      <c r="S1018" s="15">
        <f t="shared" si="219"/>
        <v>5000</v>
      </c>
      <c r="T1018" s="15" t="str">
        <f t="shared" si="220"/>
        <v>低级专属强化石</v>
      </c>
      <c r="U1018" s="15">
        <f t="shared" si="221"/>
        <v>15</v>
      </c>
      <c r="V1018" s="15" t="str">
        <f t="shared" si="222"/>
        <v>中级专属强化石</v>
      </c>
      <c r="W1018" s="15">
        <f t="shared" si="223"/>
        <v>7</v>
      </c>
      <c r="X1018" s="15">
        <f t="shared" si="224"/>
        <v>0.15</v>
      </c>
      <c r="Y1018" s="15">
        <f t="shared" si="225"/>
        <v>1</v>
      </c>
      <c r="Z1018" s="15">
        <f t="shared" si="226"/>
        <v>15</v>
      </c>
      <c r="AA1018" s="15">
        <f t="shared" si="227"/>
        <v>0.2</v>
      </c>
    </row>
    <row r="1019" spans="13:27" ht="16.5" x14ac:dyDescent="0.2">
      <c r="M1019" s="15">
        <v>940</v>
      </c>
      <c r="N1019" s="15">
        <f t="shared" si="216"/>
        <v>19</v>
      </c>
      <c r="O1019" s="15">
        <f>INDEX(卡牌消耗!$H$13:$H$33,世界BOSS专属武器!N1019)</f>
        <v>1501019</v>
      </c>
      <c r="P1019" s="49" t="s">
        <v>408</v>
      </c>
      <c r="Q1019" s="15">
        <f t="shared" si="217"/>
        <v>21</v>
      </c>
      <c r="R1019" s="49" t="str">
        <f t="shared" si="218"/>
        <v>金币</v>
      </c>
      <c r="S1019" s="15">
        <f t="shared" si="219"/>
        <v>5000</v>
      </c>
      <c r="T1019" s="15" t="str">
        <f t="shared" si="220"/>
        <v>低级专属强化石</v>
      </c>
      <c r="U1019" s="15">
        <f t="shared" si="221"/>
        <v>15</v>
      </c>
      <c r="V1019" s="15" t="str">
        <f t="shared" si="222"/>
        <v>中级专属强化石</v>
      </c>
      <c r="W1019" s="15">
        <f t="shared" si="223"/>
        <v>7</v>
      </c>
      <c r="X1019" s="15">
        <f t="shared" si="224"/>
        <v>0.15</v>
      </c>
      <c r="Y1019" s="15">
        <f t="shared" si="225"/>
        <v>1</v>
      </c>
      <c r="Z1019" s="15">
        <f t="shared" si="226"/>
        <v>15</v>
      </c>
      <c r="AA1019" s="15">
        <f t="shared" si="227"/>
        <v>0.22</v>
      </c>
    </row>
    <row r="1020" spans="13:27" ht="16.5" x14ac:dyDescent="0.2">
      <c r="M1020" s="15">
        <v>941</v>
      </c>
      <c r="N1020" s="15">
        <f t="shared" si="216"/>
        <v>19</v>
      </c>
      <c r="O1020" s="15">
        <f>INDEX(卡牌消耗!$H$13:$H$33,世界BOSS专属武器!N1020)</f>
        <v>1501019</v>
      </c>
      <c r="P1020" s="49" t="s">
        <v>408</v>
      </c>
      <c r="Q1020" s="15">
        <f t="shared" si="217"/>
        <v>22</v>
      </c>
      <c r="R1020" s="49" t="str">
        <f t="shared" si="218"/>
        <v>金币</v>
      </c>
      <c r="S1020" s="15">
        <f t="shared" si="219"/>
        <v>5000</v>
      </c>
      <c r="T1020" s="15" t="str">
        <f t="shared" si="220"/>
        <v>低级专属强化石</v>
      </c>
      <c r="U1020" s="15">
        <f t="shared" si="221"/>
        <v>15</v>
      </c>
      <c r="V1020" s="15" t="str">
        <f t="shared" si="222"/>
        <v>中级专属强化石</v>
      </c>
      <c r="W1020" s="15">
        <f t="shared" si="223"/>
        <v>7</v>
      </c>
      <c r="X1020" s="15">
        <f t="shared" si="224"/>
        <v>0.15</v>
      </c>
      <c r="Y1020" s="15">
        <f t="shared" si="225"/>
        <v>1</v>
      </c>
      <c r="Z1020" s="15">
        <f t="shared" si="226"/>
        <v>15</v>
      </c>
      <c r="AA1020" s="15">
        <f t="shared" si="227"/>
        <v>0.24</v>
      </c>
    </row>
    <row r="1021" spans="13:27" ht="16.5" x14ac:dyDescent="0.2">
      <c r="M1021" s="15">
        <v>942</v>
      </c>
      <c r="N1021" s="15">
        <f t="shared" si="216"/>
        <v>19</v>
      </c>
      <c r="O1021" s="15">
        <f>INDEX(卡牌消耗!$H$13:$H$33,世界BOSS专属武器!N1021)</f>
        <v>1501019</v>
      </c>
      <c r="P1021" s="49" t="s">
        <v>408</v>
      </c>
      <c r="Q1021" s="15">
        <f t="shared" si="217"/>
        <v>23</v>
      </c>
      <c r="R1021" s="49" t="str">
        <f t="shared" si="218"/>
        <v>金币</v>
      </c>
      <c r="S1021" s="15">
        <f t="shared" si="219"/>
        <v>5000</v>
      </c>
      <c r="T1021" s="15" t="str">
        <f t="shared" si="220"/>
        <v>低级专属强化石</v>
      </c>
      <c r="U1021" s="15">
        <f t="shared" si="221"/>
        <v>15</v>
      </c>
      <c r="V1021" s="15" t="str">
        <f t="shared" si="222"/>
        <v>中级专属强化石</v>
      </c>
      <c r="W1021" s="15">
        <f t="shared" si="223"/>
        <v>7</v>
      </c>
      <c r="X1021" s="15">
        <f t="shared" si="224"/>
        <v>0.15</v>
      </c>
      <c r="Y1021" s="15">
        <f t="shared" si="225"/>
        <v>1</v>
      </c>
      <c r="Z1021" s="15">
        <f t="shared" si="226"/>
        <v>18</v>
      </c>
      <c r="AA1021" s="15">
        <f t="shared" si="227"/>
        <v>0.26</v>
      </c>
    </row>
    <row r="1022" spans="13:27" ht="16.5" x14ac:dyDescent="0.2">
      <c r="M1022" s="15">
        <v>943</v>
      </c>
      <c r="N1022" s="15">
        <f t="shared" si="216"/>
        <v>19</v>
      </c>
      <c r="O1022" s="15">
        <f>INDEX(卡牌消耗!$H$13:$H$33,世界BOSS专属武器!N1022)</f>
        <v>1501019</v>
      </c>
      <c r="P1022" s="49" t="s">
        <v>408</v>
      </c>
      <c r="Q1022" s="15">
        <f t="shared" si="217"/>
        <v>24</v>
      </c>
      <c r="R1022" s="49" t="str">
        <f t="shared" si="218"/>
        <v>金币</v>
      </c>
      <c r="S1022" s="15">
        <f t="shared" si="219"/>
        <v>5000</v>
      </c>
      <c r="T1022" s="15" t="str">
        <f t="shared" si="220"/>
        <v>低级专属强化石</v>
      </c>
      <c r="U1022" s="15">
        <f t="shared" si="221"/>
        <v>15</v>
      </c>
      <c r="V1022" s="15" t="str">
        <f t="shared" si="222"/>
        <v>中级专属强化石</v>
      </c>
      <c r="W1022" s="15">
        <f t="shared" si="223"/>
        <v>7</v>
      </c>
      <c r="X1022" s="15">
        <f t="shared" si="224"/>
        <v>0.15</v>
      </c>
      <c r="Y1022" s="15">
        <f t="shared" si="225"/>
        <v>1</v>
      </c>
      <c r="Z1022" s="15">
        <f t="shared" si="226"/>
        <v>18</v>
      </c>
      <c r="AA1022" s="15">
        <f t="shared" si="227"/>
        <v>0.28000000000000003</v>
      </c>
    </row>
    <row r="1023" spans="13:27" ht="16.5" x14ac:dyDescent="0.2">
      <c r="M1023" s="15">
        <v>944</v>
      </c>
      <c r="N1023" s="15">
        <f t="shared" si="216"/>
        <v>19</v>
      </c>
      <c r="O1023" s="15">
        <f>INDEX(卡牌消耗!$H$13:$H$33,世界BOSS专属武器!N1023)</f>
        <v>1501019</v>
      </c>
      <c r="P1023" s="49" t="s">
        <v>408</v>
      </c>
      <c r="Q1023" s="15">
        <f t="shared" si="217"/>
        <v>25</v>
      </c>
      <c r="R1023" s="49" t="str">
        <f t="shared" si="218"/>
        <v>金币</v>
      </c>
      <c r="S1023" s="15">
        <f t="shared" si="219"/>
        <v>5000</v>
      </c>
      <c r="T1023" s="15" t="str">
        <f t="shared" si="220"/>
        <v>低级专属强化石</v>
      </c>
      <c r="U1023" s="15">
        <f t="shared" si="221"/>
        <v>15</v>
      </c>
      <c r="V1023" s="15" t="str">
        <f t="shared" si="222"/>
        <v>中级专属强化石</v>
      </c>
      <c r="W1023" s="15">
        <f t="shared" si="223"/>
        <v>7</v>
      </c>
      <c r="X1023" s="15">
        <f t="shared" si="224"/>
        <v>0.15</v>
      </c>
      <c r="Y1023" s="15">
        <f t="shared" si="225"/>
        <v>1</v>
      </c>
      <c r="Z1023" s="15">
        <f t="shared" si="226"/>
        <v>18</v>
      </c>
      <c r="AA1023" s="15">
        <f t="shared" si="227"/>
        <v>0.3</v>
      </c>
    </row>
    <row r="1024" spans="13:27" ht="16.5" x14ac:dyDescent="0.2">
      <c r="M1024" s="15">
        <v>945</v>
      </c>
      <c r="N1024" s="15">
        <f t="shared" si="216"/>
        <v>19</v>
      </c>
      <c r="O1024" s="15">
        <f>INDEX(卡牌消耗!$H$13:$H$33,世界BOSS专属武器!N1024)</f>
        <v>1501019</v>
      </c>
      <c r="P1024" s="49" t="s">
        <v>408</v>
      </c>
      <c r="Q1024" s="15">
        <f t="shared" si="217"/>
        <v>26</v>
      </c>
      <c r="R1024" s="49" t="str">
        <f t="shared" si="218"/>
        <v>金币</v>
      </c>
      <c r="S1024" s="15">
        <f t="shared" si="219"/>
        <v>5000</v>
      </c>
      <c r="T1024" s="15" t="str">
        <f t="shared" si="220"/>
        <v>低级专属强化石</v>
      </c>
      <c r="U1024" s="15">
        <f t="shared" si="221"/>
        <v>15</v>
      </c>
      <c r="V1024" s="15" t="str">
        <f t="shared" si="222"/>
        <v>中级专属强化石</v>
      </c>
      <c r="W1024" s="15">
        <f t="shared" si="223"/>
        <v>7</v>
      </c>
      <c r="X1024" s="15">
        <f t="shared" si="224"/>
        <v>0.15</v>
      </c>
      <c r="Y1024" s="15">
        <f t="shared" si="225"/>
        <v>1</v>
      </c>
      <c r="Z1024" s="15">
        <f t="shared" si="226"/>
        <v>21</v>
      </c>
      <c r="AA1024" s="15">
        <f t="shared" si="227"/>
        <v>0.32</v>
      </c>
    </row>
    <row r="1025" spans="13:27" ht="16.5" x14ac:dyDescent="0.2">
      <c r="M1025" s="15">
        <v>946</v>
      </c>
      <c r="N1025" s="15">
        <f t="shared" si="216"/>
        <v>19</v>
      </c>
      <c r="O1025" s="15">
        <f>INDEX(卡牌消耗!$H$13:$H$33,世界BOSS专属武器!N1025)</f>
        <v>1501019</v>
      </c>
      <c r="P1025" s="49" t="s">
        <v>408</v>
      </c>
      <c r="Q1025" s="15">
        <f t="shared" si="217"/>
        <v>27</v>
      </c>
      <c r="R1025" s="49" t="str">
        <f t="shared" si="218"/>
        <v>金币</v>
      </c>
      <c r="S1025" s="15">
        <f t="shared" si="219"/>
        <v>5000</v>
      </c>
      <c r="T1025" s="15" t="str">
        <f t="shared" si="220"/>
        <v>低级专属强化石</v>
      </c>
      <c r="U1025" s="15">
        <f t="shared" si="221"/>
        <v>15</v>
      </c>
      <c r="V1025" s="15" t="str">
        <f t="shared" si="222"/>
        <v>中级专属强化石</v>
      </c>
      <c r="W1025" s="15">
        <f t="shared" si="223"/>
        <v>7</v>
      </c>
      <c r="X1025" s="15">
        <f t="shared" si="224"/>
        <v>0.15</v>
      </c>
      <c r="Y1025" s="15">
        <f t="shared" si="225"/>
        <v>1</v>
      </c>
      <c r="Z1025" s="15">
        <f t="shared" si="226"/>
        <v>22</v>
      </c>
      <c r="AA1025" s="15">
        <f t="shared" si="227"/>
        <v>0.34</v>
      </c>
    </row>
    <row r="1026" spans="13:27" ht="16.5" x14ac:dyDescent="0.2">
      <c r="M1026" s="15">
        <v>947</v>
      </c>
      <c r="N1026" s="15">
        <f t="shared" si="216"/>
        <v>19</v>
      </c>
      <c r="O1026" s="15">
        <f>INDEX(卡牌消耗!$H$13:$H$33,世界BOSS专属武器!N1026)</f>
        <v>1501019</v>
      </c>
      <c r="P1026" s="49" t="s">
        <v>408</v>
      </c>
      <c r="Q1026" s="15">
        <f t="shared" si="217"/>
        <v>28</v>
      </c>
      <c r="R1026" s="49" t="str">
        <f t="shared" si="218"/>
        <v>金币</v>
      </c>
      <c r="S1026" s="15">
        <f t="shared" si="219"/>
        <v>5000</v>
      </c>
      <c r="T1026" s="15" t="str">
        <f t="shared" si="220"/>
        <v>低级专属强化石</v>
      </c>
      <c r="U1026" s="15">
        <f t="shared" si="221"/>
        <v>15</v>
      </c>
      <c r="V1026" s="15" t="str">
        <f t="shared" si="222"/>
        <v>中级专属强化石</v>
      </c>
      <c r="W1026" s="15">
        <f t="shared" si="223"/>
        <v>7</v>
      </c>
      <c r="X1026" s="15">
        <f t="shared" si="224"/>
        <v>0.15</v>
      </c>
      <c r="Y1026" s="15">
        <f t="shared" si="225"/>
        <v>1</v>
      </c>
      <c r="Z1026" s="15">
        <f t="shared" si="226"/>
        <v>23</v>
      </c>
      <c r="AA1026" s="15">
        <f t="shared" si="227"/>
        <v>0.36</v>
      </c>
    </row>
    <row r="1027" spans="13:27" ht="16.5" x14ac:dyDescent="0.2">
      <c r="M1027" s="15">
        <v>948</v>
      </c>
      <c r="N1027" s="15">
        <f t="shared" si="216"/>
        <v>19</v>
      </c>
      <c r="O1027" s="15">
        <f>INDEX(卡牌消耗!$H$13:$H$33,世界BOSS专属武器!N1027)</f>
        <v>1501019</v>
      </c>
      <c r="P1027" s="49" t="s">
        <v>408</v>
      </c>
      <c r="Q1027" s="15">
        <f t="shared" si="217"/>
        <v>29</v>
      </c>
      <c r="R1027" s="49" t="str">
        <f t="shared" si="218"/>
        <v>金币</v>
      </c>
      <c r="S1027" s="15">
        <f t="shared" si="219"/>
        <v>5000</v>
      </c>
      <c r="T1027" s="15" t="str">
        <f t="shared" si="220"/>
        <v>低级专属强化石</v>
      </c>
      <c r="U1027" s="15">
        <f t="shared" si="221"/>
        <v>15</v>
      </c>
      <c r="V1027" s="15" t="str">
        <f t="shared" si="222"/>
        <v>中级专属强化石</v>
      </c>
      <c r="W1027" s="15">
        <f t="shared" si="223"/>
        <v>7</v>
      </c>
      <c r="X1027" s="15">
        <f t="shared" si="224"/>
        <v>0.15</v>
      </c>
      <c r="Y1027" s="15">
        <f t="shared" si="225"/>
        <v>1</v>
      </c>
      <c r="Z1027" s="15">
        <f t="shared" si="226"/>
        <v>25</v>
      </c>
      <c r="AA1027" s="15">
        <f t="shared" si="227"/>
        <v>0.38</v>
      </c>
    </row>
    <row r="1028" spans="13:27" ht="16.5" x14ac:dyDescent="0.2">
      <c r="M1028" s="15">
        <v>949</v>
      </c>
      <c r="N1028" s="15">
        <f t="shared" si="216"/>
        <v>19</v>
      </c>
      <c r="O1028" s="15">
        <f>INDEX(卡牌消耗!$H$13:$H$33,世界BOSS专属武器!N1028)</f>
        <v>1501019</v>
      </c>
      <c r="P1028" s="49" t="s">
        <v>408</v>
      </c>
      <c r="Q1028" s="15">
        <f t="shared" si="217"/>
        <v>30</v>
      </c>
      <c r="R1028" s="49" t="str">
        <f t="shared" si="218"/>
        <v>金币</v>
      </c>
      <c r="S1028" s="15">
        <f t="shared" si="219"/>
        <v>10000</v>
      </c>
      <c r="T1028" s="15" t="str">
        <f t="shared" si="220"/>
        <v>中级专属强化石</v>
      </c>
      <c r="U1028" s="15">
        <f t="shared" si="221"/>
        <v>8</v>
      </c>
      <c r="V1028" s="15" t="str">
        <f t="shared" si="222"/>
        <v>高级专属强化石</v>
      </c>
      <c r="W1028" s="15">
        <f t="shared" si="223"/>
        <v>3</v>
      </c>
      <c r="X1028" s="15">
        <f t="shared" si="224"/>
        <v>0.1</v>
      </c>
      <c r="Y1028" s="15">
        <f t="shared" si="225"/>
        <v>1</v>
      </c>
      <c r="Z1028" s="15">
        <f t="shared" si="226"/>
        <v>30</v>
      </c>
      <c r="AA1028" s="15">
        <f t="shared" si="227"/>
        <v>0.4</v>
      </c>
    </row>
    <row r="1029" spans="13:27" ht="16.5" x14ac:dyDescent="0.2">
      <c r="M1029" s="15">
        <v>950</v>
      </c>
      <c r="N1029" s="15">
        <f t="shared" si="216"/>
        <v>19</v>
      </c>
      <c r="O1029" s="15">
        <f>INDEX(卡牌消耗!$H$13:$H$33,世界BOSS专属武器!N1029)</f>
        <v>1501019</v>
      </c>
      <c r="P1029" s="49" t="s">
        <v>408</v>
      </c>
      <c r="Q1029" s="15">
        <f t="shared" si="217"/>
        <v>31</v>
      </c>
      <c r="R1029" s="49" t="str">
        <f t="shared" si="218"/>
        <v>金币</v>
      </c>
      <c r="S1029" s="15">
        <f t="shared" si="219"/>
        <v>10000</v>
      </c>
      <c r="T1029" s="15" t="str">
        <f t="shared" si="220"/>
        <v>中级专属强化石</v>
      </c>
      <c r="U1029" s="15">
        <f t="shared" si="221"/>
        <v>8</v>
      </c>
      <c r="V1029" s="15" t="str">
        <f t="shared" si="222"/>
        <v>高级专属强化石</v>
      </c>
      <c r="W1029" s="15">
        <f t="shared" si="223"/>
        <v>3</v>
      </c>
      <c r="X1029" s="15">
        <f t="shared" si="224"/>
        <v>0.1</v>
      </c>
      <c r="Y1029" s="15">
        <f t="shared" si="225"/>
        <v>1</v>
      </c>
      <c r="Z1029" s="15">
        <f t="shared" si="226"/>
        <v>30</v>
      </c>
      <c r="AA1029" s="15">
        <f t="shared" si="227"/>
        <v>0.42670000000000002</v>
      </c>
    </row>
    <row r="1030" spans="13:27" ht="16.5" x14ac:dyDescent="0.2">
      <c r="M1030" s="15">
        <v>951</v>
      </c>
      <c r="N1030" s="15">
        <f t="shared" si="216"/>
        <v>19</v>
      </c>
      <c r="O1030" s="15">
        <f>INDEX(卡牌消耗!$H$13:$H$33,世界BOSS专属武器!N1030)</f>
        <v>1501019</v>
      </c>
      <c r="P1030" s="49" t="s">
        <v>408</v>
      </c>
      <c r="Q1030" s="15">
        <f t="shared" si="217"/>
        <v>32</v>
      </c>
      <c r="R1030" s="49" t="str">
        <f t="shared" si="218"/>
        <v>金币</v>
      </c>
      <c r="S1030" s="15">
        <f t="shared" si="219"/>
        <v>10000</v>
      </c>
      <c r="T1030" s="15" t="str">
        <f t="shared" si="220"/>
        <v>中级专属强化石</v>
      </c>
      <c r="U1030" s="15">
        <f t="shared" si="221"/>
        <v>8</v>
      </c>
      <c r="V1030" s="15" t="str">
        <f t="shared" si="222"/>
        <v>高级专属强化石</v>
      </c>
      <c r="W1030" s="15">
        <f t="shared" si="223"/>
        <v>3</v>
      </c>
      <c r="X1030" s="15">
        <f t="shared" si="224"/>
        <v>0.1</v>
      </c>
      <c r="Y1030" s="15">
        <f t="shared" si="225"/>
        <v>1</v>
      </c>
      <c r="Z1030" s="15">
        <f t="shared" si="226"/>
        <v>30</v>
      </c>
      <c r="AA1030" s="15">
        <f t="shared" si="227"/>
        <v>0.45329999999999998</v>
      </c>
    </row>
    <row r="1031" spans="13:27" ht="16.5" x14ac:dyDescent="0.2">
      <c r="M1031" s="15">
        <v>952</v>
      </c>
      <c r="N1031" s="15">
        <f t="shared" si="216"/>
        <v>19</v>
      </c>
      <c r="O1031" s="15">
        <f>INDEX(卡牌消耗!$H$13:$H$33,世界BOSS专属武器!N1031)</f>
        <v>1501019</v>
      </c>
      <c r="P1031" s="49" t="s">
        <v>408</v>
      </c>
      <c r="Q1031" s="15">
        <f t="shared" si="217"/>
        <v>33</v>
      </c>
      <c r="R1031" s="49" t="str">
        <f t="shared" si="218"/>
        <v>金币</v>
      </c>
      <c r="S1031" s="15">
        <f t="shared" si="219"/>
        <v>10000</v>
      </c>
      <c r="T1031" s="15" t="str">
        <f t="shared" si="220"/>
        <v>中级专属强化石</v>
      </c>
      <c r="U1031" s="15">
        <f t="shared" si="221"/>
        <v>8</v>
      </c>
      <c r="V1031" s="15" t="str">
        <f t="shared" si="222"/>
        <v>高级专属强化石</v>
      </c>
      <c r="W1031" s="15">
        <f t="shared" si="223"/>
        <v>3</v>
      </c>
      <c r="X1031" s="15">
        <f t="shared" si="224"/>
        <v>0.1</v>
      </c>
      <c r="Y1031" s="15">
        <f t="shared" si="225"/>
        <v>1</v>
      </c>
      <c r="Z1031" s="15">
        <f t="shared" si="226"/>
        <v>30</v>
      </c>
      <c r="AA1031" s="15">
        <f t="shared" si="227"/>
        <v>0.48</v>
      </c>
    </row>
    <row r="1032" spans="13:27" ht="16.5" x14ac:dyDescent="0.2">
      <c r="M1032" s="15">
        <v>953</v>
      </c>
      <c r="N1032" s="15">
        <f t="shared" si="216"/>
        <v>19</v>
      </c>
      <c r="O1032" s="15">
        <f>INDEX(卡牌消耗!$H$13:$H$33,世界BOSS专属武器!N1032)</f>
        <v>1501019</v>
      </c>
      <c r="P1032" s="49" t="s">
        <v>408</v>
      </c>
      <c r="Q1032" s="15">
        <f t="shared" si="217"/>
        <v>34</v>
      </c>
      <c r="R1032" s="49" t="str">
        <f t="shared" si="218"/>
        <v>金币</v>
      </c>
      <c r="S1032" s="15">
        <f t="shared" si="219"/>
        <v>10000</v>
      </c>
      <c r="T1032" s="15" t="str">
        <f t="shared" si="220"/>
        <v>中级专属强化石</v>
      </c>
      <c r="U1032" s="15">
        <f t="shared" si="221"/>
        <v>8</v>
      </c>
      <c r="V1032" s="15" t="str">
        <f t="shared" si="222"/>
        <v>高级专属强化石</v>
      </c>
      <c r="W1032" s="15">
        <f t="shared" si="223"/>
        <v>3</v>
      </c>
      <c r="X1032" s="15">
        <f t="shared" si="224"/>
        <v>0.1</v>
      </c>
      <c r="Y1032" s="15">
        <f t="shared" si="225"/>
        <v>1</v>
      </c>
      <c r="Z1032" s="15">
        <f t="shared" si="226"/>
        <v>30</v>
      </c>
      <c r="AA1032" s="15">
        <f t="shared" si="227"/>
        <v>0.50670000000000004</v>
      </c>
    </row>
    <row r="1033" spans="13:27" ht="16.5" x14ac:dyDescent="0.2">
      <c r="M1033" s="15">
        <v>954</v>
      </c>
      <c r="N1033" s="15">
        <f t="shared" si="216"/>
        <v>19</v>
      </c>
      <c r="O1033" s="15">
        <f>INDEX(卡牌消耗!$H$13:$H$33,世界BOSS专属武器!N1033)</f>
        <v>1501019</v>
      </c>
      <c r="P1033" s="49" t="s">
        <v>408</v>
      </c>
      <c r="Q1033" s="15">
        <f t="shared" si="217"/>
        <v>35</v>
      </c>
      <c r="R1033" s="49" t="str">
        <f t="shared" si="218"/>
        <v>金币</v>
      </c>
      <c r="S1033" s="15">
        <f t="shared" si="219"/>
        <v>10000</v>
      </c>
      <c r="T1033" s="15" t="str">
        <f t="shared" si="220"/>
        <v>中级专属强化石</v>
      </c>
      <c r="U1033" s="15">
        <f t="shared" si="221"/>
        <v>8</v>
      </c>
      <c r="V1033" s="15" t="str">
        <f t="shared" si="222"/>
        <v>高级专属强化石</v>
      </c>
      <c r="W1033" s="15">
        <f t="shared" si="223"/>
        <v>3</v>
      </c>
      <c r="X1033" s="15">
        <f t="shared" si="224"/>
        <v>0.1</v>
      </c>
      <c r="Y1033" s="15">
        <f t="shared" si="225"/>
        <v>1</v>
      </c>
      <c r="Z1033" s="15">
        <f t="shared" si="226"/>
        <v>30</v>
      </c>
      <c r="AA1033" s="15">
        <f t="shared" si="227"/>
        <v>0.5333</v>
      </c>
    </row>
    <row r="1034" spans="13:27" ht="16.5" x14ac:dyDescent="0.2">
      <c r="M1034" s="15">
        <v>955</v>
      </c>
      <c r="N1034" s="15">
        <f t="shared" si="216"/>
        <v>19</v>
      </c>
      <c r="O1034" s="15">
        <f>INDEX(卡牌消耗!$H$13:$H$33,世界BOSS专属武器!N1034)</f>
        <v>1501019</v>
      </c>
      <c r="P1034" s="49" t="s">
        <v>408</v>
      </c>
      <c r="Q1034" s="15">
        <f t="shared" si="217"/>
        <v>36</v>
      </c>
      <c r="R1034" s="49" t="str">
        <f t="shared" si="218"/>
        <v>金币</v>
      </c>
      <c r="S1034" s="15">
        <f t="shared" si="219"/>
        <v>10000</v>
      </c>
      <c r="T1034" s="15" t="str">
        <f t="shared" si="220"/>
        <v>中级专属强化石</v>
      </c>
      <c r="U1034" s="15">
        <f t="shared" si="221"/>
        <v>8</v>
      </c>
      <c r="V1034" s="15" t="str">
        <f t="shared" si="222"/>
        <v>高级专属强化石</v>
      </c>
      <c r="W1034" s="15">
        <f t="shared" si="223"/>
        <v>3</v>
      </c>
      <c r="X1034" s="15">
        <f t="shared" si="224"/>
        <v>0.1</v>
      </c>
      <c r="Y1034" s="15">
        <f t="shared" si="225"/>
        <v>1</v>
      </c>
      <c r="Z1034" s="15">
        <f t="shared" si="226"/>
        <v>30</v>
      </c>
      <c r="AA1034" s="15">
        <f t="shared" si="227"/>
        <v>0.56000000000000005</v>
      </c>
    </row>
    <row r="1035" spans="13:27" ht="16.5" x14ac:dyDescent="0.2">
      <c r="M1035" s="15">
        <v>956</v>
      </c>
      <c r="N1035" s="15">
        <f t="shared" si="216"/>
        <v>19</v>
      </c>
      <c r="O1035" s="15">
        <f>INDEX(卡牌消耗!$H$13:$H$33,世界BOSS专属武器!N1035)</f>
        <v>1501019</v>
      </c>
      <c r="P1035" s="49" t="s">
        <v>408</v>
      </c>
      <c r="Q1035" s="15">
        <f t="shared" si="217"/>
        <v>37</v>
      </c>
      <c r="R1035" s="49" t="str">
        <f t="shared" si="218"/>
        <v>金币</v>
      </c>
      <c r="S1035" s="15">
        <f t="shared" si="219"/>
        <v>10000</v>
      </c>
      <c r="T1035" s="15" t="str">
        <f t="shared" si="220"/>
        <v>中级专属强化石</v>
      </c>
      <c r="U1035" s="15">
        <f t="shared" si="221"/>
        <v>8</v>
      </c>
      <c r="V1035" s="15" t="str">
        <f t="shared" si="222"/>
        <v>高级专属强化石</v>
      </c>
      <c r="W1035" s="15">
        <f t="shared" si="223"/>
        <v>3</v>
      </c>
      <c r="X1035" s="15">
        <f t="shared" si="224"/>
        <v>0.1</v>
      </c>
      <c r="Y1035" s="15">
        <f t="shared" si="225"/>
        <v>1</v>
      </c>
      <c r="Z1035" s="15">
        <f t="shared" si="226"/>
        <v>30</v>
      </c>
      <c r="AA1035" s="15">
        <f t="shared" si="227"/>
        <v>0.5867</v>
      </c>
    </row>
    <row r="1036" spans="13:27" ht="16.5" x14ac:dyDescent="0.2">
      <c r="M1036" s="15">
        <v>957</v>
      </c>
      <c r="N1036" s="15">
        <f t="shared" si="216"/>
        <v>19</v>
      </c>
      <c r="O1036" s="15">
        <f>INDEX(卡牌消耗!$H$13:$H$33,世界BOSS专属武器!N1036)</f>
        <v>1501019</v>
      </c>
      <c r="P1036" s="49" t="s">
        <v>408</v>
      </c>
      <c r="Q1036" s="15">
        <f t="shared" si="217"/>
        <v>38</v>
      </c>
      <c r="R1036" s="49" t="str">
        <f t="shared" si="218"/>
        <v>金币</v>
      </c>
      <c r="S1036" s="15">
        <f t="shared" si="219"/>
        <v>10000</v>
      </c>
      <c r="T1036" s="15" t="str">
        <f t="shared" si="220"/>
        <v>中级专属强化石</v>
      </c>
      <c r="U1036" s="15">
        <f t="shared" si="221"/>
        <v>8</v>
      </c>
      <c r="V1036" s="15" t="str">
        <f t="shared" si="222"/>
        <v>高级专属强化石</v>
      </c>
      <c r="W1036" s="15">
        <f t="shared" si="223"/>
        <v>3</v>
      </c>
      <c r="X1036" s="15">
        <f t="shared" si="224"/>
        <v>0.1</v>
      </c>
      <c r="Y1036" s="15">
        <f t="shared" si="225"/>
        <v>1</v>
      </c>
      <c r="Z1036" s="15">
        <f t="shared" si="226"/>
        <v>30</v>
      </c>
      <c r="AA1036" s="15">
        <f t="shared" si="227"/>
        <v>0.61329999999999996</v>
      </c>
    </row>
    <row r="1037" spans="13:27" ht="16.5" x14ac:dyDescent="0.2">
      <c r="M1037" s="15">
        <v>958</v>
      </c>
      <c r="N1037" s="15">
        <f t="shared" si="216"/>
        <v>19</v>
      </c>
      <c r="O1037" s="15">
        <f>INDEX(卡牌消耗!$H$13:$H$33,世界BOSS专属武器!N1037)</f>
        <v>1501019</v>
      </c>
      <c r="P1037" s="49" t="s">
        <v>408</v>
      </c>
      <c r="Q1037" s="15">
        <f t="shared" si="217"/>
        <v>39</v>
      </c>
      <c r="R1037" s="49" t="str">
        <f t="shared" si="218"/>
        <v>金币</v>
      </c>
      <c r="S1037" s="15">
        <f t="shared" si="219"/>
        <v>10000</v>
      </c>
      <c r="T1037" s="15" t="str">
        <f t="shared" si="220"/>
        <v>中级专属强化石</v>
      </c>
      <c r="U1037" s="15">
        <f t="shared" si="221"/>
        <v>8</v>
      </c>
      <c r="V1037" s="15" t="str">
        <f t="shared" si="222"/>
        <v>高级专属强化石</v>
      </c>
      <c r="W1037" s="15">
        <f t="shared" si="223"/>
        <v>3</v>
      </c>
      <c r="X1037" s="15">
        <f t="shared" si="224"/>
        <v>0.1</v>
      </c>
      <c r="Y1037" s="15">
        <f t="shared" si="225"/>
        <v>1</v>
      </c>
      <c r="Z1037" s="15">
        <f t="shared" si="226"/>
        <v>30</v>
      </c>
      <c r="AA1037" s="15">
        <f t="shared" si="227"/>
        <v>0.64</v>
      </c>
    </row>
    <row r="1038" spans="13:27" ht="16.5" x14ac:dyDescent="0.2">
      <c r="M1038" s="15">
        <v>959</v>
      </c>
      <c r="N1038" s="15">
        <f t="shared" si="216"/>
        <v>19</v>
      </c>
      <c r="O1038" s="15">
        <f>INDEX(卡牌消耗!$H$13:$H$33,世界BOSS专属武器!N1038)</f>
        <v>1501019</v>
      </c>
      <c r="P1038" s="49" t="s">
        <v>408</v>
      </c>
      <c r="Q1038" s="15">
        <f t="shared" si="217"/>
        <v>40</v>
      </c>
      <c r="R1038" s="49" t="str">
        <f t="shared" si="218"/>
        <v>金币</v>
      </c>
      <c r="S1038" s="15">
        <f t="shared" si="219"/>
        <v>20000</v>
      </c>
      <c r="T1038" s="15" t="str">
        <f t="shared" si="220"/>
        <v>高级专属强化石</v>
      </c>
      <c r="U1038" s="15">
        <f t="shared" si="221"/>
        <v>5</v>
      </c>
      <c r="V1038" s="15" t="str">
        <f t="shared" si="222"/>
        <v>[x]</v>
      </c>
      <c r="W1038" s="15" t="str">
        <f t="shared" si="223"/>
        <v>[x]</v>
      </c>
      <c r="X1038" s="15">
        <f t="shared" si="224"/>
        <v>0.1</v>
      </c>
      <c r="Y1038" s="15">
        <f t="shared" si="225"/>
        <v>1</v>
      </c>
      <c r="Z1038" s="15">
        <f t="shared" si="226"/>
        <v>35</v>
      </c>
      <c r="AA1038" s="15">
        <f t="shared" si="227"/>
        <v>0.66669999999999996</v>
      </c>
    </row>
    <row r="1039" spans="13:27" ht="16.5" x14ac:dyDescent="0.2">
      <c r="M1039" s="15">
        <v>960</v>
      </c>
      <c r="N1039" s="15">
        <f t="shared" si="216"/>
        <v>19</v>
      </c>
      <c r="O1039" s="15">
        <f>INDEX(卡牌消耗!$H$13:$H$33,世界BOSS专属武器!N1039)</f>
        <v>1501019</v>
      </c>
      <c r="P1039" s="49" t="s">
        <v>408</v>
      </c>
      <c r="Q1039" s="15">
        <f t="shared" si="217"/>
        <v>41</v>
      </c>
      <c r="R1039" s="49" t="str">
        <f t="shared" si="218"/>
        <v>金币</v>
      </c>
      <c r="S1039" s="15">
        <f t="shared" si="219"/>
        <v>20000</v>
      </c>
      <c r="T1039" s="15" t="str">
        <f t="shared" si="220"/>
        <v>高级专属强化石</v>
      </c>
      <c r="U1039" s="15">
        <f t="shared" si="221"/>
        <v>5</v>
      </c>
      <c r="V1039" s="15" t="str">
        <f t="shared" si="222"/>
        <v>[x]</v>
      </c>
      <c r="W1039" s="15" t="str">
        <f t="shared" si="223"/>
        <v>[x]</v>
      </c>
      <c r="X1039" s="15">
        <f t="shared" si="224"/>
        <v>0.1</v>
      </c>
      <c r="Y1039" s="15">
        <f t="shared" si="225"/>
        <v>1</v>
      </c>
      <c r="Z1039" s="15">
        <f t="shared" si="226"/>
        <v>40</v>
      </c>
      <c r="AA1039" s="15">
        <f t="shared" si="227"/>
        <v>0.7</v>
      </c>
    </row>
    <row r="1040" spans="13:27" ht="16.5" x14ac:dyDescent="0.2">
      <c r="M1040" s="15">
        <v>961</v>
      </c>
      <c r="N1040" s="15">
        <f t="shared" si="216"/>
        <v>19</v>
      </c>
      <c r="O1040" s="15">
        <f>INDEX(卡牌消耗!$H$13:$H$33,世界BOSS专属武器!N1040)</f>
        <v>1501019</v>
      </c>
      <c r="P1040" s="49" t="s">
        <v>408</v>
      </c>
      <c r="Q1040" s="15">
        <f t="shared" si="217"/>
        <v>42</v>
      </c>
      <c r="R1040" s="49" t="str">
        <f t="shared" si="218"/>
        <v>金币</v>
      </c>
      <c r="S1040" s="15">
        <f t="shared" si="219"/>
        <v>20000</v>
      </c>
      <c r="T1040" s="15" t="str">
        <f t="shared" si="220"/>
        <v>高级专属强化石</v>
      </c>
      <c r="U1040" s="15">
        <f t="shared" si="221"/>
        <v>5</v>
      </c>
      <c r="V1040" s="15" t="str">
        <f t="shared" si="222"/>
        <v>[x]</v>
      </c>
      <c r="W1040" s="15" t="str">
        <f t="shared" si="223"/>
        <v>[x]</v>
      </c>
      <c r="X1040" s="15">
        <f t="shared" si="224"/>
        <v>0.1</v>
      </c>
      <c r="Y1040" s="15">
        <f t="shared" si="225"/>
        <v>1</v>
      </c>
      <c r="Z1040" s="15">
        <f t="shared" si="226"/>
        <v>45</v>
      </c>
      <c r="AA1040" s="15">
        <f t="shared" si="227"/>
        <v>0.73329999999999995</v>
      </c>
    </row>
    <row r="1041" spans="13:27" ht="16.5" x14ac:dyDescent="0.2">
      <c r="M1041" s="15">
        <v>962</v>
      </c>
      <c r="N1041" s="15">
        <f t="shared" ref="N1041:N1079" si="228">INT((M1041-1)/51)+1</f>
        <v>19</v>
      </c>
      <c r="O1041" s="15">
        <f>INDEX(卡牌消耗!$H$13:$H$33,世界BOSS专属武器!N1041)</f>
        <v>1501019</v>
      </c>
      <c r="P1041" s="49" t="s">
        <v>408</v>
      </c>
      <c r="Q1041" s="15">
        <f t="shared" ref="Q1041:Q1079" si="229">MOD(M1041-1,51)</f>
        <v>43</v>
      </c>
      <c r="R1041" s="49" t="str">
        <f t="shared" ref="R1041:R1079" si="230">IF(Q1041&gt;0,"金币","[x]")</f>
        <v>金币</v>
      </c>
      <c r="S1041" s="15">
        <f t="shared" ref="S1041:S1079" si="231">IF(Q1041&gt;0,INDEX($V$27:$V$76,Q1041),"[x]")</f>
        <v>20000</v>
      </c>
      <c r="T1041" s="15" t="str">
        <f t="shared" ref="T1041:T1079" si="232">IF(Q1041&gt;0,INDEX($W$27:$W$76,Q1041),"[x]")</f>
        <v>高级专属强化石</v>
      </c>
      <c r="U1041" s="15">
        <f t="shared" ref="U1041:U1079" si="233">IF(Q1041&gt;0,INDEX($AA$27:$AF$76,Q1041,INDEX($Y$27:$Y$76,Q1041)),"[x]")</f>
        <v>5</v>
      </c>
      <c r="V1041" s="15" t="str">
        <f t="shared" ref="V1041:V1079" si="234">IF(AND(Q1041&gt;=20,Q1041&lt;40),INDEX($X$27:$X$76,Q1041),"[x]")</f>
        <v>[x]</v>
      </c>
      <c r="W1041" s="15" t="str">
        <f t="shared" ref="W1041:W1079" si="235">IF(AND(Q1041&gt;=20,Q1041&lt;40),INDEX($AA$27:$AF$76,Q1041,INDEX($Z$27:$Z$76,Q1041)),"[x]")</f>
        <v>[x]</v>
      </c>
      <c r="X1041" s="15">
        <f t="shared" ref="X1041:X1079" si="236">IF(Q1041&gt;0,INDEX($T$27:$T$76,Q1041),"[x]")</f>
        <v>0.1</v>
      </c>
      <c r="Y1041" s="15">
        <f t="shared" ref="Y1041:Y1079" si="237">IF(Q1041&gt;0,1,"[x]")</f>
        <v>1</v>
      </c>
      <c r="Z1041" s="15">
        <f t="shared" ref="Z1041:Z1079" si="238">IF(Q1041&gt;0,INDEX($AG$27:$AG$76,Q1041),"[x]")</f>
        <v>50</v>
      </c>
      <c r="AA1041" s="15">
        <f t="shared" ref="AA1041:AA1079" si="239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28"/>
        <v>19</v>
      </c>
      <c r="O1042" s="15">
        <f>INDEX(卡牌消耗!$H$13:$H$33,世界BOSS专属武器!N1042)</f>
        <v>1501019</v>
      </c>
      <c r="P1042" s="49" t="s">
        <v>408</v>
      </c>
      <c r="Q1042" s="15">
        <f t="shared" si="229"/>
        <v>44</v>
      </c>
      <c r="R1042" s="49" t="str">
        <f t="shared" si="230"/>
        <v>金币</v>
      </c>
      <c r="S1042" s="15">
        <f t="shared" si="231"/>
        <v>20000</v>
      </c>
      <c r="T1042" s="15" t="str">
        <f t="shared" si="232"/>
        <v>高级专属强化石</v>
      </c>
      <c r="U1042" s="15">
        <f t="shared" si="233"/>
        <v>5</v>
      </c>
      <c r="V1042" s="15" t="str">
        <f t="shared" si="234"/>
        <v>[x]</v>
      </c>
      <c r="W1042" s="15" t="str">
        <f t="shared" si="235"/>
        <v>[x]</v>
      </c>
      <c r="X1042" s="15">
        <f t="shared" si="236"/>
        <v>0.1</v>
      </c>
      <c r="Y1042" s="15">
        <f t="shared" si="237"/>
        <v>1</v>
      </c>
      <c r="Z1042" s="15">
        <f t="shared" si="238"/>
        <v>55</v>
      </c>
      <c r="AA1042" s="15">
        <f t="shared" si="239"/>
        <v>0.8</v>
      </c>
    </row>
    <row r="1043" spans="13:27" ht="16.5" x14ac:dyDescent="0.2">
      <c r="M1043" s="15">
        <v>964</v>
      </c>
      <c r="N1043" s="15">
        <f t="shared" si="228"/>
        <v>19</v>
      </c>
      <c r="O1043" s="15">
        <f>INDEX(卡牌消耗!$H$13:$H$33,世界BOSS专属武器!N1043)</f>
        <v>1501019</v>
      </c>
      <c r="P1043" s="49" t="s">
        <v>408</v>
      </c>
      <c r="Q1043" s="15">
        <f t="shared" si="229"/>
        <v>45</v>
      </c>
      <c r="R1043" s="49" t="str">
        <f t="shared" si="230"/>
        <v>金币</v>
      </c>
      <c r="S1043" s="15">
        <f t="shared" si="231"/>
        <v>20000</v>
      </c>
      <c r="T1043" s="15" t="str">
        <f t="shared" si="232"/>
        <v>高级专属强化石</v>
      </c>
      <c r="U1043" s="15">
        <f t="shared" si="233"/>
        <v>6</v>
      </c>
      <c r="V1043" s="15" t="str">
        <f t="shared" si="234"/>
        <v>[x]</v>
      </c>
      <c r="W1043" s="15" t="str">
        <f t="shared" si="235"/>
        <v>[x]</v>
      </c>
      <c r="X1043" s="15">
        <f t="shared" si="236"/>
        <v>0.1</v>
      </c>
      <c r="Y1043" s="15">
        <f t="shared" si="237"/>
        <v>1</v>
      </c>
      <c r="Z1043" s="15">
        <f t="shared" si="238"/>
        <v>60</v>
      </c>
      <c r="AA1043" s="15">
        <f t="shared" si="239"/>
        <v>0.83330000000000004</v>
      </c>
    </row>
    <row r="1044" spans="13:27" ht="16.5" x14ac:dyDescent="0.2">
      <c r="M1044" s="15">
        <v>965</v>
      </c>
      <c r="N1044" s="15">
        <f t="shared" si="228"/>
        <v>19</v>
      </c>
      <c r="O1044" s="15">
        <f>INDEX(卡牌消耗!$H$13:$H$33,世界BOSS专属武器!N1044)</f>
        <v>1501019</v>
      </c>
      <c r="P1044" s="49" t="s">
        <v>408</v>
      </c>
      <c r="Q1044" s="15">
        <f t="shared" si="229"/>
        <v>46</v>
      </c>
      <c r="R1044" s="49" t="str">
        <f t="shared" si="230"/>
        <v>金币</v>
      </c>
      <c r="S1044" s="15">
        <f t="shared" si="231"/>
        <v>20000</v>
      </c>
      <c r="T1044" s="15" t="str">
        <f t="shared" si="232"/>
        <v>高级专属强化石</v>
      </c>
      <c r="U1044" s="15">
        <f t="shared" si="233"/>
        <v>7</v>
      </c>
      <c r="V1044" s="15" t="str">
        <f t="shared" si="234"/>
        <v>[x]</v>
      </c>
      <c r="W1044" s="15" t="str">
        <f t="shared" si="235"/>
        <v>[x]</v>
      </c>
      <c r="X1044" s="15">
        <f t="shared" si="236"/>
        <v>0.1</v>
      </c>
      <c r="Y1044" s="15">
        <f t="shared" si="237"/>
        <v>1</v>
      </c>
      <c r="Z1044" s="15">
        <f t="shared" si="238"/>
        <v>70</v>
      </c>
      <c r="AA1044" s="15">
        <f t="shared" si="239"/>
        <v>0.86670000000000003</v>
      </c>
    </row>
    <row r="1045" spans="13:27" ht="16.5" x14ac:dyDescent="0.2">
      <c r="M1045" s="15">
        <v>966</v>
      </c>
      <c r="N1045" s="15">
        <f t="shared" si="228"/>
        <v>19</v>
      </c>
      <c r="O1045" s="15">
        <f>INDEX(卡牌消耗!$H$13:$H$33,世界BOSS专属武器!N1045)</f>
        <v>1501019</v>
      </c>
      <c r="P1045" s="49" t="s">
        <v>408</v>
      </c>
      <c r="Q1045" s="15">
        <f t="shared" si="229"/>
        <v>47</v>
      </c>
      <c r="R1045" s="49" t="str">
        <f t="shared" si="230"/>
        <v>金币</v>
      </c>
      <c r="S1045" s="15">
        <f t="shared" si="231"/>
        <v>20000</v>
      </c>
      <c r="T1045" s="15" t="str">
        <f t="shared" si="232"/>
        <v>高级专属强化石</v>
      </c>
      <c r="U1045" s="15">
        <f t="shared" si="233"/>
        <v>8</v>
      </c>
      <c r="V1045" s="15" t="str">
        <f t="shared" si="234"/>
        <v>[x]</v>
      </c>
      <c r="W1045" s="15" t="str">
        <f t="shared" si="235"/>
        <v>[x]</v>
      </c>
      <c r="X1045" s="15">
        <f t="shared" si="236"/>
        <v>0.1</v>
      </c>
      <c r="Y1045" s="15">
        <f t="shared" si="237"/>
        <v>1</v>
      </c>
      <c r="Z1045" s="15">
        <f t="shared" si="238"/>
        <v>80</v>
      </c>
      <c r="AA1045" s="15">
        <f t="shared" si="239"/>
        <v>0.9</v>
      </c>
    </row>
    <row r="1046" spans="13:27" ht="16.5" x14ac:dyDescent="0.2">
      <c r="M1046" s="15">
        <v>967</v>
      </c>
      <c r="N1046" s="15">
        <f t="shared" si="228"/>
        <v>19</v>
      </c>
      <c r="O1046" s="15">
        <f>INDEX(卡牌消耗!$H$13:$H$33,世界BOSS专属武器!N1046)</f>
        <v>1501019</v>
      </c>
      <c r="P1046" s="49" t="s">
        <v>408</v>
      </c>
      <c r="Q1046" s="15">
        <f t="shared" si="229"/>
        <v>48</v>
      </c>
      <c r="R1046" s="49" t="str">
        <f t="shared" si="230"/>
        <v>金币</v>
      </c>
      <c r="S1046" s="15">
        <f t="shared" si="231"/>
        <v>20000</v>
      </c>
      <c r="T1046" s="15" t="str">
        <f t="shared" si="232"/>
        <v>高级专属强化石</v>
      </c>
      <c r="U1046" s="15">
        <f t="shared" si="233"/>
        <v>9</v>
      </c>
      <c r="V1046" s="15" t="str">
        <f t="shared" si="234"/>
        <v>[x]</v>
      </c>
      <c r="W1046" s="15" t="str">
        <f t="shared" si="235"/>
        <v>[x]</v>
      </c>
      <c r="X1046" s="15">
        <f t="shared" si="236"/>
        <v>0.1</v>
      </c>
      <c r="Y1046" s="15">
        <f t="shared" si="237"/>
        <v>1</v>
      </c>
      <c r="Z1046" s="15">
        <f t="shared" si="238"/>
        <v>100</v>
      </c>
      <c r="AA1046" s="15">
        <f t="shared" si="239"/>
        <v>0.93330000000000002</v>
      </c>
    </row>
    <row r="1047" spans="13:27" ht="16.5" x14ac:dyDescent="0.2">
      <c r="M1047" s="15">
        <v>968</v>
      </c>
      <c r="N1047" s="15">
        <f t="shared" si="228"/>
        <v>19</v>
      </c>
      <c r="O1047" s="15">
        <f>INDEX(卡牌消耗!$H$13:$H$33,世界BOSS专属武器!N1047)</f>
        <v>1501019</v>
      </c>
      <c r="P1047" s="49" t="s">
        <v>408</v>
      </c>
      <c r="Q1047" s="15">
        <f t="shared" si="229"/>
        <v>49</v>
      </c>
      <c r="R1047" s="49" t="str">
        <f t="shared" si="230"/>
        <v>金币</v>
      </c>
      <c r="S1047" s="15">
        <f t="shared" si="231"/>
        <v>20000</v>
      </c>
      <c r="T1047" s="15" t="str">
        <f t="shared" si="232"/>
        <v>高级专属强化石</v>
      </c>
      <c r="U1047" s="15">
        <f t="shared" si="233"/>
        <v>10</v>
      </c>
      <c r="V1047" s="15" t="str">
        <f t="shared" si="234"/>
        <v>[x]</v>
      </c>
      <c r="W1047" s="15" t="str">
        <f t="shared" si="235"/>
        <v>[x]</v>
      </c>
      <c r="X1047" s="15">
        <f t="shared" si="236"/>
        <v>0.1</v>
      </c>
      <c r="Y1047" s="15">
        <f t="shared" si="237"/>
        <v>1</v>
      </c>
      <c r="Z1047" s="15">
        <f t="shared" si="238"/>
        <v>120</v>
      </c>
      <c r="AA1047" s="15">
        <f t="shared" si="239"/>
        <v>0.9667</v>
      </c>
    </row>
    <row r="1048" spans="13:27" ht="16.5" x14ac:dyDescent="0.2">
      <c r="M1048" s="15">
        <v>969</v>
      </c>
      <c r="N1048" s="15">
        <f t="shared" si="228"/>
        <v>19</v>
      </c>
      <c r="O1048" s="15">
        <f>INDEX(卡牌消耗!$H$13:$H$33,世界BOSS专属武器!N1048)</f>
        <v>1501019</v>
      </c>
      <c r="P1048" s="49" t="s">
        <v>408</v>
      </c>
      <c r="Q1048" s="15">
        <f t="shared" si="229"/>
        <v>50</v>
      </c>
      <c r="R1048" s="49" t="str">
        <f t="shared" si="230"/>
        <v>金币</v>
      </c>
      <c r="S1048" s="15">
        <f t="shared" si="231"/>
        <v>20000</v>
      </c>
      <c r="T1048" s="15" t="str">
        <f t="shared" si="232"/>
        <v>高级专属强化石</v>
      </c>
      <c r="U1048" s="15">
        <f t="shared" si="233"/>
        <v>15</v>
      </c>
      <c r="V1048" s="15" t="str">
        <f t="shared" si="234"/>
        <v>[x]</v>
      </c>
      <c r="W1048" s="15" t="str">
        <f t="shared" si="235"/>
        <v>[x]</v>
      </c>
      <c r="X1048" s="15">
        <f t="shared" si="236"/>
        <v>0.1</v>
      </c>
      <c r="Y1048" s="15">
        <f t="shared" si="237"/>
        <v>1</v>
      </c>
      <c r="Z1048" s="15">
        <f t="shared" si="238"/>
        <v>150</v>
      </c>
      <c r="AA1048" s="15">
        <f t="shared" si="239"/>
        <v>1</v>
      </c>
    </row>
    <row r="1049" spans="13:27" ht="16.5" x14ac:dyDescent="0.2">
      <c r="M1049" s="15">
        <v>970</v>
      </c>
      <c r="N1049" s="15">
        <f t="shared" si="228"/>
        <v>20</v>
      </c>
      <c r="O1049" s="15">
        <f>INDEX(卡牌消耗!$H$13:$H$33,世界BOSS专属武器!N1049)</f>
        <v>1501020</v>
      </c>
      <c r="P1049" s="49" t="s">
        <v>408</v>
      </c>
      <c r="Q1049" s="15">
        <f t="shared" si="229"/>
        <v>0</v>
      </c>
      <c r="R1049" s="49" t="str">
        <f t="shared" si="230"/>
        <v>[x]</v>
      </c>
      <c r="S1049" s="15" t="str">
        <f t="shared" si="231"/>
        <v>[x]</v>
      </c>
      <c r="T1049" s="15" t="str">
        <f t="shared" si="232"/>
        <v>[x]</v>
      </c>
      <c r="U1049" s="15" t="str">
        <f t="shared" si="233"/>
        <v>[x]</v>
      </c>
      <c r="V1049" s="15" t="str">
        <f t="shared" si="234"/>
        <v>[x]</v>
      </c>
      <c r="W1049" s="15" t="str">
        <f t="shared" si="235"/>
        <v>[x]</v>
      </c>
      <c r="X1049" s="15" t="str">
        <f t="shared" si="236"/>
        <v>[x]</v>
      </c>
      <c r="Y1049" s="15" t="str">
        <f t="shared" si="237"/>
        <v>[x]</v>
      </c>
      <c r="Z1049" s="15" t="str">
        <f t="shared" si="238"/>
        <v>[x]</v>
      </c>
      <c r="AA1049" s="15" t="str">
        <f t="shared" si="239"/>
        <v>[x]</v>
      </c>
    </row>
    <row r="1050" spans="13:27" ht="16.5" x14ac:dyDescent="0.2">
      <c r="M1050" s="15">
        <v>971</v>
      </c>
      <c r="N1050" s="15">
        <f t="shared" si="228"/>
        <v>20</v>
      </c>
      <c r="O1050" s="15">
        <f>INDEX(卡牌消耗!$H$13:$H$33,世界BOSS专属武器!N1050)</f>
        <v>1501020</v>
      </c>
      <c r="P1050" s="49" t="s">
        <v>408</v>
      </c>
      <c r="Q1050" s="15">
        <f t="shared" si="229"/>
        <v>1</v>
      </c>
      <c r="R1050" s="49" t="str">
        <f t="shared" si="230"/>
        <v>金币</v>
      </c>
      <c r="S1050" s="15">
        <f t="shared" si="231"/>
        <v>100</v>
      </c>
      <c r="T1050" s="15" t="str">
        <f t="shared" si="232"/>
        <v>低级专属强化石</v>
      </c>
      <c r="U1050" s="15">
        <f t="shared" si="233"/>
        <v>1</v>
      </c>
      <c r="V1050" s="15" t="str">
        <f t="shared" si="234"/>
        <v>[x]</v>
      </c>
      <c r="W1050" s="15" t="str">
        <f t="shared" si="235"/>
        <v>[x]</v>
      </c>
      <c r="X1050" s="15">
        <f t="shared" si="236"/>
        <v>1</v>
      </c>
      <c r="Y1050" s="15">
        <f t="shared" si="237"/>
        <v>1</v>
      </c>
      <c r="Z1050" s="15">
        <f t="shared" si="238"/>
        <v>1</v>
      </c>
      <c r="AA1050" s="15">
        <f t="shared" si="239"/>
        <v>6.7000000000000002E-3</v>
      </c>
    </row>
    <row r="1051" spans="13:27" ht="16.5" x14ac:dyDescent="0.2">
      <c r="M1051" s="15">
        <v>972</v>
      </c>
      <c r="N1051" s="15">
        <f t="shared" si="228"/>
        <v>20</v>
      </c>
      <c r="O1051" s="15">
        <f>INDEX(卡牌消耗!$H$13:$H$33,世界BOSS专属武器!N1051)</f>
        <v>1501020</v>
      </c>
      <c r="P1051" s="49" t="s">
        <v>408</v>
      </c>
      <c r="Q1051" s="15">
        <f t="shared" si="229"/>
        <v>2</v>
      </c>
      <c r="R1051" s="49" t="str">
        <f t="shared" si="230"/>
        <v>金币</v>
      </c>
      <c r="S1051" s="15">
        <f t="shared" si="231"/>
        <v>200</v>
      </c>
      <c r="T1051" s="15" t="str">
        <f t="shared" si="232"/>
        <v>低级专属强化石</v>
      </c>
      <c r="U1051" s="15">
        <f t="shared" si="233"/>
        <v>1</v>
      </c>
      <c r="V1051" s="15" t="str">
        <f t="shared" si="234"/>
        <v>[x]</v>
      </c>
      <c r="W1051" s="15" t="str">
        <f t="shared" si="235"/>
        <v>[x]</v>
      </c>
      <c r="X1051" s="15">
        <f t="shared" si="236"/>
        <v>0.5</v>
      </c>
      <c r="Y1051" s="15">
        <f t="shared" si="237"/>
        <v>1</v>
      </c>
      <c r="Z1051" s="15">
        <f t="shared" si="238"/>
        <v>2</v>
      </c>
      <c r="AA1051" s="15">
        <f t="shared" si="239"/>
        <v>1.3299999999999999E-2</v>
      </c>
    </row>
    <row r="1052" spans="13:27" ht="16.5" x14ac:dyDescent="0.2">
      <c r="M1052" s="15">
        <v>973</v>
      </c>
      <c r="N1052" s="15">
        <f t="shared" si="228"/>
        <v>20</v>
      </c>
      <c r="O1052" s="15">
        <f>INDEX(卡牌消耗!$H$13:$H$33,世界BOSS专属武器!N1052)</f>
        <v>1501020</v>
      </c>
      <c r="P1052" s="49" t="s">
        <v>408</v>
      </c>
      <c r="Q1052" s="15">
        <f t="shared" si="229"/>
        <v>3</v>
      </c>
      <c r="R1052" s="49" t="str">
        <f t="shared" si="230"/>
        <v>金币</v>
      </c>
      <c r="S1052" s="15">
        <f t="shared" si="231"/>
        <v>300</v>
      </c>
      <c r="T1052" s="15" t="str">
        <f t="shared" si="232"/>
        <v>低级专属强化石</v>
      </c>
      <c r="U1052" s="15">
        <f t="shared" si="233"/>
        <v>2</v>
      </c>
      <c r="V1052" s="15" t="str">
        <f t="shared" si="234"/>
        <v>[x]</v>
      </c>
      <c r="W1052" s="15" t="str">
        <f t="shared" si="235"/>
        <v>[x]</v>
      </c>
      <c r="X1052" s="15">
        <f t="shared" si="236"/>
        <v>0.48</v>
      </c>
      <c r="Y1052" s="15">
        <f t="shared" si="237"/>
        <v>1</v>
      </c>
      <c r="Z1052" s="15">
        <f t="shared" si="238"/>
        <v>3</v>
      </c>
      <c r="AA1052" s="15">
        <f t="shared" si="239"/>
        <v>0.02</v>
      </c>
    </row>
    <row r="1053" spans="13:27" ht="16.5" x14ac:dyDescent="0.2">
      <c r="M1053" s="15">
        <v>974</v>
      </c>
      <c r="N1053" s="15">
        <f t="shared" si="228"/>
        <v>20</v>
      </c>
      <c r="O1053" s="15">
        <f>INDEX(卡牌消耗!$H$13:$H$33,世界BOSS专属武器!N1053)</f>
        <v>1501020</v>
      </c>
      <c r="P1053" s="49" t="s">
        <v>408</v>
      </c>
      <c r="Q1053" s="15">
        <f t="shared" si="229"/>
        <v>4</v>
      </c>
      <c r="R1053" s="49" t="str">
        <f t="shared" si="230"/>
        <v>金币</v>
      </c>
      <c r="S1053" s="15">
        <f t="shared" si="231"/>
        <v>400</v>
      </c>
      <c r="T1053" s="15" t="str">
        <f t="shared" si="232"/>
        <v>低级专属强化石</v>
      </c>
      <c r="U1053" s="15">
        <f t="shared" si="233"/>
        <v>3</v>
      </c>
      <c r="V1053" s="15" t="str">
        <f t="shared" si="234"/>
        <v>[x]</v>
      </c>
      <c r="W1053" s="15" t="str">
        <f t="shared" si="235"/>
        <v>[x]</v>
      </c>
      <c r="X1053" s="15">
        <f t="shared" si="236"/>
        <v>0.46</v>
      </c>
      <c r="Y1053" s="15">
        <f t="shared" si="237"/>
        <v>1</v>
      </c>
      <c r="Z1053" s="15">
        <f t="shared" si="238"/>
        <v>3</v>
      </c>
      <c r="AA1053" s="15">
        <f t="shared" si="239"/>
        <v>2.6700000000000002E-2</v>
      </c>
    </row>
    <row r="1054" spans="13:27" ht="16.5" x14ac:dyDescent="0.2">
      <c r="M1054" s="15">
        <v>975</v>
      </c>
      <c r="N1054" s="15">
        <f t="shared" si="228"/>
        <v>20</v>
      </c>
      <c r="O1054" s="15">
        <f>INDEX(卡牌消耗!$H$13:$H$33,世界BOSS专属武器!N1054)</f>
        <v>1501020</v>
      </c>
      <c r="P1054" s="49" t="s">
        <v>408</v>
      </c>
      <c r="Q1054" s="15">
        <f t="shared" si="229"/>
        <v>5</v>
      </c>
      <c r="R1054" s="49" t="str">
        <f t="shared" si="230"/>
        <v>金币</v>
      </c>
      <c r="S1054" s="15">
        <f t="shared" si="231"/>
        <v>500</v>
      </c>
      <c r="T1054" s="15" t="str">
        <f t="shared" si="232"/>
        <v>低级专属强化石</v>
      </c>
      <c r="U1054" s="15">
        <f t="shared" si="233"/>
        <v>4</v>
      </c>
      <c r="V1054" s="15" t="str">
        <f t="shared" si="234"/>
        <v>[x]</v>
      </c>
      <c r="W1054" s="15" t="str">
        <f t="shared" si="235"/>
        <v>[x]</v>
      </c>
      <c r="X1054" s="15">
        <f t="shared" si="236"/>
        <v>0.44</v>
      </c>
      <c r="Y1054" s="15">
        <f t="shared" si="237"/>
        <v>1</v>
      </c>
      <c r="Z1054" s="15">
        <f t="shared" si="238"/>
        <v>3</v>
      </c>
      <c r="AA1054" s="15">
        <f t="shared" si="239"/>
        <v>3.3300000000000003E-2</v>
      </c>
    </row>
    <row r="1055" spans="13:27" ht="16.5" x14ac:dyDescent="0.2">
      <c r="M1055" s="15">
        <v>976</v>
      </c>
      <c r="N1055" s="15">
        <f t="shared" si="228"/>
        <v>20</v>
      </c>
      <c r="O1055" s="15">
        <f>INDEX(卡牌消耗!$H$13:$H$33,世界BOSS专属武器!N1055)</f>
        <v>1501020</v>
      </c>
      <c r="P1055" s="49" t="s">
        <v>408</v>
      </c>
      <c r="Q1055" s="15">
        <f t="shared" si="229"/>
        <v>6</v>
      </c>
      <c r="R1055" s="49" t="str">
        <f t="shared" si="230"/>
        <v>金币</v>
      </c>
      <c r="S1055" s="15">
        <f t="shared" si="231"/>
        <v>600</v>
      </c>
      <c r="T1055" s="15" t="str">
        <f t="shared" si="232"/>
        <v>低级专属强化石</v>
      </c>
      <c r="U1055" s="15">
        <f t="shared" si="233"/>
        <v>5</v>
      </c>
      <c r="V1055" s="15" t="str">
        <f t="shared" si="234"/>
        <v>[x]</v>
      </c>
      <c r="W1055" s="15" t="str">
        <f t="shared" si="235"/>
        <v>[x]</v>
      </c>
      <c r="X1055" s="15">
        <f t="shared" si="236"/>
        <v>0.42</v>
      </c>
      <c r="Y1055" s="15">
        <f t="shared" si="237"/>
        <v>1</v>
      </c>
      <c r="Z1055" s="15">
        <f t="shared" si="238"/>
        <v>4</v>
      </c>
      <c r="AA1055" s="15">
        <f t="shared" si="239"/>
        <v>0.04</v>
      </c>
    </row>
    <row r="1056" spans="13:27" ht="16.5" x14ac:dyDescent="0.2">
      <c r="M1056" s="15">
        <v>977</v>
      </c>
      <c r="N1056" s="15">
        <f t="shared" si="228"/>
        <v>20</v>
      </c>
      <c r="O1056" s="15">
        <f>INDEX(卡牌消耗!$H$13:$H$33,世界BOSS专属武器!N1056)</f>
        <v>1501020</v>
      </c>
      <c r="P1056" s="49" t="s">
        <v>408</v>
      </c>
      <c r="Q1056" s="15">
        <f t="shared" si="229"/>
        <v>7</v>
      </c>
      <c r="R1056" s="49" t="str">
        <f t="shared" si="230"/>
        <v>金币</v>
      </c>
      <c r="S1056" s="15">
        <f t="shared" si="231"/>
        <v>700</v>
      </c>
      <c r="T1056" s="15" t="str">
        <f t="shared" si="232"/>
        <v>低级专属强化石</v>
      </c>
      <c r="U1056" s="15">
        <f t="shared" si="233"/>
        <v>5</v>
      </c>
      <c r="V1056" s="15" t="str">
        <f t="shared" si="234"/>
        <v>[x]</v>
      </c>
      <c r="W1056" s="15" t="str">
        <f t="shared" si="235"/>
        <v>[x]</v>
      </c>
      <c r="X1056" s="15">
        <f t="shared" si="236"/>
        <v>0.4</v>
      </c>
      <c r="Y1056" s="15">
        <f t="shared" si="237"/>
        <v>1</v>
      </c>
      <c r="Z1056" s="15">
        <f t="shared" si="238"/>
        <v>4</v>
      </c>
      <c r="AA1056" s="15">
        <f t="shared" si="239"/>
        <v>4.6699999999999998E-2</v>
      </c>
    </row>
    <row r="1057" spans="13:27" ht="16.5" x14ac:dyDescent="0.2">
      <c r="M1057" s="15">
        <v>978</v>
      </c>
      <c r="N1057" s="15">
        <f t="shared" si="228"/>
        <v>20</v>
      </c>
      <c r="O1057" s="15">
        <f>INDEX(卡牌消耗!$H$13:$H$33,世界BOSS专属武器!N1057)</f>
        <v>1501020</v>
      </c>
      <c r="P1057" s="49" t="s">
        <v>408</v>
      </c>
      <c r="Q1057" s="15">
        <f t="shared" si="229"/>
        <v>8</v>
      </c>
      <c r="R1057" s="49" t="str">
        <f t="shared" si="230"/>
        <v>金币</v>
      </c>
      <c r="S1057" s="15">
        <f t="shared" si="231"/>
        <v>800</v>
      </c>
      <c r="T1057" s="15" t="str">
        <f t="shared" si="232"/>
        <v>低级专属强化石</v>
      </c>
      <c r="U1057" s="15">
        <f t="shared" si="233"/>
        <v>5</v>
      </c>
      <c r="V1057" s="15" t="str">
        <f t="shared" si="234"/>
        <v>[x]</v>
      </c>
      <c r="W1057" s="15" t="str">
        <f t="shared" si="235"/>
        <v>[x]</v>
      </c>
      <c r="X1057" s="15">
        <f t="shared" si="236"/>
        <v>0.38</v>
      </c>
      <c r="Y1057" s="15">
        <f t="shared" si="237"/>
        <v>1</v>
      </c>
      <c r="Z1057" s="15">
        <f t="shared" si="238"/>
        <v>5</v>
      </c>
      <c r="AA1057" s="15">
        <f t="shared" si="239"/>
        <v>5.33E-2</v>
      </c>
    </row>
    <row r="1058" spans="13:27" ht="16.5" x14ac:dyDescent="0.2">
      <c r="M1058" s="15">
        <v>979</v>
      </c>
      <c r="N1058" s="15">
        <f t="shared" si="228"/>
        <v>20</v>
      </c>
      <c r="O1058" s="15">
        <f>INDEX(卡牌消耗!$H$13:$H$33,世界BOSS专属武器!N1058)</f>
        <v>1501020</v>
      </c>
      <c r="P1058" s="49" t="s">
        <v>408</v>
      </c>
      <c r="Q1058" s="15">
        <f t="shared" si="229"/>
        <v>9</v>
      </c>
      <c r="R1058" s="49" t="str">
        <f t="shared" si="230"/>
        <v>金币</v>
      </c>
      <c r="S1058" s="15">
        <f t="shared" si="231"/>
        <v>900</v>
      </c>
      <c r="T1058" s="15" t="str">
        <f t="shared" si="232"/>
        <v>低级专属强化石</v>
      </c>
      <c r="U1058" s="15">
        <f t="shared" si="233"/>
        <v>5</v>
      </c>
      <c r="V1058" s="15" t="str">
        <f t="shared" si="234"/>
        <v>[x]</v>
      </c>
      <c r="W1058" s="15" t="str">
        <f t="shared" si="235"/>
        <v>[x]</v>
      </c>
      <c r="X1058" s="15">
        <f t="shared" si="236"/>
        <v>0.36</v>
      </c>
      <c r="Y1058" s="15">
        <f t="shared" si="237"/>
        <v>1</v>
      </c>
      <c r="Z1058" s="15">
        <f t="shared" si="238"/>
        <v>5</v>
      </c>
      <c r="AA1058" s="15">
        <f t="shared" si="239"/>
        <v>0.06</v>
      </c>
    </row>
    <row r="1059" spans="13:27" ht="16.5" x14ac:dyDescent="0.2">
      <c r="M1059" s="15">
        <v>980</v>
      </c>
      <c r="N1059" s="15">
        <f t="shared" si="228"/>
        <v>20</v>
      </c>
      <c r="O1059" s="15">
        <f>INDEX(卡牌消耗!$H$13:$H$33,世界BOSS专属武器!N1059)</f>
        <v>1501020</v>
      </c>
      <c r="P1059" s="49" t="s">
        <v>408</v>
      </c>
      <c r="Q1059" s="15">
        <f t="shared" si="229"/>
        <v>10</v>
      </c>
      <c r="R1059" s="49" t="str">
        <f t="shared" si="230"/>
        <v>金币</v>
      </c>
      <c r="S1059" s="15">
        <f t="shared" si="231"/>
        <v>1000</v>
      </c>
      <c r="T1059" s="15" t="str">
        <f t="shared" si="232"/>
        <v>低级专属强化石</v>
      </c>
      <c r="U1059" s="15">
        <f t="shared" si="233"/>
        <v>7</v>
      </c>
      <c r="V1059" s="15" t="str">
        <f t="shared" si="234"/>
        <v>[x]</v>
      </c>
      <c r="W1059" s="15" t="str">
        <f t="shared" si="235"/>
        <v>[x]</v>
      </c>
      <c r="X1059" s="15">
        <f t="shared" si="236"/>
        <v>0.35</v>
      </c>
      <c r="Y1059" s="15">
        <f t="shared" si="237"/>
        <v>1</v>
      </c>
      <c r="Z1059" s="15">
        <f t="shared" si="238"/>
        <v>5</v>
      </c>
      <c r="AA1059" s="15">
        <f t="shared" si="239"/>
        <v>6.6699999999999995E-2</v>
      </c>
    </row>
    <row r="1060" spans="13:27" ht="16.5" x14ac:dyDescent="0.2">
      <c r="M1060" s="15">
        <v>981</v>
      </c>
      <c r="N1060" s="15">
        <f t="shared" si="228"/>
        <v>20</v>
      </c>
      <c r="O1060" s="15">
        <f>INDEX(卡牌消耗!$H$13:$H$33,世界BOSS专属武器!N1060)</f>
        <v>1501020</v>
      </c>
      <c r="P1060" s="49" t="s">
        <v>408</v>
      </c>
      <c r="Q1060" s="15">
        <f t="shared" si="229"/>
        <v>11</v>
      </c>
      <c r="R1060" s="49" t="str">
        <f t="shared" si="230"/>
        <v>金币</v>
      </c>
      <c r="S1060" s="15">
        <f t="shared" si="231"/>
        <v>1000</v>
      </c>
      <c r="T1060" s="15" t="str">
        <f t="shared" si="232"/>
        <v>低级专属强化石</v>
      </c>
      <c r="U1060" s="15">
        <f t="shared" si="233"/>
        <v>7</v>
      </c>
      <c r="V1060" s="15" t="str">
        <f t="shared" si="234"/>
        <v>[x]</v>
      </c>
      <c r="W1060" s="15" t="str">
        <f t="shared" si="235"/>
        <v>[x]</v>
      </c>
      <c r="X1060" s="15">
        <f t="shared" si="236"/>
        <v>0.33</v>
      </c>
      <c r="Y1060" s="15">
        <f t="shared" si="237"/>
        <v>1</v>
      </c>
      <c r="Z1060" s="15">
        <f t="shared" si="238"/>
        <v>6</v>
      </c>
      <c r="AA1060" s="15">
        <f t="shared" si="239"/>
        <v>0.08</v>
      </c>
    </row>
    <row r="1061" spans="13:27" ht="16.5" x14ac:dyDescent="0.2">
      <c r="M1061" s="15">
        <v>982</v>
      </c>
      <c r="N1061" s="15">
        <f t="shared" si="228"/>
        <v>20</v>
      </c>
      <c r="O1061" s="15">
        <f>INDEX(卡牌消耗!$H$13:$H$33,世界BOSS专属武器!N1061)</f>
        <v>1501020</v>
      </c>
      <c r="P1061" s="49" t="s">
        <v>408</v>
      </c>
      <c r="Q1061" s="15">
        <f t="shared" si="229"/>
        <v>12</v>
      </c>
      <c r="R1061" s="49" t="str">
        <f t="shared" si="230"/>
        <v>金币</v>
      </c>
      <c r="S1061" s="15">
        <f t="shared" si="231"/>
        <v>1000</v>
      </c>
      <c r="T1061" s="15" t="str">
        <f t="shared" si="232"/>
        <v>低级专属强化石</v>
      </c>
      <c r="U1061" s="15">
        <f t="shared" si="233"/>
        <v>7</v>
      </c>
      <c r="V1061" s="15" t="str">
        <f t="shared" si="234"/>
        <v>[x]</v>
      </c>
      <c r="W1061" s="15" t="str">
        <f t="shared" si="235"/>
        <v>[x]</v>
      </c>
      <c r="X1061" s="15">
        <f t="shared" si="236"/>
        <v>0.31</v>
      </c>
      <c r="Y1061" s="15">
        <f t="shared" si="237"/>
        <v>1</v>
      </c>
      <c r="Z1061" s="15">
        <f t="shared" si="238"/>
        <v>6</v>
      </c>
      <c r="AA1061" s="15">
        <f t="shared" si="239"/>
        <v>9.3299999999999994E-2</v>
      </c>
    </row>
    <row r="1062" spans="13:27" ht="16.5" x14ac:dyDescent="0.2">
      <c r="M1062" s="15">
        <v>983</v>
      </c>
      <c r="N1062" s="15">
        <f t="shared" si="228"/>
        <v>20</v>
      </c>
      <c r="O1062" s="15">
        <f>INDEX(卡牌消耗!$H$13:$H$33,世界BOSS专属武器!N1062)</f>
        <v>1501020</v>
      </c>
      <c r="P1062" s="49" t="s">
        <v>408</v>
      </c>
      <c r="Q1062" s="15">
        <f t="shared" si="229"/>
        <v>13</v>
      </c>
      <c r="R1062" s="49" t="str">
        <f t="shared" si="230"/>
        <v>金币</v>
      </c>
      <c r="S1062" s="15">
        <f t="shared" si="231"/>
        <v>1000</v>
      </c>
      <c r="T1062" s="15" t="str">
        <f t="shared" si="232"/>
        <v>低级专属强化石</v>
      </c>
      <c r="U1062" s="15">
        <f t="shared" si="233"/>
        <v>7</v>
      </c>
      <c r="V1062" s="15" t="str">
        <f t="shared" si="234"/>
        <v>[x]</v>
      </c>
      <c r="W1062" s="15" t="str">
        <f t="shared" si="235"/>
        <v>[x]</v>
      </c>
      <c r="X1062" s="15">
        <f t="shared" si="236"/>
        <v>0.28999999999999998</v>
      </c>
      <c r="Y1062" s="15">
        <f t="shared" si="237"/>
        <v>1</v>
      </c>
      <c r="Z1062" s="15">
        <f t="shared" si="238"/>
        <v>7</v>
      </c>
      <c r="AA1062" s="15">
        <f t="shared" si="239"/>
        <v>0.1067</v>
      </c>
    </row>
    <row r="1063" spans="13:27" ht="16.5" x14ac:dyDescent="0.2">
      <c r="M1063" s="15">
        <v>984</v>
      </c>
      <c r="N1063" s="15">
        <f t="shared" si="228"/>
        <v>20</v>
      </c>
      <c r="O1063" s="15">
        <f>INDEX(卡牌消耗!$H$13:$H$33,世界BOSS专属武器!N1063)</f>
        <v>1501020</v>
      </c>
      <c r="P1063" s="49" t="s">
        <v>408</v>
      </c>
      <c r="Q1063" s="15">
        <f t="shared" si="229"/>
        <v>14</v>
      </c>
      <c r="R1063" s="49" t="str">
        <f t="shared" si="230"/>
        <v>金币</v>
      </c>
      <c r="S1063" s="15">
        <f t="shared" si="231"/>
        <v>1000</v>
      </c>
      <c r="T1063" s="15" t="str">
        <f t="shared" si="232"/>
        <v>低级专属强化石</v>
      </c>
      <c r="U1063" s="15">
        <f t="shared" si="233"/>
        <v>7</v>
      </c>
      <c r="V1063" s="15" t="str">
        <f t="shared" si="234"/>
        <v>[x]</v>
      </c>
      <c r="W1063" s="15" t="str">
        <f t="shared" si="235"/>
        <v>[x]</v>
      </c>
      <c r="X1063" s="15">
        <f t="shared" si="236"/>
        <v>0.27</v>
      </c>
      <c r="Y1063" s="15">
        <f t="shared" si="237"/>
        <v>1</v>
      </c>
      <c r="Z1063" s="15">
        <f t="shared" si="238"/>
        <v>7</v>
      </c>
      <c r="AA1063" s="15">
        <f t="shared" si="239"/>
        <v>0.12</v>
      </c>
    </row>
    <row r="1064" spans="13:27" ht="16.5" x14ac:dyDescent="0.2">
      <c r="M1064" s="15">
        <v>985</v>
      </c>
      <c r="N1064" s="15">
        <f t="shared" si="228"/>
        <v>20</v>
      </c>
      <c r="O1064" s="15">
        <f>INDEX(卡牌消耗!$H$13:$H$33,世界BOSS专属武器!N1064)</f>
        <v>1501020</v>
      </c>
      <c r="P1064" s="49" t="s">
        <v>408</v>
      </c>
      <c r="Q1064" s="15">
        <f t="shared" si="229"/>
        <v>15</v>
      </c>
      <c r="R1064" s="49" t="str">
        <f t="shared" si="230"/>
        <v>金币</v>
      </c>
      <c r="S1064" s="15">
        <f t="shared" si="231"/>
        <v>1000</v>
      </c>
      <c r="T1064" s="15" t="str">
        <f t="shared" si="232"/>
        <v>低级专属强化石</v>
      </c>
      <c r="U1064" s="15">
        <f t="shared" si="233"/>
        <v>10</v>
      </c>
      <c r="V1064" s="15" t="str">
        <f t="shared" si="234"/>
        <v>[x]</v>
      </c>
      <c r="W1064" s="15" t="str">
        <f t="shared" si="235"/>
        <v>[x]</v>
      </c>
      <c r="X1064" s="15">
        <f t="shared" si="236"/>
        <v>0.25</v>
      </c>
      <c r="Y1064" s="15">
        <f t="shared" si="237"/>
        <v>1</v>
      </c>
      <c r="Z1064" s="15">
        <f t="shared" si="238"/>
        <v>8</v>
      </c>
      <c r="AA1064" s="15">
        <f t="shared" si="239"/>
        <v>0.1333</v>
      </c>
    </row>
    <row r="1065" spans="13:27" ht="16.5" x14ac:dyDescent="0.2">
      <c r="M1065" s="15">
        <v>986</v>
      </c>
      <c r="N1065" s="15">
        <f t="shared" si="228"/>
        <v>20</v>
      </c>
      <c r="O1065" s="15">
        <f>INDEX(卡牌消耗!$H$13:$H$33,世界BOSS专属武器!N1065)</f>
        <v>1501020</v>
      </c>
      <c r="P1065" s="49" t="s">
        <v>408</v>
      </c>
      <c r="Q1065" s="15">
        <f t="shared" si="229"/>
        <v>16</v>
      </c>
      <c r="R1065" s="49" t="str">
        <f t="shared" si="230"/>
        <v>金币</v>
      </c>
      <c r="S1065" s="15">
        <f t="shared" si="231"/>
        <v>1000</v>
      </c>
      <c r="T1065" s="15" t="str">
        <f t="shared" si="232"/>
        <v>低级专属强化石</v>
      </c>
      <c r="U1065" s="15">
        <f t="shared" si="233"/>
        <v>10</v>
      </c>
      <c r="V1065" s="15" t="str">
        <f t="shared" si="234"/>
        <v>[x]</v>
      </c>
      <c r="W1065" s="15" t="str">
        <f t="shared" si="235"/>
        <v>[x]</v>
      </c>
      <c r="X1065" s="15">
        <f t="shared" si="236"/>
        <v>0.23</v>
      </c>
      <c r="Y1065" s="15">
        <f t="shared" si="237"/>
        <v>1</v>
      </c>
      <c r="Z1065" s="15">
        <f t="shared" si="238"/>
        <v>9</v>
      </c>
      <c r="AA1065" s="15">
        <f t="shared" si="239"/>
        <v>0.1467</v>
      </c>
    </row>
    <row r="1066" spans="13:27" ht="16.5" x14ac:dyDescent="0.2">
      <c r="M1066" s="15">
        <v>987</v>
      </c>
      <c r="N1066" s="15">
        <f t="shared" si="228"/>
        <v>20</v>
      </c>
      <c r="O1066" s="15">
        <f>INDEX(卡牌消耗!$H$13:$H$33,世界BOSS专属武器!N1066)</f>
        <v>1501020</v>
      </c>
      <c r="P1066" s="49" t="s">
        <v>408</v>
      </c>
      <c r="Q1066" s="15">
        <f t="shared" si="229"/>
        <v>17</v>
      </c>
      <c r="R1066" s="49" t="str">
        <f t="shared" si="230"/>
        <v>金币</v>
      </c>
      <c r="S1066" s="15">
        <f t="shared" si="231"/>
        <v>1000</v>
      </c>
      <c r="T1066" s="15" t="str">
        <f t="shared" si="232"/>
        <v>低级专属强化石</v>
      </c>
      <c r="U1066" s="15">
        <f t="shared" si="233"/>
        <v>10</v>
      </c>
      <c r="V1066" s="15" t="str">
        <f t="shared" si="234"/>
        <v>[x]</v>
      </c>
      <c r="W1066" s="15" t="str">
        <f t="shared" si="235"/>
        <v>[x]</v>
      </c>
      <c r="X1066" s="15">
        <f t="shared" si="236"/>
        <v>0.21</v>
      </c>
      <c r="Y1066" s="15">
        <f t="shared" si="237"/>
        <v>1</v>
      </c>
      <c r="Z1066" s="15">
        <f t="shared" si="238"/>
        <v>10</v>
      </c>
      <c r="AA1066" s="15">
        <f t="shared" si="239"/>
        <v>0.16</v>
      </c>
    </row>
    <row r="1067" spans="13:27" ht="16.5" x14ac:dyDescent="0.2">
      <c r="M1067" s="15">
        <v>988</v>
      </c>
      <c r="N1067" s="15">
        <f t="shared" si="228"/>
        <v>20</v>
      </c>
      <c r="O1067" s="15">
        <f>INDEX(卡牌消耗!$H$13:$H$33,世界BOSS专属武器!N1067)</f>
        <v>1501020</v>
      </c>
      <c r="P1067" s="49" t="s">
        <v>408</v>
      </c>
      <c r="Q1067" s="15">
        <f t="shared" si="229"/>
        <v>18</v>
      </c>
      <c r="R1067" s="49" t="str">
        <f t="shared" si="230"/>
        <v>金币</v>
      </c>
      <c r="S1067" s="15">
        <f t="shared" si="231"/>
        <v>1000</v>
      </c>
      <c r="T1067" s="15" t="str">
        <f t="shared" si="232"/>
        <v>低级专属强化石</v>
      </c>
      <c r="U1067" s="15">
        <f t="shared" si="233"/>
        <v>10</v>
      </c>
      <c r="V1067" s="15" t="str">
        <f t="shared" si="234"/>
        <v>[x]</v>
      </c>
      <c r="W1067" s="15" t="str">
        <f t="shared" si="235"/>
        <v>[x]</v>
      </c>
      <c r="X1067" s="15">
        <f t="shared" si="236"/>
        <v>0.19</v>
      </c>
      <c r="Y1067" s="15">
        <f t="shared" si="237"/>
        <v>1</v>
      </c>
      <c r="Z1067" s="15">
        <f t="shared" si="238"/>
        <v>11</v>
      </c>
      <c r="AA1067" s="15">
        <f t="shared" si="239"/>
        <v>0.17330000000000001</v>
      </c>
    </row>
    <row r="1068" spans="13:27" ht="16.5" x14ac:dyDescent="0.2">
      <c r="M1068" s="15">
        <v>989</v>
      </c>
      <c r="N1068" s="15">
        <f t="shared" si="228"/>
        <v>20</v>
      </c>
      <c r="O1068" s="15">
        <f>INDEX(卡牌消耗!$H$13:$H$33,世界BOSS专属武器!N1068)</f>
        <v>1501020</v>
      </c>
      <c r="P1068" s="49" t="s">
        <v>408</v>
      </c>
      <c r="Q1068" s="15">
        <f t="shared" si="229"/>
        <v>19</v>
      </c>
      <c r="R1068" s="49" t="str">
        <f t="shared" si="230"/>
        <v>金币</v>
      </c>
      <c r="S1068" s="15">
        <f t="shared" si="231"/>
        <v>1000</v>
      </c>
      <c r="T1068" s="15" t="str">
        <f t="shared" si="232"/>
        <v>低级专属强化石</v>
      </c>
      <c r="U1068" s="15">
        <f t="shared" si="233"/>
        <v>10</v>
      </c>
      <c r="V1068" s="15" t="str">
        <f t="shared" si="234"/>
        <v>[x]</v>
      </c>
      <c r="W1068" s="15" t="str">
        <f t="shared" si="235"/>
        <v>[x]</v>
      </c>
      <c r="X1068" s="15">
        <f t="shared" si="236"/>
        <v>0.17</v>
      </c>
      <c r="Y1068" s="15">
        <f t="shared" si="237"/>
        <v>1</v>
      </c>
      <c r="Z1068" s="15">
        <f t="shared" si="238"/>
        <v>12</v>
      </c>
      <c r="AA1068" s="15">
        <f t="shared" si="239"/>
        <v>0.1867</v>
      </c>
    </row>
    <row r="1069" spans="13:27" ht="16.5" x14ac:dyDescent="0.2">
      <c r="M1069" s="15">
        <v>990</v>
      </c>
      <c r="N1069" s="15">
        <f t="shared" si="228"/>
        <v>20</v>
      </c>
      <c r="O1069" s="15">
        <f>INDEX(卡牌消耗!$H$13:$H$33,世界BOSS专属武器!N1069)</f>
        <v>1501020</v>
      </c>
      <c r="P1069" s="49" t="s">
        <v>408</v>
      </c>
      <c r="Q1069" s="15">
        <f t="shared" si="229"/>
        <v>20</v>
      </c>
      <c r="R1069" s="49" t="str">
        <f t="shared" si="230"/>
        <v>金币</v>
      </c>
      <c r="S1069" s="15">
        <f t="shared" si="231"/>
        <v>5000</v>
      </c>
      <c r="T1069" s="15" t="str">
        <f t="shared" si="232"/>
        <v>低级专属强化石</v>
      </c>
      <c r="U1069" s="15">
        <f t="shared" si="233"/>
        <v>15</v>
      </c>
      <c r="V1069" s="15" t="str">
        <f t="shared" si="234"/>
        <v>中级专属强化石</v>
      </c>
      <c r="W1069" s="15">
        <f t="shared" si="235"/>
        <v>7</v>
      </c>
      <c r="X1069" s="15">
        <f t="shared" si="236"/>
        <v>0.15</v>
      </c>
      <c r="Y1069" s="15">
        <f t="shared" si="237"/>
        <v>1</v>
      </c>
      <c r="Z1069" s="15">
        <f t="shared" si="238"/>
        <v>15</v>
      </c>
      <c r="AA1069" s="15">
        <f t="shared" si="239"/>
        <v>0.2</v>
      </c>
    </row>
    <row r="1070" spans="13:27" ht="16.5" x14ac:dyDescent="0.2">
      <c r="M1070" s="15">
        <v>991</v>
      </c>
      <c r="N1070" s="15">
        <f t="shared" si="228"/>
        <v>20</v>
      </c>
      <c r="O1070" s="15">
        <f>INDEX(卡牌消耗!$H$13:$H$33,世界BOSS专属武器!N1070)</f>
        <v>1501020</v>
      </c>
      <c r="P1070" s="49" t="s">
        <v>408</v>
      </c>
      <c r="Q1070" s="15">
        <f t="shared" si="229"/>
        <v>21</v>
      </c>
      <c r="R1070" s="49" t="str">
        <f t="shared" si="230"/>
        <v>金币</v>
      </c>
      <c r="S1070" s="15">
        <f t="shared" si="231"/>
        <v>5000</v>
      </c>
      <c r="T1070" s="15" t="str">
        <f t="shared" si="232"/>
        <v>低级专属强化石</v>
      </c>
      <c r="U1070" s="15">
        <f t="shared" si="233"/>
        <v>15</v>
      </c>
      <c r="V1070" s="15" t="str">
        <f t="shared" si="234"/>
        <v>中级专属强化石</v>
      </c>
      <c r="W1070" s="15">
        <f t="shared" si="235"/>
        <v>7</v>
      </c>
      <c r="X1070" s="15">
        <f t="shared" si="236"/>
        <v>0.15</v>
      </c>
      <c r="Y1070" s="15">
        <f t="shared" si="237"/>
        <v>1</v>
      </c>
      <c r="Z1070" s="15">
        <f t="shared" si="238"/>
        <v>15</v>
      </c>
      <c r="AA1070" s="15">
        <f t="shared" si="239"/>
        <v>0.22</v>
      </c>
    </row>
    <row r="1071" spans="13:27" ht="16.5" x14ac:dyDescent="0.2">
      <c r="M1071" s="15">
        <v>992</v>
      </c>
      <c r="N1071" s="15">
        <f t="shared" si="228"/>
        <v>20</v>
      </c>
      <c r="O1071" s="15">
        <f>INDEX(卡牌消耗!$H$13:$H$33,世界BOSS专属武器!N1071)</f>
        <v>1501020</v>
      </c>
      <c r="P1071" s="49" t="s">
        <v>408</v>
      </c>
      <c r="Q1071" s="15">
        <f t="shared" si="229"/>
        <v>22</v>
      </c>
      <c r="R1071" s="49" t="str">
        <f t="shared" si="230"/>
        <v>金币</v>
      </c>
      <c r="S1071" s="15">
        <f t="shared" si="231"/>
        <v>5000</v>
      </c>
      <c r="T1071" s="15" t="str">
        <f t="shared" si="232"/>
        <v>低级专属强化石</v>
      </c>
      <c r="U1071" s="15">
        <f t="shared" si="233"/>
        <v>15</v>
      </c>
      <c r="V1071" s="15" t="str">
        <f t="shared" si="234"/>
        <v>中级专属强化石</v>
      </c>
      <c r="W1071" s="15">
        <f t="shared" si="235"/>
        <v>7</v>
      </c>
      <c r="X1071" s="15">
        <f t="shared" si="236"/>
        <v>0.15</v>
      </c>
      <c r="Y1071" s="15">
        <f t="shared" si="237"/>
        <v>1</v>
      </c>
      <c r="Z1071" s="15">
        <f t="shared" si="238"/>
        <v>15</v>
      </c>
      <c r="AA1071" s="15">
        <f t="shared" si="239"/>
        <v>0.24</v>
      </c>
    </row>
    <row r="1072" spans="13:27" ht="16.5" x14ac:dyDescent="0.2">
      <c r="M1072" s="15">
        <v>993</v>
      </c>
      <c r="N1072" s="15">
        <f t="shared" si="228"/>
        <v>20</v>
      </c>
      <c r="O1072" s="15">
        <f>INDEX(卡牌消耗!$H$13:$H$33,世界BOSS专属武器!N1072)</f>
        <v>1501020</v>
      </c>
      <c r="P1072" s="49" t="s">
        <v>408</v>
      </c>
      <c r="Q1072" s="15">
        <f t="shared" si="229"/>
        <v>23</v>
      </c>
      <c r="R1072" s="49" t="str">
        <f t="shared" si="230"/>
        <v>金币</v>
      </c>
      <c r="S1072" s="15">
        <f t="shared" si="231"/>
        <v>5000</v>
      </c>
      <c r="T1072" s="15" t="str">
        <f t="shared" si="232"/>
        <v>低级专属强化石</v>
      </c>
      <c r="U1072" s="15">
        <f t="shared" si="233"/>
        <v>15</v>
      </c>
      <c r="V1072" s="15" t="str">
        <f t="shared" si="234"/>
        <v>中级专属强化石</v>
      </c>
      <c r="W1072" s="15">
        <f t="shared" si="235"/>
        <v>7</v>
      </c>
      <c r="X1072" s="15">
        <f t="shared" si="236"/>
        <v>0.15</v>
      </c>
      <c r="Y1072" s="15">
        <f t="shared" si="237"/>
        <v>1</v>
      </c>
      <c r="Z1072" s="15">
        <f t="shared" si="238"/>
        <v>18</v>
      </c>
      <c r="AA1072" s="15">
        <f t="shared" si="239"/>
        <v>0.26</v>
      </c>
    </row>
    <row r="1073" spans="13:27" ht="16.5" x14ac:dyDescent="0.2">
      <c r="M1073" s="15">
        <v>994</v>
      </c>
      <c r="N1073" s="15">
        <f t="shared" si="228"/>
        <v>20</v>
      </c>
      <c r="O1073" s="15">
        <f>INDEX(卡牌消耗!$H$13:$H$33,世界BOSS专属武器!N1073)</f>
        <v>1501020</v>
      </c>
      <c r="P1073" s="49" t="s">
        <v>408</v>
      </c>
      <c r="Q1073" s="15">
        <f t="shared" si="229"/>
        <v>24</v>
      </c>
      <c r="R1073" s="49" t="str">
        <f t="shared" si="230"/>
        <v>金币</v>
      </c>
      <c r="S1073" s="15">
        <f t="shared" si="231"/>
        <v>5000</v>
      </c>
      <c r="T1073" s="15" t="str">
        <f t="shared" si="232"/>
        <v>低级专属强化石</v>
      </c>
      <c r="U1073" s="15">
        <f t="shared" si="233"/>
        <v>15</v>
      </c>
      <c r="V1073" s="15" t="str">
        <f t="shared" si="234"/>
        <v>中级专属强化石</v>
      </c>
      <c r="W1073" s="15">
        <f t="shared" si="235"/>
        <v>7</v>
      </c>
      <c r="X1073" s="15">
        <f t="shared" si="236"/>
        <v>0.15</v>
      </c>
      <c r="Y1073" s="15">
        <f t="shared" si="237"/>
        <v>1</v>
      </c>
      <c r="Z1073" s="15">
        <f t="shared" si="238"/>
        <v>18</v>
      </c>
      <c r="AA1073" s="15">
        <f t="shared" si="239"/>
        <v>0.28000000000000003</v>
      </c>
    </row>
    <row r="1074" spans="13:27" ht="16.5" x14ac:dyDescent="0.2">
      <c r="M1074" s="15">
        <v>995</v>
      </c>
      <c r="N1074" s="15">
        <f t="shared" si="228"/>
        <v>20</v>
      </c>
      <c r="O1074" s="15">
        <f>INDEX(卡牌消耗!$H$13:$H$33,世界BOSS专属武器!N1074)</f>
        <v>1501020</v>
      </c>
      <c r="P1074" s="49" t="s">
        <v>408</v>
      </c>
      <c r="Q1074" s="15">
        <f t="shared" si="229"/>
        <v>25</v>
      </c>
      <c r="R1074" s="49" t="str">
        <f t="shared" si="230"/>
        <v>金币</v>
      </c>
      <c r="S1074" s="15">
        <f t="shared" si="231"/>
        <v>5000</v>
      </c>
      <c r="T1074" s="15" t="str">
        <f t="shared" si="232"/>
        <v>低级专属强化石</v>
      </c>
      <c r="U1074" s="15">
        <f t="shared" si="233"/>
        <v>15</v>
      </c>
      <c r="V1074" s="15" t="str">
        <f t="shared" si="234"/>
        <v>中级专属强化石</v>
      </c>
      <c r="W1074" s="15">
        <f t="shared" si="235"/>
        <v>7</v>
      </c>
      <c r="X1074" s="15">
        <f t="shared" si="236"/>
        <v>0.15</v>
      </c>
      <c r="Y1074" s="15">
        <f t="shared" si="237"/>
        <v>1</v>
      </c>
      <c r="Z1074" s="15">
        <f t="shared" si="238"/>
        <v>18</v>
      </c>
      <c r="AA1074" s="15">
        <f t="shared" si="239"/>
        <v>0.3</v>
      </c>
    </row>
    <row r="1075" spans="13:27" ht="16.5" x14ac:dyDescent="0.2">
      <c r="M1075" s="15">
        <v>996</v>
      </c>
      <c r="N1075" s="15">
        <f t="shared" si="228"/>
        <v>20</v>
      </c>
      <c r="O1075" s="15">
        <f>INDEX(卡牌消耗!$H$13:$H$33,世界BOSS专属武器!N1075)</f>
        <v>1501020</v>
      </c>
      <c r="P1075" s="49" t="s">
        <v>408</v>
      </c>
      <c r="Q1075" s="15">
        <f t="shared" si="229"/>
        <v>26</v>
      </c>
      <c r="R1075" s="49" t="str">
        <f t="shared" si="230"/>
        <v>金币</v>
      </c>
      <c r="S1075" s="15">
        <f t="shared" si="231"/>
        <v>5000</v>
      </c>
      <c r="T1075" s="15" t="str">
        <f t="shared" si="232"/>
        <v>低级专属强化石</v>
      </c>
      <c r="U1075" s="15">
        <f t="shared" si="233"/>
        <v>15</v>
      </c>
      <c r="V1075" s="15" t="str">
        <f t="shared" si="234"/>
        <v>中级专属强化石</v>
      </c>
      <c r="W1075" s="15">
        <f t="shared" si="235"/>
        <v>7</v>
      </c>
      <c r="X1075" s="15">
        <f t="shared" si="236"/>
        <v>0.15</v>
      </c>
      <c r="Y1075" s="15">
        <f t="shared" si="237"/>
        <v>1</v>
      </c>
      <c r="Z1075" s="15">
        <f t="shared" si="238"/>
        <v>21</v>
      </c>
      <c r="AA1075" s="15">
        <f t="shared" si="239"/>
        <v>0.32</v>
      </c>
    </row>
    <row r="1076" spans="13:27" ht="16.5" x14ac:dyDescent="0.2">
      <c r="M1076" s="15">
        <v>997</v>
      </c>
      <c r="N1076" s="15">
        <f t="shared" si="228"/>
        <v>20</v>
      </c>
      <c r="O1076" s="15">
        <f>INDEX(卡牌消耗!$H$13:$H$33,世界BOSS专属武器!N1076)</f>
        <v>1501020</v>
      </c>
      <c r="P1076" s="49" t="s">
        <v>408</v>
      </c>
      <c r="Q1076" s="15">
        <f t="shared" si="229"/>
        <v>27</v>
      </c>
      <c r="R1076" s="49" t="str">
        <f t="shared" si="230"/>
        <v>金币</v>
      </c>
      <c r="S1076" s="15">
        <f t="shared" si="231"/>
        <v>5000</v>
      </c>
      <c r="T1076" s="15" t="str">
        <f t="shared" si="232"/>
        <v>低级专属强化石</v>
      </c>
      <c r="U1076" s="15">
        <f t="shared" si="233"/>
        <v>15</v>
      </c>
      <c r="V1076" s="15" t="str">
        <f t="shared" si="234"/>
        <v>中级专属强化石</v>
      </c>
      <c r="W1076" s="15">
        <f t="shared" si="235"/>
        <v>7</v>
      </c>
      <c r="X1076" s="15">
        <f t="shared" si="236"/>
        <v>0.15</v>
      </c>
      <c r="Y1076" s="15">
        <f t="shared" si="237"/>
        <v>1</v>
      </c>
      <c r="Z1076" s="15">
        <f t="shared" si="238"/>
        <v>22</v>
      </c>
      <c r="AA1076" s="15">
        <f t="shared" si="239"/>
        <v>0.34</v>
      </c>
    </row>
    <row r="1077" spans="13:27" ht="16.5" x14ac:dyDescent="0.2">
      <c r="M1077" s="15">
        <v>998</v>
      </c>
      <c r="N1077" s="15">
        <f t="shared" si="228"/>
        <v>20</v>
      </c>
      <c r="O1077" s="15">
        <f>INDEX(卡牌消耗!$H$13:$H$33,世界BOSS专属武器!N1077)</f>
        <v>1501020</v>
      </c>
      <c r="P1077" s="49" t="s">
        <v>408</v>
      </c>
      <c r="Q1077" s="15">
        <f t="shared" si="229"/>
        <v>28</v>
      </c>
      <c r="R1077" s="49" t="str">
        <f t="shared" si="230"/>
        <v>金币</v>
      </c>
      <c r="S1077" s="15">
        <f t="shared" si="231"/>
        <v>5000</v>
      </c>
      <c r="T1077" s="15" t="str">
        <f t="shared" si="232"/>
        <v>低级专属强化石</v>
      </c>
      <c r="U1077" s="15">
        <f t="shared" si="233"/>
        <v>15</v>
      </c>
      <c r="V1077" s="15" t="str">
        <f t="shared" si="234"/>
        <v>中级专属强化石</v>
      </c>
      <c r="W1077" s="15">
        <f t="shared" si="235"/>
        <v>7</v>
      </c>
      <c r="X1077" s="15">
        <f t="shared" si="236"/>
        <v>0.15</v>
      </c>
      <c r="Y1077" s="15">
        <f t="shared" si="237"/>
        <v>1</v>
      </c>
      <c r="Z1077" s="15">
        <f t="shared" si="238"/>
        <v>23</v>
      </c>
      <c r="AA1077" s="15">
        <f t="shared" si="239"/>
        <v>0.36</v>
      </c>
    </row>
    <row r="1078" spans="13:27" ht="16.5" x14ac:dyDescent="0.2">
      <c r="M1078" s="15">
        <v>999</v>
      </c>
      <c r="N1078" s="15">
        <f t="shared" si="228"/>
        <v>20</v>
      </c>
      <c r="O1078" s="15">
        <f>INDEX(卡牌消耗!$H$13:$H$33,世界BOSS专属武器!N1078)</f>
        <v>1501020</v>
      </c>
      <c r="P1078" s="49" t="s">
        <v>408</v>
      </c>
      <c r="Q1078" s="15">
        <f t="shared" si="229"/>
        <v>29</v>
      </c>
      <c r="R1078" s="49" t="str">
        <f t="shared" si="230"/>
        <v>金币</v>
      </c>
      <c r="S1078" s="15">
        <f t="shared" si="231"/>
        <v>5000</v>
      </c>
      <c r="T1078" s="15" t="str">
        <f t="shared" si="232"/>
        <v>低级专属强化石</v>
      </c>
      <c r="U1078" s="15">
        <f t="shared" si="233"/>
        <v>15</v>
      </c>
      <c r="V1078" s="15" t="str">
        <f t="shared" si="234"/>
        <v>中级专属强化石</v>
      </c>
      <c r="W1078" s="15">
        <f t="shared" si="235"/>
        <v>7</v>
      </c>
      <c r="X1078" s="15">
        <f t="shared" si="236"/>
        <v>0.15</v>
      </c>
      <c r="Y1078" s="15">
        <f t="shared" si="237"/>
        <v>1</v>
      </c>
      <c r="Z1078" s="15">
        <f t="shared" si="238"/>
        <v>25</v>
      </c>
      <c r="AA1078" s="15">
        <f t="shared" si="239"/>
        <v>0.38</v>
      </c>
    </row>
    <row r="1079" spans="13:27" ht="16.5" x14ac:dyDescent="0.2">
      <c r="M1079" s="15">
        <v>1000</v>
      </c>
      <c r="N1079" s="15">
        <f t="shared" si="228"/>
        <v>20</v>
      </c>
      <c r="O1079" s="15">
        <f>INDEX(卡牌消耗!$H$13:$H$33,世界BOSS专属武器!N1079)</f>
        <v>1501020</v>
      </c>
      <c r="P1079" s="49" t="s">
        <v>408</v>
      </c>
      <c r="Q1079" s="15">
        <f t="shared" si="229"/>
        <v>30</v>
      </c>
      <c r="R1079" s="49" t="str">
        <f t="shared" si="230"/>
        <v>金币</v>
      </c>
      <c r="S1079" s="15">
        <f t="shared" si="231"/>
        <v>10000</v>
      </c>
      <c r="T1079" s="15" t="str">
        <f t="shared" si="232"/>
        <v>中级专属强化石</v>
      </c>
      <c r="U1079" s="15">
        <f t="shared" si="233"/>
        <v>8</v>
      </c>
      <c r="V1079" s="15" t="str">
        <f t="shared" si="234"/>
        <v>高级专属强化石</v>
      </c>
      <c r="W1079" s="15">
        <f t="shared" si="235"/>
        <v>3</v>
      </c>
      <c r="X1079" s="15">
        <f t="shared" si="236"/>
        <v>0.1</v>
      </c>
      <c r="Y1079" s="15">
        <f t="shared" si="237"/>
        <v>1</v>
      </c>
      <c r="Z1079" s="15">
        <f t="shared" si="238"/>
        <v>30</v>
      </c>
      <c r="AA1079" s="15">
        <f t="shared" si="239"/>
        <v>0.4</v>
      </c>
    </row>
    <row r="1080" spans="13:27" ht="16.5" x14ac:dyDescent="0.2">
      <c r="M1080" s="15">
        <v>1001</v>
      </c>
      <c r="N1080" s="15">
        <f t="shared" ref="N1080:N1143" si="240">INT((M1080-1)/51)+1</f>
        <v>20</v>
      </c>
      <c r="O1080" s="15">
        <f>INDEX(卡牌消耗!$H$13:$H$33,世界BOSS专属武器!N1080)</f>
        <v>1501020</v>
      </c>
      <c r="P1080" s="52" t="s">
        <v>408</v>
      </c>
      <c r="Q1080" s="15">
        <f t="shared" ref="Q1080:Q1129" si="241">MOD(M1080-1,51)</f>
        <v>31</v>
      </c>
      <c r="R1080" s="52" t="str">
        <f t="shared" ref="R1080:R1129" si="242">IF(Q1080&gt;0,"金币","[x]")</f>
        <v>金币</v>
      </c>
      <c r="S1080" s="15">
        <f t="shared" ref="S1080:S1129" si="243">IF(Q1080&gt;0,INDEX($V$27:$V$76,Q1080),"[x]")</f>
        <v>10000</v>
      </c>
      <c r="T1080" s="15" t="str">
        <f t="shared" ref="T1080:T1129" si="244">IF(Q1080&gt;0,INDEX($W$27:$W$76,Q1080),"[x]")</f>
        <v>中级专属强化石</v>
      </c>
      <c r="U1080" s="15">
        <f t="shared" ref="U1080:U1129" si="245">IF(Q1080&gt;0,INDEX($AA$27:$AF$76,Q1080,INDEX($Y$27:$Y$76,Q1080)),"[x]")</f>
        <v>8</v>
      </c>
      <c r="V1080" s="15" t="str">
        <f t="shared" ref="V1080:V1129" si="246">IF(AND(Q1080&gt;=20,Q1080&lt;40),INDEX($X$27:$X$76,Q1080),"[x]")</f>
        <v>高级专属强化石</v>
      </c>
      <c r="W1080" s="15">
        <f t="shared" ref="W1080:W1129" si="247">IF(AND(Q1080&gt;=20,Q1080&lt;40),INDEX($AA$27:$AF$76,Q1080,INDEX($Z$27:$Z$76,Q1080)),"[x]")</f>
        <v>3</v>
      </c>
      <c r="X1080" s="15">
        <f t="shared" ref="X1080:X1129" si="248">IF(Q1080&gt;0,INDEX($T$27:$T$76,Q1080),"[x]")</f>
        <v>0.1</v>
      </c>
      <c r="Y1080" s="15">
        <f t="shared" ref="Y1080:Y1129" si="249">IF(Q1080&gt;0,1,"[x]")</f>
        <v>1</v>
      </c>
      <c r="Z1080" s="15">
        <f t="shared" ref="Z1080:Z1129" si="250">IF(Q1080&gt;0,INDEX($AG$27:$AG$76,Q1080),"[x]")</f>
        <v>30</v>
      </c>
      <c r="AA1080" s="15">
        <f t="shared" ref="AA1080:AA1129" si="251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40"/>
        <v>20</v>
      </c>
      <c r="O1081" s="15">
        <f>INDEX(卡牌消耗!$H$13:$H$33,世界BOSS专属武器!N1081)</f>
        <v>1501020</v>
      </c>
      <c r="P1081" s="52" t="s">
        <v>408</v>
      </c>
      <c r="Q1081" s="15">
        <f t="shared" si="241"/>
        <v>32</v>
      </c>
      <c r="R1081" s="52" t="str">
        <f t="shared" si="242"/>
        <v>金币</v>
      </c>
      <c r="S1081" s="15">
        <f t="shared" si="243"/>
        <v>10000</v>
      </c>
      <c r="T1081" s="15" t="str">
        <f t="shared" si="244"/>
        <v>中级专属强化石</v>
      </c>
      <c r="U1081" s="15">
        <f t="shared" si="245"/>
        <v>8</v>
      </c>
      <c r="V1081" s="15" t="str">
        <f t="shared" si="246"/>
        <v>高级专属强化石</v>
      </c>
      <c r="W1081" s="15">
        <f t="shared" si="247"/>
        <v>3</v>
      </c>
      <c r="X1081" s="15">
        <f t="shared" si="248"/>
        <v>0.1</v>
      </c>
      <c r="Y1081" s="15">
        <f t="shared" si="249"/>
        <v>1</v>
      </c>
      <c r="Z1081" s="15">
        <f t="shared" si="250"/>
        <v>30</v>
      </c>
      <c r="AA1081" s="15">
        <f t="shared" si="251"/>
        <v>0.45329999999999998</v>
      </c>
    </row>
    <row r="1082" spans="13:27" ht="16.5" x14ac:dyDescent="0.2">
      <c r="M1082" s="15">
        <v>1003</v>
      </c>
      <c r="N1082" s="15">
        <f t="shared" si="240"/>
        <v>20</v>
      </c>
      <c r="O1082" s="15">
        <f>INDEX(卡牌消耗!$H$13:$H$33,世界BOSS专属武器!N1082)</f>
        <v>1501020</v>
      </c>
      <c r="P1082" s="52" t="s">
        <v>408</v>
      </c>
      <c r="Q1082" s="15">
        <f t="shared" si="241"/>
        <v>33</v>
      </c>
      <c r="R1082" s="52" t="str">
        <f t="shared" si="242"/>
        <v>金币</v>
      </c>
      <c r="S1082" s="15">
        <f t="shared" si="243"/>
        <v>10000</v>
      </c>
      <c r="T1082" s="15" t="str">
        <f t="shared" si="244"/>
        <v>中级专属强化石</v>
      </c>
      <c r="U1082" s="15">
        <f t="shared" si="245"/>
        <v>8</v>
      </c>
      <c r="V1082" s="15" t="str">
        <f t="shared" si="246"/>
        <v>高级专属强化石</v>
      </c>
      <c r="W1082" s="15">
        <f t="shared" si="247"/>
        <v>3</v>
      </c>
      <c r="X1082" s="15">
        <f t="shared" si="248"/>
        <v>0.1</v>
      </c>
      <c r="Y1082" s="15">
        <f t="shared" si="249"/>
        <v>1</v>
      </c>
      <c r="Z1082" s="15">
        <f t="shared" si="250"/>
        <v>30</v>
      </c>
      <c r="AA1082" s="15">
        <f t="shared" si="251"/>
        <v>0.48</v>
      </c>
    </row>
    <row r="1083" spans="13:27" ht="16.5" x14ac:dyDescent="0.2">
      <c r="M1083" s="15">
        <v>1004</v>
      </c>
      <c r="N1083" s="15">
        <f t="shared" si="240"/>
        <v>20</v>
      </c>
      <c r="O1083" s="15">
        <f>INDEX(卡牌消耗!$H$13:$H$33,世界BOSS专属武器!N1083)</f>
        <v>1501020</v>
      </c>
      <c r="P1083" s="52" t="s">
        <v>408</v>
      </c>
      <c r="Q1083" s="15">
        <f t="shared" si="241"/>
        <v>34</v>
      </c>
      <c r="R1083" s="52" t="str">
        <f t="shared" si="242"/>
        <v>金币</v>
      </c>
      <c r="S1083" s="15">
        <f t="shared" si="243"/>
        <v>10000</v>
      </c>
      <c r="T1083" s="15" t="str">
        <f t="shared" si="244"/>
        <v>中级专属强化石</v>
      </c>
      <c r="U1083" s="15">
        <f t="shared" si="245"/>
        <v>8</v>
      </c>
      <c r="V1083" s="15" t="str">
        <f t="shared" si="246"/>
        <v>高级专属强化石</v>
      </c>
      <c r="W1083" s="15">
        <f t="shared" si="247"/>
        <v>3</v>
      </c>
      <c r="X1083" s="15">
        <f t="shared" si="248"/>
        <v>0.1</v>
      </c>
      <c r="Y1083" s="15">
        <f t="shared" si="249"/>
        <v>1</v>
      </c>
      <c r="Z1083" s="15">
        <f t="shared" si="250"/>
        <v>30</v>
      </c>
      <c r="AA1083" s="15">
        <f t="shared" si="251"/>
        <v>0.50670000000000004</v>
      </c>
    </row>
    <row r="1084" spans="13:27" ht="16.5" x14ac:dyDescent="0.2">
      <c r="M1084" s="15">
        <v>1005</v>
      </c>
      <c r="N1084" s="15">
        <f t="shared" si="240"/>
        <v>20</v>
      </c>
      <c r="O1084" s="15">
        <f>INDEX(卡牌消耗!$H$13:$H$33,世界BOSS专属武器!N1084)</f>
        <v>1501020</v>
      </c>
      <c r="P1084" s="52" t="s">
        <v>408</v>
      </c>
      <c r="Q1084" s="15">
        <f t="shared" si="241"/>
        <v>35</v>
      </c>
      <c r="R1084" s="52" t="str">
        <f t="shared" si="242"/>
        <v>金币</v>
      </c>
      <c r="S1084" s="15">
        <f t="shared" si="243"/>
        <v>10000</v>
      </c>
      <c r="T1084" s="15" t="str">
        <f t="shared" si="244"/>
        <v>中级专属强化石</v>
      </c>
      <c r="U1084" s="15">
        <f t="shared" si="245"/>
        <v>8</v>
      </c>
      <c r="V1084" s="15" t="str">
        <f t="shared" si="246"/>
        <v>高级专属强化石</v>
      </c>
      <c r="W1084" s="15">
        <f t="shared" si="247"/>
        <v>3</v>
      </c>
      <c r="X1084" s="15">
        <f t="shared" si="248"/>
        <v>0.1</v>
      </c>
      <c r="Y1084" s="15">
        <f t="shared" si="249"/>
        <v>1</v>
      </c>
      <c r="Z1084" s="15">
        <f t="shared" si="250"/>
        <v>30</v>
      </c>
      <c r="AA1084" s="15">
        <f t="shared" si="251"/>
        <v>0.5333</v>
      </c>
    </row>
    <row r="1085" spans="13:27" ht="16.5" x14ac:dyDescent="0.2">
      <c r="M1085" s="15">
        <v>1006</v>
      </c>
      <c r="N1085" s="15">
        <f t="shared" si="240"/>
        <v>20</v>
      </c>
      <c r="O1085" s="15">
        <f>INDEX(卡牌消耗!$H$13:$H$33,世界BOSS专属武器!N1085)</f>
        <v>1501020</v>
      </c>
      <c r="P1085" s="52" t="s">
        <v>408</v>
      </c>
      <c r="Q1085" s="15">
        <f t="shared" si="241"/>
        <v>36</v>
      </c>
      <c r="R1085" s="52" t="str">
        <f t="shared" si="242"/>
        <v>金币</v>
      </c>
      <c r="S1085" s="15">
        <f t="shared" si="243"/>
        <v>10000</v>
      </c>
      <c r="T1085" s="15" t="str">
        <f t="shared" si="244"/>
        <v>中级专属强化石</v>
      </c>
      <c r="U1085" s="15">
        <f t="shared" si="245"/>
        <v>8</v>
      </c>
      <c r="V1085" s="15" t="str">
        <f t="shared" si="246"/>
        <v>高级专属强化石</v>
      </c>
      <c r="W1085" s="15">
        <f t="shared" si="247"/>
        <v>3</v>
      </c>
      <c r="X1085" s="15">
        <f t="shared" si="248"/>
        <v>0.1</v>
      </c>
      <c r="Y1085" s="15">
        <f t="shared" si="249"/>
        <v>1</v>
      </c>
      <c r="Z1085" s="15">
        <f t="shared" si="250"/>
        <v>30</v>
      </c>
      <c r="AA1085" s="15">
        <f t="shared" si="251"/>
        <v>0.56000000000000005</v>
      </c>
    </row>
    <row r="1086" spans="13:27" ht="16.5" x14ac:dyDescent="0.2">
      <c r="M1086" s="15">
        <v>1007</v>
      </c>
      <c r="N1086" s="15">
        <f t="shared" si="240"/>
        <v>20</v>
      </c>
      <c r="O1086" s="15">
        <f>INDEX(卡牌消耗!$H$13:$H$33,世界BOSS专属武器!N1086)</f>
        <v>1501020</v>
      </c>
      <c r="P1086" s="52" t="s">
        <v>408</v>
      </c>
      <c r="Q1086" s="15">
        <f t="shared" si="241"/>
        <v>37</v>
      </c>
      <c r="R1086" s="52" t="str">
        <f t="shared" si="242"/>
        <v>金币</v>
      </c>
      <c r="S1086" s="15">
        <f t="shared" si="243"/>
        <v>10000</v>
      </c>
      <c r="T1086" s="15" t="str">
        <f t="shared" si="244"/>
        <v>中级专属强化石</v>
      </c>
      <c r="U1086" s="15">
        <f t="shared" si="245"/>
        <v>8</v>
      </c>
      <c r="V1086" s="15" t="str">
        <f t="shared" si="246"/>
        <v>高级专属强化石</v>
      </c>
      <c r="W1086" s="15">
        <f t="shared" si="247"/>
        <v>3</v>
      </c>
      <c r="X1086" s="15">
        <f t="shared" si="248"/>
        <v>0.1</v>
      </c>
      <c r="Y1086" s="15">
        <f t="shared" si="249"/>
        <v>1</v>
      </c>
      <c r="Z1086" s="15">
        <f t="shared" si="250"/>
        <v>30</v>
      </c>
      <c r="AA1086" s="15">
        <f t="shared" si="251"/>
        <v>0.5867</v>
      </c>
    </row>
    <row r="1087" spans="13:27" ht="16.5" x14ac:dyDescent="0.2">
      <c r="M1087" s="15">
        <v>1008</v>
      </c>
      <c r="N1087" s="15">
        <f t="shared" si="240"/>
        <v>20</v>
      </c>
      <c r="O1087" s="15">
        <f>INDEX(卡牌消耗!$H$13:$H$33,世界BOSS专属武器!N1087)</f>
        <v>1501020</v>
      </c>
      <c r="P1087" s="52" t="s">
        <v>408</v>
      </c>
      <c r="Q1087" s="15">
        <f t="shared" si="241"/>
        <v>38</v>
      </c>
      <c r="R1087" s="52" t="str">
        <f t="shared" si="242"/>
        <v>金币</v>
      </c>
      <c r="S1087" s="15">
        <f t="shared" si="243"/>
        <v>10000</v>
      </c>
      <c r="T1087" s="15" t="str">
        <f t="shared" si="244"/>
        <v>中级专属强化石</v>
      </c>
      <c r="U1087" s="15">
        <f t="shared" si="245"/>
        <v>8</v>
      </c>
      <c r="V1087" s="15" t="str">
        <f t="shared" si="246"/>
        <v>高级专属强化石</v>
      </c>
      <c r="W1087" s="15">
        <f t="shared" si="247"/>
        <v>3</v>
      </c>
      <c r="X1087" s="15">
        <f t="shared" si="248"/>
        <v>0.1</v>
      </c>
      <c r="Y1087" s="15">
        <f t="shared" si="249"/>
        <v>1</v>
      </c>
      <c r="Z1087" s="15">
        <f t="shared" si="250"/>
        <v>30</v>
      </c>
      <c r="AA1087" s="15">
        <f t="shared" si="251"/>
        <v>0.61329999999999996</v>
      </c>
    </row>
    <row r="1088" spans="13:27" ht="16.5" x14ac:dyDescent="0.2">
      <c r="M1088" s="15">
        <v>1009</v>
      </c>
      <c r="N1088" s="15">
        <f t="shared" si="240"/>
        <v>20</v>
      </c>
      <c r="O1088" s="15">
        <f>INDEX(卡牌消耗!$H$13:$H$33,世界BOSS专属武器!N1088)</f>
        <v>1501020</v>
      </c>
      <c r="P1088" s="52" t="s">
        <v>408</v>
      </c>
      <c r="Q1088" s="15">
        <f t="shared" si="241"/>
        <v>39</v>
      </c>
      <c r="R1088" s="52" t="str">
        <f t="shared" si="242"/>
        <v>金币</v>
      </c>
      <c r="S1088" s="15">
        <f t="shared" si="243"/>
        <v>10000</v>
      </c>
      <c r="T1088" s="15" t="str">
        <f t="shared" si="244"/>
        <v>中级专属强化石</v>
      </c>
      <c r="U1088" s="15">
        <f t="shared" si="245"/>
        <v>8</v>
      </c>
      <c r="V1088" s="15" t="str">
        <f t="shared" si="246"/>
        <v>高级专属强化石</v>
      </c>
      <c r="W1088" s="15">
        <f t="shared" si="247"/>
        <v>3</v>
      </c>
      <c r="X1088" s="15">
        <f t="shared" si="248"/>
        <v>0.1</v>
      </c>
      <c r="Y1088" s="15">
        <f t="shared" si="249"/>
        <v>1</v>
      </c>
      <c r="Z1088" s="15">
        <f t="shared" si="250"/>
        <v>30</v>
      </c>
      <c r="AA1088" s="15">
        <f t="shared" si="251"/>
        <v>0.64</v>
      </c>
    </row>
    <row r="1089" spans="13:27" ht="16.5" x14ac:dyDescent="0.2">
      <c r="M1089" s="15">
        <v>1010</v>
      </c>
      <c r="N1089" s="15">
        <f t="shared" si="240"/>
        <v>20</v>
      </c>
      <c r="O1089" s="15">
        <f>INDEX(卡牌消耗!$H$13:$H$33,世界BOSS专属武器!N1089)</f>
        <v>1501020</v>
      </c>
      <c r="P1089" s="52" t="s">
        <v>408</v>
      </c>
      <c r="Q1089" s="15">
        <f t="shared" si="241"/>
        <v>40</v>
      </c>
      <c r="R1089" s="52" t="str">
        <f t="shared" si="242"/>
        <v>金币</v>
      </c>
      <c r="S1089" s="15">
        <f t="shared" si="243"/>
        <v>20000</v>
      </c>
      <c r="T1089" s="15" t="str">
        <f t="shared" si="244"/>
        <v>高级专属强化石</v>
      </c>
      <c r="U1089" s="15">
        <f t="shared" si="245"/>
        <v>5</v>
      </c>
      <c r="V1089" s="15" t="str">
        <f t="shared" si="246"/>
        <v>[x]</v>
      </c>
      <c r="W1089" s="15" t="str">
        <f t="shared" si="247"/>
        <v>[x]</v>
      </c>
      <c r="X1089" s="15">
        <f t="shared" si="248"/>
        <v>0.1</v>
      </c>
      <c r="Y1089" s="15">
        <f t="shared" si="249"/>
        <v>1</v>
      </c>
      <c r="Z1089" s="15">
        <f t="shared" si="250"/>
        <v>35</v>
      </c>
      <c r="AA1089" s="15">
        <f t="shared" si="251"/>
        <v>0.66669999999999996</v>
      </c>
    </row>
    <row r="1090" spans="13:27" ht="16.5" x14ac:dyDescent="0.2">
      <c r="M1090" s="15">
        <v>1011</v>
      </c>
      <c r="N1090" s="15">
        <f t="shared" si="240"/>
        <v>20</v>
      </c>
      <c r="O1090" s="15">
        <f>INDEX(卡牌消耗!$H$13:$H$33,世界BOSS专属武器!N1090)</f>
        <v>1501020</v>
      </c>
      <c r="P1090" s="52" t="s">
        <v>408</v>
      </c>
      <c r="Q1090" s="15">
        <f t="shared" si="241"/>
        <v>41</v>
      </c>
      <c r="R1090" s="52" t="str">
        <f t="shared" si="242"/>
        <v>金币</v>
      </c>
      <c r="S1090" s="15">
        <f t="shared" si="243"/>
        <v>20000</v>
      </c>
      <c r="T1090" s="15" t="str">
        <f t="shared" si="244"/>
        <v>高级专属强化石</v>
      </c>
      <c r="U1090" s="15">
        <f t="shared" si="245"/>
        <v>5</v>
      </c>
      <c r="V1090" s="15" t="str">
        <f t="shared" si="246"/>
        <v>[x]</v>
      </c>
      <c r="W1090" s="15" t="str">
        <f t="shared" si="247"/>
        <v>[x]</v>
      </c>
      <c r="X1090" s="15">
        <f t="shared" si="248"/>
        <v>0.1</v>
      </c>
      <c r="Y1090" s="15">
        <f t="shared" si="249"/>
        <v>1</v>
      </c>
      <c r="Z1090" s="15">
        <f t="shared" si="250"/>
        <v>40</v>
      </c>
      <c r="AA1090" s="15">
        <f t="shared" si="251"/>
        <v>0.7</v>
      </c>
    </row>
    <row r="1091" spans="13:27" ht="16.5" x14ac:dyDescent="0.2">
      <c r="M1091" s="15">
        <v>1012</v>
      </c>
      <c r="N1091" s="15">
        <f t="shared" si="240"/>
        <v>20</v>
      </c>
      <c r="O1091" s="15">
        <f>INDEX(卡牌消耗!$H$13:$H$33,世界BOSS专属武器!N1091)</f>
        <v>1501020</v>
      </c>
      <c r="P1091" s="52" t="s">
        <v>408</v>
      </c>
      <c r="Q1091" s="15">
        <f t="shared" si="241"/>
        <v>42</v>
      </c>
      <c r="R1091" s="52" t="str">
        <f t="shared" si="242"/>
        <v>金币</v>
      </c>
      <c r="S1091" s="15">
        <f t="shared" si="243"/>
        <v>20000</v>
      </c>
      <c r="T1091" s="15" t="str">
        <f t="shared" si="244"/>
        <v>高级专属强化石</v>
      </c>
      <c r="U1091" s="15">
        <f t="shared" si="245"/>
        <v>5</v>
      </c>
      <c r="V1091" s="15" t="str">
        <f t="shared" si="246"/>
        <v>[x]</v>
      </c>
      <c r="W1091" s="15" t="str">
        <f t="shared" si="247"/>
        <v>[x]</v>
      </c>
      <c r="X1091" s="15">
        <f t="shared" si="248"/>
        <v>0.1</v>
      </c>
      <c r="Y1091" s="15">
        <f t="shared" si="249"/>
        <v>1</v>
      </c>
      <c r="Z1091" s="15">
        <f t="shared" si="250"/>
        <v>45</v>
      </c>
      <c r="AA1091" s="15">
        <f t="shared" si="251"/>
        <v>0.73329999999999995</v>
      </c>
    </row>
    <row r="1092" spans="13:27" ht="16.5" x14ac:dyDescent="0.2">
      <c r="M1092" s="15">
        <v>1013</v>
      </c>
      <c r="N1092" s="15">
        <f t="shared" si="240"/>
        <v>20</v>
      </c>
      <c r="O1092" s="15">
        <f>INDEX(卡牌消耗!$H$13:$H$33,世界BOSS专属武器!N1092)</f>
        <v>1501020</v>
      </c>
      <c r="P1092" s="52" t="s">
        <v>408</v>
      </c>
      <c r="Q1092" s="15">
        <f t="shared" si="241"/>
        <v>43</v>
      </c>
      <c r="R1092" s="52" t="str">
        <f t="shared" si="242"/>
        <v>金币</v>
      </c>
      <c r="S1092" s="15">
        <f t="shared" si="243"/>
        <v>20000</v>
      </c>
      <c r="T1092" s="15" t="str">
        <f t="shared" si="244"/>
        <v>高级专属强化石</v>
      </c>
      <c r="U1092" s="15">
        <f t="shared" si="245"/>
        <v>5</v>
      </c>
      <c r="V1092" s="15" t="str">
        <f t="shared" si="246"/>
        <v>[x]</v>
      </c>
      <c r="W1092" s="15" t="str">
        <f t="shared" si="247"/>
        <v>[x]</v>
      </c>
      <c r="X1092" s="15">
        <f t="shared" si="248"/>
        <v>0.1</v>
      </c>
      <c r="Y1092" s="15">
        <f t="shared" si="249"/>
        <v>1</v>
      </c>
      <c r="Z1092" s="15">
        <f t="shared" si="250"/>
        <v>50</v>
      </c>
      <c r="AA1092" s="15">
        <f t="shared" si="251"/>
        <v>0.76670000000000005</v>
      </c>
    </row>
    <row r="1093" spans="13:27" ht="16.5" x14ac:dyDescent="0.2">
      <c r="M1093" s="15">
        <v>1014</v>
      </c>
      <c r="N1093" s="15">
        <f t="shared" si="240"/>
        <v>20</v>
      </c>
      <c r="O1093" s="15">
        <f>INDEX(卡牌消耗!$H$13:$H$33,世界BOSS专属武器!N1093)</f>
        <v>1501020</v>
      </c>
      <c r="P1093" s="52" t="s">
        <v>408</v>
      </c>
      <c r="Q1093" s="15">
        <f t="shared" si="241"/>
        <v>44</v>
      </c>
      <c r="R1093" s="52" t="str">
        <f t="shared" si="242"/>
        <v>金币</v>
      </c>
      <c r="S1093" s="15">
        <f t="shared" si="243"/>
        <v>20000</v>
      </c>
      <c r="T1093" s="15" t="str">
        <f t="shared" si="244"/>
        <v>高级专属强化石</v>
      </c>
      <c r="U1093" s="15">
        <f t="shared" si="245"/>
        <v>5</v>
      </c>
      <c r="V1093" s="15" t="str">
        <f t="shared" si="246"/>
        <v>[x]</v>
      </c>
      <c r="W1093" s="15" t="str">
        <f t="shared" si="247"/>
        <v>[x]</v>
      </c>
      <c r="X1093" s="15">
        <f t="shared" si="248"/>
        <v>0.1</v>
      </c>
      <c r="Y1093" s="15">
        <f t="shared" si="249"/>
        <v>1</v>
      </c>
      <c r="Z1093" s="15">
        <f t="shared" si="250"/>
        <v>55</v>
      </c>
      <c r="AA1093" s="15">
        <f t="shared" si="251"/>
        <v>0.8</v>
      </c>
    </row>
    <row r="1094" spans="13:27" ht="16.5" x14ac:dyDescent="0.2">
      <c r="M1094" s="15">
        <v>1015</v>
      </c>
      <c r="N1094" s="15">
        <f t="shared" si="240"/>
        <v>20</v>
      </c>
      <c r="O1094" s="15">
        <f>INDEX(卡牌消耗!$H$13:$H$33,世界BOSS专属武器!N1094)</f>
        <v>1501020</v>
      </c>
      <c r="P1094" s="52" t="s">
        <v>408</v>
      </c>
      <c r="Q1094" s="15">
        <f t="shared" si="241"/>
        <v>45</v>
      </c>
      <c r="R1094" s="52" t="str">
        <f t="shared" si="242"/>
        <v>金币</v>
      </c>
      <c r="S1094" s="15">
        <f t="shared" si="243"/>
        <v>20000</v>
      </c>
      <c r="T1094" s="15" t="str">
        <f t="shared" si="244"/>
        <v>高级专属强化石</v>
      </c>
      <c r="U1094" s="15">
        <f t="shared" si="245"/>
        <v>6</v>
      </c>
      <c r="V1094" s="15" t="str">
        <f t="shared" si="246"/>
        <v>[x]</v>
      </c>
      <c r="W1094" s="15" t="str">
        <f t="shared" si="247"/>
        <v>[x]</v>
      </c>
      <c r="X1094" s="15">
        <f t="shared" si="248"/>
        <v>0.1</v>
      </c>
      <c r="Y1094" s="15">
        <f t="shared" si="249"/>
        <v>1</v>
      </c>
      <c r="Z1094" s="15">
        <f t="shared" si="250"/>
        <v>60</v>
      </c>
      <c r="AA1094" s="15">
        <f t="shared" si="251"/>
        <v>0.83330000000000004</v>
      </c>
    </row>
    <row r="1095" spans="13:27" ht="16.5" x14ac:dyDescent="0.2">
      <c r="M1095" s="15">
        <v>1016</v>
      </c>
      <c r="N1095" s="15">
        <f t="shared" si="240"/>
        <v>20</v>
      </c>
      <c r="O1095" s="15">
        <f>INDEX(卡牌消耗!$H$13:$H$33,世界BOSS专属武器!N1095)</f>
        <v>1501020</v>
      </c>
      <c r="P1095" s="52" t="s">
        <v>408</v>
      </c>
      <c r="Q1095" s="15">
        <f t="shared" si="241"/>
        <v>46</v>
      </c>
      <c r="R1095" s="52" t="str">
        <f t="shared" si="242"/>
        <v>金币</v>
      </c>
      <c r="S1095" s="15">
        <f t="shared" si="243"/>
        <v>20000</v>
      </c>
      <c r="T1095" s="15" t="str">
        <f t="shared" si="244"/>
        <v>高级专属强化石</v>
      </c>
      <c r="U1095" s="15">
        <f t="shared" si="245"/>
        <v>7</v>
      </c>
      <c r="V1095" s="15" t="str">
        <f t="shared" si="246"/>
        <v>[x]</v>
      </c>
      <c r="W1095" s="15" t="str">
        <f t="shared" si="247"/>
        <v>[x]</v>
      </c>
      <c r="X1095" s="15">
        <f t="shared" si="248"/>
        <v>0.1</v>
      </c>
      <c r="Y1095" s="15">
        <f t="shared" si="249"/>
        <v>1</v>
      </c>
      <c r="Z1095" s="15">
        <f t="shared" si="250"/>
        <v>70</v>
      </c>
      <c r="AA1095" s="15">
        <f t="shared" si="251"/>
        <v>0.86670000000000003</v>
      </c>
    </row>
    <row r="1096" spans="13:27" ht="16.5" x14ac:dyDescent="0.2">
      <c r="M1096" s="15">
        <v>1017</v>
      </c>
      <c r="N1096" s="15">
        <f t="shared" si="240"/>
        <v>20</v>
      </c>
      <c r="O1096" s="15">
        <f>INDEX(卡牌消耗!$H$13:$H$33,世界BOSS专属武器!N1096)</f>
        <v>1501020</v>
      </c>
      <c r="P1096" s="52" t="s">
        <v>408</v>
      </c>
      <c r="Q1096" s="15">
        <f t="shared" si="241"/>
        <v>47</v>
      </c>
      <c r="R1096" s="52" t="str">
        <f t="shared" si="242"/>
        <v>金币</v>
      </c>
      <c r="S1096" s="15">
        <f t="shared" si="243"/>
        <v>20000</v>
      </c>
      <c r="T1096" s="15" t="str">
        <f t="shared" si="244"/>
        <v>高级专属强化石</v>
      </c>
      <c r="U1096" s="15">
        <f t="shared" si="245"/>
        <v>8</v>
      </c>
      <c r="V1096" s="15" t="str">
        <f t="shared" si="246"/>
        <v>[x]</v>
      </c>
      <c r="W1096" s="15" t="str">
        <f t="shared" si="247"/>
        <v>[x]</v>
      </c>
      <c r="X1096" s="15">
        <f t="shared" si="248"/>
        <v>0.1</v>
      </c>
      <c r="Y1096" s="15">
        <f t="shared" si="249"/>
        <v>1</v>
      </c>
      <c r="Z1096" s="15">
        <f t="shared" si="250"/>
        <v>80</v>
      </c>
      <c r="AA1096" s="15">
        <f t="shared" si="251"/>
        <v>0.9</v>
      </c>
    </row>
    <row r="1097" spans="13:27" ht="16.5" x14ac:dyDescent="0.2">
      <c r="M1097" s="15">
        <v>1018</v>
      </c>
      <c r="N1097" s="15">
        <f t="shared" si="240"/>
        <v>20</v>
      </c>
      <c r="O1097" s="15">
        <f>INDEX(卡牌消耗!$H$13:$H$33,世界BOSS专属武器!N1097)</f>
        <v>1501020</v>
      </c>
      <c r="P1097" s="52" t="s">
        <v>408</v>
      </c>
      <c r="Q1097" s="15">
        <f t="shared" si="241"/>
        <v>48</v>
      </c>
      <c r="R1097" s="52" t="str">
        <f t="shared" si="242"/>
        <v>金币</v>
      </c>
      <c r="S1097" s="15">
        <f t="shared" si="243"/>
        <v>20000</v>
      </c>
      <c r="T1097" s="15" t="str">
        <f t="shared" si="244"/>
        <v>高级专属强化石</v>
      </c>
      <c r="U1097" s="15">
        <f t="shared" si="245"/>
        <v>9</v>
      </c>
      <c r="V1097" s="15" t="str">
        <f t="shared" si="246"/>
        <v>[x]</v>
      </c>
      <c r="W1097" s="15" t="str">
        <f t="shared" si="247"/>
        <v>[x]</v>
      </c>
      <c r="X1097" s="15">
        <f t="shared" si="248"/>
        <v>0.1</v>
      </c>
      <c r="Y1097" s="15">
        <f t="shared" si="249"/>
        <v>1</v>
      </c>
      <c r="Z1097" s="15">
        <f t="shared" si="250"/>
        <v>100</v>
      </c>
      <c r="AA1097" s="15">
        <f t="shared" si="251"/>
        <v>0.93330000000000002</v>
      </c>
    </row>
    <row r="1098" spans="13:27" ht="16.5" x14ac:dyDescent="0.2">
      <c r="M1098" s="15">
        <v>1019</v>
      </c>
      <c r="N1098" s="15">
        <f t="shared" si="240"/>
        <v>20</v>
      </c>
      <c r="O1098" s="15">
        <f>INDEX(卡牌消耗!$H$13:$H$33,世界BOSS专属武器!N1098)</f>
        <v>1501020</v>
      </c>
      <c r="P1098" s="52" t="s">
        <v>408</v>
      </c>
      <c r="Q1098" s="15">
        <f t="shared" si="241"/>
        <v>49</v>
      </c>
      <c r="R1098" s="52" t="str">
        <f t="shared" si="242"/>
        <v>金币</v>
      </c>
      <c r="S1098" s="15">
        <f t="shared" si="243"/>
        <v>20000</v>
      </c>
      <c r="T1098" s="15" t="str">
        <f t="shared" si="244"/>
        <v>高级专属强化石</v>
      </c>
      <c r="U1098" s="15">
        <f t="shared" si="245"/>
        <v>10</v>
      </c>
      <c r="V1098" s="15" t="str">
        <f t="shared" si="246"/>
        <v>[x]</v>
      </c>
      <c r="W1098" s="15" t="str">
        <f t="shared" si="247"/>
        <v>[x]</v>
      </c>
      <c r="X1098" s="15">
        <f t="shared" si="248"/>
        <v>0.1</v>
      </c>
      <c r="Y1098" s="15">
        <f t="shared" si="249"/>
        <v>1</v>
      </c>
      <c r="Z1098" s="15">
        <f t="shared" si="250"/>
        <v>120</v>
      </c>
      <c r="AA1098" s="15">
        <f t="shared" si="251"/>
        <v>0.9667</v>
      </c>
    </row>
    <row r="1099" spans="13:27" ht="16.5" x14ac:dyDescent="0.2">
      <c r="M1099" s="15">
        <v>1020</v>
      </c>
      <c r="N1099" s="15">
        <f t="shared" si="240"/>
        <v>20</v>
      </c>
      <c r="O1099" s="15">
        <f>INDEX(卡牌消耗!$H$13:$H$33,世界BOSS专属武器!N1099)</f>
        <v>1501020</v>
      </c>
      <c r="P1099" s="52" t="s">
        <v>408</v>
      </c>
      <c r="Q1099" s="15">
        <f t="shared" si="241"/>
        <v>50</v>
      </c>
      <c r="R1099" s="52" t="str">
        <f t="shared" si="242"/>
        <v>金币</v>
      </c>
      <c r="S1099" s="15">
        <f t="shared" si="243"/>
        <v>20000</v>
      </c>
      <c r="T1099" s="15" t="str">
        <f t="shared" si="244"/>
        <v>高级专属强化石</v>
      </c>
      <c r="U1099" s="15">
        <f t="shared" si="245"/>
        <v>15</v>
      </c>
      <c r="V1099" s="15" t="str">
        <f t="shared" si="246"/>
        <v>[x]</v>
      </c>
      <c r="W1099" s="15" t="str">
        <f t="shared" si="247"/>
        <v>[x]</v>
      </c>
      <c r="X1099" s="15">
        <f t="shared" si="248"/>
        <v>0.1</v>
      </c>
      <c r="Y1099" s="15">
        <f t="shared" si="249"/>
        <v>1</v>
      </c>
      <c r="Z1099" s="15">
        <f t="shared" si="250"/>
        <v>150</v>
      </c>
      <c r="AA1099" s="15">
        <f t="shared" si="251"/>
        <v>1</v>
      </c>
    </row>
    <row r="1100" spans="13:27" ht="16.5" x14ac:dyDescent="0.2">
      <c r="M1100" s="15">
        <v>1021</v>
      </c>
      <c r="N1100" s="15">
        <f t="shared" si="240"/>
        <v>21</v>
      </c>
      <c r="O1100" s="15">
        <f>INDEX(卡牌消耗!$H$13:$H$33,世界BOSS专属武器!N1100)</f>
        <v>1501021</v>
      </c>
      <c r="P1100" s="52" t="s">
        <v>408</v>
      </c>
      <c r="Q1100" s="15">
        <f t="shared" si="241"/>
        <v>0</v>
      </c>
      <c r="R1100" s="52" t="str">
        <f t="shared" si="242"/>
        <v>[x]</v>
      </c>
      <c r="S1100" s="15" t="str">
        <f t="shared" si="243"/>
        <v>[x]</v>
      </c>
      <c r="T1100" s="15" t="str">
        <f t="shared" si="244"/>
        <v>[x]</v>
      </c>
      <c r="U1100" s="15" t="str">
        <f t="shared" si="245"/>
        <v>[x]</v>
      </c>
      <c r="V1100" s="15" t="str">
        <f t="shared" si="246"/>
        <v>[x]</v>
      </c>
      <c r="W1100" s="15" t="str">
        <f t="shared" si="247"/>
        <v>[x]</v>
      </c>
      <c r="X1100" s="15" t="str">
        <f t="shared" si="248"/>
        <v>[x]</v>
      </c>
      <c r="Y1100" s="15" t="str">
        <f t="shared" si="249"/>
        <v>[x]</v>
      </c>
      <c r="Z1100" s="15" t="str">
        <f t="shared" si="250"/>
        <v>[x]</v>
      </c>
      <c r="AA1100" s="15" t="str">
        <f t="shared" si="251"/>
        <v>[x]</v>
      </c>
    </row>
    <row r="1101" spans="13:27" ht="16.5" x14ac:dyDescent="0.2">
      <c r="M1101" s="15">
        <v>1022</v>
      </c>
      <c r="N1101" s="15">
        <f t="shared" si="240"/>
        <v>21</v>
      </c>
      <c r="O1101" s="15">
        <f>INDEX(卡牌消耗!$H$13:$H$33,世界BOSS专属武器!N1101)</f>
        <v>1501021</v>
      </c>
      <c r="P1101" s="52" t="s">
        <v>408</v>
      </c>
      <c r="Q1101" s="15">
        <f t="shared" si="241"/>
        <v>1</v>
      </c>
      <c r="R1101" s="52" t="str">
        <f t="shared" si="242"/>
        <v>金币</v>
      </c>
      <c r="S1101" s="15">
        <f t="shared" si="243"/>
        <v>100</v>
      </c>
      <c r="T1101" s="15" t="str">
        <f t="shared" si="244"/>
        <v>低级专属强化石</v>
      </c>
      <c r="U1101" s="15">
        <f t="shared" si="245"/>
        <v>1</v>
      </c>
      <c r="V1101" s="15" t="str">
        <f t="shared" si="246"/>
        <v>[x]</v>
      </c>
      <c r="W1101" s="15" t="str">
        <f t="shared" si="247"/>
        <v>[x]</v>
      </c>
      <c r="X1101" s="15">
        <f t="shared" si="248"/>
        <v>1</v>
      </c>
      <c r="Y1101" s="15">
        <f t="shared" si="249"/>
        <v>1</v>
      </c>
      <c r="Z1101" s="15">
        <f t="shared" si="250"/>
        <v>1</v>
      </c>
      <c r="AA1101" s="15">
        <f t="shared" si="251"/>
        <v>6.7000000000000002E-3</v>
      </c>
    </row>
    <row r="1102" spans="13:27" ht="16.5" x14ac:dyDescent="0.2">
      <c r="M1102" s="15">
        <v>1023</v>
      </c>
      <c r="N1102" s="15">
        <f t="shared" si="240"/>
        <v>21</v>
      </c>
      <c r="O1102" s="15">
        <f>INDEX(卡牌消耗!$H$13:$H$33,世界BOSS专属武器!N1102)</f>
        <v>1501021</v>
      </c>
      <c r="P1102" s="52" t="s">
        <v>408</v>
      </c>
      <c r="Q1102" s="15">
        <f t="shared" si="241"/>
        <v>2</v>
      </c>
      <c r="R1102" s="52" t="str">
        <f t="shared" si="242"/>
        <v>金币</v>
      </c>
      <c r="S1102" s="15">
        <f t="shared" si="243"/>
        <v>200</v>
      </c>
      <c r="T1102" s="15" t="str">
        <f t="shared" si="244"/>
        <v>低级专属强化石</v>
      </c>
      <c r="U1102" s="15">
        <f t="shared" si="245"/>
        <v>1</v>
      </c>
      <c r="V1102" s="15" t="str">
        <f t="shared" si="246"/>
        <v>[x]</v>
      </c>
      <c r="W1102" s="15" t="str">
        <f t="shared" si="247"/>
        <v>[x]</v>
      </c>
      <c r="X1102" s="15">
        <f t="shared" si="248"/>
        <v>0.5</v>
      </c>
      <c r="Y1102" s="15">
        <f t="shared" si="249"/>
        <v>1</v>
      </c>
      <c r="Z1102" s="15">
        <f t="shared" si="250"/>
        <v>2</v>
      </c>
      <c r="AA1102" s="15">
        <f t="shared" si="251"/>
        <v>1.3299999999999999E-2</v>
      </c>
    </row>
    <row r="1103" spans="13:27" ht="16.5" x14ac:dyDescent="0.2">
      <c r="M1103" s="15">
        <v>1024</v>
      </c>
      <c r="N1103" s="15">
        <f t="shared" si="240"/>
        <v>21</v>
      </c>
      <c r="O1103" s="15">
        <f>INDEX(卡牌消耗!$H$13:$H$33,世界BOSS专属武器!N1103)</f>
        <v>1501021</v>
      </c>
      <c r="P1103" s="52" t="s">
        <v>408</v>
      </c>
      <c r="Q1103" s="15">
        <f t="shared" si="241"/>
        <v>3</v>
      </c>
      <c r="R1103" s="52" t="str">
        <f t="shared" si="242"/>
        <v>金币</v>
      </c>
      <c r="S1103" s="15">
        <f t="shared" si="243"/>
        <v>300</v>
      </c>
      <c r="T1103" s="15" t="str">
        <f t="shared" si="244"/>
        <v>低级专属强化石</v>
      </c>
      <c r="U1103" s="15">
        <f t="shared" si="245"/>
        <v>2</v>
      </c>
      <c r="V1103" s="15" t="str">
        <f t="shared" si="246"/>
        <v>[x]</v>
      </c>
      <c r="W1103" s="15" t="str">
        <f t="shared" si="247"/>
        <v>[x]</v>
      </c>
      <c r="X1103" s="15">
        <f t="shared" si="248"/>
        <v>0.48</v>
      </c>
      <c r="Y1103" s="15">
        <f t="shared" si="249"/>
        <v>1</v>
      </c>
      <c r="Z1103" s="15">
        <f t="shared" si="250"/>
        <v>3</v>
      </c>
      <c r="AA1103" s="15">
        <f t="shared" si="251"/>
        <v>0.02</v>
      </c>
    </row>
    <row r="1104" spans="13:27" ht="16.5" x14ac:dyDescent="0.2">
      <c r="M1104" s="15">
        <v>1025</v>
      </c>
      <c r="N1104" s="15">
        <f t="shared" si="240"/>
        <v>21</v>
      </c>
      <c r="O1104" s="15">
        <f>INDEX(卡牌消耗!$H$13:$H$33,世界BOSS专属武器!N1104)</f>
        <v>1501021</v>
      </c>
      <c r="P1104" s="52" t="s">
        <v>408</v>
      </c>
      <c r="Q1104" s="15">
        <f t="shared" si="241"/>
        <v>4</v>
      </c>
      <c r="R1104" s="52" t="str">
        <f t="shared" si="242"/>
        <v>金币</v>
      </c>
      <c r="S1104" s="15">
        <f t="shared" si="243"/>
        <v>400</v>
      </c>
      <c r="T1104" s="15" t="str">
        <f t="shared" si="244"/>
        <v>低级专属强化石</v>
      </c>
      <c r="U1104" s="15">
        <f t="shared" si="245"/>
        <v>3</v>
      </c>
      <c r="V1104" s="15" t="str">
        <f t="shared" si="246"/>
        <v>[x]</v>
      </c>
      <c r="W1104" s="15" t="str">
        <f t="shared" si="247"/>
        <v>[x]</v>
      </c>
      <c r="X1104" s="15">
        <f t="shared" si="248"/>
        <v>0.46</v>
      </c>
      <c r="Y1104" s="15">
        <f t="shared" si="249"/>
        <v>1</v>
      </c>
      <c r="Z1104" s="15">
        <f t="shared" si="250"/>
        <v>3</v>
      </c>
      <c r="AA1104" s="15">
        <f t="shared" si="251"/>
        <v>2.6700000000000002E-2</v>
      </c>
    </row>
    <row r="1105" spans="13:27" ht="16.5" x14ac:dyDescent="0.2">
      <c r="M1105" s="15">
        <v>1026</v>
      </c>
      <c r="N1105" s="15">
        <f t="shared" si="240"/>
        <v>21</v>
      </c>
      <c r="O1105" s="15">
        <f>INDEX(卡牌消耗!$H$13:$H$33,世界BOSS专属武器!N1105)</f>
        <v>1501021</v>
      </c>
      <c r="P1105" s="52" t="s">
        <v>408</v>
      </c>
      <c r="Q1105" s="15">
        <f t="shared" si="241"/>
        <v>5</v>
      </c>
      <c r="R1105" s="52" t="str">
        <f t="shared" si="242"/>
        <v>金币</v>
      </c>
      <c r="S1105" s="15">
        <f t="shared" si="243"/>
        <v>500</v>
      </c>
      <c r="T1105" s="15" t="str">
        <f t="shared" si="244"/>
        <v>低级专属强化石</v>
      </c>
      <c r="U1105" s="15">
        <f t="shared" si="245"/>
        <v>4</v>
      </c>
      <c r="V1105" s="15" t="str">
        <f t="shared" si="246"/>
        <v>[x]</v>
      </c>
      <c r="W1105" s="15" t="str">
        <f t="shared" si="247"/>
        <v>[x]</v>
      </c>
      <c r="X1105" s="15">
        <f t="shared" si="248"/>
        <v>0.44</v>
      </c>
      <c r="Y1105" s="15">
        <f t="shared" si="249"/>
        <v>1</v>
      </c>
      <c r="Z1105" s="15">
        <f t="shared" si="250"/>
        <v>3</v>
      </c>
      <c r="AA1105" s="15">
        <f t="shared" si="251"/>
        <v>3.3300000000000003E-2</v>
      </c>
    </row>
    <row r="1106" spans="13:27" ht="16.5" x14ac:dyDescent="0.2">
      <c r="M1106" s="15">
        <v>1027</v>
      </c>
      <c r="N1106" s="15">
        <f t="shared" si="240"/>
        <v>21</v>
      </c>
      <c r="O1106" s="15">
        <f>INDEX(卡牌消耗!$H$13:$H$33,世界BOSS专属武器!N1106)</f>
        <v>1501021</v>
      </c>
      <c r="P1106" s="52" t="s">
        <v>408</v>
      </c>
      <c r="Q1106" s="15">
        <f t="shared" si="241"/>
        <v>6</v>
      </c>
      <c r="R1106" s="52" t="str">
        <f t="shared" si="242"/>
        <v>金币</v>
      </c>
      <c r="S1106" s="15">
        <f t="shared" si="243"/>
        <v>600</v>
      </c>
      <c r="T1106" s="15" t="str">
        <f t="shared" si="244"/>
        <v>低级专属强化石</v>
      </c>
      <c r="U1106" s="15">
        <f t="shared" si="245"/>
        <v>5</v>
      </c>
      <c r="V1106" s="15" t="str">
        <f t="shared" si="246"/>
        <v>[x]</v>
      </c>
      <c r="W1106" s="15" t="str">
        <f t="shared" si="247"/>
        <v>[x]</v>
      </c>
      <c r="X1106" s="15">
        <f t="shared" si="248"/>
        <v>0.42</v>
      </c>
      <c r="Y1106" s="15">
        <f t="shared" si="249"/>
        <v>1</v>
      </c>
      <c r="Z1106" s="15">
        <f t="shared" si="250"/>
        <v>4</v>
      </c>
      <c r="AA1106" s="15">
        <f t="shared" si="251"/>
        <v>0.04</v>
      </c>
    </row>
    <row r="1107" spans="13:27" ht="16.5" x14ac:dyDescent="0.2">
      <c r="M1107" s="15">
        <v>1028</v>
      </c>
      <c r="N1107" s="15">
        <f t="shared" si="240"/>
        <v>21</v>
      </c>
      <c r="O1107" s="15">
        <f>INDEX(卡牌消耗!$H$13:$H$33,世界BOSS专属武器!N1107)</f>
        <v>1501021</v>
      </c>
      <c r="P1107" s="52" t="s">
        <v>408</v>
      </c>
      <c r="Q1107" s="15">
        <f t="shared" si="241"/>
        <v>7</v>
      </c>
      <c r="R1107" s="52" t="str">
        <f t="shared" si="242"/>
        <v>金币</v>
      </c>
      <c r="S1107" s="15">
        <f t="shared" si="243"/>
        <v>700</v>
      </c>
      <c r="T1107" s="15" t="str">
        <f t="shared" si="244"/>
        <v>低级专属强化石</v>
      </c>
      <c r="U1107" s="15">
        <f t="shared" si="245"/>
        <v>5</v>
      </c>
      <c r="V1107" s="15" t="str">
        <f t="shared" si="246"/>
        <v>[x]</v>
      </c>
      <c r="W1107" s="15" t="str">
        <f t="shared" si="247"/>
        <v>[x]</v>
      </c>
      <c r="X1107" s="15">
        <f t="shared" si="248"/>
        <v>0.4</v>
      </c>
      <c r="Y1107" s="15">
        <f t="shared" si="249"/>
        <v>1</v>
      </c>
      <c r="Z1107" s="15">
        <f t="shared" si="250"/>
        <v>4</v>
      </c>
      <c r="AA1107" s="15">
        <f t="shared" si="251"/>
        <v>4.6699999999999998E-2</v>
      </c>
    </row>
    <row r="1108" spans="13:27" ht="16.5" x14ac:dyDescent="0.2">
      <c r="M1108" s="15">
        <v>1029</v>
      </c>
      <c r="N1108" s="15">
        <f t="shared" si="240"/>
        <v>21</v>
      </c>
      <c r="O1108" s="15">
        <f>INDEX(卡牌消耗!$H$13:$H$33,世界BOSS专属武器!N1108)</f>
        <v>1501021</v>
      </c>
      <c r="P1108" s="52" t="s">
        <v>408</v>
      </c>
      <c r="Q1108" s="15">
        <f t="shared" si="241"/>
        <v>8</v>
      </c>
      <c r="R1108" s="52" t="str">
        <f t="shared" si="242"/>
        <v>金币</v>
      </c>
      <c r="S1108" s="15">
        <f t="shared" si="243"/>
        <v>800</v>
      </c>
      <c r="T1108" s="15" t="str">
        <f t="shared" si="244"/>
        <v>低级专属强化石</v>
      </c>
      <c r="U1108" s="15">
        <f t="shared" si="245"/>
        <v>5</v>
      </c>
      <c r="V1108" s="15" t="str">
        <f t="shared" si="246"/>
        <v>[x]</v>
      </c>
      <c r="W1108" s="15" t="str">
        <f t="shared" si="247"/>
        <v>[x]</v>
      </c>
      <c r="X1108" s="15">
        <f t="shared" si="248"/>
        <v>0.38</v>
      </c>
      <c r="Y1108" s="15">
        <f t="shared" si="249"/>
        <v>1</v>
      </c>
      <c r="Z1108" s="15">
        <f t="shared" si="250"/>
        <v>5</v>
      </c>
      <c r="AA1108" s="15">
        <f t="shared" si="251"/>
        <v>5.33E-2</v>
      </c>
    </row>
    <row r="1109" spans="13:27" ht="16.5" x14ac:dyDescent="0.2">
      <c r="M1109" s="15">
        <v>1030</v>
      </c>
      <c r="N1109" s="15">
        <f t="shared" si="240"/>
        <v>21</v>
      </c>
      <c r="O1109" s="15">
        <f>INDEX(卡牌消耗!$H$13:$H$33,世界BOSS专属武器!N1109)</f>
        <v>1501021</v>
      </c>
      <c r="P1109" s="52" t="s">
        <v>408</v>
      </c>
      <c r="Q1109" s="15">
        <f t="shared" si="241"/>
        <v>9</v>
      </c>
      <c r="R1109" s="52" t="str">
        <f t="shared" si="242"/>
        <v>金币</v>
      </c>
      <c r="S1109" s="15">
        <f t="shared" si="243"/>
        <v>900</v>
      </c>
      <c r="T1109" s="15" t="str">
        <f t="shared" si="244"/>
        <v>低级专属强化石</v>
      </c>
      <c r="U1109" s="15">
        <f t="shared" si="245"/>
        <v>5</v>
      </c>
      <c r="V1109" s="15" t="str">
        <f t="shared" si="246"/>
        <v>[x]</v>
      </c>
      <c r="W1109" s="15" t="str">
        <f t="shared" si="247"/>
        <v>[x]</v>
      </c>
      <c r="X1109" s="15">
        <f t="shared" si="248"/>
        <v>0.36</v>
      </c>
      <c r="Y1109" s="15">
        <f t="shared" si="249"/>
        <v>1</v>
      </c>
      <c r="Z1109" s="15">
        <f t="shared" si="250"/>
        <v>5</v>
      </c>
      <c r="AA1109" s="15">
        <f t="shared" si="251"/>
        <v>0.06</v>
      </c>
    </row>
    <row r="1110" spans="13:27" ht="16.5" x14ac:dyDescent="0.2">
      <c r="M1110" s="15">
        <v>1031</v>
      </c>
      <c r="N1110" s="15">
        <f t="shared" si="240"/>
        <v>21</v>
      </c>
      <c r="O1110" s="15">
        <f>INDEX(卡牌消耗!$H$13:$H$33,世界BOSS专属武器!N1110)</f>
        <v>1501021</v>
      </c>
      <c r="P1110" s="52" t="s">
        <v>408</v>
      </c>
      <c r="Q1110" s="15">
        <f t="shared" si="241"/>
        <v>10</v>
      </c>
      <c r="R1110" s="52" t="str">
        <f t="shared" si="242"/>
        <v>金币</v>
      </c>
      <c r="S1110" s="15">
        <f t="shared" si="243"/>
        <v>1000</v>
      </c>
      <c r="T1110" s="15" t="str">
        <f t="shared" si="244"/>
        <v>低级专属强化石</v>
      </c>
      <c r="U1110" s="15">
        <f t="shared" si="245"/>
        <v>7</v>
      </c>
      <c r="V1110" s="15" t="str">
        <f t="shared" si="246"/>
        <v>[x]</v>
      </c>
      <c r="W1110" s="15" t="str">
        <f t="shared" si="247"/>
        <v>[x]</v>
      </c>
      <c r="X1110" s="15">
        <f t="shared" si="248"/>
        <v>0.35</v>
      </c>
      <c r="Y1110" s="15">
        <f t="shared" si="249"/>
        <v>1</v>
      </c>
      <c r="Z1110" s="15">
        <f t="shared" si="250"/>
        <v>5</v>
      </c>
      <c r="AA1110" s="15">
        <f t="shared" si="251"/>
        <v>6.6699999999999995E-2</v>
      </c>
    </row>
    <row r="1111" spans="13:27" ht="16.5" x14ac:dyDescent="0.2">
      <c r="M1111" s="15">
        <v>1032</v>
      </c>
      <c r="N1111" s="15">
        <f t="shared" si="240"/>
        <v>21</v>
      </c>
      <c r="O1111" s="15">
        <f>INDEX(卡牌消耗!$H$13:$H$33,世界BOSS专属武器!N1111)</f>
        <v>1501021</v>
      </c>
      <c r="P1111" s="52" t="s">
        <v>408</v>
      </c>
      <c r="Q1111" s="15">
        <f t="shared" si="241"/>
        <v>11</v>
      </c>
      <c r="R1111" s="52" t="str">
        <f t="shared" si="242"/>
        <v>金币</v>
      </c>
      <c r="S1111" s="15">
        <f t="shared" si="243"/>
        <v>1000</v>
      </c>
      <c r="T1111" s="15" t="str">
        <f t="shared" si="244"/>
        <v>低级专属强化石</v>
      </c>
      <c r="U1111" s="15">
        <f t="shared" si="245"/>
        <v>7</v>
      </c>
      <c r="V1111" s="15" t="str">
        <f t="shared" si="246"/>
        <v>[x]</v>
      </c>
      <c r="W1111" s="15" t="str">
        <f t="shared" si="247"/>
        <v>[x]</v>
      </c>
      <c r="X1111" s="15">
        <f t="shared" si="248"/>
        <v>0.33</v>
      </c>
      <c r="Y1111" s="15">
        <f t="shared" si="249"/>
        <v>1</v>
      </c>
      <c r="Z1111" s="15">
        <f t="shared" si="250"/>
        <v>6</v>
      </c>
      <c r="AA1111" s="15">
        <f t="shared" si="251"/>
        <v>0.08</v>
      </c>
    </row>
    <row r="1112" spans="13:27" ht="16.5" x14ac:dyDescent="0.2">
      <c r="M1112" s="15">
        <v>1033</v>
      </c>
      <c r="N1112" s="15">
        <f t="shared" si="240"/>
        <v>21</v>
      </c>
      <c r="O1112" s="15">
        <f>INDEX(卡牌消耗!$H$13:$H$33,世界BOSS专属武器!N1112)</f>
        <v>1501021</v>
      </c>
      <c r="P1112" s="52" t="s">
        <v>408</v>
      </c>
      <c r="Q1112" s="15">
        <f t="shared" si="241"/>
        <v>12</v>
      </c>
      <c r="R1112" s="52" t="str">
        <f t="shared" si="242"/>
        <v>金币</v>
      </c>
      <c r="S1112" s="15">
        <f t="shared" si="243"/>
        <v>1000</v>
      </c>
      <c r="T1112" s="15" t="str">
        <f t="shared" si="244"/>
        <v>低级专属强化石</v>
      </c>
      <c r="U1112" s="15">
        <f t="shared" si="245"/>
        <v>7</v>
      </c>
      <c r="V1112" s="15" t="str">
        <f t="shared" si="246"/>
        <v>[x]</v>
      </c>
      <c r="W1112" s="15" t="str">
        <f t="shared" si="247"/>
        <v>[x]</v>
      </c>
      <c r="X1112" s="15">
        <f t="shared" si="248"/>
        <v>0.31</v>
      </c>
      <c r="Y1112" s="15">
        <f t="shared" si="249"/>
        <v>1</v>
      </c>
      <c r="Z1112" s="15">
        <f t="shared" si="250"/>
        <v>6</v>
      </c>
      <c r="AA1112" s="15">
        <f t="shared" si="251"/>
        <v>9.3299999999999994E-2</v>
      </c>
    </row>
    <row r="1113" spans="13:27" ht="16.5" x14ac:dyDescent="0.2">
      <c r="M1113" s="15">
        <v>1034</v>
      </c>
      <c r="N1113" s="15">
        <f t="shared" si="240"/>
        <v>21</v>
      </c>
      <c r="O1113" s="15">
        <f>INDEX(卡牌消耗!$H$13:$H$33,世界BOSS专属武器!N1113)</f>
        <v>1501021</v>
      </c>
      <c r="P1113" s="52" t="s">
        <v>408</v>
      </c>
      <c r="Q1113" s="15">
        <f t="shared" si="241"/>
        <v>13</v>
      </c>
      <c r="R1113" s="52" t="str">
        <f t="shared" si="242"/>
        <v>金币</v>
      </c>
      <c r="S1113" s="15">
        <f t="shared" si="243"/>
        <v>1000</v>
      </c>
      <c r="T1113" s="15" t="str">
        <f t="shared" si="244"/>
        <v>低级专属强化石</v>
      </c>
      <c r="U1113" s="15">
        <f t="shared" si="245"/>
        <v>7</v>
      </c>
      <c r="V1113" s="15" t="str">
        <f t="shared" si="246"/>
        <v>[x]</v>
      </c>
      <c r="W1113" s="15" t="str">
        <f t="shared" si="247"/>
        <v>[x]</v>
      </c>
      <c r="X1113" s="15">
        <f t="shared" si="248"/>
        <v>0.28999999999999998</v>
      </c>
      <c r="Y1113" s="15">
        <f t="shared" si="249"/>
        <v>1</v>
      </c>
      <c r="Z1113" s="15">
        <f t="shared" si="250"/>
        <v>7</v>
      </c>
      <c r="AA1113" s="15">
        <f t="shared" si="251"/>
        <v>0.1067</v>
      </c>
    </row>
    <row r="1114" spans="13:27" ht="16.5" x14ac:dyDescent="0.2">
      <c r="M1114" s="15">
        <v>1035</v>
      </c>
      <c r="N1114" s="15">
        <f t="shared" si="240"/>
        <v>21</v>
      </c>
      <c r="O1114" s="15">
        <f>INDEX(卡牌消耗!$H$13:$H$33,世界BOSS专属武器!N1114)</f>
        <v>1501021</v>
      </c>
      <c r="P1114" s="52" t="s">
        <v>408</v>
      </c>
      <c r="Q1114" s="15">
        <f t="shared" si="241"/>
        <v>14</v>
      </c>
      <c r="R1114" s="52" t="str">
        <f t="shared" si="242"/>
        <v>金币</v>
      </c>
      <c r="S1114" s="15">
        <f t="shared" si="243"/>
        <v>1000</v>
      </c>
      <c r="T1114" s="15" t="str">
        <f t="shared" si="244"/>
        <v>低级专属强化石</v>
      </c>
      <c r="U1114" s="15">
        <f t="shared" si="245"/>
        <v>7</v>
      </c>
      <c r="V1114" s="15" t="str">
        <f t="shared" si="246"/>
        <v>[x]</v>
      </c>
      <c r="W1114" s="15" t="str">
        <f t="shared" si="247"/>
        <v>[x]</v>
      </c>
      <c r="X1114" s="15">
        <f t="shared" si="248"/>
        <v>0.27</v>
      </c>
      <c r="Y1114" s="15">
        <f t="shared" si="249"/>
        <v>1</v>
      </c>
      <c r="Z1114" s="15">
        <f t="shared" si="250"/>
        <v>7</v>
      </c>
      <c r="AA1114" s="15">
        <f t="shared" si="251"/>
        <v>0.12</v>
      </c>
    </row>
    <row r="1115" spans="13:27" ht="16.5" x14ac:dyDescent="0.2">
      <c r="M1115" s="15">
        <v>1036</v>
      </c>
      <c r="N1115" s="15">
        <f t="shared" si="240"/>
        <v>21</v>
      </c>
      <c r="O1115" s="15">
        <f>INDEX(卡牌消耗!$H$13:$H$33,世界BOSS专属武器!N1115)</f>
        <v>1501021</v>
      </c>
      <c r="P1115" s="52" t="s">
        <v>408</v>
      </c>
      <c r="Q1115" s="15">
        <f t="shared" si="241"/>
        <v>15</v>
      </c>
      <c r="R1115" s="52" t="str">
        <f t="shared" si="242"/>
        <v>金币</v>
      </c>
      <c r="S1115" s="15">
        <f t="shared" si="243"/>
        <v>1000</v>
      </c>
      <c r="T1115" s="15" t="str">
        <f t="shared" si="244"/>
        <v>低级专属强化石</v>
      </c>
      <c r="U1115" s="15">
        <f t="shared" si="245"/>
        <v>10</v>
      </c>
      <c r="V1115" s="15" t="str">
        <f t="shared" si="246"/>
        <v>[x]</v>
      </c>
      <c r="W1115" s="15" t="str">
        <f t="shared" si="247"/>
        <v>[x]</v>
      </c>
      <c r="X1115" s="15">
        <f t="shared" si="248"/>
        <v>0.25</v>
      </c>
      <c r="Y1115" s="15">
        <f t="shared" si="249"/>
        <v>1</v>
      </c>
      <c r="Z1115" s="15">
        <f t="shared" si="250"/>
        <v>8</v>
      </c>
      <c r="AA1115" s="15">
        <f t="shared" si="251"/>
        <v>0.1333</v>
      </c>
    </row>
    <row r="1116" spans="13:27" ht="16.5" x14ac:dyDescent="0.2">
      <c r="M1116" s="15">
        <v>1037</v>
      </c>
      <c r="N1116" s="15">
        <f t="shared" si="240"/>
        <v>21</v>
      </c>
      <c r="O1116" s="15">
        <f>INDEX(卡牌消耗!$H$13:$H$33,世界BOSS专属武器!N1116)</f>
        <v>1501021</v>
      </c>
      <c r="P1116" s="52" t="s">
        <v>408</v>
      </c>
      <c r="Q1116" s="15">
        <f t="shared" si="241"/>
        <v>16</v>
      </c>
      <c r="R1116" s="52" t="str">
        <f t="shared" si="242"/>
        <v>金币</v>
      </c>
      <c r="S1116" s="15">
        <f t="shared" si="243"/>
        <v>1000</v>
      </c>
      <c r="T1116" s="15" t="str">
        <f t="shared" si="244"/>
        <v>低级专属强化石</v>
      </c>
      <c r="U1116" s="15">
        <f t="shared" si="245"/>
        <v>10</v>
      </c>
      <c r="V1116" s="15" t="str">
        <f t="shared" si="246"/>
        <v>[x]</v>
      </c>
      <c r="W1116" s="15" t="str">
        <f t="shared" si="247"/>
        <v>[x]</v>
      </c>
      <c r="X1116" s="15">
        <f t="shared" si="248"/>
        <v>0.23</v>
      </c>
      <c r="Y1116" s="15">
        <f t="shared" si="249"/>
        <v>1</v>
      </c>
      <c r="Z1116" s="15">
        <f t="shared" si="250"/>
        <v>9</v>
      </c>
      <c r="AA1116" s="15">
        <f t="shared" si="251"/>
        <v>0.1467</v>
      </c>
    </row>
    <row r="1117" spans="13:27" ht="16.5" x14ac:dyDescent="0.2">
      <c r="M1117" s="15">
        <v>1038</v>
      </c>
      <c r="N1117" s="15">
        <f t="shared" si="240"/>
        <v>21</v>
      </c>
      <c r="O1117" s="15">
        <f>INDEX(卡牌消耗!$H$13:$H$33,世界BOSS专属武器!N1117)</f>
        <v>1501021</v>
      </c>
      <c r="P1117" s="52" t="s">
        <v>408</v>
      </c>
      <c r="Q1117" s="15">
        <f t="shared" si="241"/>
        <v>17</v>
      </c>
      <c r="R1117" s="52" t="str">
        <f t="shared" si="242"/>
        <v>金币</v>
      </c>
      <c r="S1117" s="15">
        <f t="shared" si="243"/>
        <v>1000</v>
      </c>
      <c r="T1117" s="15" t="str">
        <f t="shared" si="244"/>
        <v>低级专属强化石</v>
      </c>
      <c r="U1117" s="15">
        <f t="shared" si="245"/>
        <v>10</v>
      </c>
      <c r="V1117" s="15" t="str">
        <f t="shared" si="246"/>
        <v>[x]</v>
      </c>
      <c r="W1117" s="15" t="str">
        <f t="shared" si="247"/>
        <v>[x]</v>
      </c>
      <c r="X1117" s="15">
        <f t="shared" si="248"/>
        <v>0.21</v>
      </c>
      <c r="Y1117" s="15">
        <f t="shared" si="249"/>
        <v>1</v>
      </c>
      <c r="Z1117" s="15">
        <f t="shared" si="250"/>
        <v>10</v>
      </c>
      <c r="AA1117" s="15">
        <f t="shared" si="251"/>
        <v>0.16</v>
      </c>
    </row>
    <row r="1118" spans="13:27" ht="16.5" x14ac:dyDescent="0.2">
      <c r="M1118" s="15">
        <v>1039</v>
      </c>
      <c r="N1118" s="15">
        <f t="shared" si="240"/>
        <v>21</v>
      </c>
      <c r="O1118" s="15">
        <f>INDEX(卡牌消耗!$H$13:$H$33,世界BOSS专属武器!N1118)</f>
        <v>1501021</v>
      </c>
      <c r="P1118" s="52" t="s">
        <v>408</v>
      </c>
      <c r="Q1118" s="15">
        <f t="shared" si="241"/>
        <v>18</v>
      </c>
      <c r="R1118" s="52" t="str">
        <f t="shared" si="242"/>
        <v>金币</v>
      </c>
      <c r="S1118" s="15">
        <f t="shared" si="243"/>
        <v>1000</v>
      </c>
      <c r="T1118" s="15" t="str">
        <f t="shared" si="244"/>
        <v>低级专属强化石</v>
      </c>
      <c r="U1118" s="15">
        <f t="shared" si="245"/>
        <v>10</v>
      </c>
      <c r="V1118" s="15" t="str">
        <f t="shared" si="246"/>
        <v>[x]</v>
      </c>
      <c r="W1118" s="15" t="str">
        <f t="shared" si="247"/>
        <v>[x]</v>
      </c>
      <c r="X1118" s="15">
        <f t="shared" si="248"/>
        <v>0.19</v>
      </c>
      <c r="Y1118" s="15">
        <f t="shared" si="249"/>
        <v>1</v>
      </c>
      <c r="Z1118" s="15">
        <f t="shared" si="250"/>
        <v>11</v>
      </c>
      <c r="AA1118" s="15">
        <f t="shared" si="251"/>
        <v>0.17330000000000001</v>
      </c>
    </row>
    <row r="1119" spans="13:27" ht="16.5" x14ac:dyDescent="0.2">
      <c r="M1119" s="15">
        <v>1040</v>
      </c>
      <c r="N1119" s="15">
        <f t="shared" si="240"/>
        <v>21</v>
      </c>
      <c r="O1119" s="15">
        <f>INDEX(卡牌消耗!$H$13:$H$33,世界BOSS专属武器!N1119)</f>
        <v>1501021</v>
      </c>
      <c r="P1119" s="52" t="s">
        <v>408</v>
      </c>
      <c r="Q1119" s="15">
        <f t="shared" si="241"/>
        <v>19</v>
      </c>
      <c r="R1119" s="52" t="str">
        <f t="shared" si="242"/>
        <v>金币</v>
      </c>
      <c r="S1119" s="15">
        <f t="shared" si="243"/>
        <v>1000</v>
      </c>
      <c r="T1119" s="15" t="str">
        <f t="shared" si="244"/>
        <v>低级专属强化石</v>
      </c>
      <c r="U1119" s="15">
        <f t="shared" si="245"/>
        <v>10</v>
      </c>
      <c r="V1119" s="15" t="str">
        <f t="shared" si="246"/>
        <v>[x]</v>
      </c>
      <c r="W1119" s="15" t="str">
        <f t="shared" si="247"/>
        <v>[x]</v>
      </c>
      <c r="X1119" s="15">
        <f t="shared" si="248"/>
        <v>0.17</v>
      </c>
      <c r="Y1119" s="15">
        <f t="shared" si="249"/>
        <v>1</v>
      </c>
      <c r="Z1119" s="15">
        <f t="shared" si="250"/>
        <v>12</v>
      </c>
      <c r="AA1119" s="15">
        <f t="shared" si="251"/>
        <v>0.1867</v>
      </c>
    </row>
    <row r="1120" spans="13:27" ht="16.5" x14ac:dyDescent="0.2">
      <c r="M1120" s="15">
        <v>1041</v>
      </c>
      <c r="N1120" s="15">
        <f t="shared" si="240"/>
        <v>21</v>
      </c>
      <c r="O1120" s="15">
        <f>INDEX(卡牌消耗!$H$13:$H$33,世界BOSS专属武器!N1120)</f>
        <v>1501021</v>
      </c>
      <c r="P1120" s="52" t="s">
        <v>408</v>
      </c>
      <c r="Q1120" s="15">
        <f t="shared" si="241"/>
        <v>20</v>
      </c>
      <c r="R1120" s="52" t="str">
        <f t="shared" si="242"/>
        <v>金币</v>
      </c>
      <c r="S1120" s="15">
        <f t="shared" si="243"/>
        <v>5000</v>
      </c>
      <c r="T1120" s="15" t="str">
        <f t="shared" si="244"/>
        <v>低级专属强化石</v>
      </c>
      <c r="U1120" s="15">
        <f t="shared" si="245"/>
        <v>15</v>
      </c>
      <c r="V1120" s="15" t="str">
        <f t="shared" si="246"/>
        <v>中级专属强化石</v>
      </c>
      <c r="W1120" s="15">
        <f t="shared" si="247"/>
        <v>7</v>
      </c>
      <c r="X1120" s="15">
        <f t="shared" si="248"/>
        <v>0.15</v>
      </c>
      <c r="Y1120" s="15">
        <f t="shared" si="249"/>
        <v>1</v>
      </c>
      <c r="Z1120" s="15">
        <f t="shared" si="250"/>
        <v>15</v>
      </c>
      <c r="AA1120" s="15">
        <f t="shared" si="251"/>
        <v>0.2</v>
      </c>
    </row>
    <row r="1121" spans="13:27" ht="16.5" x14ac:dyDescent="0.2">
      <c r="M1121" s="15">
        <v>1042</v>
      </c>
      <c r="N1121" s="15">
        <f t="shared" si="240"/>
        <v>21</v>
      </c>
      <c r="O1121" s="15">
        <f>INDEX(卡牌消耗!$H$13:$H$33,世界BOSS专属武器!N1121)</f>
        <v>1501021</v>
      </c>
      <c r="P1121" s="52" t="s">
        <v>408</v>
      </c>
      <c r="Q1121" s="15">
        <f t="shared" si="241"/>
        <v>21</v>
      </c>
      <c r="R1121" s="52" t="str">
        <f t="shared" si="242"/>
        <v>金币</v>
      </c>
      <c r="S1121" s="15">
        <f t="shared" si="243"/>
        <v>5000</v>
      </c>
      <c r="T1121" s="15" t="str">
        <f t="shared" si="244"/>
        <v>低级专属强化石</v>
      </c>
      <c r="U1121" s="15">
        <f t="shared" si="245"/>
        <v>15</v>
      </c>
      <c r="V1121" s="15" t="str">
        <f t="shared" si="246"/>
        <v>中级专属强化石</v>
      </c>
      <c r="W1121" s="15">
        <f t="shared" si="247"/>
        <v>7</v>
      </c>
      <c r="X1121" s="15">
        <f t="shared" si="248"/>
        <v>0.15</v>
      </c>
      <c r="Y1121" s="15">
        <f t="shared" si="249"/>
        <v>1</v>
      </c>
      <c r="Z1121" s="15">
        <f t="shared" si="250"/>
        <v>15</v>
      </c>
      <c r="AA1121" s="15">
        <f t="shared" si="251"/>
        <v>0.22</v>
      </c>
    </row>
    <row r="1122" spans="13:27" ht="16.5" x14ac:dyDescent="0.2">
      <c r="M1122" s="15">
        <v>1043</v>
      </c>
      <c r="N1122" s="15">
        <f t="shared" si="240"/>
        <v>21</v>
      </c>
      <c r="O1122" s="15">
        <f>INDEX(卡牌消耗!$H$13:$H$33,世界BOSS专属武器!N1122)</f>
        <v>1501021</v>
      </c>
      <c r="P1122" s="52" t="s">
        <v>408</v>
      </c>
      <c r="Q1122" s="15">
        <f t="shared" si="241"/>
        <v>22</v>
      </c>
      <c r="R1122" s="52" t="str">
        <f t="shared" si="242"/>
        <v>金币</v>
      </c>
      <c r="S1122" s="15">
        <f t="shared" si="243"/>
        <v>5000</v>
      </c>
      <c r="T1122" s="15" t="str">
        <f t="shared" si="244"/>
        <v>低级专属强化石</v>
      </c>
      <c r="U1122" s="15">
        <f t="shared" si="245"/>
        <v>15</v>
      </c>
      <c r="V1122" s="15" t="str">
        <f t="shared" si="246"/>
        <v>中级专属强化石</v>
      </c>
      <c r="W1122" s="15">
        <f t="shared" si="247"/>
        <v>7</v>
      </c>
      <c r="X1122" s="15">
        <f t="shared" si="248"/>
        <v>0.15</v>
      </c>
      <c r="Y1122" s="15">
        <f t="shared" si="249"/>
        <v>1</v>
      </c>
      <c r="Z1122" s="15">
        <f t="shared" si="250"/>
        <v>15</v>
      </c>
      <c r="AA1122" s="15">
        <f t="shared" si="251"/>
        <v>0.24</v>
      </c>
    </row>
    <row r="1123" spans="13:27" ht="16.5" x14ac:dyDescent="0.2">
      <c r="M1123" s="15">
        <v>1044</v>
      </c>
      <c r="N1123" s="15">
        <f t="shared" si="240"/>
        <v>21</v>
      </c>
      <c r="O1123" s="15">
        <f>INDEX(卡牌消耗!$H$13:$H$33,世界BOSS专属武器!N1123)</f>
        <v>1501021</v>
      </c>
      <c r="P1123" s="52" t="s">
        <v>408</v>
      </c>
      <c r="Q1123" s="15">
        <f t="shared" si="241"/>
        <v>23</v>
      </c>
      <c r="R1123" s="52" t="str">
        <f t="shared" si="242"/>
        <v>金币</v>
      </c>
      <c r="S1123" s="15">
        <f t="shared" si="243"/>
        <v>5000</v>
      </c>
      <c r="T1123" s="15" t="str">
        <f t="shared" si="244"/>
        <v>低级专属强化石</v>
      </c>
      <c r="U1123" s="15">
        <f t="shared" si="245"/>
        <v>15</v>
      </c>
      <c r="V1123" s="15" t="str">
        <f t="shared" si="246"/>
        <v>中级专属强化石</v>
      </c>
      <c r="W1123" s="15">
        <f t="shared" si="247"/>
        <v>7</v>
      </c>
      <c r="X1123" s="15">
        <f t="shared" si="248"/>
        <v>0.15</v>
      </c>
      <c r="Y1123" s="15">
        <f t="shared" si="249"/>
        <v>1</v>
      </c>
      <c r="Z1123" s="15">
        <f t="shared" si="250"/>
        <v>18</v>
      </c>
      <c r="AA1123" s="15">
        <f t="shared" si="251"/>
        <v>0.26</v>
      </c>
    </row>
    <row r="1124" spans="13:27" ht="16.5" x14ac:dyDescent="0.2">
      <c r="M1124" s="15">
        <v>1045</v>
      </c>
      <c r="N1124" s="15">
        <f t="shared" si="240"/>
        <v>21</v>
      </c>
      <c r="O1124" s="15">
        <f>INDEX(卡牌消耗!$H$13:$H$33,世界BOSS专属武器!N1124)</f>
        <v>1501021</v>
      </c>
      <c r="P1124" s="52" t="s">
        <v>408</v>
      </c>
      <c r="Q1124" s="15">
        <f t="shared" si="241"/>
        <v>24</v>
      </c>
      <c r="R1124" s="52" t="str">
        <f t="shared" si="242"/>
        <v>金币</v>
      </c>
      <c r="S1124" s="15">
        <f t="shared" si="243"/>
        <v>5000</v>
      </c>
      <c r="T1124" s="15" t="str">
        <f t="shared" si="244"/>
        <v>低级专属强化石</v>
      </c>
      <c r="U1124" s="15">
        <f t="shared" si="245"/>
        <v>15</v>
      </c>
      <c r="V1124" s="15" t="str">
        <f t="shared" si="246"/>
        <v>中级专属强化石</v>
      </c>
      <c r="W1124" s="15">
        <f t="shared" si="247"/>
        <v>7</v>
      </c>
      <c r="X1124" s="15">
        <f t="shared" si="248"/>
        <v>0.15</v>
      </c>
      <c r="Y1124" s="15">
        <f t="shared" si="249"/>
        <v>1</v>
      </c>
      <c r="Z1124" s="15">
        <f t="shared" si="250"/>
        <v>18</v>
      </c>
      <c r="AA1124" s="15">
        <f t="shared" si="251"/>
        <v>0.28000000000000003</v>
      </c>
    </row>
    <row r="1125" spans="13:27" ht="16.5" x14ac:dyDescent="0.2">
      <c r="M1125" s="15">
        <v>1046</v>
      </c>
      <c r="N1125" s="15">
        <f t="shared" si="240"/>
        <v>21</v>
      </c>
      <c r="O1125" s="15">
        <f>INDEX(卡牌消耗!$H$13:$H$33,世界BOSS专属武器!N1125)</f>
        <v>1501021</v>
      </c>
      <c r="P1125" s="52" t="s">
        <v>408</v>
      </c>
      <c r="Q1125" s="15">
        <f t="shared" si="241"/>
        <v>25</v>
      </c>
      <c r="R1125" s="52" t="str">
        <f t="shared" si="242"/>
        <v>金币</v>
      </c>
      <c r="S1125" s="15">
        <f t="shared" si="243"/>
        <v>5000</v>
      </c>
      <c r="T1125" s="15" t="str">
        <f t="shared" si="244"/>
        <v>低级专属强化石</v>
      </c>
      <c r="U1125" s="15">
        <f t="shared" si="245"/>
        <v>15</v>
      </c>
      <c r="V1125" s="15" t="str">
        <f t="shared" si="246"/>
        <v>中级专属强化石</v>
      </c>
      <c r="W1125" s="15">
        <f t="shared" si="247"/>
        <v>7</v>
      </c>
      <c r="X1125" s="15">
        <f t="shared" si="248"/>
        <v>0.15</v>
      </c>
      <c r="Y1125" s="15">
        <f t="shared" si="249"/>
        <v>1</v>
      </c>
      <c r="Z1125" s="15">
        <f t="shared" si="250"/>
        <v>18</v>
      </c>
      <c r="AA1125" s="15">
        <f t="shared" si="251"/>
        <v>0.3</v>
      </c>
    </row>
    <row r="1126" spans="13:27" ht="16.5" x14ac:dyDescent="0.2">
      <c r="M1126" s="15">
        <v>1047</v>
      </c>
      <c r="N1126" s="15">
        <f t="shared" si="240"/>
        <v>21</v>
      </c>
      <c r="O1126" s="15">
        <f>INDEX(卡牌消耗!$H$13:$H$33,世界BOSS专属武器!N1126)</f>
        <v>1501021</v>
      </c>
      <c r="P1126" s="52" t="s">
        <v>408</v>
      </c>
      <c r="Q1126" s="15">
        <f t="shared" si="241"/>
        <v>26</v>
      </c>
      <c r="R1126" s="52" t="str">
        <f t="shared" si="242"/>
        <v>金币</v>
      </c>
      <c r="S1126" s="15">
        <f t="shared" si="243"/>
        <v>5000</v>
      </c>
      <c r="T1126" s="15" t="str">
        <f t="shared" si="244"/>
        <v>低级专属强化石</v>
      </c>
      <c r="U1126" s="15">
        <f t="shared" si="245"/>
        <v>15</v>
      </c>
      <c r="V1126" s="15" t="str">
        <f t="shared" si="246"/>
        <v>中级专属强化石</v>
      </c>
      <c r="W1126" s="15">
        <f t="shared" si="247"/>
        <v>7</v>
      </c>
      <c r="X1126" s="15">
        <f t="shared" si="248"/>
        <v>0.15</v>
      </c>
      <c r="Y1126" s="15">
        <f t="shared" si="249"/>
        <v>1</v>
      </c>
      <c r="Z1126" s="15">
        <f t="shared" si="250"/>
        <v>21</v>
      </c>
      <c r="AA1126" s="15">
        <f t="shared" si="251"/>
        <v>0.32</v>
      </c>
    </row>
    <row r="1127" spans="13:27" ht="16.5" x14ac:dyDescent="0.2">
      <c r="M1127" s="15">
        <v>1048</v>
      </c>
      <c r="N1127" s="15">
        <f t="shared" si="240"/>
        <v>21</v>
      </c>
      <c r="O1127" s="15">
        <f>INDEX(卡牌消耗!$H$13:$H$33,世界BOSS专属武器!N1127)</f>
        <v>1501021</v>
      </c>
      <c r="P1127" s="52" t="s">
        <v>408</v>
      </c>
      <c r="Q1127" s="15">
        <f t="shared" si="241"/>
        <v>27</v>
      </c>
      <c r="R1127" s="52" t="str">
        <f t="shared" si="242"/>
        <v>金币</v>
      </c>
      <c r="S1127" s="15">
        <f t="shared" si="243"/>
        <v>5000</v>
      </c>
      <c r="T1127" s="15" t="str">
        <f t="shared" si="244"/>
        <v>低级专属强化石</v>
      </c>
      <c r="U1127" s="15">
        <f t="shared" si="245"/>
        <v>15</v>
      </c>
      <c r="V1127" s="15" t="str">
        <f t="shared" si="246"/>
        <v>中级专属强化石</v>
      </c>
      <c r="W1127" s="15">
        <f t="shared" si="247"/>
        <v>7</v>
      </c>
      <c r="X1127" s="15">
        <f t="shared" si="248"/>
        <v>0.15</v>
      </c>
      <c r="Y1127" s="15">
        <f t="shared" si="249"/>
        <v>1</v>
      </c>
      <c r="Z1127" s="15">
        <f t="shared" si="250"/>
        <v>22</v>
      </c>
      <c r="AA1127" s="15">
        <f t="shared" si="251"/>
        <v>0.34</v>
      </c>
    </row>
    <row r="1128" spans="13:27" ht="16.5" x14ac:dyDescent="0.2">
      <c r="M1128" s="15">
        <v>1049</v>
      </c>
      <c r="N1128" s="15">
        <f t="shared" si="240"/>
        <v>21</v>
      </c>
      <c r="O1128" s="15">
        <f>INDEX(卡牌消耗!$H$13:$H$33,世界BOSS专属武器!N1128)</f>
        <v>1501021</v>
      </c>
      <c r="P1128" s="52" t="s">
        <v>408</v>
      </c>
      <c r="Q1128" s="15">
        <f t="shared" si="241"/>
        <v>28</v>
      </c>
      <c r="R1128" s="52" t="str">
        <f t="shared" si="242"/>
        <v>金币</v>
      </c>
      <c r="S1128" s="15">
        <f t="shared" si="243"/>
        <v>5000</v>
      </c>
      <c r="T1128" s="15" t="str">
        <f t="shared" si="244"/>
        <v>低级专属强化石</v>
      </c>
      <c r="U1128" s="15">
        <f t="shared" si="245"/>
        <v>15</v>
      </c>
      <c r="V1128" s="15" t="str">
        <f t="shared" si="246"/>
        <v>中级专属强化石</v>
      </c>
      <c r="W1128" s="15">
        <f t="shared" si="247"/>
        <v>7</v>
      </c>
      <c r="X1128" s="15">
        <f t="shared" si="248"/>
        <v>0.15</v>
      </c>
      <c r="Y1128" s="15">
        <f t="shared" si="249"/>
        <v>1</v>
      </c>
      <c r="Z1128" s="15">
        <f t="shared" si="250"/>
        <v>23</v>
      </c>
      <c r="AA1128" s="15">
        <f t="shared" si="251"/>
        <v>0.36</v>
      </c>
    </row>
    <row r="1129" spans="13:27" ht="16.5" x14ac:dyDescent="0.2">
      <c r="M1129" s="15">
        <v>1050</v>
      </c>
      <c r="N1129" s="15">
        <f t="shared" si="240"/>
        <v>21</v>
      </c>
      <c r="O1129" s="15">
        <f>INDEX(卡牌消耗!$H$13:$H$33,世界BOSS专属武器!N1129)</f>
        <v>1501021</v>
      </c>
      <c r="P1129" s="52" t="s">
        <v>408</v>
      </c>
      <c r="Q1129" s="15">
        <f t="shared" si="241"/>
        <v>29</v>
      </c>
      <c r="R1129" s="52" t="str">
        <f t="shared" si="242"/>
        <v>金币</v>
      </c>
      <c r="S1129" s="15">
        <f t="shared" si="243"/>
        <v>5000</v>
      </c>
      <c r="T1129" s="15" t="str">
        <f t="shared" si="244"/>
        <v>低级专属强化石</v>
      </c>
      <c r="U1129" s="15">
        <f t="shared" si="245"/>
        <v>15</v>
      </c>
      <c r="V1129" s="15" t="str">
        <f t="shared" si="246"/>
        <v>中级专属强化石</v>
      </c>
      <c r="W1129" s="15">
        <f t="shared" si="247"/>
        <v>7</v>
      </c>
      <c r="X1129" s="15">
        <f t="shared" si="248"/>
        <v>0.15</v>
      </c>
      <c r="Y1129" s="15">
        <f t="shared" si="249"/>
        <v>1</v>
      </c>
      <c r="Z1129" s="15">
        <f t="shared" si="250"/>
        <v>25</v>
      </c>
      <c r="AA1129" s="15">
        <f t="shared" si="251"/>
        <v>0.38</v>
      </c>
    </row>
    <row r="1130" spans="13:27" ht="16.5" x14ac:dyDescent="0.2">
      <c r="M1130" s="15">
        <v>1051</v>
      </c>
      <c r="N1130" s="15">
        <f t="shared" si="240"/>
        <v>21</v>
      </c>
      <c r="O1130" s="15">
        <f>INDEX(卡牌消耗!$H$13:$H$33,世界BOSS专属武器!N1130)</f>
        <v>1501021</v>
      </c>
      <c r="P1130" s="52" t="s">
        <v>408</v>
      </c>
      <c r="Q1130" s="15">
        <f t="shared" ref="Q1130:Q1150" si="252">MOD(M1130-1,51)</f>
        <v>30</v>
      </c>
      <c r="R1130" s="52" t="str">
        <f t="shared" ref="R1130:R1150" si="253">IF(Q1130&gt;0,"金币","[x]")</f>
        <v>金币</v>
      </c>
      <c r="S1130" s="15">
        <f t="shared" ref="S1130:S1150" si="254">IF(Q1130&gt;0,INDEX($V$27:$V$76,Q1130),"[x]")</f>
        <v>10000</v>
      </c>
      <c r="T1130" s="15" t="str">
        <f t="shared" ref="T1130:T1150" si="255">IF(Q1130&gt;0,INDEX($W$27:$W$76,Q1130),"[x]")</f>
        <v>中级专属强化石</v>
      </c>
      <c r="U1130" s="15">
        <f t="shared" ref="U1130:U1150" si="256">IF(Q1130&gt;0,INDEX($AA$27:$AF$76,Q1130,INDEX($Y$27:$Y$76,Q1130)),"[x]")</f>
        <v>8</v>
      </c>
      <c r="V1130" s="15" t="str">
        <f t="shared" ref="V1130:V1150" si="257">IF(AND(Q1130&gt;=20,Q1130&lt;40),INDEX($X$27:$X$76,Q1130),"[x]")</f>
        <v>高级专属强化石</v>
      </c>
      <c r="W1130" s="15">
        <f t="shared" ref="W1130:W1150" si="258">IF(AND(Q1130&gt;=20,Q1130&lt;40),INDEX($AA$27:$AF$76,Q1130,INDEX($Z$27:$Z$76,Q1130)),"[x]")</f>
        <v>3</v>
      </c>
      <c r="X1130" s="15">
        <f t="shared" ref="X1130:X1150" si="259">IF(Q1130&gt;0,INDEX($T$27:$T$76,Q1130),"[x]")</f>
        <v>0.1</v>
      </c>
      <c r="Y1130" s="15">
        <f t="shared" ref="Y1130:Y1150" si="260">IF(Q1130&gt;0,1,"[x]")</f>
        <v>1</v>
      </c>
      <c r="Z1130" s="15">
        <f t="shared" ref="Z1130:Z1150" si="261">IF(Q1130&gt;0,INDEX($AG$27:$AG$76,Q1130),"[x]")</f>
        <v>30</v>
      </c>
      <c r="AA1130" s="15">
        <f t="shared" ref="AA1130:AA1150" si="262">IF(Q1130&gt;0,INDEX($AL$27:$AL$76,Q1130),"[x]")</f>
        <v>0.4</v>
      </c>
    </row>
    <row r="1131" spans="13:27" ht="16.5" x14ac:dyDescent="0.2">
      <c r="M1131" s="15">
        <v>1052</v>
      </c>
      <c r="N1131" s="15">
        <f t="shared" si="240"/>
        <v>21</v>
      </c>
      <c r="O1131" s="15">
        <f>INDEX(卡牌消耗!$H$13:$H$33,世界BOSS专属武器!N1131)</f>
        <v>1501021</v>
      </c>
      <c r="P1131" s="52" t="s">
        <v>408</v>
      </c>
      <c r="Q1131" s="15">
        <f t="shared" si="252"/>
        <v>31</v>
      </c>
      <c r="R1131" s="52" t="str">
        <f t="shared" si="253"/>
        <v>金币</v>
      </c>
      <c r="S1131" s="15">
        <f t="shared" si="254"/>
        <v>10000</v>
      </c>
      <c r="T1131" s="15" t="str">
        <f t="shared" si="255"/>
        <v>中级专属强化石</v>
      </c>
      <c r="U1131" s="15">
        <f t="shared" si="256"/>
        <v>8</v>
      </c>
      <c r="V1131" s="15" t="str">
        <f t="shared" si="257"/>
        <v>高级专属强化石</v>
      </c>
      <c r="W1131" s="15">
        <f t="shared" si="258"/>
        <v>3</v>
      </c>
      <c r="X1131" s="15">
        <f t="shared" si="259"/>
        <v>0.1</v>
      </c>
      <c r="Y1131" s="15">
        <f t="shared" si="260"/>
        <v>1</v>
      </c>
      <c r="Z1131" s="15">
        <f t="shared" si="261"/>
        <v>30</v>
      </c>
      <c r="AA1131" s="15">
        <f t="shared" si="262"/>
        <v>0.42670000000000002</v>
      </c>
    </row>
    <row r="1132" spans="13:27" ht="16.5" x14ac:dyDescent="0.2">
      <c r="M1132" s="15">
        <v>1053</v>
      </c>
      <c r="N1132" s="15">
        <f t="shared" si="240"/>
        <v>21</v>
      </c>
      <c r="O1132" s="15">
        <f>INDEX(卡牌消耗!$H$13:$H$33,世界BOSS专属武器!N1132)</f>
        <v>1501021</v>
      </c>
      <c r="P1132" s="52" t="s">
        <v>408</v>
      </c>
      <c r="Q1132" s="15">
        <f t="shared" si="252"/>
        <v>32</v>
      </c>
      <c r="R1132" s="52" t="str">
        <f t="shared" si="253"/>
        <v>金币</v>
      </c>
      <c r="S1132" s="15">
        <f t="shared" si="254"/>
        <v>10000</v>
      </c>
      <c r="T1132" s="15" t="str">
        <f t="shared" si="255"/>
        <v>中级专属强化石</v>
      </c>
      <c r="U1132" s="15">
        <f t="shared" si="256"/>
        <v>8</v>
      </c>
      <c r="V1132" s="15" t="str">
        <f t="shared" si="257"/>
        <v>高级专属强化石</v>
      </c>
      <c r="W1132" s="15">
        <f t="shared" si="258"/>
        <v>3</v>
      </c>
      <c r="X1132" s="15">
        <f t="shared" si="259"/>
        <v>0.1</v>
      </c>
      <c r="Y1132" s="15">
        <f t="shared" si="260"/>
        <v>1</v>
      </c>
      <c r="Z1132" s="15">
        <f t="shared" si="261"/>
        <v>30</v>
      </c>
      <c r="AA1132" s="15">
        <f t="shared" si="262"/>
        <v>0.45329999999999998</v>
      </c>
    </row>
    <row r="1133" spans="13:27" ht="16.5" x14ac:dyDescent="0.2">
      <c r="M1133" s="15">
        <v>1054</v>
      </c>
      <c r="N1133" s="15">
        <f t="shared" si="240"/>
        <v>21</v>
      </c>
      <c r="O1133" s="15">
        <f>INDEX(卡牌消耗!$H$13:$H$33,世界BOSS专属武器!N1133)</f>
        <v>1501021</v>
      </c>
      <c r="P1133" s="52" t="s">
        <v>408</v>
      </c>
      <c r="Q1133" s="15">
        <f t="shared" si="252"/>
        <v>33</v>
      </c>
      <c r="R1133" s="52" t="str">
        <f t="shared" si="253"/>
        <v>金币</v>
      </c>
      <c r="S1133" s="15">
        <f t="shared" si="254"/>
        <v>10000</v>
      </c>
      <c r="T1133" s="15" t="str">
        <f t="shared" si="255"/>
        <v>中级专属强化石</v>
      </c>
      <c r="U1133" s="15">
        <f t="shared" si="256"/>
        <v>8</v>
      </c>
      <c r="V1133" s="15" t="str">
        <f t="shared" si="257"/>
        <v>高级专属强化石</v>
      </c>
      <c r="W1133" s="15">
        <f t="shared" si="258"/>
        <v>3</v>
      </c>
      <c r="X1133" s="15">
        <f t="shared" si="259"/>
        <v>0.1</v>
      </c>
      <c r="Y1133" s="15">
        <f t="shared" si="260"/>
        <v>1</v>
      </c>
      <c r="Z1133" s="15">
        <f t="shared" si="261"/>
        <v>30</v>
      </c>
      <c r="AA1133" s="15">
        <f t="shared" si="262"/>
        <v>0.48</v>
      </c>
    </row>
    <row r="1134" spans="13:27" ht="16.5" x14ac:dyDescent="0.2">
      <c r="M1134" s="15">
        <v>1055</v>
      </c>
      <c r="N1134" s="15">
        <f t="shared" si="240"/>
        <v>21</v>
      </c>
      <c r="O1134" s="15">
        <f>INDEX(卡牌消耗!$H$13:$H$33,世界BOSS专属武器!N1134)</f>
        <v>1501021</v>
      </c>
      <c r="P1134" s="52" t="s">
        <v>408</v>
      </c>
      <c r="Q1134" s="15">
        <f t="shared" si="252"/>
        <v>34</v>
      </c>
      <c r="R1134" s="52" t="str">
        <f t="shared" si="253"/>
        <v>金币</v>
      </c>
      <c r="S1134" s="15">
        <f t="shared" si="254"/>
        <v>10000</v>
      </c>
      <c r="T1134" s="15" t="str">
        <f t="shared" si="255"/>
        <v>中级专属强化石</v>
      </c>
      <c r="U1134" s="15">
        <f t="shared" si="256"/>
        <v>8</v>
      </c>
      <c r="V1134" s="15" t="str">
        <f t="shared" si="257"/>
        <v>高级专属强化石</v>
      </c>
      <c r="W1134" s="15">
        <f t="shared" si="258"/>
        <v>3</v>
      </c>
      <c r="X1134" s="15">
        <f t="shared" si="259"/>
        <v>0.1</v>
      </c>
      <c r="Y1134" s="15">
        <f t="shared" si="260"/>
        <v>1</v>
      </c>
      <c r="Z1134" s="15">
        <f t="shared" si="261"/>
        <v>30</v>
      </c>
      <c r="AA1134" s="15">
        <f t="shared" si="262"/>
        <v>0.50670000000000004</v>
      </c>
    </row>
    <row r="1135" spans="13:27" ht="16.5" x14ac:dyDescent="0.2">
      <c r="M1135" s="15">
        <v>1056</v>
      </c>
      <c r="N1135" s="15">
        <f t="shared" si="240"/>
        <v>21</v>
      </c>
      <c r="O1135" s="15">
        <f>INDEX(卡牌消耗!$H$13:$H$33,世界BOSS专属武器!N1135)</f>
        <v>1501021</v>
      </c>
      <c r="P1135" s="52" t="s">
        <v>408</v>
      </c>
      <c r="Q1135" s="15">
        <f t="shared" si="252"/>
        <v>35</v>
      </c>
      <c r="R1135" s="52" t="str">
        <f t="shared" si="253"/>
        <v>金币</v>
      </c>
      <c r="S1135" s="15">
        <f t="shared" si="254"/>
        <v>10000</v>
      </c>
      <c r="T1135" s="15" t="str">
        <f t="shared" si="255"/>
        <v>中级专属强化石</v>
      </c>
      <c r="U1135" s="15">
        <f t="shared" si="256"/>
        <v>8</v>
      </c>
      <c r="V1135" s="15" t="str">
        <f t="shared" si="257"/>
        <v>高级专属强化石</v>
      </c>
      <c r="W1135" s="15">
        <f t="shared" si="258"/>
        <v>3</v>
      </c>
      <c r="X1135" s="15">
        <f t="shared" si="259"/>
        <v>0.1</v>
      </c>
      <c r="Y1135" s="15">
        <f t="shared" si="260"/>
        <v>1</v>
      </c>
      <c r="Z1135" s="15">
        <f t="shared" si="261"/>
        <v>30</v>
      </c>
      <c r="AA1135" s="15">
        <f t="shared" si="262"/>
        <v>0.5333</v>
      </c>
    </row>
    <row r="1136" spans="13:27" ht="16.5" x14ac:dyDescent="0.2">
      <c r="M1136" s="15">
        <v>1057</v>
      </c>
      <c r="N1136" s="15">
        <f t="shared" si="240"/>
        <v>21</v>
      </c>
      <c r="O1136" s="15">
        <f>INDEX(卡牌消耗!$H$13:$H$33,世界BOSS专属武器!N1136)</f>
        <v>1501021</v>
      </c>
      <c r="P1136" s="52" t="s">
        <v>408</v>
      </c>
      <c r="Q1136" s="15">
        <f t="shared" si="252"/>
        <v>36</v>
      </c>
      <c r="R1136" s="52" t="str">
        <f t="shared" si="253"/>
        <v>金币</v>
      </c>
      <c r="S1136" s="15">
        <f t="shared" si="254"/>
        <v>10000</v>
      </c>
      <c r="T1136" s="15" t="str">
        <f t="shared" si="255"/>
        <v>中级专属强化石</v>
      </c>
      <c r="U1136" s="15">
        <f t="shared" si="256"/>
        <v>8</v>
      </c>
      <c r="V1136" s="15" t="str">
        <f t="shared" si="257"/>
        <v>高级专属强化石</v>
      </c>
      <c r="W1136" s="15">
        <f t="shared" si="258"/>
        <v>3</v>
      </c>
      <c r="X1136" s="15">
        <f t="shared" si="259"/>
        <v>0.1</v>
      </c>
      <c r="Y1136" s="15">
        <f t="shared" si="260"/>
        <v>1</v>
      </c>
      <c r="Z1136" s="15">
        <f t="shared" si="261"/>
        <v>30</v>
      </c>
      <c r="AA1136" s="15">
        <f t="shared" si="262"/>
        <v>0.56000000000000005</v>
      </c>
    </row>
    <row r="1137" spans="13:27" ht="16.5" x14ac:dyDescent="0.2">
      <c r="M1137" s="15">
        <v>1058</v>
      </c>
      <c r="N1137" s="15">
        <f t="shared" si="240"/>
        <v>21</v>
      </c>
      <c r="O1137" s="15">
        <f>INDEX(卡牌消耗!$H$13:$H$33,世界BOSS专属武器!N1137)</f>
        <v>1501021</v>
      </c>
      <c r="P1137" s="52" t="s">
        <v>408</v>
      </c>
      <c r="Q1137" s="15">
        <f t="shared" si="252"/>
        <v>37</v>
      </c>
      <c r="R1137" s="52" t="str">
        <f t="shared" si="253"/>
        <v>金币</v>
      </c>
      <c r="S1137" s="15">
        <f t="shared" si="254"/>
        <v>10000</v>
      </c>
      <c r="T1137" s="15" t="str">
        <f t="shared" si="255"/>
        <v>中级专属强化石</v>
      </c>
      <c r="U1137" s="15">
        <f t="shared" si="256"/>
        <v>8</v>
      </c>
      <c r="V1137" s="15" t="str">
        <f t="shared" si="257"/>
        <v>高级专属强化石</v>
      </c>
      <c r="W1137" s="15">
        <f t="shared" si="258"/>
        <v>3</v>
      </c>
      <c r="X1137" s="15">
        <f t="shared" si="259"/>
        <v>0.1</v>
      </c>
      <c r="Y1137" s="15">
        <f t="shared" si="260"/>
        <v>1</v>
      </c>
      <c r="Z1137" s="15">
        <f t="shared" si="261"/>
        <v>30</v>
      </c>
      <c r="AA1137" s="15">
        <f t="shared" si="262"/>
        <v>0.5867</v>
      </c>
    </row>
    <row r="1138" spans="13:27" ht="16.5" x14ac:dyDescent="0.2">
      <c r="M1138" s="15">
        <v>1059</v>
      </c>
      <c r="N1138" s="15">
        <f t="shared" si="240"/>
        <v>21</v>
      </c>
      <c r="O1138" s="15">
        <f>INDEX(卡牌消耗!$H$13:$H$33,世界BOSS专属武器!N1138)</f>
        <v>1501021</v>
      </c>
      <c r="P1138" s="52" t="s">
        <v>408</v>
      </c>
      <c r="Q1138" s="15">
        <f t="shared" si="252"/>
        <v>38</v>
      </c>
      <c r="R1138" s="52" t="str">
        <f t="shared" si="253"/>
        <v>金币</v>
      </c>
      <c r="S1138" s="15">
        <f t="shared" si="254"/>
        <v>10000</v>
      </c>
      <c r="T1138" s="15" t="str">
        <f t="shared" si="255"/>
        <v>中级专属强化石</v>
      </c>
      <c r="U1138" s="15">
        <f t="shared" si="256"/>
        <v>8</v>
      </c>
      <c r="V1138" s="15" t="str">
        <f t="shared" si="257"/>
        <v>高级专属强化石</v>
      </c>
      <c r="W1138" s="15">
        <f t="shared" si="258"/>
        <v>3</v>
      </c>
      <c r="X1138" s="15">
        <f t="shared" si="259"/>
        <v>0.1</v>
      </c>
      <c r="Y1138" s="15">
        <f t="shared" si="260"/>
        <v>1</v>
      </c>
      <c r="Z1138" s="15">
        <f t="shared" si="261"/>
        <v>30</v>
      </c>
      <c r="AA1138" s="15">
        <f t="shared" si="262"/>
        <v>0.61329999999999996</v>
      </c>
    </row>
    <row r="1139" spans="13:27" ht="16.5" x14ac:dyDescent="0.2">
      <c r="M1139" s="15">
        <v>1060</v>
      </c>
      <c r="N1139" s="15">
        <f t="shared" si="240"/>
        <v>21</v>
      </c>
      <c r="O1139" s="15">
        <f>INDEX(卡牌消耗!$H$13:$H$33,世界BOSS专属武器!N1139)</f>
        <v>1501021</v>
      </c>
      <c r="P1139" s="52" t="s">
        <v>408</v>
      </c>
      <c r="Q1139" s="15">
        <f t="shared" si="252"/>
        <v>39</v>
      </c>
      <c r="R1139" s="52" t="str">
        <f t="shared" si="253"/>
        <v>金币</v>
      </c>
      <c r="S1139" s="15">
        <f t="shared" si="254"/>
        <v>10000</v>
      </c>
      <c r="T1139" s="15" t="str">
        <f t="shared" si="255"/>
        <v>中级专属强化石</v>
      </c>
      <c r="U1139" s="15">
        <f t="shared" si="256"/>
        <v>8</v>
      </c>
      <c r="V1139" s="15" t="str">
        <f t="shared" si="257"/>
        <v>高级专属强化石</v>
      </c>
      <c r="W1139" s="15">
        <f t="shared" si="258"/>
        <v>3</v>
      </c>
      <c r="X1139" s="15">
        <f t="shared" si="259"/>
        <v>0.1</v>
      </c>
      <c r="Y1139" s="15">
        <f t="shared" si="260"/>
        <v>1</v>
      </c>
      <c r="Z1139" s="15">
        <f t="shared" si="261"/>
        <v>30</v>
      </c>
      <c r="AA1139" s="15">
        <f t="shared" si="262"/>
        <v>0.64</v>
      </c>
    </row>
    <row r="1140" spans="13:27" ht="16.5" x14ac:dyDescent="0.2">
      <c r="M1140" s="15">
        <v>1061</v>
      </c>
      <c r="N1140" s="15">
        <f t="shared" si="240"/>
        <v>21</v>
      </c>
      <c r="O1140" s="15">
        <f>INDEX(卡牌消耗!$H$13:$H$33,世界BOSS专属武器!N1140)</f>
        <v>1501021</v>
      </c>
      <c r="P1140" s="52" t="s">
        <v>408</v>
      </c>
      <c r="Q1140" s="15">
        <f t="shared" si="252"/>
        <v>40</v>
      </c>
      <c r="R1140" s="52" t="str">
        <f t="shared" si="253"/>
        <v>金币</v>
      </c>
      <c r="S1140" s="15">
        <f t="shared" si="254"/>
        <v>20000</v>
      </c>
      <c r="T1140" s="15" t="str">
        <f t="shared" si="255"/>
        <v>高级专属强化石</v>
      </c>
      <c r="U1140" s="15">
        <f t="shared" si="256"/>
        <v>5</v>
      </c>
      <c r="V1140" s="15" t="str">
        <f t="shared" si="257"/>
        <v>[x]</v>
      </c>
      <c r="W1140" s="15" t="str">
        <f t="shared" si="258"/>
        <v>[x]</v>
      </c>
      <c r="X1140" s="15">
        <f t="shared" si="259"/>
        <v>0.1</v>
      </c>
      <c r="Y1140" s="15">
        <f t="shared" si="260"/>
        <v>1</v>
      </c>
      <c r="Z1140" s="15">
        <f t="shared" si="261"/>
        <v>35</v>
      </c>
      <c r="AA1140" s="15">
        <f t="shared" si="262"/>
        <v>0.66669999999999996</v>
      </c>
    </row>
    <row r="1141" spans="13:27" ht="16.5" x14ac:dyDescent="0.2">
      <c r="M1141" s="15">
        <v>1062</v>
      </c>
      <c r="N1141" s="15">
        <f t="shared" si="240"/>
        <v>21</v>
      </c>
      <c r="O1141" s="15">
        <f>INDEX(卡牌消耗!$H$13:$H$33,世界BOSS专属武器!N1141)</f>
        <v>1501021</v>
      </c>
      <c r="P1141" s="52" t="s">
        <v>408</v>
      </c>
      <c r="Q1141" s="15">
        <f t="shared" si="252"/>
        <v>41</v>
      </c>
      <c r="R1141" s="52" t="str">
        <f t="shared" si="253"/>
        <v>金币</v>
      </c>
      <c r="S1141" s="15">
        <f t="shared" si="254"/>
        <v>20000</v>
      </c>
      <c r="T1141" s="15" t="str">
        <f t="shared" si="255"/>
        <v>高级专属强化石</v>
      </c>
      <c r="U1141" s="15">
        <f t="shared" si="256"/>
        <v>5</v>
      </c>
      <c r="V1141" s="15" t="str">
        <f t="shared" si="257"/>
        <v>[x]</v>
      </c>
      <c r="W1141" s="15" t="str">
        <f t="shared" si="258"/>
        <v>[x]</v>
      </c>
      <c r="X1141" s="15">
        <f t="shared" si="259"/>
        <v>0.1</v>
      </c>
      <c r="Y1141" s="15">
        <f t="shared" si="260"/>
        <v>1</v>
      </c>
      <c r="Z1141" s="15">
        <f t="shared" si="261"/>
        <v>40</v>
      </c>
      <c r="AA1141" s="15">
        <f t="shared" si="262"/>
        <v>0.7</v>
      </c>
    </row>
    <row r="1142" spans="13:27" ht="16.5" x14ac:dyDescent="0.2">
      <c r="M1142" s="15">
        <v>1063</v>
      </c>
      <c r="N1142" s="15">
        <f t="shared" si="240"/>
        <v>21</v>
      </c>
      <c r="O1142" s="15">
        <f>INDEX(卡牌消耗!$H$13:$H$33,世界BOSS专属武器!N1142)</f>
        <v>1501021</v>
      </c>
      <c r="P1142" s="52" t="s">
        <v>408</v>
      </c>
      <c r="Q1142" s="15">
        <f t="shared" si="252"/>
        <v>42</v>
      </c>
      <c r="R1142" s="52" t="str">
        <f t="shared" si="253"/>
        <v>金币</v>
      </c>
      <c r="S1142" s="15">
        <f t="shared" si="254"/>
        <v>20000</v>
      </c>
      <c r="T1142" s="15" t="str">
        <f t="shared" si="255"/>
        <v>高级专属强化石</v>
      </c>
      <c r="U1142" s="15">
        <f t="shared" si="256"/>
        <v>5</v>
      </c>
      <c r="V1142" s="15" t="str">
        <f t="shared" si="257"/>
        <v>[x]</v>
      </c>
      <c r="W1142" s="15" t="str">
        <f t="shared" si="258"/>
        <v>[x]</v>
      </c>
      <c r="X1142" s="15">
        <f t="shared" si="259"/>
        <v>0.1</v>
      </c>
      <c r="Y1142" s="15">
        <f t="shared" si="260"/>
        <v>1</v>
      </c>
      <c r="Z1142" s="15">
        <f t="shared" si="261"/>
        <v>45</v>
      </c>
      <c r="AA1142" s="15">
        <f t="shared" si="262"/>
        <v>0.73329999999999995</v>
      </c>
    </row>
    <row r="1143" spans="13:27" ht="16.5" x14ac:dyDescent="0.2">
      <c r="M1143" s="15">
        <v>1064</v>
      </c>
      <c r="N1143" s="15">
        <f t="shared" si="240"/>
        <v>21</v>
      </c>
      <c r="O1143" s="15">
        <f>INDEX(卡牌消耗!$H$13:$H$33,世界BOSS专属武器!N1143)</f>
        <v>1501021</v>
      </c>
      <c r="P1143" s="52" t="s">
        <v>408</v>
      </c>
      <c r="Q1143" s="15">
        <f t="shared" si="252"/>
        <v>43</v>
      </c>
      <c r="R1143" s="52" t="str">
        <f t="shared" si="253"/>
        <v>金币</v>
      </c>
      <c r="S1143" s="15">
        <f t="shared" si="254"/>
        <v>20000</v>
      </c>
      <c r="T1143" s="15" t="str">
        <f t="shared" si="255"/>
        <v>高级专属强化石</v>
      </c>
      <c r="U1143" s="15">
        <f t="shared" si="256"/>
        <v>5</v>
      </c>
      <c r="V1143" s="15" t="str">
        <f t="shared" si="257"/>
        <v>[x]</v>
      </c>
      <c r="W1143" s="15" t="str">
        <f t="shared" si="258"/>
        <v>[x]</v>
      </c>
      <c r="X1143" s="15">
        <f t="shared" si="259"/>
        <v>0.1</v>
      </c>
      <c r="Y1143" s="15">
        <f t="shared" si="260"/>
        <v>1</v>
      </c>
      <c r="Z1143" s="15">
        <f t="shared" si="261"/>
        <v>50</v>
      </c>
      <c r="AA1143" s="15">
        <f t="shared" si="262"/>
        <v>0.76670000000000005</v>
      </c>
    </row>
    <row r="1144" spans="13:27" ht="16.5" x14ac:dyDescent="0.2">
      <c r="M1144" s="15">
        <v>1065</v>
      </c>
      <c r="N1144" s="15">
        <f t="shared" ref="N1144:N1150" si="263">INT((M1144-1)/51)+1</f>
        <v>21</v>
      </c>
      <c r="O1144" s="15">
        <f>INDEX(卡牌消耗!$H$13:$H$33,世界BOSS专属武器!N1144)</f>
        <v>1501021</v>
      </c>
      <c r="P1144" s="52" t="s">
        <v>408</v>
      </c>
      <c r="Q1144" s="15">
        <f t="shared" si="252"/>
        <v>44</v>
      </c>
      <c r="R1144" s="52" t="str">
        <f t="shared" si="253"/>
        <v>金币</v>
      </c>
      <c r="S1144" s="15">
        <f t="shared" si="254"/>
        <v>20000</v>
      </c>
      <c r="T1144" s="15" t="str">
        <f t="shared" si="255"/>
        <v>高级专属强化石</v>
      </c>
      <c r="U1144" s="15">
        <f t="shared" si="256"/>
        <v>5</v>
      </c>
      <c r="V1144" s="15" t="str">
        <f t="shared" si="257"/>
        <v>[x]</v>
      </c>
      <c r="W1144" s="15" t="str">
        <f t="shared" si="258"/>
        <v>[x]</v>
      </c>
      <c r="X1144" s="15">
        <f t="shared" si="259"/>
        <v>0.1</v>
      </c>
      <c r="Y1144" s="15">
        <f t="shared" si="260"/>
        <v>1</v>
      </c>
      <c r="Z1144" s="15">
        <f t="shared" si="261"/>
        <v>55</v>
      </c>
      <c r="AA1144" s="15">
        <f t="shared" si="262"/>
        <v>0.8</v>
      </c>
    </row>
    <row r="1145" spans="13:27" ht="16.5" x14ac:dyDescent="0.2">
      <c r="M1145" s="15">
        <v>1066</v>
      </c>
      <c r="N1145" s="15">
        <f t="shared" si="263"/>
        <v>21</v>
      </c>
      <c r="O1145" s="15">
        <f>INDEX(卡牌消耗!$H$13:$H$33,世界BOSS专属武器!N1145)</f>
        <v>1501021</v>
      </c>
      <c r="P1145" s="52" t="s">
        <v>408</v>
      </c>
      <c r="Q1145" s="15">
        <f t="shared" si="252"/>
        <v>45</v>
      </c>
      <c r="R1145" s="52" t="str">
        <f t="shared" si="253"/>
        <v>金币</v>
      </c>
      <c r="S1145" s="15">
        <f t="shared" si="254"/>
        <v>20000</v>
      </c>
      <c r="T1145" s="15" t="str">
        <f t="shared" si="255"/>
        <v>高级专属强化石</v>
      </c>
      <c r="U1145" s="15">
        <f t="shared" si="256"/>
        <v>6</v>
      </c>
      <c r="V1145" s="15" t="str">
        <f t="shared" si="257"/>
        <v>[x]</v>
      </c>
      <c r="W1145" s="15" t="str">
        <f t="shared" si="258"/>
        <v>[x]</v>
      </c>
      <c r="X1145" s="15">
        <f t="shared" si="259"/>
        <v>0.1</v>
      </c>
      <c r="Y1145" s="15">
        <f t="shared" si="260"/>
        <v>1</v>
      </c>
      <c r="Z1145" s="15">
        <f t="shared" si="261"/>
        <v>60</v>
      </c>
      <c r="AA1145" s="15">
        <f t="shared" si="262"/>
        <v>0.83330000000000004</v>
      </c>
    </row>
    <row r="1146" spans="13:27" ht="16.5" x14ac:dyDescent="0.2">
      <c r="M1146" s="15">
        <v>1067</v>
      </c>
      <c r="N1146" s="15">
        <f t="shared" si="263"/>
        <v>21</v>
      </c>
      <c r="O1146" s="15">
        <f>INDEX(卡牌消耗!$H$13:$H$33,世界BOSS专属武器!N1146)</f>
        <v>1501021</v>
      </c>
      <c r="P1146" s="52" t="s">
        <v>408</v>
      </c>
      <c r="Q1146" s="15">
        <f t="shared" si="252"/>
        <v>46</v>
      </c>
      <c r="R1146" s="52" t="str">
        <f t="shared" si="253"/>
        <v>金币</v>
      </c>
      <c r="S1146" s="15">
        <f t="shared" si="254"/>
        <v>20000</v>
      </c>
      <c r="T1146" s="15" t="str">
        <f t="shared" si="255"/>
        <v>高级专属强化石</v>
      </c>
      <c r="U1146" s="15">
        <f t="shared" si="256"/>
        <v>7</v>
      </c>
      <c r="V1146" s="15" t="str">
        <f t="shared" si="257"/>
        <v>[x]</v>
      </c>
      <c r="W1146" s="15" t="str">
        <f t="shared" si="258"/>
        <v>[x]</v>
      </c>
      <c r="X1146" s="15">
        <f t="shared" si="259"/>
        <v>0.1</v>
      </c>
      <c r="Y1146" s="15">
        <f t="shared" si="260"/>
        <v>1</v>
      </c>
      <c r="Z1146" s="15">
        <f t="shared" si="261"/>
        <v>70</v>
      </c>
      <c r="AA1146" s="15">
        <f t="shared" si="262"/>
        <v>0.86670000000000003</v>
      </c>
    </row>
    <row r="1147" spans="13:27" ht="16.5" x14ac:dyDescent="0.2">
      <c r="M1147" s="15">
        <v>1068</v>
      </c>
      <c r="N1147" s="15">
        <f t="shared" si="263"/>
        <v>21</v>
      </c>
      <c r="O1147" s="15">
        <f>INDEX(卡牌消耗!$H$13:$H$33,世界BOSS专属武器!N1147)</f>
        <v>1501021</v>
      </c>
      <c r="P1147" s="52" t="s">
        <v>408</v>
      </c>
      <c r="Q1147" s="15">
        <f t="shared" si="252"/>
        <v>47</v>
      </c>
      <c r="R1147" s="52" t="str">
        <f t="shared" si="253"/>
        <v>金币</v>
      </c>
      <c r="S1147" s="15">
        <f t="shared" si="254"/>
        <v>20000</v>
      </c>
      <c r="T1147" s="15" t="str">
        <f t="shared" si="255"/>
        <v>高级专属强化石</v>
      </c>
      <c r="U1147" s="15">
        <f t="shared" si="256"/>
        <v>8</v>
      </c>
      <c r="V1147" s="15" t="str">
        <f t="shared" si="257"/>
        <v>[x]</v>
      </c>
      <c r="W1147" s="15" t="str">
        <f t="shared" si="258"/>
        <v>[x]</v>
      </c>
      <c r="X1147" s="15">
        <f t="shared" si="259"/>
        <v>0.1</v>
      </c>
      <c r="Y1147" s="15">
        <f t="shared" si="260"/>
        <v>1</v>
      </c>
      <c r="Z1147" s="15">
        <f t="shared" si="261"/>
        <v>80</v>
      </c>
      <c r="AA1147" s="15">
        <f t="shared" si="262"/>
        <v>0.9</v>
      </c>
    </row>
    <row r="1148" spans="13:27" ht="16.5" x14ac:dyDescent="0.2">
      <c r="M1148" s="15">
        <v>1069</v>
      </c>
      <c r="N1148" s="15">
        <f t="shared" si="263"/>
        <v>21</v>
      </c>
      <c r="O1148" s="15">
        <f>INDEX(卡牌消耗!$H$13:$H$33,世界BOSS专属武器!N1148)</f>
        <v>1501021</v>
      </c>
      <c r="P1148" s="52" t="s">
        <v>408</v>
      </c>
      <c r="Q1148" s="15">
        <f t="shared" si="252"/>
        <v>48</v>
      </c>
      <c r="R1148" s="52" t="str">
        <f t="shared" si="253"/>
        <v>金币</v>
      </c>
      <c r="S1148" s="15">
        <f t="shared" si="254"/>
        <v>20000</v>
      </c>
      <c r="T1148" s="15" t="str">
        <f t="shared" si="255"/>
        <v>高级专属强化石</v>
      </c>
      <c r="U1148" s="15">
        <f t="shared" si="256"/>
        <v>9</v>
      </c>
      <c r="V1148" s="15" t="str">
        <f t="shared" si="257"/>
        <v>[x]</v>
      </c>
      <c r="W1148" s="15" t="str">
        <f t="shared" si="258"/>
        <v>[x]</v>
      </c>
      <c r="X1148" s="15">
        <f t="shared" si="259"/>
        <v>0.1</v>
      </c>
      <c r="Y1148" s="15">
        <f t="shared" si="260"/>
        <v>1</v>
      </c>
      <c r="Z1148" s="15">
        <f t="shared" si="261"/>
        <v>100</v>
      </c>
      <c r="AA1148" s="15">
        <f t="shared" si="262"/>
        <v>0.93330000000000002</v>
      </c>
    </row>
    <row r="1149" spans="13:27" ht="16.5" x14ac:dyDescent="0.2">
      <c r="M1149" s="15">
        <v>1070</v>
      </c>
      <c r="N1149" s="15">
        <f t="shared" si="263"/>
        <v>21</v>
      </c>
      <c r="O1149" s="15">
        <f>INDEX(卡牌消耗!$H$13:$H$33,世界BOSS专属武器!N1149)</f>
        <v>1501021</v>
      </c>
      <c r="P1149" s="52" t="s">
        <v>408</v>
      </c>
      <c r="Q1149" s="15">
        <f t="shared" si="252"/>
        <v>49</v>
      </c>
      <c r="R1149" s="52" t="str">
        <f t="shared" si="253"/>
        <v>金币</v>
      </c>
      <c r="S1149" s="15">
        <f t="shared" si="254"/>
        <v>20000</v>
      </c>
      <c r="T1149" s="15" t="str">
        <f t="shared" si="255"/>
        <v>高级专属强化石</v>
      </c>
      <c r="U1149" s="15">
        <f t="shared" si="256"/>
        <v>10</v>
      </c>
      <c r="V1149" s="15" t="str">
        <f t="shared" si="257"/>
        <v>[x]</v>
      </c>
      <c r="W1149" s="15" t="str">
        <f t="shared" si="258"/>
        <v>[x]</v>
      </c>
      <c r="X1149" s="15">
        <f t="shared" si="259"/>
        <v>0.1</v>
      </c>
      <c r="Y1149" s="15">
        <f t="shared" si="260"/>
        <v>1</v>
      </c>
      <c r="Z1149" s="15">
        <f t="shared" si="261"/>
        <v>120</v>
      </c>
      <c r="AA1149" s="15">
        <f t="shared" si="262"/>
        <v>0.9667</v>
      </c>
    </row>
    <row r="1150" spans="13:27" ht="16.5" x14ac:dyDescent="0.2">
      <c r="M1150" s="15">
        <v>1071</v>
      </c>
      <c r="N1150" s="15">
        <f t="shared" si="263"/>
        <v>21</v>
      </c>
      <c r="O1150" s="15">
        <f>INDEX(卡牌消耗!$H$13:$H$33,世界BOSS专属武器!N1150)</f>
        <v>1501021</v>
      </c>
      <c r="P1150" s="52" t="s">
        <v>408</v>
      </c>
      <c r="Q1150" s="15">
        <f t="shared" si="252"/>
        <v>50</v>
      </c>
      <c r="R1150" s="52" t="str">
        <f t="shared" si="253"/>
        <v>金币</v>
      </c>
      <c r="S1150" s="15">
        <f t="shared" si="254"/>
        <v>20000</v>
      </c>
      <c r="T1150" s="15" t="str">
        <f t="shared" si="255"/>
        <v>高级专属强化石</v>
      </c>
      <c r="U1150" s="15">
        <f t="shared" si="256"/>
        <v>15</v>
      </c>
      <c r="V1150" s="15" t="str">
        <f t="shared" si="257"/>
        <v>[x]</v>
      </c>
      <c r="W1150" s="15" t="str">
        <f t="shared" si="258"/>
        <v>[x]</v>
      </c>
      <c r="X1150" s="15">
        <f t="shared" si="259"/>
        <v>0.1</v>
      </c>
      <c r="Y1150" s="15">
        <f t="shared" si="260"/>
        <v>1</v>
      </c>
      <c r="Z1150" s="15">
        <f t="shared" si="261"/>
        <v>150</v>
      </c>
      <c r="AA1150" s="15">
        <f t="shared" si="262"/>
        <v>1</v>
      </c>
    </row>
  </sheetData>
  <mergeCells count="18">
    <mergeCell ref="A232:A249"/>
    <mergeCell ref="A252:A268"/>
    <mergeCell ref="A271:A294"/>
    <mergeCell ref="A297:A321"/>
    <mergeCell ref="A324:A365"/>
    <mergeCell ref="A106:A139"/>
    <mergeCell ref="A142:A175"/>
    <mergeCell ref="A178:A211"/>
    <mergeCell ref="A214:A229"/>
    <mergeCell ref="A24:A31"/>
    <mergeCell ref="A34:A59"/>
    <mergeCell ref="A62:A103"/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R23" sqref="R23:R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97" t="s">
        <v>176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16"/>
      <c r="Q2" s="16"/>
    </row>
    <row r="3" spans="1:17" ht="17.25" x14ac:dyDescent="0.2">
      <c r="A3" s="12" t="s">
        <v>168</v>
      </c>
      <c r="B3" s="12" t="s">
        <v>175</v>
      </c>
      <c r="C3" s="12" t="s">
        <v>178</v>
      </c>
      <c r="D3" s="12" t="s">
        <v>169</v>
      </c>
      <c r="E3" s="12" t="s">
        <v>170</v>
      </c>
      <c r="F3" s="12" t="s">
        <v>342</v>
      </c>
      <c r="G3" s="12" t="s">
        <v>174</v>
      </c>
      <c r="H3" s="12" t="s">
        <v>343</v>
      </c>
      <c r="I3" s="12" t="s">
        <v>180</v>
      </c>
      <c r="J3" s="12" t="s">
        <v>171</v>
      </c>
      <c r="K3" s="12" t="s">
        <v>172</v>
      </c>
      <c r="L3" s="12" t="s">
        <v>173</v>
      </c>
      <c r="M3" s="12" t="s">
        <v>177</v>
      </c>
      <c r="N3" s="12" t="s">
        <v>183</v>
      </c>
      <c r="O3" s="12" t="s">
        <v>181</v>
      </c>
      <c r="P3" s="16"/>
      <c r="Q3" s="12" t="s">
        <v>397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Q4" s="15">
        <f>ROUND(O4/B4/价值概述!$B$3,0)</f>
        <v>220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Q6" s="15">
        <f>ROUND(O6/B6/价值概述!$B$3,0)</f>
        <v>158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Q7" s="15">
        <f>ROUND(O7/B7/价值概述!$B$3,0)</f>
        <v>192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Q8" s="15">
        <f>ROUND(O8/B8/价值概述!$B$3,0)</f>
        <v>279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97" t="s">
        <v>238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6"/>
    </row>
    <row r="22" spans="1:22" ht="20.25" x14ac:dyDescent="0.2">
      <c r="A22" s="33"/>
      <c r="D22" s="97" t="s">
        <v>396</v>
      </c>
      <c r="E22" s="97"/>
      <c r="F22" s="97"/>
      <c r="G22" s="97"/>
      <c r="H22" s="97"/>
      <c r="I22" s="97"/>
      <c r="J22" s="97"/>
      <c r="K22" s="97" t="s">
        <v>244</v>
      </c>
      <c r="L22" s="97"/>
      <c r="M22" s="97"/>
      <c r="N22" s="97"/>
      <c r="O22" s="97"/>
      <c r="P22" s="97"/>
      <c r="Q22" s="16"/>
    </row>
    <row r="23" spans="1:22" ht="17.25" x14ac:dyDescent="0.2">
      <c r="A23" s="12" t="s">
        <v>247</v>
      </c>
      <c r="B23" s="12" t="s">
        <v>253</v>
      </c>
      <c r="C23" s="12" t="s">
        <v>246</v>
      </c>
      <c r="D23" s="12" t="s">
        <v>395</v>
      </c>
      <c r="E23" s="12" t="s">
        <v>243</v>
      </c>
      <c r="F23" s="12" t="s">
        <v>240</v>
      </c>
      <c r="G23" s="36" t="s">
        <v>245</v>
      </c>
      <c r="H23" s="12" t="s">
        <v>242</v>
      </c>
      <c r="I23" s="12" t="s">
        <v>335</v>
      </c>
      <c r="J23" s="12" t="s">
        <v>336</v>
      </c>
      <c r="K23" s="12" t="s">
        <v>239</v>
      </c>
      <c r="L23" s="12" t="s">
        <v>240</v>
      </c>
      <c r="M23" s="36" t="s">
        <v>245</v>
      </c>
      <c r="N23" s="12" t="s">
        <v>242</v>
      </c>
      <c r="O23" s="12" t="s">
        <v>241</v>
      </c>
      <c r="P23" s="12" t="s">
        <v>336</v>
      </c>
      <c r="Q23" s="16"/>
      <c r="U23">
        <f>SUM(M24:M27)/30</f>
        <v>87429.066666666666</v>
      </c>
    </row>
    <row r="24" spans="1:22" ht="16.5" x14ac:dyDescent="0.2">
      <c r="A24" s="35" t="s">
        <v>248</v>
      </c>
      <c r="B24" s="35">
        <v>4</v>
      </c>
      <c r="C24" s="15">
        <f>SUMIFS($O$4:$O$18,$A$4:$A$18,"&lt;="&amp;B24)</f>
        <v>190620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85779</v>
      </c>
      <c r="M24" s="15">
        <f t="shared" ref="M24:P24" si="2">INT($C24*G24*$D24)</f>
        <v>28593</v>
      </c>
      <c r="N24" s="15">
        <f t="shared" si="2"/>
        <v>76248</v>
      </c>
      <c r="O24" s="15">
        <f t="shared" si="2"/>
        <v>571860</v>
      </c>
      <c r="P24" s="15">
        <f t="shared" si="2"/>
        <v>190620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249</v>
      </c>
      <c r="B25" s="35">
        <v>8</v>
      </c>
      <c r="C25" s="15">
        <f>SUMIFS($O$4:$O$18,$A$4:$A$18,"&lt;="&amp;B25,$A$4:$A$18,"&gt;"&amp;B24)</f>
        <v>2262950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1018327</v>
      </c>
      <c r="M25" s="15">
        <f t="shared" ref="M25:M28" si="4">INT($C25*G25*$D25)</f>
        <v>339442</v>
      </c>
      <c r="N25" s="15">
        <f t="shared" ref="N25:N28" si="5">INT($C25*H25*$D25)</f>
        <v>905180</v>
      </c>
      <c r="O25" s="15">
        <f t="shared" ref="O25:O28" si="6">INT($C25*I25*$D25)</f>
        <v>4525900</v>
      </c>
      <c r="P25" s="15">
        <f t="shared" ref="P25:P28" si="7">INT($C25*J25*$D25)</f>
        <v>905180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250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251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252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75</v>
      </c>
      <c r="C3" s="12" t="s">
        <v>76</v>
      </c>
      <c r="D3" s="12" t="s">
        <v>74</v>
      </c>
      <c r="E3" s="12" t="s">
        <v>182</v>
      </c>
    </row>
    <row r="4" spans="1:5" ht="16.5" x14ac:dyDescent="0.2">
      <c r="A4" s="18">
        <v>1</v>
      </c>
      <c r="B4" s="18" t="s">
        <v>514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63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64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515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65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66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67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68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69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70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71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72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516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41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73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2019-06-19T03:03:44Z</dcterms:modified>
</cp:coreProperties>
</file>