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730" windowHeight="11760" activeTab="3"/>
  </bookViews>
  <sheets>
    <sheet name="文档说明" sheetId="10" r:id="rId1"/>
    <sheet name="属性表" sheetId="46" r:id="rId2"/>
    <sheet name="新属性投放" sheetId="51" r:id="rId3"/>
    <sheet name="战斗模拟" sheetId="52" r:id="rId4"/>
    <sheet name="属性投放" sheetId="43" r:id="rId5"/>
    <sheet name="羁绊之力" sheetId="44" r:id="rId6"/>
    <sheet name="职业设计" sheetId="47" r:id="rId7"/>
    <sheet name="职业设计 (2)" sheetId="50" r:id="rId8"/>
    <sheet name="守护灵（4次修订版）" sheetId="48" r:id="rId9"/>
    <sheet name="属性填表" sheetId="49" r:id="rId10"/>
    <sheet name="关卡思路" sheetId="36" state="hidden" r:id="rId11"/>
  </sheets>
  <definedNames>
    <definedName name="卡牌类型名" localSheetId="7">#REF!</definedName>
    <definedName name="卡牌类型名">#REF!</definedName>
    <definedName name="品质名称" localSheetId="7">#REF!</definedName>
    <definedName name="品质名称">#REF!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43" l="1"/>
  <c r="E7" i="43"/>
  <c r="E8" i="43"/>
  <c r="E9" i="43"/>
  <c r="E10" i="43"/>
  <c r="E11" i="43"/>
  <c r="E12" i="43"/>
  <c r="E5" i="43"/>
  <c r="G14" i="51"/>
  <c r="G15" i="51"/>
  <c r="G16" i="51"/>
  <c r="G17" i="51"/>
  <c r="G18" i="51"/>
  <c r="G19" i="51"/>
  <c r="G20" i="51"/>
  <c r="G13" i="51"/>
  <c r="E14" i="51"/>
  <c r="H14" i="51" s="1"/>
  <c r="E15" i="51"/>
  <c r="H15" i="51" s="1"/>
  <c r="E16" i="51"/>
  <c r="H16" i="51" s="1"/>
  <c r="E17" i="51"/>
  <c r="H17" i="51" s="1"/>
  <c r="E18" i="51"/>
  <c r="H18" i="51" s="1"/>
  <c r="E19" i="51"/>
  <c r="H19" i="51" s="1"/>
  <c r="E20" i="51"/>
  <c r="H20" i="51" s="1"/>
  <c r="E13" i="51"/>
  <c r="H13" i="51" s="1"/>
  <c r="C20" i="51"/>
  <c r="F20" i="51" s="1"/>
  <c r="C19" i="51"/>
  <c r="F19" i="51" s="1"/>
  <c r="C18" i="51"/>
  <c r="F18" i="51" s="1"/>
  <c r="C17" i="51"/>
  <c r="F17" i="51" s="1"/>
  <c r="C16" i="51"/>
  <c r="F16" i="51" s="1"/>
  <c r="C15" i="51"/>
  <c r="F15" i="51" s="1"/>
  <c r="C14" i="51"/>
  <c r="F14" i="51" s="1"/>
  <c r="C13" i="51"/>
  <c r="F13" i="51" s="1"/>
  <c r="K12" i="51"/>
  <c r="J12" i="51"/>
  <c r="I12" i="51"/>
  <c r="C12" i="51"/>
  <c r="L12" i="51" s="1"/>
  <c r="M12" i="51" s="1"/>
  <c r="J13" i="51" l="1"/>
  <c r="N13" i="51" s="1"/>
  <c r="K13" i="51"/>
  <c r="K14" i="51" s="1"/>
  <c r="K15" i="51" s="1"/>
  <c r="K16" i="51" s="1"/>
  <c r="K17" i="51" s="1"/>
  <c r="K18" i="51" s="1"/>
  <c r="K19" i="51" s="1"/>
  <c r="K20" i="51" s="1"/>
  <c r="K21" i="51" s="1"/>
  <c r="I13" i="51"/>
  <c r="L13" i="51" s="1"/>
  <c r="M13" i="51" s="1"/>
  <c r="J14" i="51"/>
  <c r="H2" i="51"/>
  <c r="J15" i="51" l="1"/>
  <c r="N14" i="51"/>
  <c r="I14" i="51"/>
  <c r="O6" i="43"/>
  <c r="O7" i="43"/>
  <c r="O8" i="43"/>
  <c r="O9" i="43"/>
  <c r="O10" i="43"/>
  <c r="O11" i="43"/>
  <c r="O12" i="43"/>
  <c r="O13" i="43"/>
  <c r="O5" i="43"/>
  <c r="I15" i="51" l="1"/>
  <c r="L14" i="51"/>
  <c r="M14" i="51" s="1"/>
  <c r="N15" i="51"/>
  <c r="J16" i="51"/>
  <c r="N7" i="50"/>
  <c r="O7" i="50"/>
  <c r="N8" i="50"/>
  <c r="O8" i="50"/>
  <c r="N9" i="50"/>
  <c r="O9" i="50"/>
  <c r="N10" i="50"/>
  <c r="O10" i="50"/>
  <c r="N11" i="50"/>
  <c r="O11" i="50"/>
  <c r="N12" i="50"/>
  <c r="O12" i="50"/>
  <c r="N13" i="50"/>
  <c r="O13" i="50"/>
  <c r="N14" i="50"/>
  <c r="O14" i="50"/>
  <c r="N15" i="50"/>
  <c r="O15" i="50"/>
  <c r="N16" i="50"/>
  <c r="O16" i="50"/>
  <c r="N17" i="50"/>
  <c r="O17" i="50"/>
  <c r="N18" i="50"/>
  <c r="O18" i="50"/>
  <c r="N19" i="50"/>
  <c r="O19" i="50"/>
  <c r="O6" i="50"/>
  <c r="N6" i="50"/>
  <c r="N16" i="51" l="1"/>
  <c r="J17" i="51"/>
  <c r="I16" i="51"/>
  <c r="L15" i="51"/>
  <c r="M15" i="51" s="1"/>
  <c r="I26" i="47"/>
  <c r="J26" i="47"/>
  <c r="I27" i="47"/>
  <c r="J27" i="47"/>
  <c r="I28" i="47"/>
  <c r="J28" i="47"/>
  <c r="I29" i="47"/>
  <c r="J29" i="47"/>
  <c r="I30" i="47"/>
  <c r="J30" i="47"/>
  <c r="I31" i="47"/>
  <c r="J31" i="47"/>
  <c r="I32" i="47"/>
  <c r="J32" i="47"/>
  <c r="I33" i="47"/>
  <c r="J33" i="47"/>
  <c r="I34" i="47"/>
  <c r="J34" i="47"/>
  <c r="I35" i="47"/>
  <c r="J35" i="47"/>
  <c r="I36" i="47"/>
  <c r="J36" i="47"/>
  <c r="I37" i="47"/>
  <c r="J37" i="47"/>
  <c r="I38" i="47"/>
  <c r="J38" i="47"/>
  <c r="J25" i="47"/>
  <c r="I25" i="47"/>
  <c r="L21" i="50"/>
  <c r="L22" i="50"/>
  <c r="L23" i="50"/>
  <c r="L24" i="50"/>
  <c r="L25" i="50"/>
  <c r="L26" i="50"/>
  <c r="L7" i="50"/>
  <c r="L8" i="50"/>
  <c r="L9" i="50"/>
  <c r="L10" i="50"/>
  <c r="L11" i="50"/>
  <c r="L12" i="50"/>
  <c r="L13" i="50"/>
  <c r="L14" i="50"/>
  <c r="L15" i="50"/>
  <c r="L16" i="50"/>
  <c r="L17" i="50"/>
  <c r="L18" i="50"/>
  <c r="L19" i="50"/>
  <c r="L20" i="50"/>
  <c r="L6" i="50"/>
  <c r="X20" i="50"/>
  <c r="W20" i="50"/>
  <c r="T20" i="50"/>
  <c r="X19" i="50"/>
  <c r="W19" i="50"/>
  <c r="T19" i="50"/>
  <c r="X18" i="50"/>
  <c r="W18" i="50"/>
  <c r="T18" i="50"/>
  <c r="X17" i="50"/>
  <c r="W17" i="50"/>
  <c r="T17" i="50"/>
  <c r="X16" i="50"/>
  <c r="W16" i="50"/>
  <c r="T16" i="50"/>
  <c r="X15" i="50"/>
  <c r="W15" i="50"/>
  <c r="T15" i="50"/>
  <c r="X14" i="50"/>
  <c r="W14" i="50"/>
  <c r="T14" i="50"/>
  <c r="X13" i="50"/>
  <c r="W13" i="50"/>
  <c r="T13" i="50"/>
  <c r="X12" i="50"/>
  <c r="W12" i="50"/>
  <c r="T12" i="50"/>
  <c r="X11" i="50"/>
  <c r="W11" i="50"/>
  <c r="T11" i="50"/>
  <c r="X10" i="50"/>
  <c r="W10" i="50"/>
  <c r="T10" i="50"/>
  <c r="X9" i="50"/>
  <c r="W9" i="50"/>
  <c r="T9" i="50"/>
  <c r="X8" i="50"/>
  <c r="W8" i="50"/>
  <c r="T8" i="50"/>
  <c r="X7" i="50"/>
  <c r="W7" i="50"/>
  <c r="T7" i="50"/>
  <c r="X6" i="50"/>
  <c r="W6" i="50"/>
  <c r="T6" i="50"/>
  <c r="Z2" i="50"/>
  <c r="F38" i="47"/>
  <c r="G38" i="47"/>
  <c r="F37" i="47"/>
  <c r="G37" i="47"/>
  <c r="F36" i="47"/>
  <c r="G36" i="47"/>
  <c r="F35" i="47"/>
  <c r="G35" i="47"/>
  <c r="M15" i="47"/>
  <c r="P15" i="47"/>
  <c r="Q15" i="47"/>
  <c r="F34" i="47"/>
  <c r="G34" i="47"/>
  <c r="F33" i="47"/>
  <c r="G33" i="47"/>
  <c r="F32" i="47"/>
  <c r="G32" i="47"/>
  <c r="F31" i="47"/>
  <c r="G31" i="47"/>
  <c r="M18" i="47"/>
  <c r="P18" i="47"/>
  <c r="Q18" i="47"/>
  <c r="F30" i="47"/>
  <c r="G30" i="47"/>
  <c r="F29" i="47"/>
  <c r="G29" i="47"/>
  <c r="F28" i="47"/>
  <c r="G28" i="47"/>
  <c r="I17" i="51" l="1"/>
  <c r="L16" i="51"/>
  <c r="M16" i="51" s="1"/>
  <c r="N17" i="51"/>
  <c r="J18" i="51"/>
  <c r="S18" i="47"/>
  <c r="S15" i="47"/>
  <c r="Z8" i="50"/>
  <c r="Z10" i="50"/>
  <c r="Z6" i="50"/>
  <c r="Z13" i="50"/>
  <c r="Z20" i="50"/>
  <c r="Z7" i="50"/>
  <c r="Z17" i="50"/>
  <c r="Z11" i="50"/>
  <c r="Z15" i="50"/>
  <c r="Z9" i="50"/>
  <c r="Z14" i="50"/>
  <c r="Z16" i="50"/>
  <c r="Z19" i="50"/>
  <c r="Z12" i="50"/>
  <c r="Z18" i="50"/>
  <c r="F27" i="47"/>
  <c r="G27" i="47"/>
  <c r="F26" i="47"/>
  <c r="G26" i="47"/>
  <c r="G25" i="47"/>
  <c r="F25" i="47"/>
  <c r="H17" i="47"/>
  <c r="M17" i="47"/>
  <c r="P17" i="47"/>
  <c r="Q17" i="47"/>
  <c r="J19" i="51" l="1"/>
  <c r="N18" i="51"/>
  <c r="I18" i="51"/>
  <c r="L17" i="51"/>
  <c r="M17" i="51" s="1"/>
  <c r="S17" i="47"/>
  <c r="H8" i="47"/>
  <c r="H11" i="47"/>
  <c r="H10" i="47"/>
  <c r="H9" i="47"/>
  <c r="I19" i="51" l="1"/>
  <c r="L18" i="51"/>
  <c r="M18" i="51" s="1"/>
  <c r="N19" i="51"/>
  <c r="J20" i="51"/>
  <c r="S2" i="47"/>
  <c r="P7" i="47"/>
  <c r="Q7" i="47"/>
  <c r="P8" i="47"/>
  <c r="Q8" i="47"/>
  <c r="P9" i="47"/>
  <c r="Q9" i="47"/>
  <c r="P10" i="47"/>
  <c r="Q10" i="47"/>
  <c r="P11" i="47"/>
  <c r="Q11" i="47"/>
  <c r="P12" i="47"/>
  <c r="Q12" i="47"/>
  <c r="P13" i="47"/>
  <c r="Q13" i="47"/>
  <c r="P14" i="47"/>
  <c r="Q14" i="47"/>
  <c r="P16" i="47"/>
  <c r="Q16" i="47"/>
  <c r="P19" i="47"/>
  <c r="Q19" i="47"/>
  <c r="P20" i="47"/>
  <c r="Q20" i="47"/>
  <c r="Q6" i="47"/>
  <c r="P6" i="47"/>
  <c r="M7" i="47"/>
  <c r="S7" i="47" s="1"/>
  <c r="M8" i="47"/>
  <c r="M9" i="47"/>
  <c r="M10" i="47"/>
  <c r="M11" i="47"/>
  <c r="S11" i="47" s="1"/>
  <c r="M12" i="47"/>
  <c r="M13" i="47"/>
  <c r="M14" i="47"/>
  <c r="M16" i="47"/>
  <c r="S16" i="47" s="1"/>
  <c r="M19" i="47"/>
  <c r="M20" i="47"/>
  <c r="M6" i="47"/>
  <c r="C36" i="43"/>
  <c r="B36" i="43"/>
  <c r="N6" i="43"/>
  <c r="N7" i="43"/>
  <c r="N8" i="43"/>
  <c r="N9" i="43"/>
  <c r="N10" i="43"/>
  <c r="N11" i="43"/>
  <c r="N12" i="43"/>
  <c r="N13" i="43"/>
  <c r="N5" i="43"/>
  <c r="D26" i="43"/>
  <c r="C26" i="43"/>
  <c r="B26" i="43"/>
  <c r="E19" i="46"/>
  <c r="E18" i="46"/>
  <c r="E17" i="46"/>
  <c r="E16" i="46"/>
  <c r="E15" i="46"/>
  <c r="E14" i="46"/>
  <c r="E13" i="46"/>
  <c r="E12" i="46"/>
  <c r="E11" i="46"/>
  <c r="E10" i="46"/>
  <c r="E9" i="46"/>
  <c r="E8" i="46"/>
  <c r="E7" i="46"/>
  <c r="E6" i="46"/>
  <c r="E5" i="46"/>
  <c r="E4" i="46"/>
  <c r="N20" i="51" l="1"/>
  <c r="J21" i="51"/>
  <c r="N21" i="51" s="1"/>
  <c r="I20" i="51"/>
  <c r="L19" i="51"/>
  <c r="M19" i="51" s="1"/>
  <c r="S14" i="47"/>
  <c r="S10" i="47"/>
  <c r="S19" i="47"/>
  <c r="S12" i="47"/>
  <c r="S8" i="47"/>
  <c r="S20" i="47"/>
  <c r="S13" i="47"/>
  <c r="S9" i="47"/>
  <c r="S6" i="47"/>
  <c r="I21" i="51" l="1"/>
  <c r="L20" i="51"/>
  <c r="M20" i="51" s="1"/>
  <c r="B12" i="44"/>
  <c r="F35" i="43" l="1"/>
  <c r="G35" i="43"/>
  <c r="H35" i="43"/>
  <c r="I35" i="43"/>
  <c r="J35" i="43"/>
  <c r="K35" i="43"/>
  <c r="L35" i="43"/>
  <c r="M35" i="43"/>
  <c r="E35" i="43"/>
  <c r="C16" i="44"/>
  <c r="C17" i="44"/>
  <c r="C18" i="44"/>
  <c r="C19" i="44"/>
  <c r="C20" i="44"/>
  <c r="C21" i="44"/>
  <c r="C22" i="44"/>
  <c r="C23" i="44"/>
  <c r="C24" i="44"/>
  <c r="C25" i="44"/>
  <c r="C26" i="44"/>
  <c r="C15" i="44"/>
  <c r="J5" i="44"/>
  <c r="J6" i="44"/>
  <c r="J7" i="44"/>
  <c r="J8" i="44"/>
  <c r="J9" i="44"/>
  <c r="H5" i="44"/>
  <c r="H6" i="44"/>
  <c r="H7" i="44"/>
  <c r="H8" i="44"/>
  <c r="H9" i="44"/>
  <c r="J4" i="44"/>
  <c r="H4" i="44"/>
  <c r="D24" i="44" l="1"/>
  <c r="D19" i="44"/>
  <c r="D20" i="44"/>
  <c r="D25" i="44"/>
  <c r="D26" i="44"/>
  <c r="D23" i="44"/>
  <c r="D18" i="44"/>
  <c r="D16" i="44"/>
  <c r="D17" i="44"/>
  <c r="B22" i="43"/>
  <c r="C18" i="43"/>
  <c r="C19" i="43"/>
  <c r="C17" i="43"/>
  <c r="G5" i="43"/>
  <c r="J4" i="43"/>
  <c r="K4" i="43"/>
  <c r="I4" i="43"/>
  <c r="G6" i="43"/>
  <c r="G7" i="43"/>
  <c r="G8" i="43"/>
  <c r="G9" i="43"/>
  <c r="G10" i="43"/>
  <c r="G11" i="43"/>
  <c r="G12" i="43"/>
  <c r="H9" i="43"/>
  <c r="H10" i="43"/>
  <c r="H11" i="43"/>
  <c r="H12" i="43"/>
  <c r="H8" i="43"/>
  <c r="H7" i="43"/>
  <c r="H6" i="43"/>
  <c r="H5" i="43"/>
  <c r="J5" i="43" l="1"/>
  <c r="J6" i="43" s="1"/>
  <c r="J7" i="43" s="1"/>
  <c r="J8" i="43" s="1"/>
  <c r="J9" i="43" s="1"/>
  <c r="J10" i="43" s="1"/>
  <c r="J11" i="43" s="1"/>
  <c r="J12" i="43" s="1"/>
  <c r="J13" i="43" s="1"/>
  <c r="C25" i="43" s="1"/>
  <c r="K5" i="43"/>
  <c r="K6" i="43" s="1"/>
  <c r="K7" i="43" s="1"/>
  <c r="K8" i="43" s="1"/>
  <c r="K9" i="43" s="1"/>
  <c r="K10" i="43" s="1"/>
  <c r="K11" i="43" s="1"/>
  <c r="K12" i="43" s="1"/>
  <c r="K13" i="43" s="1"/>
  <c r="D25" i="43" s="1"/>
  <c r="E25" i="43" s="1"/>
  <c r="E23" i="44"/>
  <c r="F23" i="44"/>
  <c r="E19" i="44"/>
  <c r="F19" i="44"/>
  <c r="F17" i="44"/>
  <c r="E17" i="44"/>
  <c r="F26" i="44"/>
  <c r="E26" i="44"/>
  <c r="F24" i="44"/>
  <c r="E24" i="44"/>
  <c r="F16" i="44"/>
  <c r="E16" i="44"/>
  <c r="F25" i="44"/>
  <c r="E25" i="44"/>
  <c r="E18" i="44"/>
  <c r="F18" i="44"/>
  <c r="F20" i="44"/>
  <c r="E20" i="44"/>
  <c r="D32" i="43" l="1"/>
  <c r="D27" i="43"/>
  <c r="C32" i="43"/>
  <c r="C35" i="43" s="1"/>
  <c r="D22" i="44" s="1"/>
  <c r="F22" i="44" s="1"/>
  <c r="C27" i="43"/>
  <c r="C5" i="43"/>
  <c r="C6" i="43"/>
  <c r="C7" i="43"/>
  <c r="C8" i="43"/>
  <c r="C9" i="43"/>
  <c r="C10" i="43"/>
  <c r="C11" i="43"/>
  <c r="C12" i="43"/>
  <c r="F12" i="43" s="1"/>
  <c r="C4" i="43"/>
  <c r="L4" i="43" s="1"/>
  <c r="M4" i="43" s="1"/>
  <c r="D35" i="43" l="1"/>
  <c r="U20" i="50"/>
  <c r="U16" i="50"/>
  <c r="U12" i="50"/>
  <c r="U8" i="50"/>
  <c r="AB2" i="50"/>
  <c r="N18" i="47"/>
  <c r="U17" i="50"/>
  <c r="U13" i="50"/>
  <c r="U19" i="50"/>
  <c r="U15" i="50"/>
  <c r="U11" i="50"/>
  <c r="U7" i="50"/>
  <c r="U18" i="50"/>
  <c r="U14" i="50"/>
  <c r="U10" i="50"/>
  <c r="U6" i="50"/>
  <c r="U9" i="50"/>
  <c r="N15" i="47"/>
  <c r="N17" i="47"/>
  <c r="U2" i="47"/>
  <c r="N7" i="47"/>
  <c r="N9" i="47"/>
  <c r="N11" i="47"/>
  <c r="N13" i="47"/>
  <c r="N16" i="47"/>
  <c r="N20" i="47"/>
  <c r="D36" i="43"/>
  <c r="N6" i="47"/>
  <c r="N8" i="47"/>
  <c r="N10" i="47"/>
  <c r="N12" i="47"/>
  <c r="N14" i="47"/>
  <c r="N19" i="47"/>
  <c r="E22" i="44"/>
  <c r="F7" i="43"/>
  <c r="F10" i="43"/>
  <c r="F6" i="43"/>
  <c r="F9" i="43"/>
  <c r="F5" i="43"/>
  <c r="I5" i="43" s="1"/>
  <c r="L5" i="43" s="1"/>
  <c r="M5" i="43" s="1"/>
  <c r="F8" i="43"/>
  <c r="F11" i="43"/>
  <c r="D21" i="44" l="1"/>
  <c r="Y17" i="50"/>
  <c r="AA17" i="50" s="1"/>
  <c r="AB17" i="50" s="1"/>
  <c r="AC17" i="50" s="1"/>
  <c r="S17" i="50" s="1"/>
  <c r="Y13" i="50"/>
  <c r="AA13" i="50" s="1"/>
  <c r="AB13" i="50" s="1"/>
  <c r="AC13" i="50" s="1"/>
  <c r="S13" i="50" s="1"/>
  <c r="Y9" i="50"/>
  <c r="AA9" i="50" s="1"/>
  <c r="AB9" i="50" s="1"/>
  <c r="AC9" i="50" s="1"/>
  <c r="S9" i="50" s="1"/>
  <c r="Y11" i="50"/>
  <c r="AA11" i="50" s="1"/>
  <c r="AB11" i="50" s="1"/>
  <c r="AC11" i="50" s="1"/>
  <c r="S11" i="50" s="1"/>
  <c r="Y7" i="50"/>
  <c r="AA7" i="50" s="1"/>
  <c r="AB7" i="50" s="1"/>
  <c r="AC7" i="50" s="1"/>
  <c r="S7" i="50" s="1"/>
  <c r="Y18" i="50"/>
  <c r="AA18" i="50" s="1"/>
  <c r="AB18" i="50" s="1"/>
  <c r="AC18" i="50" s="1"/>
  <c r="S18" i="50" s="1"/>
  <c r="Y10" i="50"/>
  <c r="AA10" i="50" s="1"/>
  <c r="AB10" i="50" s="1"/>
  <c r="AC10" i="50" s="1"/>
  <c r="S10" i="50" s="1"/>
  <c r="Y6" i="50"/>
  <c r="AA6" i="50" s="1"/>
  <c r="AB6" i="50" s="1"/>
  <c r="AC6" i="50" s="1"/>
  <c r="S6" i="50" s="1"/>
  <c r="R18" i="47"/>
  <c r="T18" i="47" s="1"/>
  <c r="U18" i="47" s="1"/>
  <c r="V18" i="47" s="1"/>
  <c r="L18" i="47" s="1"/>
  <c r="Y20" i="50"/>
  <c r="AA20" i="50" s="1"/>
  <c r="AB20" i="50" s="1"/>
  <c r="AC20" i="50" s="1"/>
  <c r="S20" i="50" s="1"/>
  <c r="V20" i="50" s="1"/>
  <c r="Y16" i="50"/>
  <c r="AA16" i="50" s="1"/>
  <c r="AB16" i="50" s="1"/>
  <c r="AC16" i="50" s="1"/>
  <c r="S16" i="50" s="1"/>
  <c r="Y12" i="50"/>
  <c r="AA12" i="50" s="1"/>
  <c r="AB12" i="50" s="1"/>
  <c r="AC12" i="50" s="1"/>
  <c r="S12" i="50" s="1"/>
  <c r="Y8" i="50"/>
  <c r="AA8" i="50" s="1"/>
  <c r="AB8" i="50" s="1"/>
  <c r="AC8" i="50" s="1"/>
  <c r="S8" i="50" s="1"/>
  <c r="Y19" i="50"/>
  <c r="AA19" i="50" s="1"/>
  <c r="AB19" i="50" s="1"/>
  <c r="AC19" i="50" s="1"/>
  <c r="S19" i="50" s="1"/>
  <c r="Y15" i="50"/>
  <c r="AA15" i="50" s="1"/>
  <c r="AB15" i="50" s="1"/>
  <c r="AC15" i="50" s="1"/>
  <c r="S15" i="50" s="1"/>
  <c r="R15" i="47"/>
  <c r="T15" i="47" s="1"/>
  <c r="U15" i="47" s="1"/>
  <c r="V15" i="47" s="1"/>
  <c r="L15" i="47" s="1"/>
  <c r="Y14" i="50"/>
  <c r="AA14" i="50" s="1"/>
  <c r="AB14" i="50" s="1"/>
  <c r="AC14" i="50" s="1"/>
  <c r="S14" i="50" s="1"/>
  <c r="R17" i="47"/>
  <c r="T17" i="47" s="1"/>
  <c r="U17" i="47" s="1"/>
  <c r="V17" i="47" s="1"/>
  <c r="L17" i="47" s="1"/>
  <c r="R8" i="47"/>
  <c r="T8" i="47" s="1"/>
  <c r="U8" i="47" s="1"/>
  <c r="V8" i="47" s="1"/>
  <c r="L8" i="47" s="1"/>
  <c r="R12" i="47"/>
  <c r="T12" i="47" s="1"/>
  <c r="U12" i="47" s="1"/>
  <c r="V12" i="47" s="1"/>
  <c r="L12" i="47" s="1"/>
  <c r="R19" i="47"/>
  <c r="T19" i="47" s="1"/>
  <c r="U19" i="47" s="1"/>
  <c r="V19" i="47" s="1"/>
  <c r="L19" i="47" s="1"/>
  <c r="R6" i="47"/>
  <c r="T6" i="47" s="1"/>
  <c r="U6" i="47" s="1"/>
  <c r="V6" i="47" s="1"/>
  <c r="L6" i="47" s="1"/>
  <c r="R13" i="47"/>
  <c r="T13" i="47" s="1"/>
  <c r="U13" i="47" s="1"/>
  <c r="V13" i="47" s="1"/>
  <c r="L13" i="47" s="1"/>
  <c r="R7" i="47"/>
  <c r="T7" i="47" s="1"/>
  <c r="U7" i="47" s="1"/>
  <c r="V7" i="47" s="1"/>
  <c r="L7" i="47" s="1"/>
  <c r="R11" i="47"/>
  <c r="T11" i="47" s="1"/>
  <c r="U11" i="47" s="1"/>
  <c r="V11" i="47" s="1"/>
  <c r="L11" i="47" s="1"/>
  <c r="R16" i="47"/>
  <c r="T16" i="47" s="1"/>
  <c r="U16" i="47" s="1"/>
  <c r="V16" i="47" s="1"/>
  <c r="L16" i="47" s="1"/>
  <c r="R10" i="47"/>
  <c r="T10" i="47" s="1"/>
  <c r="U10" i="47" s="1"/>
  <c r="V10" i="47" s="1"/>
  <c r="L10" i="47" s="1"/>
  <c r="R14" i="47"/>
  <c r="T14" i="47" s="1"/>
  <c r="U14" i="47" s="1"/>
  <c r="V14" i="47" s="1"/>
  <c r="L14" i="47" s="1"/>
  <c r="R9" i="47"/>
  <c r="T9" i="47" s="1"/>
  <c r="U9" i="47" s="1"/>
  <c r="V9" i="47" s="1"/>
  <c r="L9" i="47" s="1"/>
  <c r="R20" i="47"/>
  <c r="T20" i="47" s="1"/>
  <c r="U20" i="47" s="1"/>
  <c r="V20" i="47" s="1"/>
  <c r="L20" i="47" s="1"/>
  <c r="I6" i="43"/>
  <c r="I17" i="47" l="1"/>
  <c r="O17" i="47"/>
  <c r="V18" i="50"/>
  <c r="P18" i="50"/>
  <c r="M18" i="50" s="1"/>
  <c r="V13" i="50"/>
  <c r="P13" i="50"/>
  <c r="M13" i="50" s="1"/>
  <c r="O9" i="47"/>
  <c r="I9" i="47"/>
  <c r="O19" i="47"/>
  <c r="I19" i="47"/>
  <c r="V14" i="50"/>
  <c r="P14" i="50"/>
  <c r="M14" i="50" s="1"/>
  <c r="O18" i="47"/>
  <c r="I18" i="47"/>
  <c r="P7" i="50"/>
  <c r="M7" i="50" s="1"/>
  <c r="V7" i="50"/>
  <c r="P17" i="50"/>
  <c r="M17" i="50" s="1"/>
  <c r="V17" i="50"/>
  <c r="I7" i="47"/>
  <c r="O7" i="47"/>
  <c r="I12" i="47"/>
  <c r="O12" i="47"/>
  <c r="I15" i="47"/>
  <c r="O15" i="47"/>
  <c r="V12" i="50"/>
  <c r="P12" i="50"/>
  <c r="M12" i="50" s="1"/>
  <c r="V6" i="50"/>
  <c r="P6" i="50"/>
  <c r="M6" i="50" s="1"/>
  <c r="P11" i="50"/>
  <c r="M11" i="50" s="1"/>
  <c r="V11" i="50"/>
  <c r="I6" i="47"/>
  <c r="O6" i="47"/>
  <c r="I14" i="47"/>
  <c r="O14" i="47"/>
  <c r="I10" i="47"/>
  <c r="O10" i="47"/>
  <c r="I13" i="47"/>
  <c r="O13" i="47"/>
  <c r="I8" i="47"/>
  <c r="O8" i="47"/>
  <c r="P15" i="50"/>
  <c r="M15" i="50" s="1"/>
  <c r="V15" i="50"/>
  <c r="V16" i="50"/>
  <c r="P16" i="50"/>
  <c r="M16" i="50" s="1"/>
  <c r="V10" i="50"/>
  <c r="P10" i="50"/>
  <c r="M10" i="50" s="1"/>
  <c r="V9" i="50"/>
  <c r="P9" i="50"/>
  <c r="M9" i="50" s="1"/>
  <c r="O11" i="47"/>
  <c r="I11" i="47"/>
  <c r="P19" i="50"/>
  <c r="M19" i="50" s="1"/>
  <c r="V19" i="50"/>
  <c r="E21" i="44"/>
  <c r="F21" i="44"/>
  <c r="P8" i="50"/>
  <c r="M8" i="50" s="1"/>
  <c r="V8" i="50"/>
  <c r="I20" i="47"/>
  <c r="O20" i="47"/>
  <c r="I16" i="47"/>
  <c r="O16" i="47"/>
  <c r="I7" i="43"/>
  <c r="L6" i="43"/>
  <c r="M6" i="43" s="1"/>
  <c r="K37" i="47" l="1"/>
  <c r="H26" i="47"/>
  <c r="H37" i="47"/>
  <c r="K26" i="47"/>
  <c r="K25" i="47"/>
  <c r="H25" i="47"/>
  <c r="H33" i="47"/>
  <c r="K33" i="47"/>
  <c r="H29" i="47"/>
  <c r="K29" i="47"/>
  <c r="H28" i="47"/>
  <c r="K28" i="47"/>
  <c r="K31" i="47"/>
  <c r="H31" i="47"/>
  <c r="K27" i="47"/>
  <c r="H27" i="47"/>
  <c r="K35" i="47"/>
  <c r="H35" i="47"/>
  <c r="K36" i="47"/>
  <c r="H36" i="47"/>
  <c r="K34" i="47"/>
  <c r="H34" i="47"/>
  <c r="H38" i="47"/>
  <c r="K38" i="47"/>
  <c r="K32" i="47"/>
  <c r="H32" i="47"/>
  <c r="K30" i="47"/>
  <c r="H30" i="47"/>
  <c r="I8" i="43"/>
  <c r="L7" i="43"/>
  <c r="M7" i="43" s="1"/>
  <c r="I9" i="43" l="1"/>
  <c r="L8" i="43"/>
  <c r="M8" i="43" s="1"/>
  <c r="I10" i="43" l="1"/>
  <c r="L9" i="43"/>
  <c r="M9" i="43" s="1"/>
  <c r="L10" i="43" l="1"/>
  <c r="M10" i="43" s="1"/>
  <c r="I11" i="43"/>
  <c r="I12" i="43" l="1"/>
  <c r="L11" i="43"/>
  <c r="M11" i="43" s="1"/>
  <c r="L12" i="43" l="1"/>
  <c r="M12" i="43" s="1"/>
  <c r="I13" i="43"/>
  <c r="B25" i="43" s="1"/>
  <c r="B32" i="43" l="1"/>
  <c r="B35" i="43" s="1"/>
  <c r="D15" i="44" s="1"/>
  <c r="F15" i="44" s="1"/>
  <c r="B27" i="43"/>
  <c r="E15" i="44" l="1"/>
</calcChain>
</file>

<file path=xl/sharedStrings.xml><?xml version="1.0" encoding="utf-8"?>
<sst xmlns="http://schemas.openxmlformats.org/spreadsheetml/2006/main" count="925" uniqueCount="554">
  <si>
    <t>负责人名</t>
    <phoneticPr fontId="4" type="noConversion"/>
  </si>
  <si>
    <t>系统名称</t>
    <phoneticPr fontId="4" type="noConversion"/>
  </si>
  <si>
    <t>文档状态</t>
    <phoneticPr fontId="4" type="noConversion"/>
  </si>
  <si>
    <t>文档说明</t>
    <phoneticPr fontId="4" type="noConversion"/>
  </si>
  <si>
    <t>文档修订记录</t>
    <phoneticPr fontId="4" type="noConversion"/>
  </si>
  <si>
    <t>日期</t>
    <phoneticPr fontId="4" type="noConversion"/>
  </si>
  <si>
    <t>修订人</t>
    <phoneticPr fontId="4" type="noConversion"/>
  </si>
  <si>
    <t>修订内容（后续任何修改都需要记录到此）</t>
    <phoneticPr fontId="4" type="noConversion"/>
  </si>
  <si>
    <t>初稿</t>
    <phoneticPr fontId="4" type="noConversion"/>
  </si>
  <si>
    <t>说明：文档内容尽量用Excel来完成（按模板），并同步下单至WorkTime。</t>
    <phoneticPr fontId="4" type="noConversion"/>
  </si>
  <si>
    <t>织法</t>
    <phoneticPr fontId="2" type="noConversion"/>
  </si>
  <si>
    <t>织法</t>
    <phoneticPr fontId="4" type="noConversion"/>
  </si>
  <si>
    <t>初稿</t>
  </si>
  <si>
    <t>ID</t>
    <phoneticPr fontId="2" type="noConversion"/>
  </si>
  <si>
    <t>飞机个数</t>
    <phoneticPr fontId="2" type="noConversion"/>
  </si>
  <si>
    <t>描述</t>
    <phoneticPr fontId="2" type="noConversion"/>
  </si>
  <si>
    <t>path名</t>
    <phoneticPr fontId="2" type="noConversion"/>
  </si>
  <si>
    <t>类型</t>
    <phoneticPr fontId="2" type="noConversion"/>
  </si>
  <si>
    <t>波次小怪</t>
    <phoneticPr fontId="2" type="noConversion"/>
  </si>
  <si>
    <t>3个飞机，一起出现，从上而下，再向上，停留一段时间。</t>
    <phoneticPr fontId="2" type="noConversion"/>
  </si>
  <si>
    <t>3个飞机，从左到右，依次出现。</t>
    <phoneticPr fontId="2" type="noConversion"/>
  </si>
  <si>
    <t>3个飞机，左右中，依次出现。</t>
    <phoneticPr fontId="2" type="noConversion"/>
  </si>
  <si>
    <t>2个飞机，从上方一起出现</t>
    <phoneticPr fontId="2" type="noConversion"/>
  </si>
  <si>
    <t>2个飞机，从两侧一起出现</t>
    <phoneticPr fontId="2" type="noConversion"/>
  </si>
  <si>
    <t>左3右3交叉进入，而后2个飞机从上方进入</t>
    <phoneticPr fontId="2" type="noConversion"/>
  </si>
  <si>
    <t>5个飞机，</t>
    <phoneticPr fontId="2" type="noConversion"/>
  </si>
  <si>
    <t>产销系统关系梳理</t>
    <phoneticPr fontId="4" type="noConversion"/>
  </si>
  <si>
    <t>产销系统关系梳理</t>
    <phoneticPr fontId="4" type="noConversion"/>
  </si>
  <si>
    <t>梳理现有系统的产销关系，方便大家对游戏有更深刻的理解。</t>
    <phoneticPr fontId="2" type="noConversion"/>
  </si>
  <si>
    <t>增加羁绊之力和命运之门。图鉴改为搜集。</t>
    <phoneticPr fontId="2" type="noConversion"/>
  </si>
  <si>
    <t>地狱道</t>
    <phoneticPr fontId="2" type="noConversion"/>
  </si>
  <si>
    <t>Atk.up</t>
    <phoneticPr fontId="2" type="noConversion"/>
  </si>
  <si>
    <t>Def.up</t>
    <phoneticPr fontId="2" type="noConversion"/>
  </si>
  <si>
    <t>HP.up</t>
    <phoneticPr fontId="2" type="noConversion"/>
  </si>
  <si>
    <t>Atk.base</t>
    <phoneticPr fontId="2" type="noConversion"/>
  </si>
  <si>
    <t>Def.base</t>
    <phoneticPr fontId="2" type="noConversion"/>
  </si>
  <si>
    <t>HP.base</t>
    <phoneticPr fontId="2" type="noConversion"/>
  </si>
  <si>
    <t>lv</t>
    <phoneticPr fontId="2" type="noConversion"/>
  </si>
  <si>
    <t>地狱道基础属性</t>
    <phoneticPr fontId="2" type="noConversion"/>
  </si>
  <si>
    <t>总值</t>
    <phoneticPr fontId="2" type="noConversion"/>
  </si>
  <si>
    <t>N</t>
    <phoneticPr fontId="2" type="noConversion"/>
  </si>
  <si>
    <t>R</t>
    <phoneticPr fontId="2" type="noConversion"/>
  </si>
  <si>
    <t>SR</t>
    <phoneticPr fontId="2" type="noConversion"/>
  </si>
  <si>
    <t>SSR</t>
    <phoneticPr fontId="2" type="noConversion"/>
  </si>
  <si>
    <t>稀有度</t>
    <phoneticPr fontId="2" type="noConversion"/>
  </si>
  <si>
    <t>属性系数</t>
    <phoneticPr fontId="2" type="noConversion"/>
  </si>
  <si>
    <t>星级</t>
    <phoneticPr fontId="2" type="noConversion"/>
  </si>
  <si>
    <t>属性系数</t>
    <phoneticPr fontId="2" type="noConversion"/>
  </si>
  <si>
    <t>升星碎片</t>
    <phoneticPr fontId="2" type="noConversion"/>
  </si>
  <si>
    <t>满坑</t>
    <phoneticPr fontId="2" type="noConversion"/>
  </si>
  <si>
    <t>总属性系数</t>
    <phoneticPr fontId="2" type="noConversion"/>
  </si>
  <si>
    <t>Atk</t>
    <phoneticPr fontId="2" type="noConversion"/>
  </si>
  <si>
    <t>Def.base</t>
    <phoneticPr fontId="2" type="noConversion"/>
  </si>
  <si>
    <t>Def</t>
    <phoneticPr fontId="2" type="noConversion"/>
  </si>
  <si>
    <t>HP</t>
    <phoneticPr fontId="2" type="noConversion"/>
  </si>
  <si>
    <t>Atk</t>
    <phoneticPr fontId="2" type="noConversion"/>
  </si>
  <si>
    <t>Def</t>
    <phoneticPr fontId="2" type="noConversion"/>
  </si>
  <si>
    <t>HP</t>
    <phoneticPr fontId="2" type="noConversion"/>
  </si>
  <si>
    <t>羁绊之力</t>
    <phoneticPr fontId="2" type="noConversion"/>
  </si>
  <si>
    <t>Pct</t>
    <phoneticPr fontId="2" type="noConversion"/>
  </si>
  <si>
    <t>BsPct</t>
    <phoneticPr fontId="2" type="noConversion"/>
  </si>
  <si>
    <t>属性位</t>
    <phoneticPr fontId="2" type="noConversion"/>
  </si>
  <si>
    <t>火</t>
    <phoneticPr fontId="2" type="noConversion"/>
  </si>
  <si>
    <t>风</t>
    <phoneticPr fontId="2" type="noConversion"/>
  </si>
  <si>
    <t>雷</t>
    <phoneticPr fontId="2" type="noConversion"/>
  </si>
  <si>
    <t>土</t>
    <phoneticPr fontId="2" type="noConversion"/>
  </si>
  <si>
    <t>水</t>
    <phoneticPr fontId="2" type="noConversion"/>
  </si>
  <si>
    <t>奥</t>
    <phoneticPr fontId="2" type="noConversion"/>
  </si>
  <si>
    <t>攻</t>
    <phoneticPr fontId="2" type="noConversion"/>
  </si>
  <si>
    <t>攻%</t>
  </si>
  <si>
    <t>血</t>
    <phoneticPr fontId="2" type="noConversion"/>
  </si>
  <si>
    <t>防%</t>
  </si>
  <si>
    <t>血%</t>
  </si>
  <si>
    <t>爆伤</t>
    <phoneticPr fontId="2" type="noConversion"/>
  </si>
  <si>
    <t>攻击属性</t>
    <phoneticPr fontId="2" type="noConversion"/>
  </si>
  <si>
    <t>防御属性</t>
    <phoneticPr fontId="2" type="noConversion"/>
  </si>
  <si>
    <t>暴击</t>
    <phoneticPr fontId="2" type="noConversion"/>
  </si>
  <si>
    <t>效果命中</t>
    <phoneticPr fontId="2" type="noConversion"/>
  </si>
  <si>
    <t>血</t>
    <phoneticPr fontId="2" type="noConversion"/>
  </si>
  <si>
    <t>防</t>
    <phoneticPr fontId="2" type="noConversion"/>
  </si>
  <si>
    <t>格</t>
    <phoneticPr fontId="2" type="noConversion"/>
  </si>
  <si>
    <t>攻%</t>
    <phoneticPr fontId="2" type="noConversion"/>
  </si>
  <si>
    <t>血%</t>
    <phoneticPr fontId="2" type="noConversion"/>
  </si>
  <si>
    <t>防%</t>
    <phoneticPr fontId="2" type="noConversion"/>
  </si>
  <si>
    <t>攻</t>
    <phoneticPr fontId="2" type="noConversion"/>
  </si>
  <si>
    <t>效果抵抗</t>
    <phoneticPr fontId="2" type="noConversion"/>
  </si>
  <si>
    <t>忽略防御</t>
    <phoneticPr fontId="2" type="noConversion"/>
  </si>
  <si>
    <t>属性2</t>
  </si>
  <si>
    <t>属性3</t>
  </si>
  <si>
    <t>羁绊之力属性类型投放</t>
    <phoneticPr fontId="2" type="noConversion"/>
  </si>
  <si>
    <t>必给属性</t>
    <phoneticPr fontId="2" type="noConversion"/>
  </si>
  <si>
    <t>防%</t>
    <phoneticPr fontId="2" type="noConversion"/>
  </si>
  <si>
    <t>血%</t>
    <phoneticPr fontId="2" type="noConversion"/>
  </si>
  <si>
    <t>攻%</t>
    <phoneticPr fontId="2" type="noConversion"/>
  </si>
  <si>
    <t>暴击</t>
    <phoneticPr fontId="2" type="noConversion"/>
  </si>
  <si>
    <t>效果抵抗</t>
    <phoneticPr fontId="2" type="noConversion"/>
  </si>
  <si>
    <t>爆伤</t>
    <phoneticPr fontId="2" type="noConversion"/>
  </si>
  <si>
    <t>效果命中</t>
    <phoneticPr fontId="2" type="noConversion"/>
  </si>
  <si>
    <t>效果抵抗</t>
    <phoneticPr fontId="2" type="noConversion"/>
  </si>
  <si>
    <t>忽略防御</t>
    <phoneticPr fontId="2" type="noConversion"/>
  </si>
  <si>
    <t>数量</t>
    <phoneticPr fontId="2" type="noConversion"/>
  </si>
  <si>
    <t>防</t>
    <phoneticPr fontId="2" type="noConversion"/>
  </si>
  <si>
    <t>防</t>
    <phoneticPr fontId="2" type="noConversion"/>
  </si>
  <si>
    <t>血</t>
    <phoneticPr fontId="2" type="noConversion"/>
  </si>
  <si>
    <t>格</t>
    <phoneticPr fontId="2" type="noConversion"/>
  </si>
  <si>
    <t>属性1</t>
    <phoneticPr fontId="2" type="noConversion"/>
  </si>
  <si>
    <t>属性名</t>
    <phoneticPr fontId="2" type="noConversion"/>
  </si>
  <si>
    <t>作用</t>
    <phoneticPr fontId="2" type="noConversion"/>
  </si>
  <si>
    <t>数量</t>
    <phoneticPr fontId="2" type="noConversion"/>
  </si>
  <si>
    <t>每级成长</t>
    <phoneticPr fontId="2" type="noConversion"/>
  </si>
  <si>
    <t>攻击</t>
    <phoneticPr fontId="2" type="noConversion"/>
  </si>
  <si>
    <t>防御</t>
    <phoneticPr fontId="2" type="noConversion"/>
  </si>
  <si>
    <t>总等级</t>
    <phoneticPr fontId="2" type="noConversion"/>
  </si>
  <si>
    <t>AtkRate</t>
    <phoneticPr fontId="2" type="noConversion"/>
  </si>
  <si>
    <t>DefRate</t>
    <phoneticPr fontId="2" type="noConversion"/>
  </si>
  <si>
    <t>HPRate</t>
    <phoneticPr fontId="2" type="noConversion"/>
  </si>
  <si>
    <t>Crit</t>
    <phoneticPr fontId="2" type="noConversion"/>
  </si>
  <si>
    <t>CritHit</t>
    <phoneticPr fontId="2" type="noConversion"/>
  </si>
  <si>
    <t>EffectHit</t>
    <phoneticPr fontId="2" type="noConversion"/>
  </si>
  <si>
    <t>EffectResist</t>
    <phoneticPr fontId="2" type="noConversion"/>
  </si>
  <si>
    <t>Block</t>
    <phoneticPr fontId="2" type="noConversion"/>
  </si>
  <si>
    <t>DefIgnore</t>
    <phoneticPr fontId="2" type="noConversion"/>
  </si>
  <si>
    <t>标准</t>
    <phoneticPr fontId="2" type="noConversion"/>
  </si>
  <si>
    <t>属性投放</t>
    <phoneticPr fontId="2" type="noConversion"/>
  </si>
  <si>
    <t>特殊等级</t>
    <phoneticPr fontId="2" type="noConversion"/>
  </si>
  <si>
    <t>职业属性分配</t>
    <phoneticPr fontId="2" type="noConversion"/>
  </si>
  <si>
    <t>大类型</t>
    <phoneticPr fontId="2" type="noConversion"/>
  </si>
  <si>
    <t>小类型</t>
    <phoneticPr fontId="2" type="noConversion"/>
  </si>
  <si>
    <t>单体攻击</t>
    <phoneticPr fontId="2" type="noConversion"/>
  </si>
  <si>
    <t>攻血抗</t>
    <phoneticPr fontId="2" type="noConversion"/>
  </si>
  <si>
    <t>SSR</t>
    <phoneticPr fontId="2" type="noConversion"/>
  </si>
  <si>
    <t>SR</t>
    <phoneticPr fontId="2" type="noConversion"/>
  </si>
  <si>
    <t>R</t>
    <phoneticPr fontId="2" type="noConversion"/>
  </si>
  <si>
    <t>天生暴</t>
    <phoneticPr fontId="2" type="noConversion"/>
  </si>
  <si>
    <t>天生格</t>
    <phoneticPr fontId="2" type="noConversion"/>
  </si>
  <si>
    <t>防御投放</t>
    <phoneticPr fontId="2" type="noConversion"/>
  </si>
  <si>
    <t>天生穿透</t>
    <phoneticPr fontId="2" type="noConversion"/>
  </si>
  <si>
    <t>ID</t>
    <phoneticPr fontId="2" type="noConversion"/>
  </si>
  <si>
    <t>EnName</t>
    <phoneticPr fontId="2" type="noConversion"/>
  </si>
  <si>
    <t>CnName</t>
  </si>
  <si>
    <t>IsHide</t>
    <phoneticPr fontId="2" type="noConversion"/>
  </si>
  <si>
    <t>Show.Str</t>
    <phoneticPr fontId="2" type="noConversion"/>
  </si>
  <si>
    <t>Show.Fac</t>
    <phoneticPr fontId="2" type="noConversion"/>
  </si>
  <si>
    <t>BsFac</t>
    <phoneticPr fontId="2" type="noConversion"/>
  </si>
  <si>
    <t>Desc</t>
    <phoneticPr fontId="2" type="noConversion"/>
  </si>
  <si>
    <t>int:&lt;&gt;</t>
    <phoneticPr fontId="2" type="noConversion"/>
  </si>
  <si>
    <t>string:&lt;&gt;</t>
    <phoneticPr fontId="2" type="noConversion"/>
  </si>
  <si>
    <t>bool:&lt;&gt;</t>
    <phoneticPr fontId="2" type="noConversion"/>
  </si>
  <si>
    <t>string:&lt;</t>
    <phoneticPr fontId="2" type="noConversion"/>
  </si>
  <si>
    <t>float:&lt;&gt;</t>
    <phoneticPr fontId="2" type="noConversion"/>
  </si>
  <si>
    <t>ID</t>
    <phoneticPr fontId="2" type="noConversion"/>
  </si>
  <si>
    <t>英文名</t>
    <phoneticPr fontId="2" type="noConversion"/>
  </si>
  <si>
    <t>中文名</t>
    <phoneticPr fontId="2" type="noConversion"/>
  </si>
  <si>
    <t>隐藏属性</t>
    <phoneticPr fontId="2" type="noConversion"/>
  </si>
  <si>
    <t>展示方式</t>
    <phoneticPr fontId="2" type="noConversion"/>
  </si>
  <si>
    <t>属性乘数</t>
    <phoneticPr fontId="2" type="noConversion"/>
  </si>
  <si>
    <t>战力系数</t>
    <phoneticPr fontId="2" type="noConversion"/>
  </si>
  <si>
    <t>描述</t>
    <phoneticPr fontId="2" type="noConversion"/>
  </si>
  <si>
    <t>Atk</t>
  </si>
  <si>
    <t>基础攻击</t>
    <phoneticPr fontId="2" type="noConversion"/>
  </si>
  <si>
    <t>决定角色的伤害能力，攻击力越高，角色技能的伤害也越高。</t>
    <phoneticPr fontId="2" type="noConversion"/>
  </si>
  <si>
    <t>Def</t>
  </si>
  <si>
    <t>基础防御</t>
    <phoneticPr fontId="2" type="noConversion"/>
  </si>
  <si>
    <t>防御力越高，角色所受伤害越低。</t>
    <phoneticPr fontId="2" type="noConversion"/>
  </si>
  <si>
    <t>HP</t>
    <phoneticPr fontId="2" type="noConversion"/>
  </si>
  <si>
    <t>基础生命</t>
    <phoneticPr fontId="2" type="noConversion"/>
  </si>
  <si>
    <t>生命值为0时，角色死亡。</t>
    <phoneticPr fontId="2" type="noConversion"/>
  </si>
  <si>
    <t>Crit</t>
  </si>
  <si>
    <t>暴击率</t>
  </si>
  <si>
    <r>
      <t>伤害性技能和恢复技能会发生暴击，默认暴击伤害为1</t>
    </r>
    <r>
      <rPr>
        <sz val="11"/>
        <color theme="1"/>
        <rFont val="微软雅黑"/>
        <family val="2"/>
        <charset val="134"/>
      </rPr>
      <t>.5倍。</t>
    </r>
    <phoneticPr fontId="2" type="noConversion"/>
  </si>
  <si>
    <t>CritDmg</t>
    <phoneticPr fontId="2" type="noConversion"/>
  </si>
  <si>
    <t>暴击伤害</t>
  </si>
  <si>
    <t>提升暴击后造成的伤害。</t>
    <phoneticPr fontId="2" type="noConversion"/>
  </si>
  <si>
    <t>EffectHit</t>
  </si>
  <si>
    <t>效果命中</t>
  </si>
  <si>
    <t>提升Debuff的命中概率</t>
    <phoneticPr fontId="2" type="noConversion"/>
  </si>
  <si>
    <t>EffectResist</t>
    <phoneticPr fontId="2" type="noConversion"/>
  </si>
  <si>
    <t>效果抵抗</t>
  </si>
  <si>
    <t>降低遭受Debuff的概率。</t>
    <phoneticPr fontId="2" type="noConversion"/>
  </si>
  <si>
    <t>AtkRate</t>
  </si>
  <si>
    <t>攻击百分比加成</t>
  </si>
  <si>
    <t>百分比提升基础攻击力。</t>
    <phoneticPr fontId="2" type="noConversion"/>
  </si>
  <si>
    <t>DefRate</t>
  </si>
  <si>
    <t>防御百分比加成</t>
  </si>
  <si>
    <t>百分比提升基础防御力。</t>
    <phoneticPr fontId="2" type="noConversion"/>
  </si>
  <si>
    <t>HPRate</t>
  </si>
  <si>
    <t>生命百分比加成</t>
  </si>
  <si>
    <t>百分比提升基础生命。</t>
    <phoneticPr fontId="2" type="noConversion"/>
  </si>
  <si>
    <t>AtkExt</t>
    <phoneticPr fontId="2" type="noConversion"/>
  </si>
  <si>
    <t>攻击</t>
    <phoneticPr fontId="2" type="noConversion"/>
  </si>
  <si>
    <t>额外攻击力，不受百分比影响。</t>
    <phoneticPr fontId="2" type="noConversion"/>
  </si>
  <si>
    <r>
      <t>Def</t>
    </r>
    <r>
      <rPr>
        <sz val="11"/>
        <color theme="1"/>
        <rFont val="微软雅黑"/>
        <family val="2"/>
        <charset val="134"/>
      </rPr>
      <t>Ext</t>
    </r>
    <phoneticPr fontId="2" type="noConversion"/>
  </si>
  <si>
    <t>防御</t>
    <phoneticPr fontId="2" type="noConversion"/>
  </si>
  <si>
    <t>额外防御力，不受百分比影响。</t>
    <phoneticPr fontId="2" type="noConversion"/>
  </si>
  <si>
    <t>HPExt</t>
    <phoneticPr fontId="2" type="noConversion"/>
  </si>
  <si>
    <t>生命</t>
    <phoneticPr fontId="2" type="noConversion"/>
  </si>
  <si>
    <t>额外生命，不受百分比影响。</t>
    <phoneticPr fontId="2" type="noConversion"/>
  </si>
  <si>
    <t>Block</t>
    <phoneticPr fontId="2" type="noConversion"/>
  </si>
  <si>
    <t>格挡</t>
    <phoneticPr fontId="2" type="noConversion"/>
  </si>
  <si>
    <t>角色受到攻击时，有概率发生格挡，只受到一半的伤害。</t>
    <phoneticPr fontId="2" type="noConversion"/>
  </si>
  <si>
    <t>DefIgnor</t>
    <phoneticPr fontId="2" type="noConversion"/>
  </si>
  <si>
    <t>穿透</t>
    <phoneticPr fontId="2" type="noConversion"/>
  </si>
  <si>
    <t>角色攻击敌方时，有概率忽略对方的防御，可与暴击同时发生。</t>
    <phoneticPr fontId="2" type="noConversion"/>
  </si>
  <si>
    <t>R</t>
    <phoneticPr fontId="2" type="noConversion"/>
  </si>
  <si>
    <t>防御基值</t>
    <phoneticPr fontId="2" type="noConversion"/>
  </si>
  <si>
    <t>防御系数 = Ra/(Ra+防御b)。</t>
    <phoneticPr fontId="2" type="noConversion"/>
  </si>
  <si>
    <t>投放</t>
    <phoneticPr fontId="2" type="noConversion"/>
  </si>
  <si>
    <t>战力</t>
    <phoneticPr fontId="2" type="noConversion"/>
  </si>
  <si>
    <t>总战力</t>
    <phoneticPr fontId="2" type="noConversion"/>
  </si>
  <si>
    <t>血量投放</t>
    <phoneticPr fontId="2" type="noConversion"/>
  </si>
  <si>
    <t>攻击治疗</t>
    <phoneticPr fontId="2" type="noConversion"/>
  </si>
  <si>
    <t>生命护盾</t>
    <phoneticPr fontId="2" type="noConversion"/>
  </si>
  <si>
    <t>群体攻击</t>
    <phoneticPr fontId="2" type="noConversion"/>
  </si>
  <si>
    <t>额外</t>
    <phoneticPr fontId="2" type="noConversion"/>
  </si>
  <si>
    <t>额外</t>
    <phoneticPr fontId="2" type="noConversion"/>
  </si>
  <si>
    <t>血量</t>
    <phoneticPr fontId="2" type="noConversion"/>
  </si>
  <si>
    <t>防御</t>
    <phoneticPr fontId="2" type="noConversion"/>
  </si>
  <si>
    <t>卡牌属性</t>
    <phoneticPr fontId="2" type="noConversion"/>
  </si>
  <si>
    <t>羁绊之力</t>
    <phoneticPr fontId="2" type="noConversion"/>
  </si>
  <si>
    <t>攻击力系数</t>
    <phoneticPr fontId="2" type="noConversion"/>
  </si>
  <si>
    <t>有效生命</t>
    <phoneticPr fontId="2" type="noConversion"/>
  </si>
  <si>
    <t>战力</t>
    <phoneticPr fontId="2" type="noConversion"/>
  </si>
  <si>
    <t>生存力</t>
    <phoneticPr fontId="2" type="noConversion"/>
  </si>
  <si>
    <t>总投放</t>
    <phoneticPr fontId="2" type="noConversion"/>
  </si>
  <si>
    <t>标准生存</t>
    <phoneticPr fontId="2" type="noConversion"/>
  </si>
  <si>
    <t>标准攻击</t>
    <phoneticPr fontId="2" type="noConversion"/>
  </si>
  <si>
    <t>攻击</t>
    <phoneticPr fontId="2" type="noConversion"/>
  </si>
  <si>
    <t>天生暴伤</t>
    <phoneticPr fontId="2" type="noConversion"/>
  </si>
  <si>
    <t>战力修正</t>
    <phoneticPr fontId="2" type="noConversion"/>
  </si>
  <si>
    <t>卡牌定位</t>
    <phoneticPr fontId="2" type="noConversion"/>
  </si>
  <si>
    <t>核心</t>
  </si>
  <si>
    <t>名称</t>
  </si>
  <si>
    <t>寄灵人</t>
  </si>
  <si>
    <t>品质</t>
  </si>
  <si>
    <t>颜色</t>
  </si>
  <si>
    <t>强势时期</t>
  </si>
  <si>
    <t>特性属性</t>
    <phoneticPr fontId="2" type="noConversion"/>
  </si>
  <si>
    <t>技能类型</t>
  </si>
  <si>
    <t>寄灵人技能效果</t>
  </si>
  <si>
    <t>技能名</t>
  </si>
  <si>
    <t>基础技能效果</t>
  </si>
  <si>
    <t>强化效果1</t>
  </si>
  <si>
    <t>初始投放</t>
    <phoneticPr fontId="2" type="noConversion"/>
  </si>
  <si>
    <t>基础</t>
  </si>
  <si>
    <t>于禁</t>
  </si>
  <si>
    <t>常服曹焱兵</t>
  </si>
  <si>
    <t>R</t>
  </si>
  <si>
    <t>黄色</t>
  </si>
  <si>
    <t>中期</t>
    <phoneticPr fontId="2" type="noConversion"/>
  </si>
  <si>
    <t>攻击</t>
    <phoneticPr fontId="2" type="noConversion"/>
  </si>
  <si>
    <t>阎王炮</t>
  </si>
  <si>
    <t>攻击敌方1次，造成2点伤害
获得1个黄色水晶</t>
    <phoneticPr fontId="2" type="noConversion"/>
  </si>
  <si>
    <t>狂影急刃</t>
  </si>
  <si>
    <t>自带技能</t>
  </si>
  <si>
    <t>对敌方单体进行1段强力打击，造成攻击力X%的伤害。</t>
  </si>
  <si>
    <t>当寄灵人为常服曹焱兵时，此技能消耗水晶减少X个</t>
  </si>
  <si>
    <t>困龙火柱</t>
  </si>
  <si>
    <t>限制对方单体行动1回合
50%几率减少对方1个红色水晶
CD1回合</t>
    <phoneticPr fontId="2" type="noConversion"/>
  </si>
  <si>
    <t>插槽技能</t>
  </si>
  <si>
    <t>初始投放</t>
    <phoneticPr fontId="2" type="noConversion"/>
  </si>
  <si>
    <t>唐流雨</t>
  </si>
  <si>
    <t>曹玄亮</t>
  </si>
  <si>
    <t>红色</t>
  </si>
  <si>
    <t>雷光刃</t>
  </si>
  <si>
    <t>攻击敌方前排单体体造成1点伤害
获得1个红色水晶</t>
    <phoneticPr fontId="2" type="noConversion"/>
  </si>
  <si>
    <t>暴雨梨花</t>
  </si>
  <si>
    <t>对敌方全体造成攻击力X%的伤害
该技能可以触发连击效果</t>
  </si>
  <si>
    <t>雷光钻</t>
  </si>
  <si>
    <t>攻击敌方一列造成1点伤害
获得1个红色水晶</t>
    <phoneticPr fontId="2" type="noConversion"/>
  </si>
  <si>
    <t>李轩辕</t>
  </si>
  <si>
    <t>战斗夏玲</t>
  </si>
  <si>
    <t>SR</t>
  </si>
  <si>
    <t>蓝色</t>
  </si>
  <si>
    <t>中期</t>
  </si>
  <si>
    <t>效果命中</t>
    <phoneticPr fontId="2" type="noConversion"/>
  </si>
  <si>
    <t>天音符录</t>
  </si>
  <si>
    <t>己方攻击增加10%
生成1个蓝色水晶</t>
    <phoneticPr fontId="2" type="noConversion"/>
  </si>
  <si>
    <t>无量清风</t>
  </si>
  <si>
    <t>立即获得X个红色水晶</t>
  </si>
  <si>
    <t>转化后的水晶数量+1</t>
  </si>
  <si>
    <t>四象擒灵光</t>
  </si>
  <si>
    <t>每回合有50%几率额外生成1个蓝色水晶</t>
  </si>
  <si>
    <t>平民稀有核心卡</t>
    <phoneticPr fontId="2" type="noConversion"/>
  </si>
  <si>
    <t>高效率输出</t>
  </si>
  <si>
    <t>飞廉</t>
  </si>
  <si>
    <t>阎风吒</t>
  </si>
  <si>
    <t>暴击</t>
    <phoneticPr fontId="2" type="noConversion"/>
  </si>
  <si>
    <t>影月斩</t>
  </si>
  <si>
    <t>对敌方单体目标造成2点伤害，并对该单位施加风神印记</t>
  </si>
  <si>
    <t>疾风斩</t>
  </si>
  <si>
    <t>主动效果：对场上所有带有风神标记的敌方单位造成1段伤害。被动效果：造成的每次伤害均有概率（基础+效果命中）对目标附加风神标记
被动效果：当1技能杀死一个敌人时，自动再次释放1次1技能</t>
  </si>
  <si>
    <t>羿神</t>
  </si>
  <si>
    <t>对敌方全体造成1点伤害，每个目标50%概率施加风神印记</t>
  </si>
  <si>
    <t>土豪顶级红色卡</t>
    <phoneticPr fontId="2" type="noConversion"/>
  </si>
  <si>
    <t>夏侯惇</t>
  </si>
  <si>
    <t>战斗曹焱兵</t>
  </si>
  <si>
    <t>SSR</t>
    <phoneticPr fontId="2" type="noConversion"/>
  </si>
  <si>
    <t>后期</t>
    <phoneticPr fontId="2" type="noConversion"/>
  </si>
  <si>
    <t>穿透</t>
    <phoneticPr fontId="2" type="noConversion"/>
  </si>
  <si>
    <t>大焱裂空锤</t>
  </si>
  <si>
    <t>攻击敌方单体造成2点伤害并50%概率使目标眩晕1回合，冷却时间1回合</t>
  </si>
  <si>
    <t>镜池刀山</t>
  </si>
  <si>
    <r>
      <t xml:space="preserve">以一定生命为代价，释放猛烈的气息冲击敌方一列，对前排造成攻击力50%伤害，对后排造成攻击力100%伤害
</t>
    </r>
    <r>
      <rPr>
        <sz val="11"/>
        <color rgb="FFFF0000"/>
        <rFont val="微软雅黑"/>
        <family val="2"/>
        <charset val="134"/>
      </rPr>
      <t>该技能可以触发连击效果</t>
    </r>
    <phoneticPr fontId="2" type="noConversion"/>
  </si>
  <si>
    <t>降低生命消耗</t>
  </si>
  <si>
    <t>无相火皇</t>
  </si>
  <si>
    <t>对敌方前排全部单位造成1点伤害
立即获得1个红色水晶</t>
    <phoneticPr fontId="2" type="noConversion"/>
  </si>
  <si>
    <t>土豪顶级黄色卡</t>
    <phoneticPr fontId="2" type="noConversion"/>
  </si>
  <si>
    <t>能力累积与溢出伤害利用</t>
  </si>
  <si>
    <t>项羽</t>
  </si>
  <si>
    <t>项昆仑</t>
  </si>
  <si>
    <t>SSR</t>
  </si>
  <si>
    <t>后期</t>
  </si>
  <si>
    <t>暴击/爆伤</t>
    <phoneticPr fontId="2" type="noConversion"/>
  </si>
  <si>
    <t>王者之戟</t>
  </si>
  <si>
    <t>攻击敌方单体造成1点伤害，并回复伤害值一半的生命</t>
  </si>
  <si>
    <t>天煌霸斩</t>
  </si>
  <si>
    <t>对敌方单体造成1段高额伤害</t>
    <phoneticPr fontId="2" type="noConversion"/>
  </si>
  <si>
    <t>破釜沉舟</t>
  </si>
  <si>
    <t>蓄力1回合，获得1枚印记，项羽或者其守护灵的下一次攻击将会消耗全部印记，每一枚增加3点伤害，印记最多同时拥有5枚</t>
  </si>
  <si>
    <t>对生命值高于70%的单位造成伤害增加20%</t>
  </si>
  <si>
    <t>暴击伤害增加X%</t>
  </si>
  <si>
    <t>充值送的貌似很厉害的卡</t>
    <phoneticPr fontId="2" type="noConversion"/>
  </si>
  <si>
    <t>关羽</t>
  </si>
  <si>
    <t>刘羽禅</t>
  </si>
  <si>
    <t>为自己生成2点护盾
回复1个黄色水晶</t>
    <phoneticPr fontId="2" type="noConversion"/>
  </si>
  <si>
    <t>青龙偃月</t>
  </si>
  <si>
    <t>基础效果：对敌方单体造成1段攻击。
该技能可以可以触发连击效果</t>
  </si>
  <si>
    <t>当寄灵人为刘羽禅时，该技能目标变为攻击一列，后排单位受到技能30%的伤害</t>
  </si>
  <si>
    <t>匡扶之志</t>
  </si>
  <si>
    <t>刘羽禅的守护灵每次攻击可以额外造成刘羽禅攻击力X%的伤害</t>
    <phoneticPr fontId="2" type="noConversion"/>
  </si>
  <si>
    <t>当寄灵人为刘羽禅时，该技能击杀目标后多出的攻击和连击效果会转移到敌方生命最低的单位</t>
  </si>
  <si>
    <t>顶级红色功能卡</t>
    <phoneticPr fontId="2" type="noConversion"/>
  </si>
  <si>
    <t>夏侯渊</t>
  </si>
  <si>
    <t>技能1</t>
  </si>
  <si>
    <t>暗夜娑伽罗</t>
  </si>
  <si>
    <r>
      <t xml:space="preserve">召唤地狱蛇随机缠绕敌方前排2目标，降低目标减伤x%，使其随机陷入禁锢、主动封印(不能释放主动技能)、被动封印（被动技能失效）状态中的一种，持续2回合
</t>
    </r>
    <r>
      <rPr>
        <sz val="11"/>
        <color rgb="FFFF0000"/>
        <rFont val="微软雅黑"/>
        <family val="2"/>
        <charset val="134"/>
      </rPr>
      <t>该技能可以触发连击效果</t>
    </r>
    <phoneticPr fontId="2" type="noConversion"/>
  </si>
  <si>
    <t>减伤降低+x%</t>
  </si>
  <si>
    <t>技能2</t>
  </si>
  <si>
    <t>玩家最先接触的功能卡</t>
    <phoneticPr fontId="2" type="noConversion"/>
  </si>
  <si>
    <t>徐晃</t>
  </si>
  <si>
    <t>防御</t>
    <phoneticPr fontId="2" type="noConversion"/>
  </si>
  <si>
    <t>白龙护体</t>
  </si>
  <si>
    <t>下一回合内可以为所有受到单体伤害的单位完全抵挡一次伤害。</t>
  </si>
  <si>
    <t>单次伤害大于自身生命值z%时，只损失z%</t>
  </si>
  <si>
    <t>普通红色功能卡</t>
    <phoneticPr fontId="2" type="noConversion"/>
  </si>
  <si>
    <t>天使缇娜</t>
  </si>
  <si>
    <t>红莲·缇娜</t>
  </si>
  <si>
    <t>召唤血魔</t>
  </si>
  <si>
    <t>形成一个血魔印记，最多同时存在2个
削减敌方随机颜色水晶一个</t>
    <phoneticPr fontId="2" type="noConversion"/>
  </si>
  <si>
    <t>铁处女之吻</t>
  </si>
  <si>
    <t>禁锢敌方单体1回合，如果寄灵人身上有血魔印记，则技能有额外效果：1个血魔印记，禁锢同时造成每回合X的伤害；2个血魔印记，禁锢时间增加1回合；3个血魔印记，禁锢同时减少目标X%防御；4个血魔印记，禁锢时间增加1回合
该技能可以触发连击效果</t>
  </si>
  <si>
    <t>血池</t>
  </si>
  <si>
    <t>消耗所有血魔印记，每一个印记恢复红莲缇娜25%最大生命值</t>
  </si>
  <si>
    <t>进阶玩法功能卡</t>
    <phoneticPr fontId="2" type="noConversion"/>
  </si>
  <si>
    <t>护盾</t>
  </si>
  <si>
    <t>张飞</t>
  </si>
  <si>
    <t>生命</t>
    <phoneticPr fontId="2" type="noConversion"/>
  </si>
  <si>
    <t>熊虎之盾</t>
  </si>
  <si>
    <t>为敌我双方施加伤害吸收护盾，敌方护盾量为我方的50%，持续到下次行动结束</t>
  </si>
  <si>
    <t>当寄灵人为刘羽禅时，护盾存在时每回合额外恢复Y%生命值</t>
  </si>
  <si>
    <t>进阶蓝色资源卡</t>
    <phoneticPr fontId="2" type="noConversion"/>
  </si>
  <si>
    <t>张郃</t>
  </si>
  <si>
    <t>魍魉乱舞</t>
  </si>
  <si>
    <t>对敌方单体进行多段刺击，每次刺击造成伤害并随机获得1个水晶；</t>
  </si>
  <si>
    <t>概率+x%</t>
  </si>
  <si>
    <t>看似好用的普通卡</t>
    <phoneticPr fontId="2" type="noConversion"/>
  </si>
  <si>
    <t>高顺</t>
  </si>
  <si>
    <t>吕仙宫</t>
  </si>
  <si>
    <t>前期</t>
  </si>
  <si>
    <t>爆伤</t>
    <phoneticPr fontId="2" type="noConversion"/>
  </si>
  <si>
    <t>吕氏余烈</t>
  </si>
  <si>
    <t>攻击敌方单体，禁止敌方单体释放技能，持续1回合</t>
  </si>
  <si>
    <t>幽冥陷阵弑</t>
  </si>
  <si>
    <t>攻击单体目标造成4点伤害，若敌方当前生命值高于最大值的70%，额外增加x%的伤害；若本次攻击未能击杀目标，则自身伤害增加y%持续1回合；若本次攻击击杀了目标，则对另一名目标追加一次z%伤害的攻击</t>
    <phoneticPr fontId="2" type="noConversion"/>
  </si>
  <si>
    <t>生命值加伤的界限降低为65%</t>
  </si>
  <si>
    <t>威慑</t>
  </si>
  <si>
    <t>为己方生命值最低的单位回复2点生命</t>
  </si>
  <si>
    <t>看似好用的普通卡</t>
    <phoneticPr fontId="2" type="noConversion"/>
  </si>
  <si>
    <t>石灵明</t>
    <phoneticPr fontId="2" type="noConversion"/>
  </si>
  <si>
    <t>北落师门</t>
  </si>
  <si>
    <t>厚土双臂</t>
  </si>
  <si>
    <t>对敌方单位进行2段攻击，每段攻击造成1点伤害，并对目标施加2枚印记，印记最多同时存在4枚(可被己方攻击引爆，造成额外伤害，每次攻击引爆1枚印记)</t>
  </si>
  <si>
    <t>崩星乱舞</t>
  </si>
  <si>
    <t>对目标单体进行2段重击
该技能可以触发连击效果</t>
  </si>
  <si>
    <t>伤害增加x%，且优先攻击带有[厚土]印记的目标</t>
  </si>
  <si>
    <t>荒土</t>
  </si>
  <si>
    <t>自己与守护灵每段攻击都有50%概率获得1枚随机颜色的水晶</t>
  </si>
  <si>
    <t>替换于禁的普通卡</t>
    <phoneticPr fontId="2" type="noConversion"/>
  </si>
  <si>
    <t>典韦</t>
  </si>
  <si>
    <t>混沌弑神击</t>
  </si>
  <si>
    <t>攻击敌方单体造成X%伤害
被动效果：每次造成伤害提升自身暴击伤害25%</t>
  </si>
  <si>
    <t>当寄灵人为常服曹焱兵时，典韦被召唤出来的第一个回合自动释放一次该技能</t>
  </si>
  <si>
    <t>看似好用的普通卡</t>
    <phoneticPr fontId="2" type="noConversion"/>
  </si>
  <si>
    <t>许褚</t>
  </si>
  <si>
    <t>中期</t>
    <phoneticPr fontId="2" type="noConversion"/>
  </si>
  <si>
    <t>火炎轮</t>
  </si>
  <si>
    <t>基础效果：对敌方单体进行1段攻击，造成攻击力X%的伤害；
该技能可以触发连击效果</t>
    <phoneticPr fontId="2" type="noConversion"/>
  </si>
  <si>
    <t>当寄灵人为常服曹焱兵时，每次攻击有X%的概率造成目标生命最大值Y%的额外伤害</t>
  </si>
  <si>
    <t>暴击率增加X%</t>
  </si>
  <si>
    <t>每次伤害暴击时，有X%的概率造成目标生命最大值Y%的额外伤害</t>
  </si>
  <si>
    <t>有可能有用的低级卡</t>
    <phoneticPr fontId="2" type="noConversion"/>
  </si>
  <si>
    <t>召唤</t>
  </si>
  <si>
    <t>烈风螳螂</t>
  </si>
  <si>
    <t>阎巧巧</t>
  </si>
  <si>
    <t>破风刃</t>
  </si>
  <si>
    <t>攻击敌方一列造成2点伤害</t>
  </si>
  <si>
    <t>烈风绝杀</t>
  </si>
  <si>
    <t>攻击敌方单体，造成攻击力X%的伤害
场上所有单位每次召唤守护灵会为烈风螳螂增加一枚印记，每一枚印记增加烈风螳螂X%攻击力</t>
  </si>
  <si>
    <t>伤害增加X%</t>
    <phoneticPr fontId="2" type="noConversion"/>
  </si>
  <si>
    <t>同仇</t>
  </si>
  <si>
    <t>受到伤害时回复损失生命值等量的红色水晶（受伤致死不生效）</t>
  </si>
  <si>
    <t>攻击随时间增长</t>
  </si>
  <si>
    <t>塞伯罗斯</t>
  </si>
  <si>
    <t>黑尔·坎普</t>
  </si>
  <si>
    <t>后期</t>
    <phoneticPr fontId="2" type="noConversion"/>
  </si>
  <si>
    <t>暴击/爆伤</t>
    <phoneticPr fontId="2" type="noConversion"/>
  </si>
  <si>
    <t>利爪</t>
  </si>
  <si>
    <t>攻击敌方1次，造成1点伤害
获得2个黄色水晶</t>
    <phoneticPr fontId="2" type="noConversion"/>
  </si>
  <si>
    <t>地狱喷射</t>
  </si>
  <si>
    <t>攻击敌方前排单位，造成攻击X%的伤害
被动效果：每损失X%生命，攻击力增加X%</t>
    <phoneticPr fontId="2" type="noConversion"/>
  </si>
  <si>
    <t>烈焰</t>
  </si>
  <si>
    <t>自己和寄灵人的每次攻击有50%几率额外造成20%伤害</t>
  </si>
  <si>
    <t>有可能有用的低级卡</t>
    <phoneticPr fontId="2" type="noConversion"/>
  </si>
  <si>
    <t>噬日</t>
  </si>
  <si>
    <t>南御夫</t>
  </si>
  <si>
    <t>痛击</t>
  </si>
  <si>
    <t>攻击敌方单体造成1点伤害
50%几率随机偷取对方1个水晶</t>
    <phoneticPr fontId="2" type="noConversion"/>
  </si>
  <si>
    <t>吞天噬地</t>
  </si>
  <si>
    <t>消耗自身一半的最大生命值攻击敌方单体
被动效果：被召唤出场时立即释放1次本技能</t>
  </si>
  <si>
    <t>印记伤害增加x%</t>
  </si>
  <si>
    <t>忍负</t>
  </si>
  <si>
    <t>自己与守护灵每回合回复1点生命</t>
  </si>
  <si>
    <t>食火蜥</t>
  </si>
  <si>
    <t>吉拉</t>
  </si>
  <si>
    <t>中期</t>
    <phoneticPr fontId="2" type="noConversion"/>
  </si>
  <si>
    <t>格挡</t>
    <phoneticPr fontId="2" type="noConversion"/>
  </si>
  <si>
    <t>狩猎</t>
  </si>
  <si>
    <t>攻击敌方前排全体造成1点伤害
随机削减敌方2个水晶</t>
    <phoneticPr fontId="2" type="noConversion"/>
  </si>
  <si>
    <t>食火蜥之护</t>
  </si>
  <si>
    <t>为当前生命百分比最低的单位生成护盾，持续到下次行动开始</t>
  </si>
  <si>
    <t>增加免伤x%</t>
  </si>
  <si>
    <t>融合中枢</t>
  </si>
  <si>
    <t>将敌方2个红色水晶变为蓝色（蓝色水晶到X时怎么样）</t>
  </si>
  <si>
    <t>需要修改</t>
    <phoneticPr fontId="2" type="noConversion"/>
  </si>
  <si>
    <t>西方龙</t>
  </si>
  <si>
    <t>盖文</t>
  </si>
  <si>
    <t>擒龙手</t>
  </si>
  <si>
    <t>攻击敌方单体，造成2点伤害并为自己生成1点护盾（护盾不可叠加）</t>
  </si>
  <si>
    <t>灭世狂龙闪</t>
  </si>
  <si>
    <t>主动效果：对自身施加buff，1回合内每受到1段伤害有50%概率使进攻者随机减少一枚水晶；</t>
  </si>
  <si>
    <t>龙王之怒</t>
  </si>
  <si>
    <t>水晶每有一个受到敌方影响（偷取、削减）为自身生成1个印记，每1枚印记可代替1个盖文召唤守护灵的水晶</t>
  </si>
  <si>
    <t>未命名守护灵1</t>
  </si>
  <si>
    <t>标记敌方单体，强制其成为下一个单体技能的目标</t>
  </si>
  <si>
    <t>未命名守护灵2</t>
  </si>
  <si>
    <t>未命名守护灵3</t>
  </si>
  <si>
    <t>未命名守护灵4</t>
  </si>
  <si>
    <t>未命名守护灵5</t>
  </si>
  <si>
    <t>未命名守护灵6</t>
  </si>
  <si>
    <t>未命名守护灵7</t>
  </si>
  <si>
    <t>名称</t>
    <phoneticPr fontId="2" type="noConversion"/>
  </si>
  <si>
    <t>ID</t>
  </si>
  <si>
    <t>ID</t>
    <phoneticPr fontId="2" type="noConversion"/>
  </si>
  <si>
    <t>属性类型</t>
    <phoneticPr fontId="2" type="noConversion"/>
  </si>
  <si>
    <t>属性ID</t>
    <phoneticPr fontId="2" type="noConversion"/>
  </si>
  <si>
    <t>品质</t>
    <phoneticPr fontId="2" type="noConversion"/>
  </si>
  <si>
    <t>血量投放</t>
  </si>
  <si>
    <t>防御投放</t>
  </si>
  <si>
    <t>石灵明</t>
  </si>
  <si>
    <t>攻血格</t>
    <phoneticPr fontId="2" type="noConversion"/>
  </si>
  <si>
    <t>均衡型-攻血抗</t>
    <phoneticPr fontId="2" type="noConversion"/>
  </si>
  <si>
    <t>R</t>
    <phoneticPr fontId="2" type="noConversion"/>
  </si>
  <si>
    <t>群体攻击-堆攻</t>
    <phoneticPr fontId="2" type="noConversion"/>
  </si>
  <si>
    <t>辅助型</t>
    <phoneticPr fontId="2" type="noConversion"/>
  </si>
  <si>
    <t>SR</t>
    <phoneticPr fontId="2" type="noConversion"/>
  </si>
  <si>
    <t>单体攻击-纯堆爆</t>
    <phoneticPr fontId="2" type="noConversion"/>
  </si>
  <si>
    <t>SSR</t>
    <phoneticPr fontId="2" type="noConversion"/>
  </si>
  <si>
    <t>SR</t>
    <phoneticPr fontId="2" type="noConversion"/>
  </si>
  <si>
    <t>单体攻击-堆穿透</t>
    <phoneticPr fontId="2" type="noConversion"/>
  </si>
  <si>
    <t>均衡型-攻血格</t>
    <phoneticPr fontId="2" type="noConversion"/>
  </si>
  <si>
    <t>春秋之义</t>
    <phoneticPr fontId="2" type="noConversion"/>
  </si>
  <si>
    <t>攻血暴</t>
    <phoneticPr fontId="2" type="noConversion"/>
  </si>
  <si>
    <t>均衡型</t>
    <phoneticPr fontId="2" type="noConversion"/>
  </si>
  <si>
    <t>均衡型-攻血爆</t>
    <phoneticPr fontId="2" type="noConversion"/>
  </si>
  <si>
    <t>群体攻击-堆命</t>
    <phoneticPr fontId="2" type="noConversion"/>
  </si>
  <si>
    <t>我要防御-堆格挡</t>
    <phoneticPr fontId="2" type="noConversion"/>
  </si>
  <si>
    <t>SR</t>
    <phoneticPr fontId="2" type="noConversion"/>
  </si>
  <si>
    <t>控制型</t>
    <phoneticPr fontId="2" type="noConversion"/>
  </si>
  <si>
    <t>控制型-强技命中</t>
    <phoneticPr fontId="2" type="noConversion"/>
  </si>
  <si>
    <t>辅助型-生命护盾</t>
    <phoneticPr fontId="2" type="noConversion"/>
  </si>
  <si>
    <t>辅助型-攻击治疗</t>
    <phoneticPr fontId="2" type="noConversion"/>
  </si>
  <si>
    <t>SSR</t>
    <phoneticPr fontId="2" type="noConversion"/>
  </si>
  <si>
    <t>SR</t>
    <phoneticPr fontId="2" type="noConversion"/>
  </si>
  <si>
    <t>单体攻击-暴击暴伤</t>
    <phoneticPr fontId="2" type="noConversion"/>
  </si>
  <si>
    <t>防御-堆血</t>
    <phoneticPr fontId="2" type="noConversion"/>
  </si>
  <si>
    <t>防御-堆防</t>
    <phoneticPr fontId="2" type="noConversion"/>
  </si>
  <si>
    <t>防御-堆格挡</t>
    <phoneticPr fontId="2" type="noConversion"/>
  </si>
  <si>
    <t>单攻-暴击暴伤</t>
    <phoneticPr fontId="2" type="noConversion"/>
  </si>
  <si>
    <t>单攻-堆穿透</t>
    <phoneticPr fontId="2" type="noConversion"/>
  </si>
  <si>
    <t>单攻-纯堆爆</t>
    <phoneticPr fontId="2" type="noConversion"/>
  </si>
  <si>
    <t>群攻-攻攻命</t>
    <phoneticPr fontId="2" type="noConversion"/>
  </si>
  <si>
    <t>群攻-攻攻攻</t>
    <phoneticPr fontId="2" type="noConversion"/>
  </si>
  <si>
    <t>控制-堆命中</t>
    <phoneticPr fontId="2" type="noConversion"/>
  </si>
  <si>
    <t>控制-强技命中</t>
    <phoneticPr fontId="2" type="noConversion"/>
  </si>
  <si>
    <t>品质</t>
    <phoneticPr fontId="2" type="noConversion"/>
  </si>
  <si>
    <t>技能提升</t>
    <phoneticPr fontId="2" type="noConversion"/>
  </si>
  <si>
    <t>最终攻</t>
    <phoneticPr fontId="2" type="noConversion"/>
  </si>
  <si>
    <t>最终防</t>
    <phoneticPr fontId="2" type="noConversion"/>
  </si>
  <si>
    <t>最终血</t>
    <phoneticPr fontId="2" type="noConversion"/>
  </si>
  <si>
    <t>需求描述</t>
    <phoneticPr fontId="2" type="noConversion"/>
  </si>
  <si>
    <t>初始投放，攻击</t>
    <phoneticPr fontId="2" type="noConversion"/>
  </si>
  <si>
    <t>颜色</t>
    <phoneticPr fontId="2" type="noConversion"/>
  </si>
  <si>
    <t>初始投放，基础，偏攻击</t>
    <phoneticPr fontId="2" type="noConversion"/>
  </si>
  <si>
    <t>黄色</t>
    <phoneticPr fontId="2" type="noConversion"/>
  </si>
  <si>
    <t>红色</t>
    <phoneticPr fontId="2" type="noConversion"/>
  </si>
  <si>
    <t>蓝色</t>
    <phoneticPr fontId="2" type="noConversion"/>
  </si>
  <si>
    <t>初始投放，偏辅助</t>
    <phoneticPr fontId="2" type="noConversion"/>
  </si>
  <si>
    <t>黄色</t>
    <phoneticPr fontId="2" type="noConversion"/>
  </si>
  <si>
    <t>高效输出</t>
    <phoneticPr fontId="2" type="noConversion"/>
  </si>
  <si>
    <t>后期，穿透</t>
    <phoneticPr fontId="2" type="noConversion"/>
  </si>
  <si>
    <t>符文</t>
    <phoneticPr fontId="2" type="noConversion"/>
  </si>
  <si>
    <t>ATK</t>
    <phoneticPr fontId="2" type="noConversion"/>
  </si>
  <si>
    <t>守护灵</t>
    <phoneticPr fontId="2" type="noConversion"/>
  </si>
  <si>
    <t>水晶伤害</t>
    <phoneticPr fontId="2" type="noConversion"/>
  </si>
  <si>
    <t>寄灵人伤害</t>
    <phoneticPr fontId="2" type="noConversion"/>
  </si>
  <si>
    <t>寄灵人标准回水晶</t>
    <phoneticPr fontId="2" type="noConversion"/>
  </si>
  <si>
    <t>行动标准价值</t>
    <phoneticPr fontId="2" type="noConversion"/>
  </si>
  <si>
    <t>寄灵人</t>
    <phoneticPr fontId="2" type="noConversion"/>
  </si>
  <si>
    <t>每回合水晶回复</t>
    <phoneticPr fontId="2" type="noConversion"/>
  </si>
  <si>
    <t>标准召唤水晶</t>
    <phoneticPr fontId="2" type="noConversion"/>
  </si>
  <si>
    <t>寄灵人属性</t>
    <phoneticPr fontId="2" type="noConversion"/>
  </si>
  <si>
    <t>守护灵属性</t>
    <phoneticPr fontId="2" type="noConversion"/>
  </si>
  <si>
    <t>守护灵水晶</t>
    <phoneticPr fontId="2" type="noConversion"/>
  </si>
  <si>
    <t>a1.能</t>
    <phoneticPr fontId="2" type="noConversion"/>
  </si>
  <si>
    <t>a2.能</t>
  </si>
  <si>
    <t>a3.能</t>
  </si>
  <si>
    <t>b1.能</t>
    <phoneticPr fontId="2" type="noConversion"/>
  </si>
  <si>
    <t>b2.能</t>
  </si>
  <si>
    <t>b3.能</t>
  </si>
  <si>
    <t>a1.血</t>
    <phoneticPr fontId="2" type="noConversion"/>
  </si>
  <si>
    <t>a2.血</t>
  </si>
  <si>
    <t>a3.血</t>
  </si>
  <si>
    <t>b1.血</t>
    <phoneticPr fontId="2" type="noConversion"/>
  </si>
  <si>
    <t>b2.血</t>
  </si>
  <si>
    <t>b3.血</t>
  </si>
  <si>
    <t>a1.守血</t>
    <phoneticPr fontId="2" type="noConversion"/>
  </si>
  <si>
    <t>a2.守血</t>
  </si>
  <si>
    <t>a3.守血</t>
  </si>
  <si>
    <t>b1.守血</t>
    <phoneticPr fontId="2" type="noConversion"/>
  </si>
  <si>
    <t>b2.守血</t>
  </si>
  <si>
    <t>b3.守血</t>
  </si>
  <si>
    <t>初始</t>
    <phoneticPr fontId="2" type="noConversion"/>
  </si>
  <si>
    <t>第一回合</t>
    <phoneticPr fontId="2" type="noConversion"/>
  </si>
  <si>
    <t>a1行动2次，a2,a3各行动1次；b1行动2次，b2b3各行动1次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</si>
</sst>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
    <numFmt numFmtId="177" formatCode="0_);[Red]\(0\)"/>
  </numFmts>
  <fonts count="20" x14ac:knownFonts="1">
    <font>
      <sz val="11"/>
      <color theme="1"/>
      <name val="等线"/>
      <family val="2"/>
      <scheme val="minor"/>
    </font>
    <font>
      <sz val="11"/>
      <color theme="1"/>
      <name val="等线"/>
      <family val="2"/>
      <scheme val="minor"/>
    </font>
    <font>
      <sz val="9"/>
      <name val="等线"/>
      <family val="3"/>
      <charset val="134"/>
      <scheme val="minor"/>
    </font>
    <font>
      <b/>
      <sz val="11"/>
      <color theme="1"/>
      <name val="微软雅黑"/>
      <family val="2"/>
      <charset val="134"/>
    </font>
    <font>
      <sz val="9"/>
      <name val="等线"/>
      <family val="2"/>
      <charset val="134"/>
      <scheme val="minor"/>
    </font>
    <font>
      <sz val="12"/>
      <color theme="1"/>
      <name val="微软雅黑"/>
      <family val="2"/>
      <charset val="134"/>
    </font>
    <font>
      <sz val="12"/>
      <color theme="0"/>
      <name val="微软雅黑"/>
      <family val="2"/>
      <charset val="134"/>
    </font>
    <font>
      <sz val="11"/>
      <color theme="1"/>
      <name val="微软雅黑"/>
      <family val="2"/>
      <charset val="134"/>
    </font>
    <font>
      <sz val="16"/>
      <color theme="1"/>
      <name val="等线"/>
      <family val="2"/>
      <scheme val="minor"/>
    </font>
    <font>
      <strike/>
      <sz val="11"/>
      <color theme="1"/>
      <name val="等线"/>
      <family val="3"/>
      <scheme val="minor"/>
    </font>
    <font>
      <sz val="12"/>
      <color theme="1"/>
      <name val="等线"/>
      <family val="2"/>
      <charset val="134"/>
      <scheme val="minor"/>
    </font>
    <font>
      <u/>
      <sz val="12"/>
      <color theme="10"/>
      <name val="等线"/>
      <family val="2"/>
      <charset val="134"/>
      <scheme val="minor"/>
    </font>
    <font>
      <sz val="18"/>
      <color theme="0"/>
      <name val="微软雅黑"/>
      <family val="2"/>
      <charset val="134"/>
    </font>
    <font>
      <sz val="22"/>
      <color theme="1"/>
      <name val="微软雅黑"/>
      <family val="2"/>
      <charset val="134"/>
    </font>
    <font>
      <b/>
      <sz val="12"/>
      <color theme="0"/>
      <name val="微软雅黑"/>
      <family val="2"/>
      <charset val="134"/>
    </font>
    <font>
      <i/>
      <sz val="12"/>
      <color rgb="FFFF0000"/>
      <name val="微软雅黑"/>
      <family val="2"/>
      <charset val="134"/>
    </font>
    <font>
      <sz val="11"/>
      <color theme="1"/>
      <name val="等线"/>
      <family val="3"/>
      <charset val="134"/>
      <scheme val="minor"/>
    </font>
    <font>
      <sz val="11"/>
      <color indexed="8"/>
      <name val="宋体"/>
      <family val="3"/>
      <charset val="134"/>
    </font>
    <font>
      <sz val="11"/>
      <color rgb="FFFF0000"/>
      <name val="微软雅黑"/>
      <family val="2"/>
      <charset val="134"/>
    </font>
    <font>
      <sz val="11"/>
      <color rgb="FF00B0F0"/>
      <name val="微软雅黑"/>
      <family val="2"/>
      <charset val="134"/>
    </font>
  </fonts>
  <fills count="14">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9" tint="0.79998168889431442"/>
        <bgColor indexed="64"/>
      </patternFill>
    </fill>
    <fill>
      <patternFill patternType="solid">
        <fgColor rgb="FF00B0F0"/>
        <bgColor indexed="64"/>
      </patternFill>
    </fill>
    <fill>
      <patternFill patternType="solid">
        <fgColor theme="0" tint="-0.34934537797173987"/>
        <bgColor indexed="64"/>
      </patternFill>
    </fill>
    <fill>
      <patternFill patternType="solid">
        <fgColor theme="0" tint="-0.14999847407452621"/>
        <bgColor indexed="64"/>
      </patternFill>
    </fill>
    <fill>
      <patternFill patternType="solid">
        <fgColor rgb="FFFF6600"/>
        <bgColor indexed="64"/>
      </patternFill>
    </fill>
    <fill>
      <patternFill patternType="solid">
        <fgColor theme="1"/>
        <bgColor indexed="64"/>
      </patternFill>
    </fill>
    <fill>
      <patternFill patternType="solid">
        <fgColor theme="1" tint="0.49998474074526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tint="-0.34998626667073579"/>
        <bgColor indexed="64"/>
      </patternFill>
    </fill>
  </fills>
  <borders count="3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theme="0" tint="-0.34998626667073579"/>
      </bottom>
      <diagonal/>
    </border>
    <border>
      <left/>
      <right/>
      <top style="medium">
        <color auto="1"/>
      </top>
      <bottom style="thin">
        <color theme="0" tint="-0.34998626667073579"/>
      </bottom>
      <diagonal/>
    </border>
    <border>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medium">
        <color auto="1"/>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medium">
        <color auto="1"/>
      </right>
      <top/>
      <bottom style="thin">
        <color theme="0" tint="-0.34998626667073579"/>
      </bottom>
      <diagonal/>
    </border>
    <border>
      <left style="medium">
        <color auto="1"/>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medium">
        <color auto="1"/>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style="medium">
        <color auto="1"/>
      </right>
      <top style="thin">
        <color theme="0" tint="-0.34998626667073579"/>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thin">
        <color auto="1"/>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s>
  <cellStyleXfs count="14">
    <xf numFmtId="0" fontId="0" fillId="0" borderId="0"/>
    <xf numFmtId="0" fontId="1" fillId="0" borderId="0">
      <alignment vertical="center"/>
    </xf>
    <xf numFmtId="0" fontId="3" fillId="3" borderId="0">
      <alignment horizontal="center" vertical="top"/>
    </xf>
    <xf numFmtId="0" fontId="8" fillId="0" borderId="3">
      <alignment horizontal="center" vertical="center"/>
    </xf>
    <xf numFmtId="0" fontId="7" fillId="0" borderId="4">
      <alignment vertical="top" wrapText="1"/>
    </xf>
    <xf numFmtId="0" fontId="5" fillId="5" borderId="4">
      <alignment horizontal="center" vertical="center" shrinkToFit="1"/>
    </xf>
    <xf numFmtId="0" fontId="9" fillId="6" borderId="0"/>
    <xf numFmtId="0" fontId="1" fillId="7" borderId="4">
      <alignment horizontal="center" vertical="center" wrapText="1"/>
    </xf>
    <xf numFmtId="0" fontId="1" fillId="8" borderId="4" applyFont="0">
      <alignment horizontal="center" vertical="center" wrapText="1"/>
    </xf>
    <xf numFmtId="0" fontId="7" fillId="2" borderId="0"/>
    <xf numFmtId="0" fontId="10" fillId="0" borderId="0"/>
    <xf numFmtId="0" fontId="11" fillId="0" borderId="0" applyNumberFormat="0" applyFill="0" applyBorder="0" applyAlignment="0" applyProtection="0"/>
    <xf numFmtId="0" fontId="3" fillId="0" borderId="0">
      <alignment horizontal="center" vertical="center"/>
    </xf>
    <xf numFmtId="0" fontId="16" fillId="0" borderId="0"/>
  </cellStyleXfs>
  <cellXfs count="176">
    <xf numFmtId="0" fontId="0" fillId="0" borderId="0" xfId="0"/>
    <xf numFmtId="0" fontId="5" fillId="2" borderId="0" xfId="10" applyFont="1" applyFill="1" applyAlignment="1">
      <alignment vertical="center"/>
    </xf>
    <xf numFmtId="0" fontId="6" fillId="10" borderId="8" xfId="10" applyFont="1" applyFill="1" applyBorder="1" applyAlignment="1">
      <alignment horizontal="center" vertical="center"/>
    </xf>
    <xf numFmtId="0" fontId="5" fillId="2" borderId="9" xfId="10" applyFont="1" applyFill="1" applyBorder="1" applyAlignment="1">
      <alignment horizontal="center" vertical="center"/>
    </xf>
    <xf numFmtId="0" fontId="6" fillId="10" borderId="13" xfId="10" applyFont="1" applyFill="1" applyBorder="1" applyAlignment="1">
      <alignment horizontal="center" vertical="center"/>
    </xf>
    <xf numFmtId="0" fontId="14" fillId="10" borderId="8" xfId="10" applyFont="1" applyFill="1" applyBorder="1" applyAlignment="1">
      <alignment horizontal="center" vertical="center"/>
    </xf>
    <xf numFmtId="0" fontId="14" fillId="10" borderId="1" xfId="10" applyFont="1" applyFill="1" applyBorder="1" applyAlignment="1">
      <alignment horizontal="center" vertical="center"/>
    </xf>
    <xf numFmtId="14" fontId="5" fillId="2" borderId="8" xfId="10" applyNumberFormat="1" applyFont="1" applyFill="1" applyBorder="1" applyAlignment="1">
      <alignment horizontal="center" vertical="center"/>
    </xf>
    <xf numFmtId="0" fontId="5" fillId="2" borderId="1" xfId="10" applyFont="1" applyFill="1" applyBorder="1" applyAlignment="1">
      <alignment horizontal="center" vertical="center"/>
    </xf>
    <xf numFmtId="0" fontId="5" fillId="2" borderId="8" xfId="10" applyFont="1" applyFill="1" applyBorder="1" applyAlignment="1">
      <alignment horizontal="center" vertical="center"/>
    </xf>
    <xf numFmtId="0" fontId="5" fillId="2" borderId="18" xfId="10" applyFont="1" applyFill="1" applyBorder="1" applyAlignment="1">
      <alignment horizontal="center" vertical="center"/>
    </xf>
    <xf numFmtId="0" fontId="5" fillId="2" borderId="19" xfId="10" applyFont="1" applyFill="1" applyBorder="1" applyAlignment="1">
      <alignment horizontal="center" vertical="center"/>
    </xf>
    <xf numFmtId="0" fontId="7" fillId="2" borderId="0" xfId="9"/>
    <xf numFmtId="0" fontId="5" fillId="5" borderId="4" xfId="5">
      <alignment horizontal="center" vertical="center" shrinkToFit="1"/>
    </xf>
    <xf numFmtId="0" fontId="7" fillId="0" borderId="4" xfId="4">
      <alignment vertical="top" wrapText="1"/>
    </xf>
    <xf numFmtId="0" fontId="7" fillId="0" borderId="4" xfId="4" applyAlignment="1">
      <alignment horizontal="center" vertical="center" wrapText="1"/>
    </xf>
    <xf numFmtId="0" fontId="7" fillId="0" borderId="4" xfId="4">
      <alignment vertical="top" wrapText="1"/>
    </xf>
    <xf numFmtId="0" fontId="7" fillId="8" borderId="4" xfId="8" applyFont="1">
      <alignment horizontal="center" vertical="center" wrapText="1"/>
    </xf>
    <xf numFmtId="0" fontId="1" fillId="7" borderId="4" xfId="7">
      <alignment horizontal="center" vertical="center" wrapText="1"/>
    </xf>
    <xf numFmtId="9" fontId="7" fillId="0" borderId="4" xfId="4" applyNumberFormat="1">
      <alignment vertical="top" wrapText="1"/>
    </xf>
    <xf numFmtId="0" fontId="0" fillId="8" borderId="4" xfId="8" applyFont="1">
      <alignment horizontal="center" vertical="center" wrapText="1"/>
    </xf>
    <xf numFmtId="0" fontId="1" fillId="0" borderId="0" xfId="1">
      <alignment vertical="center"/>
    </xf>
    <xf numFmtId="176" fontId="1" fillId="7" borderId="4" xfId="7" applyNumberFormat="1">
      <alignment horizontal="center" vertical="center" wrapText="1"/>
    </xf>
    <xf numFmtId="10" fontId="1" fillId="7" borderId="4" xfId="7" applyNumberFormat="1">
      <alignment horizontal="center" vertical="center" wrapText="1"/>
    </xf>
    <xf numFmtId="0" fontId="5" fillId="5" borderId="22" xfId="5" applyBorder="1">
      <alignment horizontal="center" vertical="center" shrinkToFit="1"/>
    </xf>
    <xf numFmtId="0" fontId="3" fillId="0" borderId="0" xfId="12">
      <alignment horizontal="center" vertical="center"/>
    </xf>
    <xf numFmtId="0" fontId="3" fillId="0" borderId="0" xfId="12" applyFill="1">
      <alignment horizontal="center" vertical="center"/>
    </xf>
    <xf numFmtId="0" fontId="0" fillId="0" borderId="0" xfId="0"/>
    <xf numFmtId="0" fontId="7" fillId="0" borderId="4" xfId="4" applyFont="1">
      <alignment vertical="top" wrapText="1"/>
    </xf>
    <xf numFmtId="0" fontId="8" fillId="0" borderId="3" xfId="3" applyAlignment="1">
      <alignment horizontal="center" vertical="center"/>
    </xf>
    <xf numFmtId="177" fontId="1" fillId="7" borderId="4" xfId="7" applyNumberFormat="1">
      <alignment horizontal="center" vertical="center" wrapText="1"/>
    </xf>
    <xf numFmtId="0" fontId="5" fillId="8" borderId="4" xfId="8" applyFont="1">
      <alignment horizontal="center" vertical="center" wrapText="1"/>
    </xf>
    <xf numFmtId="0" fontId="8" fillId="0" borderId="3" xfId="3" applyAlignment="1">
      <alignment horizontal="center" vertical="center"/>
    </xf>
    <xf numFmtId="0" fontId="7" fillId="4" borderId="25" xfId="13" applyFont="1" applyFill="1" applyBorder="1" applyAlignment="1">
      <alignment vertical="center" wrapText="1"/>
    </xf>
    <xf numFmtId="0" fontId="7" fillId="4" borderId="25" xfId="13" applyFont="1" applyFill="1" applyBorder="1" applyAlignment="1">
      <alignment vertical="center"/>
    </xf>
    <xf numFmtId="0" fontId="7" fillId="4" borderId="26" xfId="13" applyFont="1" applyFill="1" applyBorder="1" applyAlignment="1">
      <alignment vertical="center"/>
    </xf>
    <xf numFmtId="0" fontId="7" fillId="4" borderId="0" xfId="13" applyFont="1" applyFill="1" applyAlignment="1">
      <alignment vertical="center"/>
    </xf>
    <xf numFmtId="0" fontId="7" fillId="4" borderId="28" xfId="13" applyFont="1" applyFill="1" applyBorder="1" applyAlignment="1">
      <alignment horizontal="left" vertical="center" wrapText="1"/>
    </xf>
    <xf numFmtId="0" fontId="7" fillId="4" borderId="26" xfId="13" applyFont="1" applyFill="1" applyBorder="1" applyAlignment="1">
      <alignment vertical="center" wrapText="1"/>
    </xf>
    <xf numFmtId="0" fontId="7" fillId="4" borderId="26" xfId="13" applyFont="1" applyFill="1" applyBorder="1" applyAlignment="1">
      <alignment horizontal="center" vertical="center"/>
    </xf>
    <xf numFmtId="0" fontId="7" fillId="2" borderId="26" xfId="13" applyFont="1" applyFill="1" applyBorder="1" applyAlignment="1">
      <alignment vertical="center" wrapText="1"/>
    </xf>
    <xf numFmtId="0" fontId="7" fillId="2" borderId="0" xfId="13" applyFont="1" applyFill="1" applyAlignment="1">
      <alignment vertical="center"/>
    </xf>
    <xf numFmtId="0" fontId="7" fillId="4" borderId="31" xfId="13" applyFont="1" applyFill="1" applyBorder="1" applyAlignment="1">
      <alignment horizontal="left" vertical="center" wrapText="1"/>
    </xf>
    <xf numFmtId="0" fontId="7" fillId="4" borderId="30" xfId="13" applyFont="1" applyFill="1" applyBorder="1" applyAlignment="1">
      <alignment vertical="center" wrapText="1"/>
    </xf>
    <xf numFmtId="0" fontId="7" fillId="4" borderId="32" xfId="13" applyFont="1" applyFill="1" applyBorder="1" applyAlignment="1">
      <alignment horizontal="left" vertical="center" wrapText="1"/>
    </xf>
    <xf numFmtId="0" fontId="7" fillId="4" borderId="30" xfId="13" applyFont="1" applyFill="1" applyBorder="1" applyAlignment="1">
      <alignment horizontal="center" vertical="center"/>
    </xf>
    <xf numFmtId="0" fontId="7" fillId="2" borderId="30" xfId="13" applyFont="1" applyFill="1" applyBorder="1" applyAlignment="1">
      <alignment vertical="center" wrapText="1"/>
    </xf>
    <xf numFmtId="0" fontId="7" fillId="4" borderId="33" xfId="13" applyFont="1" applyFill="1" applyBorder="1" applyAlignment="1">
      <alignment vertical="center" wrapText="1"/>
    </xf>
    <xf numFmtId="0" fontId="7" fillId="4" borderId="33" xfId="13" applyFont="1" applyFill="1" applyBorder="1" applyAlignment="1">
      <alignment horizontal="center" vertical="center"/>
    </xf>
    <xf numFmtId="0" fontId="7" fillId="2" borderId="33" xfId="13" applyFont="1" applyFill="1" applyBorder="1" applyAlignment="1">
      <alignment vertical="center" wrapText="1"/>
    </xf>
    <xf numFmtId="0" fontId="7" fillId="11" borderId="26" xfId="13" applyFont="1" applyFill="1" applyBorder="1" applyAlignment="1">
      <alignment vertical="center" wrapText="1"/>
    </xf>
    <xf numFmtId="0" fontId="7" fillId="11" borderId="28" xfId="13" applyFont="1" applyFill="1" applyBorder="1" applyAlignment="1">
      <alignment horizontal="left" vertical="center" wrapText="1"/>
    </xf>
    <xf numFmtId="0" fontId="7" fillId="11" borderId="26" xfId="13" applyFont="1" applyFill="1" applyBorder="1" applyAlignment="1">
      <alignment horizontal="center" vertical="center"/>
    </xf>
    <xf numFmtId="0" fontId="7" fillId="11" borderId="30" xfId="13" applyFont="1" applyFill="1" applyBorder="1" applyAlignment="1">
      <alignment vertical="center" wrapText="1"/>
    </xf>
    <xf numFmtId="0" fontId="7" fillId="11" borderId="32" xfId="13" applyFont="1" applyFill="1" applyBorder="1" applyAlignment="1">
      <alignment horizontal="left" vertical="center" wrapText="1"/>
    </xf>
    <xf numFmtId="0" fontId="7" fillId="11" borderId="30" xfId="13" applyFont="1" applyFill="1" applyBorder="1" applyAlignment="1">
      <alignment horizontal="center" vertical="center"/>
    </xf>
    <xf numFmtId="0" fontId="7" fillId="11" borderId="33" xfId="13" applyFont="1" applyFill="1" applyBorder="1" applyAlignment="1">
      <alignment vertical="center" wrapText="1"/>
    </xf>
    <xf numFmtId="0" fontId="7" fillId="11" borderId="31" xfId="13" applyFont="1" applyFill="1" applyBorder="1" applyAlignment="1">
      <alignment horizontal="left" vertical="center" wrapText="1"/>
    </xf>
    <xf numFmtId="0" fontId="7" fillId="11" borderId="33" xfId="13" applyFont="1" applyFill="1" applyBorder="1" applyAlignment="1">
      <alignment horizontal="center" vertical="center"/>
    </xf>
    <xf numFmtId="0" fontId="17" fillId="4" borderId="0" xfId="13" applyFont="1" applyFill="1" applyBorder="1" applyAlignment="1">
      <alignment vertical="center"/>
    </xf>
    <xf numFmtId="0" fontId="7" fillId="4" borderId="4" xfId="13" applyFont="1" applyFill="1" applyBorder="1" applyAlignment="1">
      <alignment horizontal="left" vertical="center" wrapText="1"/>
    </xf>
    <xf numFmtId="0" fontId="7" fillId="2" borderId="28" xfId="13" applyFont="1" applyFill="1" applyBorder="1" applyAlignment="1">
      <alignment horizontal="left" vertical="center" wrapText="1"/>
    </xf>
    <xf numFmtId="0" fontId="7" fillId="2" borderId="26" xfId="13" applyFont="1" applyFill="1" applyBorder="1" applyAlignment="1">
      <alignment horizontal="center" vertical="center"/>
    </xf>
    <xf numFmtId="0" fontId="19" fillId="2" borderId="26" xfId="13" applyFont="1" applyFill="1" applyBorder="1" applyAlignment="1">
      <alignment vertical="center" wrapText="1"/>
    </xf>
    <xf numFmtId="0" fontId="19" fillId="2" borderId="0" xfId="13" applyFont="1" applyFill="1" applyAlignment="1">
      <alignment vertical="center"/>
    </xf>
    <xf numFmtId="0" fontId="7" fillId="2" borderId="32" xfId="13" applyFont="1" applyFill="1" applyBorder="1" applyAlignment="1">
      <alignment horizontal="left" vertical="center" wrapText="1"/>
    </xf>
    <xf numFmtId="0" fontId="7" fillId="2" borderId="30" xfId="13" applyFont="1" applyFill="1" applyBorder="1" applyAlignment="1">
      <alignment horizontal="center" vertical="center"/>
    </xf>
    <xf numFmtId="0" fontId="19" fillId="2" borderId="30" xfId="13" applyFont="1" applyFill="1" applyBorder="1" applyAlignment="1">
      <alignment vertical="center" wrapText="1"/>
    </xf>
    <xf numFmtId="0" fontId="7" fillId="2" borderId="31" xfId="13" applyFont="1" applyFill="1" applyBorder="1" applyAlignment="1">
      <alignment horizontal="left" vertical="center" wrapText="1"/>
    </xf>
    <xf numFmtId="0" fontId="7" fillId="2" borderId="33" xfId="13" applyFont="1" applyFill="1" applyBorder="1" applyAlignment="1">
      <alignment horizontal="center" vertical="center"/>
    </xf>
    <xf numFmtId="0" fontId="19" fillId="2" borderId="33" xfId="13" applyFont="1" applyFill="1" applyBorder="1" applyAlignment="1">
      <alignment vertical="center" wrapText="1"/>
    </xf>
    <xf numFmtId="0" fontId="7" fillId="12" borderId="26" xfId="13" applyFont="1" applyFill="1" applyBorder="1" applyAlignment="1">
      <alignment vertical="center" wrapText="1"/>
    </xf>
    <xf numFmtId="0" fontId="7" fillId="12" borderId="28" xfId="13" applyFont="1" applyFill="1" applyBorder="1" applyAlignment="1">
      <alignment horizontal="left" vertical="center" wrapText="1"/>
    </xf>
    <xf numFmtId="0" fontId="7" fillId="12" borderId="26" xfId="13" applyFont="1" applyFill="1" applyBorder="1" applyAlignment="1">
      <alignment horizontal="center" vertical="center"/>
    </xf>
    <xf numFmtId="0" fontId="7" fillId="12" borderId="30" xfId="13" applyFont="1" applyFill="1" applyBorder="1" applyAlignment="1">
      <alignment vertical="center" wrapText="1"/>
    </xf>
    <xf numFmtId="0" fontId="7" fillId="12" borderId="32" xfId="13" applyFont="1" applyFill="1" applyBorder="1" applyAlignment="1">
      <alignment horizontal="left" vertical="center" wrapText="1"/>
    </xf>
    <xf numFmtId="0" fontId="7" fillId="12" borderId="30" xfId="13" applyFont="1" applyFill="1" applyBorder="1" applyAlignment="1">
      <alignment horizontal="center" vertical="center"/>
    </xf>
    <xf numFmtId="0" fontId="7" fillId="12" borderId="33" xfId="13" applyFont="1" applyFill="1" applyBorder="1" applyAlignment="1">
      <alignment vertical="center" wrapText="1"/>
    </xf>
    <xf numFmtId="0" fontId="7" fillId="12" borderId="31" xfId="13" applyFont="1" applyFill="1" applyBorder="1" applyAlignment="1">
      <alignment horizontal="left" vertical="center" wrapText="1"/>
    </xf>
    <xf numFmtId="0" fontId="7" fillId="12" borderId="33" xfId="13" applyFont="1" applyFill="1" applyBorder="1" applyAlignment="1">
      <alignment horizontal="center" vertical="center"/>
    </xf>
    <xf numFmtId="0" fontId="7" fillId="12" borderId="23" xfId="13" applyFont="1" applyFill="1" applyBorder="1" applyAlignment="1">
      <alignment vertical="center" wrapText="1"/>
    </xf>
    <xf numFmtId="0" fontId="19" fillId="2" borderId="28" xfId="13" applyFont="1" applyFill="1" applyBorder="1" applyAlignment="1">
      <alignment horizontal="left" vertical="center" wrapText="1"/>
    </xf>
    <xf numFmtId="0" fontId="19" fillId="2" borderId="26" xfId="13" applyFont="1" applyFill="1" applyBorder="1" applyAlignment="1">
      <alignment horizontal="center" vertical="center"/>
    </xf>
    <xf numFmtId="0" fontId="19" fillId="2" borderId="32" xfId="13" applyFont="1" applyFill="1" applyBorder="1" applyAlignment="1">
      <alignment horizontal="left" vertical="center" wrapText="1"/>
    </xf>
    <xf numFmtId="0" fontId="19" fillId="2" borderId="30" xfId="13" applyFont="1" applyFill="1" applyBorder="1" applyAlignment="1">
      <alignment horizontal="center" vertical="center"/>
    </xf>
    <xf numFmtId="0" fontId="19" fillId="2" borderId="31" xfId="13" applyFont="1" applyFill="1" applyBorder="1" applyAlignment="1">
      <alignment horizontal="left" vertical="center" wrapText="1"/>
    </xf>
    <xf numFmtId="0" fontId="19" fillId="2" borderId="33" xfId="13" applyFont="1" applyFill="1" applyBorder="1" applyAlignment="1">
      <alignment horizontal="center" vertical="center"/>
    </xf>
    <xf numFmtId="0" fontId="18" fillId="2" borderId="30" xfId="13" applyFont="1" applyFill="1" applyBorder="1" applyAlignment="1">
      <alignment vertical="center" wrapText="1"/>
    </xf>
    <xf numFmtId="0" fontId="19" fillId="2" borderId="32" xfId="13" applyFont="1" applyFill="1" applyBorder="1" applyAlignment="1">
      <alignment vertical="center"/>
    </xf>
    <xf numFmtId="0" fontId="7" fillId="13" borderId="26" xfId="13" applyFont="1" applyFill="1" applyBorder="1" applyAlignment="1">
      <alignment vertical="center" wrapText="1"/>
    </xf>
    <xf numFmtId="0" fontId="19" fillId="13" borderId="26" xfId="13" applyFont="1" applyFill="1" applyBorder="1" applyAlignment="1">
      <alignment vertical="center" wrapText="1"/>
    </xf>
    <xf numFmtId="0" fontId="7" fillId="13" borderId="28" xfId="13" applyFont="1" applyFill="1" applyBorder="1" applyAlignment="1">
      <alignment horizontal="left" vertical="center" wrapText="1"/>
    </xf>
    <xf numFmtId="0" fontId="19" fillId="13" borderId="26" xfId="13" applyFont="1" applyFill="1" applyBorder="1" applyAlignment="1">
      <alignment horizontal="center" vertical="center"/>
    </xf>
    <xf numFmtId="0" fontId="7" fillId="13" borderId="30" xfId="13" applyFont="1" applyFill="1" applyBorder="1" applyAlignment="1">
      <alignment vertical="center" wrapText="1"/>
    </xf>
    <xf numFmtId="0" fontId="19" fillId="13" borderId="31" xfId="13" applyFont="1" applyFill="1" applyBorder="1" applyAlignment="1">
      <alignment horizontal="left" vertical="center" wrapText="1"/>
    </xf>
    <xf numFmtId="0" fontId="19" fillId="13" borderId="30" xfId="13" applyFont="1" applyFill="1" applyBorder="1" applyAlignment="1">
      <alignment horizontal="center" vertical="center"/>
    </xf>
    <xf numFmtId="0" fontId="19" fillId="13" borderId="30" xfId="13" applyFont="1" applyFill="1" applyBorder="1" applyAlignment="1">
      <alignment vertical="center" wrapText="1"/>
    </xf>
    <xf numFmtId="0" fontId="7" fillId="13" borderId="33" xfId="13" applyFont="1" applyFill="1" applyBorder="1" applyAlignment="1">
      <alignment vertical="center" wrapText="1"/>
    </xf>
    <xf numFmtId="0" fontId="19" fillId="13" borderId="33" xfId="13" applyFont="1" applyFill="1" applyBorder="1" applyAlignment="1">
      <alignment vertical="center" wrapText="1"/>
    </xf>
    <xf numFmtId="0" fontId="19" fillId="13" borderId="33" xfId="13" applyFont="1" applyFill="1" applyBorder="1" applyAlignment="1">
      <alignment horizontal="center" vertical="center"/>
    </xf>
    <xf numFmtId="0" fontId="7" fillId="2" borderId="0" xfId="13" applyFont="1" applyFill="1" applyAlignment="1">
      <alignment vertical="center" wrapText="1"/>
    </xf>
    <xf numFmtId="0" fontId="1" fillId="0" borderId="0" xfId="1" applyAlignment="1">
      <alignment vertical="center"/>
    </xf>
    <xf numFmtId="0" fontId="3" fillId="3" borderId="0" xfId="2">
      <alignment horizontal="center" vertical="top"/>
    </xf>
    <xf numFmtId="0" fontId="7" fillId="0" borderId="4" xfId="4" applyAlignment="1">
      <alignment horizontal="center" vertical="center" wrapText="1"/>
    </xf>
    <xf numFmtId="0" fontId="14" fillId="10" borderId="1" xfId="10" applyFont="1" applyFill="1" applyBorder="1" applyAlignment="1">
      <alignment horizontal="center" vertical="center"/>
    </xf>
    <xf numFmtId="0" fontId="14" fillId="10" borderId="16" xfId="10" applyFont="1" applyFill="1" applyBorder="1" applyAlignment="1">
      <alignment horizontal="center" vertical="center"/>
    </xf>
    <xf numFmtId="0" fontId="12" fillId="9" borderId="5" xfId="10" applyFont="1" applyFill="1" applyBorder="1" applyAlignment="1">
      <alignment horizontal="center" vertical="center"/>
    </xf>
    <xf numFmtId="0" fontId="12" fillId="9" borderId="6" xfId="10" applyFont="1" applyFill="1" applyBorder="1" applyAlignment="1">
      <alignment horizontal="center" vertical="center"/>
    </xf>
    <xf numFmtId="0" fontId="12" fillId="9" borderId="7" xfId="10" applyFont="1" applyFill="1" applyBorder="1" applyAlignment="1">
      <alignment horizontal="center" vertical="center"/>
    </xf>
    <xf numFmtId="0" fontId="6" fillId="10" borderId="2" xfId="10" applyFont="1" applyFill="1" applyBorder="1" applyAlignment="1">
      <alignment horizontal="center" vertical="center"/>
    </xf>
    <xf numFmtId="0" fontId="6" fillId="10" borderId="11" xfId="10" applyFont="1" applyFill="1" applyBorder="1" applyAlignment="1">
      <alignment horizontal="center" vertical="center"/>
    </xf>
    <xf numFmtId="0" fontId="13" fillId="4" borderId="10" xfId="10" applyFont="1" applyFill="1" applyBorder="1" applyAlignment="1">
      <alignment horizontal="center" vertical="center"/>
    </xf>
    <xf numFmtId="0" fontId="13" fillId="4" borderId="12" xfId="10" applyFont="1" applyFill="1" applyBorder="1" applyAlignment="1">
      <alignment horizontal="center" vertical="center"/>
    </xf>
    <xf numFmtId="0" fontId="5" fillId="2" borderId="14" xfId="10" applyFont="1" applyFill="1" applyBorder="1" applyAlignment="1">
      <alignment horizontal="left" vertical="center"/>
    </xf>
    <xf numFmtId="0" fontId="5" fillId="2" borderId="15" xfId="10" applyFont="1" applyFill="1" applyBorder="1" applyAlignment="1">
      <alignment horizontal="left" vertical="center"/>
    </xf>
    <xf numFmtId="0" fontId="5" fillId="2" borderId="10" xfId="10" applyFont="1" applyFill="1" applyBorder="1" applyAlignment="1">
      <alignment horizontal="left" vertical="center"/>
    </xf>
    <xf numFmtId="0" fontId="14" fillId="9" borderId="8" xfId="10" applyFont="1" applyFill="1" applyBorder="1" applyAlignment="1">
      <alignment horizontal="center" vertical="center"/>
    </xf>
    <xf numFmtId="0" fontId="14" fillId="9" borderId="1" xfId="10" applyFont="1" applyFill="1" applyBorder="1" applyAlignment="1">
      <alignment horizontal="center" vertical="center"/>
    </xf>
    <xf numFmtId="0" fontId="14" fillId="9" borderId="16" xfId="10" applyFont="1" applyFill="1" applyBorder="1" applyAlignment="1">
      <alignment horizontal="center" vertical="center"/>
    </xf>
    <xf numFmtId="0" fontId="5" fillId="2" borderId="9" xfId="10" applyFont="1" applyFill="1" applyBorder="1" applyAlignment="1">
      <alignment horizontal="center" vertical="center"/>
    </xf>
    <xf numFmtId="0" fontId="5" fillId="2" borderId="17" xfId="10" applyFont="1" applyFill="1" applyBorder="1" applyAlignment="1">
      <alignment horizontal="center" vertical="center"/>
    </xf>
    <xf numFmtId="0" fontId="5" fillId="2" borderId="20" xfId="10" applyFont="1" applyFill="1" applyBorder="1" applyAlignment="1">
      <alignment horizontal="center" vertical="center"/>
    </xf>
    <xf numFmtId="0" fontId="5" fillId="2" borderId="21" xfId="10" applyFont="1" applyFill="1" applyBorder="1" applyAlignment="1">
      <alignment horizontal="center" vertical="center"/>
    </xf>
    <xf numFmtId="0" fontId="15" fillId="2" borderId="0" xfId="10" applyFont="1" applyFill="1" applyAlignment="1">
      <alignment horizontal="left" vertical="center"/>
    </xf>
    <xf numFmtId="0" fontId="7" fillId="0" borderId="23" xfId="4" applyBorder="1" applyAlignment="1">
      <alignment horizontal="center" vertical="center" wrapText="1"/>
    </xf>
    <xf numFmtId="0" fontId="7" fillId="0" borderId="22" xfId="4" applyBorder="1" applyAlignment="1">
      <alignment horizontal="center" vertical="center" wrapText="1"/>
    </xf>
    <xf numFmtId="0" fontId="7" fillId="0" borderId="24" xfId="4" applyBorder="1" applyAlignment="1">
      <alignment horizontal="center" vertical="center" wrapText="1"/>
    </xf>
    <xf numFmtId="0" fontId="8" fillId="0" borderId="3" xfId="3">
      <alignment horizontal="center" vertical="center"/>
    </xf>
    <xf numFmtId="0" fontId="7" fillId="0" borderId="23" xfId="4" applyBorder="1" applyAlignment="1">
      <alignment horizontal="left" vertical="center" wrapText="1"/>
    </xf>
    <xf numFmtId="0" fontId="7" fillId="0" borderId="22" xfId="4" applyBorder="1" applyAlignment="1">
      <alignment horizontal="left" vertical="center" wrapText="1"/>
    </xf>
    <xf numFmtId="0" fontId="7" fillId="0" borderId="24" xfId="4" applyBorder="1" applyAlignment="1">
      <alignment horizontal="left" vertical="center" wrapText="1"/>
    </xf>
    <xf numFmtId="0" fontId="8" fillId="0" borderId="3" xfId="3" applyAlignment="1">
      <alignment horizontal="center" vertical="center"/>
    </xf>
    <xf numFmtId="0" fontId="7" fillId="4" borderId="26" xfId="13" applyFont="1" applyFill="1" applyBorder="1" applyAlignment="1">
      <alignment horizontal="center" vertical="center"/>
    </xf>
    <xf numFmtId="0" fontId="7" fillId="4" borderId="30" xfId="13" applyFont="1" applyFill="1" applyBorder="1" applyAlignment="1">
      <alignment horizontal="center" vertical="center"/>
    </xf>
    <xf numFmtId="0" fontId="7" fillId="4" borderId="33" xfId="13" applyFont="1" applyFill="1" applyBorder="1" applyAlignment="1">
      <alignment horizontal="center" vertical="center"/>
    </xf>
    <xf numFmtId="0" fontId="7" fillId="4" borderId="27" xfId="13" applyFont="1" applyFill="1" applyBorder="1" applyAlignment="1">
      <alignment horizontal="center" vertical="center" wrapText="1"/>
    </xf>
    <xf numFmtId="0" fontId="7" fillId="4" borderId="29" xfId="13" applyFont="1" applyFill="1" applyBorder="1" applyAlignment="1">
      <alignment horizontal="center" vertical="center" wrapText="1"/>
    </xf>
    <xf numFmtId="0" fontId="7" fillId="4" borderId="27" xfId="13" applyFont="1" applyFill="1" applyBorder="1" applyAlignment="1">
      <alignment horizontal="center" vertical="center"/>
    </xf>
    <xf numFmtId="0" fontId="7" fillId="4" borderId="29" xfId="13" applyFont="1" applyFill="1" applyBorder="1" applyAlignment="1">
      <alignment horizontal="center" vertical="center"/>
    </xf>
    <xf numFmtId="0" fontId="7" fillId="11" borderId="26" xfId="13" applyFont="1" applyFill="1" applyBorder="1" applyAlignment="1">
      <alignment horizontal="center" vertical="center"/>
    </xf>
    <xf numFmtId="0" fontId="7" fillId="11" borderId="30" xfId="13" applyFont="1" applyFill="1" applyBorder="1" applyAlignment="1">
      <alignment horizontal="center" vertical="center"/>
    </xf>
    <xf numFmtId="0" fontId="7" fillId="11" borderId="33" xfId="13" applyFont="1" applyFill="1" applyBorder="1" applyAlignment="1">
      <alignment horizontal="center" vertical="center"/>
    </xf>
    <xf numFmtId="0" fontId="7" fillId="4" borderId="26" xfId="13" applyFont="1" applyFill="1" applyBorder="1" applyAlignment="1">
      <alignment horizontal="center" vertical="center" wrapText="1"/>
    </xf>
    <xf numFmtId="0" fontId="7" fillId="4" borderId="30" xfId="13" applyFont="1" applyFill="1" applyBorder="1" applyAlignment="1">
      <alignment horizontal="center" vertical="center" wrapText="1"/>
    </xf>
    <xf numFmtId="0" fontId="7" fillId="11" borderId="27" xfId="13" applyFont="1" applyFill="1" applyBorder="1" applyAlignment="1">
      <alignment horizontal="center" vertical="center" wrapText="1"/>
    </xf>
    <xf numFmtId="0" fontId="7" fillId="11" borderId="29" xfId="13" applyFont="1" applyFill="1" applyBorder="1" applyAlignment="1">
      <alignment horizontal="center" vertical="center" wrapText="1"/>
    </xf>
    <xf numFmtId="0" fontId="7" fillId="11" borderId="27" xfId="13" applyFont="1" applyFill="1" applyBorder="1" applyAlignment="1">
      <alignment horizontal="center" vertical="center"/>
    </xf>
    <xf numFmtId="0" fontId="7" fillId="11" borderId="29" xfId="13" applyFont="1" applyFill="1" applyBorder="1" applyAlignment="1">
      <alignment horizontal="center" vertical="center"/>
    </xf>
    <xf numFmtId="0" fontId="7" fillId="4" borderId="33" xfId="13" applyFont="1" applyFill="1" applyBorder="1" applyAlignment="1">
      <alignment horizontal="center" vertical="center" wrapText="1"/>
    </xf>
    <xf numFmtId="0" fontId="7" fillId="2" borderId="26" xfId="13" applyFont="1" applyFill="1" applyBorder="1" applyAlignment="1">
      <alignment horizontal="center" vertical="center"/>
    </xf>
    <xf numFmtId="0" fontId="7" fillId="2" borderId="30" xfId="13" applyFont="1" applyFill="1" applyBorder="1" applyAlignment="1">
      <alignment horizontal="center" vertical="center"/>
    </xf>
    <xf numFmtId="0" fontId="7" fillId="2" borderId="33" xfId="13" applyFont="1" applyFill="1" applyBorder="1" applyAlignment="1">
      <alignment horizontal="center" vertical="center"/>
    </xf>
    <xf numFmtId="0" fontId="7" fillId="2" borderId="26" xfId="13" applyFont="1" applyFill="1" applyBorder="1" applyAlignment="1">
      <alignment horizontal="center" vertical="center" wrapText="1"/>
    </xf>
    <xf numFmtId="0" fontId="7" fillId="2" borderId="30" xfId="13" applyFont="1" applyFill="1" applyBorder="1" applyAlignment="1">
      <alignment horizontal="center" vertical="center" wrapText="1"/>
    </xf>
    <xf numFmtId="0" fontId="7" fillId="12" borderId="26" xfId="13" applyFont="1" applyFill="1" applyBorder="1" applyAlignment="1">
      <alignment horizontal="center" vertical="center"/>
    </xf>
    <xf numFmtId="0" fontId="7" fillId="12" borderId="30" xfId="13" applyFont="1" applyFill="1" applyBorder="1" applyAlignment="1">
      <alignment horizontal="center" vertical="center"/>
    </xf>
    <xf numFmtId="0" fontId="7" fillId="12" borderId="33" xfId="13" applyFont="1" applyFill="1" applyBorder="1" applyAlignment="1">
      <alignment horizontal="center" vertical="center"/>
    </xf>
    <xf numFmtId="0" fontId="7" fillId="12" borderId="26" xfId="13" applyFont="1" applyFill="1" applyBorder="1" applyAlignment="1">
      <alignment horizontal="center" vertical="center" wrapText="1"/>
    </xf>
    <xf numFmtId="0" fontId="7" fillId="12" borderId="30" xfId="13" applyFont="1" applyFill="1" applyBorder="1" applyAlignment="1">
      <alignment horizontal="center" vertical="center" wrapText="1"/>
    </xf>
    <xf numFmtId="0" fontId="7" fillId="12" borderId="27" xfId="13" applyFont="1" applyFill="1" applyBorder="1" applyAlignment="1">
      <alignment horizontal="center" vertical="center"/>
    </xf>
    <xf numFmtId="0" fontId="7" fillId="12" borderId="29" xfId="13" applyFont="1" applyFill="1" applyBorder="1" applyAlignment="1">
      <alignment horizontal="center" vertical="center"/>
    </xf>
    <xf numFmtId="0" fontId="19" fillId="2" borderId="26" xfId="13" applyFont="1" applyFill="1" applyBorder="1" applyAlignment="1">
      <alignment horizontal="center" vertical="center"/>
    </xf>
    <xf numFmtId="0" fontId="19" fillId="2" borderId="30" xfId="13" applyFont="1" applyFill="1" applyBorder="1" applyAlignment="1">
      <alignment horizontal="center" vertical="center"/>
    </xf>
    <xf numFmtId="0" fontId="19" fillId="2" borderId="33" xfId="13" applyFont="1" applyFill="1" applyBorder="1" applyAlignment="1">
      <alignment horizontal="center" vertical="center"/>
    </xf>
    <xf numFmtId="0" fontId="19" fillId="2" borderId="26" xfId="13" applyFont="1" applyFill="1" applyBorder="1" applyAlignment="1">
      <alignment horizontal="center" vertical="center" wrapText="1"/>
    </xf>
    <xf numFmtId="0" fontId="19" fillId="2" borderId="30" xfId="13" applyFont="1" applyFill="1" applyBorder="1" applyAlignment="1">
      <alignment horizontal="center" vertical="center" wrapText="1"/>
    </xf>
    <xf numFmtId="0" fontId="19" fillId="2" borderId="33" xfId="13" applyFont="1" applyFill="1" applyBorder="1" applyAlignment="1">
      <alignment horizontal="center" vertical="center" wrapText="1"/>
    </xf>
    <xf numFmtId="0" fontId="7" fillId="13" borderId="26" xfId="13" applyFont="1" applyFill="1" applyBorder="1" applyAlignment="1">
      <alignment horizontal="center" vertical="center" wrapText="1"/>
    </xf>
    <xf numFmtId="0" fontId="7" fillId="13" borderId="30" xfId="13" applyFont="1" applyFill="1" applyBorder="1" applyAlignment="1">
      <alignment horizontal="center" vertical="center" wrapText="1"/>
    </xf>
    <xf numFmtId="0" fontId="7" fillId="13" borderId="26" xfId="13" applyFont="1" applyFill="1" applyBorder="1" applyAlignment="1">
      <alignment horizontal="center" vertical="center"/>
    </xf>
    <xf numFmtId="0" fontId="7" fillId="13" borderId="30" xfId="13" applyFont="1" applyFill="1" applyBorder="1" applyAlignment="1">
      <alignment horizontal="center" vertical="center"/>
    </xf>
    <xf numFmtId="0" fontId="19" fillId="13" borderId="26" xfId="13" applyFont="1" applyFill="1" applyBorder="1" applyAlignment="1">
      <alignment horizontal="center" vertical="center"/>
    </xf>
    <xf numFmtId="0" fontId="19" fillId="13" borderId="30" xfId="13" applyFont="1" applyFill="1" applyBorder="1" applyAlignment="1">
      <alignment horizontal="center" vertical="center"/>
    </xf>
    <xf numFmtId="0" fontId="19" fillId="13" borderId="33" xfId="13" applyFont="1" applyFill="1" applyBorder="1" applyAlignment="1">
      <alignment horizontal="center" vertical="center"/>
    </xf>
    <xf numFmtId="0" fontId="0" fillId="0" borderId="0" xfId="0" applyAlignment="1"/>
    <xf numFmtId="0" fontId="0" fillId="0" borderId="0" xfId="0" applyAlignment="1">
      <alignment horizontal="center"/>
    </xf>
  </cellXfs>
  <cellStyles count="14">
    <cellStyle name="Grid" xfId="4"/>
    <cellStyle name="Normal" xfId="1"/>
    <cellStyle name="常规" xfId="0" builtinId="0"/>
    <cellStyle name="常规 2" xfId="10"/>
    <cellStyle name="常规 3" xfId="13"/>
    <cellStyle name="超链接 2" xfId="11"/>
    <cellStyle name="大标题" xfId="3"/>
    <cellStyle name="横向标题" xfId="5"/>
    <cellStyle name="文本" xfId="9"/>
    <cellStyle name="无效" xfId="6"/>
    <cellStyle name="因变Grid" xfId="7"/>
    <cellStyle name="英文标题" xfId="12"/>
    <cellStyle name="中文标题" xfId="2"/>
    <cellStyle name="纵向标题" xfId="8"/>
  </cellStyles>
  <dxfs count="3">
    <dxf>
      <font>
        <color theme="0" tint="-0.499984740745262"/>
      </font>
      <fill>
        <patternFill patternType="solid">
          <fgColor indexed="64"/>
          <bgColor theme="0" tint="-0.249977111117893"/>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mruColors>
      <color rgb="FFFF3399"/>
      <color rgb="FFFF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0"/>
  <sheetViews>
    <sheetView workbookViewId="0">
      <selection activeCell="D10" sqref="D10:E10"/>
    </sheetView>
  </sheetViews>
  <sheetFormatPr defaultColWidth="10.875" defaultRowHeight="17.25" x14ac:dyDescent="0.2"/>
  <cols>
    <col min="1" max="1" width="4.125" style="1" customWidth="1"/>
    <col min="2" max="2" width="12.75" style="1" bestFit="1" customWidth="1"/>
    <col min="3" max="3" width="10.875" style="1"/>
    <col min="4" max="4" width="11.375" style="1" customWidth="1"/>
    <col min="5" max="5" width="43.875" style="1" customWidth="1"/>
    <col min="6" max="16384" width="10.875" style="1"/>
  </cols>
  <sheetData>
    <row r="1" spans="2:5" ht="18" thickBot="1" x14ac:dyDescent="0.25"/>
    <row r="2" spans="2:5" ht="29.1" customHeight="1" x14ac:dyDescent="0.2">
      <c r="B2" s="106" t="s">
        <v>26</v>
      </c>
      <c r="C2" s="107"/>
      <c r="D2" s="107"/>
      <c r="E2" s="108"/>
    </row>
    <row r="3" spans="2:5" ht="35.1" customHeight="1" x14ac:dyDescent="0.2">
      <c r="B3" s="2" t="s">
        <v>0</v>
      </c>
      <c r="C3" s="3" t="s">
        <v>11</v>
      </c>
      <c r="D3" s="109" t="s">
        <v>1</v>
      </c>
      <c r="E3" s="111" t="s">
        <v>27</v>
      </c>
    </row>
    <row r="4" spans="2:5" ht="35.1" customHeight="1" x14ac:dyDescent="0.2">
      <c r="B4" s="2" t="s">
        <v>2</v>
      </c>
      <c r="C4" s="3" t="s">
        <v>12</v>
      </c>
      <c r="D4" s="110"/>
      <c r="E4" s="112"/>
    </row>
    <row r="5" spans="2:5" ht="35.1" customHeight="1" x14ac:dyDescent="0.2">
      <c r="B5" s="4" t="s">
        <v>3</v>
      </c>
      <c r="C5" s="113" t="s">
        <v>28</v>
      </c>
      <c r="D5" s="114"/>
      <c r="E5" s="115"/>
    </row>
    <row r="6" spans="2:5" ht="18" x14ac:dyDescent="0.2">
      <c r="B6" s="116" t="s">
        <v>4</v>
      </c>
      <c r="C6" s="117"/>
      <c r="D6" s="117"/>
      <c r="E6" s="118"/>
    </row>
    <row r="7" spans="2:5" ht="18" x14ac:dyDescent="0.2">
      <c r="B7" s="5" t="s">
        <v>5</v>
      </c>
      <c r="C7" s="6" t="s">
        <v>6</v>
      </c>
      <c r="D7" s="104" t="s">
        <v>7</v>
      </c>
      <c r="E7" s="105"/>
    </row>
    <row r="8" spans="2:5" x14ac:dyDescent="0.2">
      <c r="B8" s="7">
        <v>43494</v>
      </c>
      <c r="C8" s="8" t="s">
        <v>10</v>
      </c>
      <c r="D8" s="119" t="s">
        <v>8</v>
      </c>
      <c r="E8" s="120"/>
    </row>
    <row r="9" spans="2:5" x14ac:dyDescent="0.2">
      <c r="B9" s="7">
        <v>43495</v>
      </c>
      <c r="C9" s="8" t="s">
        <v>10</v>
      </c>
      <c r="D9" s="119" t="s">
        <v>29</v>
      </c>
      <c r="E9" s="120"/>
    </row>
    <row r="10" spans="2:5" x14ac:dyDescent="0.2">
      <c r="B10" s="9"/>
      <c r="C10" s="8"/>
      <c r="D10" s="119"/>
      <c r="E10" s="120"/>
    </row>
    <row r="11" spans="2:5" x14ac:dyDescent="0.2">
      <c r="B11" s="9"/>
      <c r="C11" s="8"/>
      <c r="D11" s="119"/>
      <c r="E11" s="120"/>
    </row>
    <row r="12" spans="2:5" x14ac:dyDescent="0.2">
      <c r="B12" s="9"/>
      <c r="C12" s="8"/>
      <c r="D12" s="119"/>
      <c r="E12" s="120"/>
    </row>
    <row r="13" spans="2:5" x14ac:dyDescent="0.2">
      <c r="B13" s="9"/>
      <c r="C13" s="8"/>
      <c r="D13" s="119"/>
      <c r="E13" s="120"/>
    </row>
    <row r="14" spans="2:5" x14ac:dyDescent="0.2">
      <c r="B14" s="9"/>
      <c r="C14" s="8"/>
      <c r="D14" s="119"/>
      <c r="E14" s="120"/>
    </row>
    <row r="15" spans="2:5" x14ac:dyDescent="0.2">
      <c r="B15" s="9"/>
      <c r="C15" s="8"/>
      <c r="D15" s="119"/>
      <c r="E15" s="120"/>
    </row>
    <row r="16" spans="2:5" x14ac:dyDescent="0.2">
      <c r="B16" s="9"/>
      <c r="C16" s="8"/>
      <c r="D16" s="119"/>
      <c r="E16" s="120"/>
    </row>
    <row r="17" spans="2:5" x14ac:dyDescent="0.2">
      <c r="B17" s="9"/>
      <c r="C17" s="8"/>
      <c r="D17" s="119"/>
      <c r="E17" s="120"/>
    </row>
    <row r="18" spans="2:5" x14ac:dyDescent="0.2">
      <c r="B18" s="9"/>
      <c r="C18" s="8"/>
      <c r="D18" s="119"/>
      <c r="E18" s="120"/>
    </row>
    <row r="19" spans="2:5" x14ac:dyDescent="0.2">
      <c r="B19" s="9"/>
      <c r="C19" s="8"/>
      <c r="D19" s="119"/>
      <c r="E19" s="120"/>
    </row>
    <row r="20" spans="2:5" x14ac:dyDescent="0.2">
      <c r="B20" s="9"/>
      <c r="C20" s="8"/>
      <c r="D20" s="119"/>
      <c r="E20" s="120"/>
    </row>
    <row r="21" spans="2:5" x14ac:dyDescent="0.2">
      <c r="B21" s="9"/>
      <c r="C21" s="8"/>
      <c r="D21" s="119"/>
      <c r="E21" s="120"/>
    </row>
    <row r="22" spans="2:5" x14ac:dyDescent="0.2">
      <c r="B22" s="9"/>
      <c r="C22" s="8"/>
      <c r="D22" s="119"/>
      <c r="E22" s="120"/>
    </row>
    <row r="23" spans="2:5" x14ac:dyDescent="0.2">
      <c r="B23" s="9"/>
      <c r="C23" s="8"/>
      <c r="D23" s="119"/>
      <c r="E23" s="120"/>
    </row>
    <row r="24" spans="2:5" x14ac:dyDescent="0.2">
      <c r="B24" s="9"/>
      <c r="C24" s="8"/>
      <c r="D24" s="119"/>
      <c r="E24" s="120"/>
    </row>
    <row r="25" spans="2:5" x14ac:dyDescent="0.2">
      <c r="B25" s="9"/>
      <c r="C25" s="8"/>
      <c r="D25" s="119"/>
      <c r="E25" s="120"/>
    </row>
    <row r="26" spans="2:5" x14ac:dyDescent="0.2">
      <c r="B26" s="9"/>
      <c r="C26" s="8"/>
      <c r="D26" s="119"/>
      <c r="E26" s="120"/>
    </row>
    <row r="27" spans="2:5" x14ac:dyDescent="0.2">
      <c r="B27" s="9"/>
      <c r="C27" s="8"/>
      <c r="D27" s="119"/>
      <c r="E27" s="120"/>
    </row>
    <row r="28" spans="2:5" ht="18" thickBot="1" x14ac:dyDescent="0.25">
      <c r="B28" s="10"/>
      <c r="C28" s="11"/>
      <c r="D28" s="121"/>
      <c r="E28" s="122"/>
    </row>
    <row r="30" spans="2:5" x14ac:dyDescent="0.2">
      <c r="B30" s="123" t="s">
        <v>9</v>
      </c>
      <c r="C30" s="123"/>
      <c r="D30" s="123"/>
      <c r="E30" s="123"/>
    </row>
  </sheetData>
  <mergeCells count="28">
    <mergeCell ref="D26:E26"/>
    <mergeCell ref="D27:E27"/>
    <mergeCell ref="D28:E28"/>
    <mergeCell ref="B30:E30"/>
    <mergeCell ref="D20:E20"/>
    <mergeCell ref="D21:E21"/>
    <mergeCell ref="D22:E22"/>
    <mergeCell ref="D23:E23"/>
    <mergeCell ref="D24:E24"/>
    <mergeCell ref="D25:E25"/>
    <mergeCell ref="D19:E19"/>
    <mergeCell ref="D8:E8"/>
    <mergeCell ref="D9:E9"/>
    <mergeCell ref="D10:E10"/>
    <mergeCell ref="D11:E11"/>
    <mergeCell ref="D12:E12"/>
    <mergeCell ref="D13:E13"/>
    <mergeCell ref="D14:E14"/>
    <mergeCell ref="D15:E15"/>
    <mergeCell ref="D16:E16"/>
    <mergeCell ref="D17:E17"/>
    <mergeCell ref="D18:E18"/>
    <mergeCell ref="D7:E7"/>
    <mergeCell ref="B2:E2"/>
    <mergeCell ref="D3:D4"/>
    <mergeCell ref="E3:E4"/>
    <mergeCell ref="C5:E5"/>
    <mergeCell ref="B6:E6"/>
  </mergeCells>
  <phoneticPr fontId="2" type="noConversion"/>
  <conditionalFormatting sqref="C4">
    <cfRule type="containsText" dxfId="2" priority="1" operator="containsText" text="迭代">
      <formula>NOT(ISERROR(SEARCH("迭代",C4)))</formula>
    </cfRule>
    <cfRule type="containsText" dxfId="1" priority="2" operator="containsText" text="初稿">
      <formula>NOT(ISERROR(SEARCH("初稿",C4)))</formula>
    </cfRule>
    <cfRule type="containsText" dxfId="0" priority="3" operator="containsText" text="废弃">
      <formula>NOT(ISERROR(SEARCH("废弃",C4)))</formula>
    </cfRule>
  </conditionalFormatting>
  <dataValidations count="1">
    <dataValidation type="list" allowBlank="1" showInputMessage="1" showErrorMessage="1" sqref="C4">
      <formula1>"草案,初稿,迭代,废弃"</formula1>
    </dataValidation>
  </dataValidations>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honeticPr fontId="2" type="noConversion"/>
  <pageMargins left="0.7" right="0.7" top="0.75" bottom="0.75" header="0.3" footer="0.3"/>
  <pageSetup paperSize="9"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3"/>
  <sheetViews>
    <sheetView workbookViewId="0">
      <selection activeCell="C11" sqref="C11"/>
    </sheetView>
  </sheetViews>
  <sheetFormatPr defaultRowHeight="16.5" x14ac:dyDescent="0.3"/>
  <cols>
    <col min="1" max="4" width="10.625" style="12" customWidth="1"/>
    <col min="5" max="5" width="110.125" style="12" customWidth="1"/>
    <col min="6" max="9" width="10.625" style="12" customWidth="1"/>
    <col min="10" max="16384" width="9" style="12"/>
  </cols>
  <sheetData>
    <row r="3" spans="1:5" ht="17.25" x14ac:dyDescent="0.3">
      <c r="A3" s="13" t="s">
        <v>13</v>
      </c>
      <c r="B3" s="13" t="s">
        <v>17</v>
      </c>
      <c r="C3" s="13" t="s">
        <v>16</v>
      </c>
      <c r="D3" s="13" t="s">
        <v>14</v>
      </c>
      <c r="E3" s="13" t="s">
        <v>15</v>
      </c>
    </row>
    <row r="4" spans="1:5" x14ac:dyDescent="0.3">
      <c r="A4" s="14"/>
      <c r="B4" s="14" t="s">
        <v>18</v>
      </c>
      <c r="C4" s="14"/>
      <c r="D4" s="14">
        <v>2</v>
      </c>
      <c r="E4" s="14" t="s">
        <v>22</v>
      </c>
    </row>
    <row r="5" spans="1:5" x14ac:dyDescent="0.3">
      <c r="A5" s="14"/>
      <c r="B5" s="14" t="s">
        <v>18</v>
      </c>
      <c r="C5" s="14"/>
      <c r="D5" s="14">
        <v>2</v>
      </c>
      <c r="E5" s="14" t="s">
        <v>23</v>
      </c>
    </row>
    <row r="6" spans="1:5" x14ac:dyDescent="0.3">
      <c r="A6" s="14">
        <v>1</v>
      </c>
      <c r="B6" s="14" t="s">
        <v>18</v>
      </c>
      <c r="C6" s="14"/>
      <c r="D6" s="14">
        <v>3</v>
      </c>
      <c r="E6" s="14" t="s">
        <v>19</v>
      </c>
    </row>
    <row r="7" spans="1:5" x14ac:dyDescent="0.3">
      <c r="A7" s="14">
        <v>2</v>
      </c>
      <c r="B7" s="14" t="s">
        <v>18</v>
      </c>
      <c r="C7" s="14"/>
      <c r="D7" s="14">
        <v>3</v>
      </c>
      <c r="E7" s="14" t="s">
        <v>20</v>
      </c>
    </row>
    <row r="8" spans="1:5" x14ac:dyDescent="0.3">
      <c r="A8" s="14">
        <v>3</v>
      </c>
      <c r="B8" s="14" t="s">
        <v>18</v>
      </c>
      <c r="C8" s="14"/>
      <c r="D8" s="14">
        <v>3</v>
      </c>
      <c r="E8" s="14" t="s">
        <v>21</v>
      </c>
    </row>
    <row r="9" spans="1:5" x14ac:dyDescent="0.3">
      <c r="A9" s="14"/>
      <c r="B9" s="14" t="s">
        <v>18</v>
      </c>
      <c r="C9" s="14"/>
      <c r="D9" s="14">
        <v>5</v>
      </c>
      <c r="E9" s="14" t="s">
        <v>25</v>
      </c>
    </row>
    <row r="10" spans="1:5" x14ac:dyDescent="0.3">
      <c r="A10" s="14"/>
      <c r="B10" s="14" t="s">
        <v>18</v>
      </c>
      <c r="C10" s="14"/>
      <c r="D10" s="14">
        <v>8</v>
      </c>
      <c r="E10" s="14" t="s">
        <v>24</v>
      </c>
    </row>
    <row r="11" spans="1:5" x14ac:dyDescent="0.3">
      <c r="A11" s="14"/>
      <c r="B11" s="14"/>
      <c r="C11" s="14"/>
      <c r="D11" s="14"/>
      <c r="E11" s="14"/>
    </row>
    <row r="12" spans="1:5" x14ac:dyDescent="0.3">
      <c r="A12" s="14"/>
      <c r="B12" s="14"/>
      <c r="C12" s="14"/>
      <c r="D12" s="14"/>
      <c r="E12" s="14"/>
    </row>
    <row r="13" spans="1:5" x14ac:dyDescent="0.3">
      <c r="A13" s="14"/>
      <c r="B13" s="14"/>
      <c r="C13" s="14"/>
      <c r="D13" s="14"/>
      <c r="E13" s="14"/>
    </row>
    <row r="14" spans="1:5" x14ac:dyDescent="0.3">
      <c r="A14" s="14"/>
      <c r="B14" s="14"/>
      <c r="C14" s="14"/>
      <c r="D14" s="14"/>
      <c r="E14" s="14"/>
    </row>
    <row r="15" spans="1:5" x14ac:dyDescent="0.3">
      <c r="A15" s="14"/>
      <c r="B15" s="14"/>
      <c r="C15" s="14"/>
      <c r="D15" s="14"/>
      <c r="E15" s="14"/>
    </row>
    <row r="16" spans="1:5" x14ac:dyDescent="0.3">
      <c r="A16" s="14"/>
      <c r="B16" s="14"/>
      <c r="C16" s="14"/>
      <c r="D16" s="14"/>
      <c r="E16" s="14"/>
    </row>
    <row r="17" spans="1:5" x14ac:dyDescent="0.3">
      <c r="A17" s="14"/>
      <c r="B17" s="14"/>
      <c r="C17" s="14"/>
      <c r="D17" s="14"/>
      <c r="E17" s="14"/>
    </row>
    <row r="18" spans="1:5" x14ac:dyDescent="0.3">
      <c r="A18" s="14"/>
      <c r="B18" s="14"/>
      <c r="C18" s="14"/>
      <c r="D18" s="14"/>
      <c r="E18" s="14"/>
    </row>
    <row r="19" spans="1:5" x14ac:dyDescent="0.3">
      <c r="A19" s="14"/>
      <c r="B19" s="14"/>
      <c r="C19" s="14"/>
      <c r="D19" s="14"/>
      <c r="E19" s="14"/>
    </row>
    <row r="20" spans="1:5" x14ac:dyDescent="0.3">
      <c r="A20" s="14"/>
      <c r="B20" s="14"/>
      <c r="C20" s="14"/>
      <c r="D20" s="14"/>
      <c r="E20" s="14"/>
    </row>
    <row r="21" spans="1:5" x14ac:dyDescent="0.3">
      <c r="A21" s="14"/>
      <c r="B21" s="14"/>
      <c r="C21" s="14"/>
      <c r="D21" s="14"/>
      <c r="E21" s="14"/>
    </row>
    <row r="22" spans="1:5" x14ac:dyDescent="0.3">
      <c r="A22" s="14"/>
      <c r="B22" s="14"/>
      <c r="C22" s="14"/>
      <c r="D22" s="14"/>
      <c r="E22" s="14"/>
    </row>
    <row r="23" spans="1:5" x14ac:dyDescent="0.3">
      <c r="A23" s="14"/>
      <c r="B23" s="14"/>
      <c r="C23" s="14"/>
      <c r="D23" s="14"/>
      <c r="E23" s="14"/>
    </row>
    <row r="24" spans="1:5" x14ac:dyDescent="0.3">
      <c r="A24" s="14"/>
      <c r="B24" s="14"/>
      <c r="C24" s="14"/>
      <c r="D24" s="14"/>
      <c r="E24" s="14"/>
    </row>
    <row r="25" spans="1:5" x14ac:dyDescent="0.3">
      <c r="A25" s="14"/>
      <c r="B25" s="14"/>
      <c r="C25" s="14"/>
      <c r="D25" s="14"/>
      <c r="E25" s="14"/>
    </row>
    <row r="26" spans="1:5" x14ac:dyDescent="0.3">
      <c r="A26" s="14"/>
      <c r="B26" s="14"/>
      <c r="C26" s="14"/>
      <c r="D26" s="14"/>
      <c r="E26" s="14"/>
    </row>
    <row r="27" spans="1:5" x14ac:dyDescent="0.3">
      <c r="A27" s="14"/>
      <c r="B27" s="14"/>
      <c r="C27" s="14"/>
      <c r="D27" s="14"/>
      <c r="E27" s="14"/>
    </row>
    <row r="28" spans="1:5" x14ac:dyDescent="0.3">
      <c r="A28" s="14"/>
      <c r="B28" s="14"/>
      <c r="C28" s="14"/>
      <c r="D28" s="14"/>
      <c r="E28" s="14"/>
    </row>
    <row r="29" spans="1:5" x14ac:dyDescent="0.3">
      <c r="A29" s="14"/>
      <c r="B29" s="14"/>
      <c r="C29" s="14"/>
      <c r="D29" s="14"/>
      <c r="E29" s="14"/>
    </row>
    <row r="30" spans="1:5" x14ac:dyDescent="0.3">
      <c r="A30" s="14"/>
      <c r="B30" s="14"/>
      <c r="C30" s="14"/>
      <c r="D30" s="14"/>
      <c r="E30" s="14"/>
    </row>
    <row r="31" spans="1:5" x14ac:dyDescent="0.3">
      <c r="A31" s="14"/>
      <c r="B31" s="14"/>
      <c r="C31" s="14"/>
      <c r="D31" s="14"/>
      <c r="E31" s="14"/>
    </row>
    <row r="32" spans="1:5" x14ac:dyDescent="0.3">
      <c r="A32" s="14"/>
      <c r="B32" s="14"/>
      <c r="C32" s="14"/>
      <c r="D32" s="14"/>
      <c r="E32" s="14"/>
    </row>
    <row r="33" spans="1:5" x14ac:dyDescent="0.3">
      <c r="A33" s="14"/>
      <c r="B33" s="14"/>
      <c r="C33" s="14"/>
      <c r="D33" s="14"/>
      <c r="E33" s="14"/>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29" sqref="E29"/>
    </sheetView>
  </sheetViews>
  <sheetFormatPr defaultRowHeight="14.25" x14ac:dyDescent="0.2"/>
  <cols>
    <col min="2" max="2" width="15" customWidth="1"/>
    <col min="3" max="4" width="17.875" customWidth="1"/>
    <col min="5" max="5" width="24.875" customWidth="1"/>
    <col min="6" max="7" width="14" customWidth="1"/>
    <col min="8" max="8" width="67.375" customWidth="1"/>
    <col min="9" max="10" width="15.625" customWidth="1"/>
  </cols>
  <sheetData>
    <row r="1" spans="1:8" ht="15" x14ac:dyDescent="0.2">
      <c r="A1" s="25" t="s">
        <v>137</v>
      </c>
      <c r="B1" s="25" t="s">
        <v>138</v>
      </c>
      <c r="C1" s="25" t="s">
        <v>139</v>
      </c>
      <c r="D1" s="25" t="s">
        <v>140</v>
      </c>
      <c r="E1" s="25" t="s">
        <v>141</v>
      </c>
      <c r="F1" s="25" t="s">
        <v>142</v>
      </c>
      <c r="G1" s="25" t="s">
        <v>143</v>
      </c>
      <c r="H1" s="26" t="s">
        <v>144</v>
      </c>
    </row>
    <row r="2" spans="1:8" x14ac:dyDescent="0.2">
      <c r="A2" t="s">
        <v>145</v>
      </c>
      <c r="B2" t="s">
        <v>146</v>
      </c>
      <c r="C2" t="s">
        <v>146</v>
      </c>
      <c r="D2" t="s">
        <v>147</v>
      </c>
      <c r="E2" t="s">
        <v>148</v>
      </c>
      <c r="F2" t="s">
        <v>149</v>
      </c>
      <c r="G2" t="s">
        <v>145</v>
      </c>
      <c r="H2" t="s">
        <v>148</v>
      </c>
    </row>
    <row r="3" spans="1:8" x14ac:dyDescent="0.2">
      <c r="A3" s="27" t="s">
        <v>150</v>
      </c>
      <c r="B3" s="27" t="s">
        <v>151</v>
      </c>
      <c r="C3" s="27" t="s">
        <v>152</v>
      </c>
      <c r="D3" s="27" t="s">
        <v>153</v>
      </c>
      <c r="E3" s="27" t="s">
        <v>154</v>
      </c>
      <c r="F3" s="27" t="s">
        <v>155</v>
      </c>
      <c r="G3" s="27" t="s">
        <v>156</v>
      </c>
      <c r="H3" s="27" t="s">
        <v>157</v>
      </c>
    </row>
    <row r="4" spans="1:8" ht="16.5" x14ac:dyDescent="0.2">
      <c r="A4" s="16">
        <v>1</v>
      </c>
      <c r="B4" s="16" t="s">
        <v>158</v>
      </c>
      <c r="C4" s="28" t="s">
        <v>159</v>
      </c>
      <c r="D4" s="28" t="b">
        <v>0</v>
      </c>
      <c r="E4" s="28" t="str">
        <f>C4&amp;" +%d"</f>
        <v>基础攻击 +%d</v>
      </c>
      <c r="F4" s="28">
        <v>1</v>
      </c>
      <c r="G4" s="28">
        <v>10</v>
      </c>
      <c r="H4" s="28" t="s">
        <v>160</v>
      </c>
    </row>
    <row r="5" spans="1:8" ht="16.5" x14ac:dyDescent="0.2">
      <c r="A5" s="16">
        <v>2</v>
      </c>
      <c r="B5" s="16" t="s">
        <v>161</v>
      </c>
      <c r="C5" s="28" t="s">
        <v>162</v>
      </c>
      <c r="D5" s="28" t="b">
        <v>0</v>
      </c>
      <c r="E5" s="28" t="str">
        <f t="shared" ref="E5:E19" si="0">C5&amp;" +%d"</f>
        <v>基础防御 +%d</v>
      </c>
      <c r="F5" s="28">
        <v>1</v>
      </c>
      <c r="G5" s="28">
        <v>20</v>
      </c>
      <c r="H5" s="28" t="s">
        <v>163</v>
      </c>
    </row>
    <row r="6" spans="1:8" ht="16.5" x14ac:dyDescent="0.2">
      <c r="A6" s="16">
        <v>3</v>
      </c>
      <c r="B6" s="28" t="s">
        <v>164</v>
      </c>
      <c r="C6" s="28" t="s">
        <v>165</v>
      </c>
      <c r="D6" s="28" t="b">
        <v>0</v>
      </c>
      <c r="E6" s="28" t="str">
        <f t="shared" si="0"/>
        <v>基础生命 +%d</v>
      </c>
      <c r="F6" s="28">
        <v>1</v>
      </c>
      <c r="G6" s="28">
        <v>1</v>
      </c>
      <c r="H6" s="28" t="s">
        <v>166</v>
      </c>
    </row>
    <row r="7" spans="1:8" ht="16.5" x14ac:dyDescent="0.2">
      <c r="A7" s="16">
        <v>4</v>
      </c>
      <c r="B7" s="16" t="s">
        <v>167</v>
      </c>
      <c r="C7" s="16" t="s">
        <v>168</v>
      </c>
      <c r="D7" s="28" t="b">
        <v>0</v>
      </c>
      <c r="E7" s="28" t="str">
        <f>C7&amp;" +%f%%"</f>
        <v>暴击率 +%f%%</v>
      </c>
      <c r="F7" s="28">
        <v>100</v>
      </c>
      <c r="G7" s="28">
        <v>100000</v>
      </c>
      <c r="H7" s="28" t="s">
        <v>169</v>
      </c>
    </row>
    <row r="8" spans="1:8" ht="16.5" x14ac:dyDescent="0.2">
      <c r="A8" s="16">
        <v>5</v>
      </c>
      <c r="B8" s="28" t="s">
        <v>170</v>
      </c>
      <c r="C8" s="16" t="s">
        <v>171</v>
      </c>
      <c r="D8" s="28" t="b">
        <v>0</v>
      </c>
      <c r="E8" s="28" t="str">
        <f t="shared" ref="E8:E18" si="1">C8&amp;" +%f%%"</f>
        <v>暴击伤害 +%f%%</v>
      </c>
      <c r="F8" s="28">
        <v>100</v>
      </c>
      <c r="G8" s="28">
        <v>50000</v>
      </c>
      <c r="H8" s="28" t="s">
        <v>172</v>
      </c>
    </row>
    <row r="9" spans="1:8" ht="16.5" x14ac:dyDescent="0.2">
      <c r="A9" s="16">
        <v>6</v>
      </c>
      <c r="B9" s="16" t="s">
        <v>173</v>
      </c>
      <c r="C9" s="16" t="s">
        <v>174</v>
      </c>
      <c r="D9" s="28" t="b">
        <v>0</v>
      </c>
      <c r="E9" s="28" t="str">
        <f t="shared" si="1"/>
        <v>效果命中 +%f%%</v>
      </c>
      <c r="F9" s="28">
        <v>100</v>
      </c>
      <c r="G9" s="28">
        <v>75000</v>
      </c>
      <c r="H9" s="28" t="s">
        <v>175</v>
      </c>
    </row>
    <row r="10" spans="1:8" ht="15.75" customHeight="1" x14ac:dyDescent="0.2">
      <c r="A10" s="16">
        <v>7</v>
      </c>
      <c r="B10" s="28" t="s">
        <v>176</v>
      </c>
      <c r="C10" s="16" t="s">
        <v>177</v>
      </c>
      <c r="D10" s="28" t="b">
        <v>0</v>
      </c>
      <c r="E10" s="28" t="str">
        <f t="shared" si="1"/>
        <v>效果抵抗 +%f%%</v>
      </c>
      <c r="F10" s="28">
        <v>100</v>
      </c>
      <c r="G10" s="28">
        <v>75000</v>
      </c>
      <c r="H10" s="28" t="s">
        <v>178</v>
      </c>
    </row>
    <row r="11" spans="1:8" ht="18" customHeight="1" x14ac:dyDescent="0.2">
      <c r="A11" s="16">
        <v>8</v>
      </c>
      <c r="B11" s="16" t="s">
        <v>179</v>
      </c>
      <c r="C11" s="16" t="s">
        <v>180</v>
      </c>
      <c r="D11" s="28" t="b">
        <v>1</v>
      </c>
      <c r="E11" s="28" t="str">
        <f t="shared" si="1"/>
        <v>攻击百分比加成 +%f%%</v>
      </c>
      <c r="F11" s="28">
        <v>100</v>
      </c>
      <c r="G11" s="28">
        <v>0</v>
      </c>
      <c r="H11" s="28" t="s">
        <v>181</v>
      </c>
    </row>
    <row r="12" spans="1:8" ht="18" customHeight="1" x14ac:dyDescent="0.2">
      <c r="A12" s="16">
        <v>9</v>
      </c>
      <c r="B12" s="16" t="s">
        <v>182</v>
      </c>
      <c r="C12" s="16" t="s">
        <v>183</v>
      </c>
      <c r="D12" s="28" t="b">
        <v>1</v>
      </c>
      <c r="E12" s="28" t="str">
        <f t="shared" si="1"/>
        <v>防御百分比加成 +%f%%</v>
      </c>
      <c r="F12" s="28">
        <v>100</v>
      </c>
      <c r="G12" s="28">
        <v>0</v>
      </c>
      <c r="H12" s="28" t="s">
        <v>184</v>
      </c>
    </row>
    <row r="13" spans="1:8" ht="18" customHeight="1" x14ac:dyDescent="0.2">
      <c r="A13" s="16">
        <v>10</v>
      </c>
      <c r="B13" s="16" t="s">
        <v>185</v>
      </c>
      <c r="C13" s="16" t="s">
        <v>186</v>
      </c>
      <c r="D13" s="28" t="b">
        <v>1</v>
      </c>
      <c r="E13" s="28" t="str">
        <f t="shared" si="1"/>
        <v>生命百分比加成 +%f%%</v>
      </c>
      <c r="F13" s="28">
        <v>100</v>
      </c>
      <c r="G13" s="28">
        <v>0</v>
      </c>
      <c r="H13" s="28" t="s">
        <v>187</v>
      </c>
    </row>
    <row r="14" spans="1:8" ht="16.5" x14ac:dyDescent="0.2">
      <c r="A14" s="16">
        <v>11</v>
      </c>
      <c r="B14" s="28" t="s">
        <v>188</v>
      </c>
      <c r="C14" s="28" t="s">
        <v>189</v>
      </c>
      <c r="D14" s="28" t="b">
        <v>1</v>
      </c>
      <c r="E14" s="28" t="str">
        <f t="shared" si="1"/>
        <v>攻击 +%f%%</v>
      </c>
      <c r="F14" s="28">
        <v>100</v>
      </c>
      <c r="G14" s="28">
        <v>0</v>
      </c>
      <c r="H14" s="28" t="s">
        <v>190</v>
      </c>
    </row>
    <row r="15" spans="1:8" ht="16.5" x14ac:dyDescent="0.2">
      <c r="A15" s="16">
        <v>12</v>
      </c>
      <c r="B15" s="28" t="s">
        <v>191</v>
      </c>
      <c r="C15" s="28" t="s">
        <v>192</v>
      </c>
      <c r="D15" s="28" t="b">
        <v>1</v>
      </c>
      <c r="E15" s="28" t="str">
        <f t="shared" si="1"/>
        <v>防御 +%f%%</v>
      </c>
      <c r="F15" s="28">
        <v>100</v>
      </c>
      <c r="G15" s="28">
        <v>0</v>
      </c>
      <c r="H15" s="28" t="s">
        <v>193</v>
      </c>
    </row>
    <row r="16" spans="1:8" ht="16.5" x14ac:dyDescent="0.2">
      <c r="A16" s="16">
        <v>13</v>
      </c>
      <c r="B16" s="28" t="s">
        <v>194</v>
      </c>
      <c r="C16" s="28" t="s">
        <v>195</v>
      </c>
      <c r="D16" s="28" t="b">
        <v>1</v>
      </c>
      <c r="E16" s="28" t="str">
        <f t="shared" si="1"/>
        <v>生命 +%f%%</v>
      </c>
      <c r="F16" s="28">
        <v>100</v>
      </c>
      <c r="G16" s="28">
        <v>0</v>
      </c>
      <c r="H16" s="28" t="s">
        <v>196</v>
      </c>
    </row>
    <row r="17" spans="1:8" ht="16.5" x14ac:dyDescent="0.2">
      <c r="A17" s="16">
        <v>14</v>
      </c>
      <c r="B17" s="28" t="s">
        <v>197</v>
      </c>
      <c r="C17" s="28" t="s">
        <v>198</v>
      </c>
      <c r="D17" s="28" t="b">
        <v>0</v>
      </c>
      <c r="E17" s="28" t="str">
        <f t="shared" si="1"/>
        <v>格挡 +%f%%</v>
      </c>
      <c r="F17" s="28">
        <v>100</v>
      </c>
      <c r="G17" s="28">
        <v>0</v>
      </c>
      <c r="H17" s="28" t="s">
        <v>199</v>
      </c>
    </row>
    <row r="18" spans="1:8" ht="16.5" x14ac:dyDescent="0.2">
      <c r="A18" s="16">
        <v>15</v>
      </c>
      <c r="B18" s="28" t="s">
        <v>200</v>
      </c>
      <c r="C18" s="28" t="s">
        <v>201</v>
      </c>
      <c r="D18" s="28" t="b">
        <v>0</v>
      </c>
      <c r="E18" s="28" t="str">
        <f t="shared" si="1"/>
        <v>穿透 +%f%%</v>
      </c>
      <c r="F18" s="28">
        <v>100</v>
      </c>
      <c r="G18" s="28">
        <v>100000</v>
      </c>
      <c r="H18" s="28" t="s">
        <v>202</v>
      </c>
    </row>
    <row r="19" spans="1:8" ht="16.5" x14ac:dyDescent="0.2">
      <c r="A19" s="16">
        <v>16</v>
      </c>
      <c r="B19" s="16" t="s">
        <v>203</v>
      </c>
      <c r="C19" s="28" t="s">
        <v>204</v>
      </c>
      <c r="D19" s="28" t="b">
        <v>1</v>
      </c>
      <c r="E19" s="28" t="str">
        <f t="shared" si="0"/>
        <v>防御基值 +%d</v>
      </c>
      <c r="F19" s="28">
        <v>1</v>
      </c>
      <c r="G19" s="28">
        <v>0</v>
      </c>
      <c r="H19" s="28" t="s">
        <v>205</v>
      </c>
    </row>
  </sheetData>
  <phoneticPr fontId="2" type="noConversion"/>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workbookViewId="0">
      <selection activeCell="Q4" sqref="Q4:W6"/>
    </sheetView>
  </sheetViews>
  <sheetFormatPr defaultRowHeight="14.25" x14ac:dyDescent="0.2"/>
  <cols>
    <col min="1" max="2" width="9" customWidth="1"/>
    <col min="3" max="3" width="9.25" customWidth="1"/>
    <col min="4" max="4" width="10" customWidth="1"/>
    <col min="5" max="5" width="11.125" customWidth="1"/>
    <col min="6" max="6" width="10.625" customWidth="1"/>
    <col min="7" max="7" width="10.125" customWidth="1"/>
    <col min="8" max="8" width="9.625" customWidth="1"/>
    <col min="9" max="9" width="10" customWidth="1"/>
    <col min="13" max="13" width="10.125" customWidth="1"/>
    <col min="16" max="16" width="9.75" customWidth="1"/>
  </cols>
  <sheetData>
    <row r="1" spans="1:25" x14ac:dyDescent="0.2">
      <c r="D1" s="27"/>
      <c r="E1" s="27"/>
      <c r="F1" s="27"/>
      <c r="K1" s="27"/>
      <c r="L1" s="27"/>
      <c r="M1" s="27"/>
      <c r="N1" s="27"/>
      <c r="O1" s="27"/>
      <c r="P1" s="27"/>
      <c r="Q1" s="27"/>
      <c r="R1" s="27"/>
    </row>
    <row r="2" spans="1:25" s="27" customFormat="1" ht="28.5" x14ac:dyDescent="0.2">
      <c r="A2" s="20" t="s">
        <v>523</v>
      </c>
      <c r="B2" s="103">
        <v>0.5</v>
      </c>
      <c r="C2" s="20" t="s">
        <v>524</v>
      </c>
      <c r="D2" s="103">
        <v>1</v>
      </c>
      <c r="E2" s="20" t="s">
        <v>525</v>
      </c>
      <c r="F2" s="103">
        <v>2</v>
      </c>
      <c r="G2" s="20" t="s">
        <v>526</v>
      </c>
      <c r="H2" s="18">
        <f>B2*F2+D2</f>
        <v>2</v>
      </c>
      <c r="I2" s="20" t="s">
        <v>528</v>
      </c>
      <c r="J2" s="103">
        <v>5</v>
      </c>
      <c r="K2" s="20" t="s">
        <v>529</v>
      </c>
      <c r="L2" s="103">
        <v>5</v>
      </c>
    </row>
    <row r="3" spans="1:25" s="27" customFormat="1" ht="25.5" customHeight="1" x14ac:dyDescent="0.2">
      <c r="E3" s="20" t="s">
        <v>532</v>
      </c>
      <c r="F3" s="103">
        <v>3</v>
      </c>
    </row>
    <row r="4" spans="1:25" s="27" customFormat="1" x14ac:dyDescent="0.2">
      <c r="Q4" s="27" t="s">
        <v>533</v>
      </c>
      <c r="R4" s="27" t="s">
        <v>534</v>
      </c>
      <c r="S4" s="27" t="s">
        <v>535</v>
      </c>
      <c r="U4" s="27" t="s">
        <v>536</v>
      </c>
      <c r="V4" s="27" t="s">
        <v>537</v>
      </c>
      <c r="W4" s="27" t="s">
        <v>538</v>
      </c>
    </row>
    <row r="5" spans="1:25" ht="15" x14ac:dyDescent="0.2">
      <c r="B5" s="102" t="s">
        <v>521</v>
      </c>
      <c r="C5" s="102" t="s">
        <v>54</v>
      </c>
      <c r="D5" s="27"/>
      <c r="E5" s="27"/>
      <c r="F5" s="27"/>
      <c r="Q5" s="27" t="s">
        <v>539</v>
      </c>
      <c r="R5" s="27" t="s">
        <v>540</v>
      </c>
      <c r="S5" s="27" t="s">
        <v>541</v>
      </c>
      <c r="T5" s="27"/>
      <c r="U5" s="27" t="s">
        <v>542</v>
      </c>
      <c r="V5" s="27" t="s">
        <v>543</v>
      </c>
      <c r="W5" s="27" t="s">
        <v>544</v>
      </c>
    </row>
    <row r="6" spans="1:25" s="27" customFormat="1" ht="16.5" x14ac:dyDescent="0.2">
      <c r="A6" s="16" t="s">
        <v>527</v>
      </c>
      <c r="B6" s="16">
        <v>1</v>
      </c>
      <c r="C6" s="16">
        <v>7</v>
      </c>
      <c r="Q6" s="27" t="s">
        <v>545</v>
      </c>
      <c r="R6" s="27" t="s">
        <v>546</v>
      </c>
      <c r="S6" s="27" t="s">
        <v>547</v>
      </c>
      <c r="U6" s="27" t="s">
        <v>548</v>
      </c>
      <c r="V6" s="27" t="s">
        <v>549</v>
      </c>
      <c r="W6" s="27" t="s">
        <v>550</v>
      </c>
    </row>
    <row r="7" spans="1:25" s="27" customFormat="1" ht="16.5" x14ac:dyDescent="0.2">
      <c r="A7" s="16" t="s">
        <v>522</v>
      </c>
      <c r="B7" s="16">
        <v>2</v>
      </c>
      <c r="C7" s="16">
        <v>5</v>
      </c>
    </row>
    <row r="8" spans="1:25" s="27" customFormat="1" x14ac:dyDescent="0.2"/>
    <row r="9" spans="1:25" s="27" customFormat="1" x14ac:dyDescent="0.2"/>
    <row r="10" spans="1:25" s="27" customFormat="1" ht="20.25" x14ac:dyDescent="0.2">
      <c r="A10" s="127" t="s">
        <v>530</v>
      </c>
      <c r="B10" s="127"/>
      <c r="C10" s="127"/>
      <c r="D10" s="127"/>
      <c r="E10" s="127"/>
      <c r="F10" s="127"/>
      <c r="G10" s="127"/>
      <c r="H10" s="127"/>
      <c r="I10" s="127"/>
      <c r="J10" s="127"/>
      <c r="K10" s="127"/>
      <c r="L10" s="127"/>
      <c r="M10" s="127"/>
      <c r="N10" s="127"/>
    </row>
    <row r="11" spans="1:25" ht="17.25" x14ac:dyDescent="0.2">
      <c r="A11" s="13" t="s">
        <v>30</v>
      </c>
      <c r="B11" s="13" t="s">
        <v>37</v>
      </c>
      <c r="C11" s="13" t="s">
        <v>31</v>
      </c>
      <c r="D11" s="13" t="s">
        <v>32</v>
      </c>
      <c r="E11" s="13" t="s">
        <v>33</v>
      </c>
      <c r="F11" s="13" t="s">
        <v>34</v>
      </c>
      <c r="G11" s="13" t="s">
        <v>35</v>
      </c>
      <c r="H11" s="13" t="s">
        <v>36</v>
      </c>
      <c r="I11" s="13" t="s">
        <v>34</v>
      </c>
      <c r="J11" s="13" t="s">
        <v>35</v>
      </c>
      <c r="K11" s="13" t="s">
        <v>36</v>
      </c>
      <c r="L11" s="13" t="s">
        <v>59</v>
      </c>
      <c r="M11" s="13" t="s">
        <v>60</v>
      </c>
      <c r="N11" s="13" t="s">
        <v>41</v>
      </c>
      <c r="Q11" s="27"/>
      <c r="R11" s="27"/>
      <c r="S11" s="27"/>
      <c r="T11" s="27"/>
      <c r="U11" s="27"/>
      <c r="V11" s="27"/>
      <c r="W11" s="27"/>
      <c r="X11" s="27"/>
      <c r="Y11" s="27"/>
    </row>
    <row r="12" spans="1:25" ht="16.5" x14ac:dyDescent="0.2">
      <c r="A12" s="16">
        <v>0</v>
      </c>
      <c r="B12" s="16">
        <v>15</v>
      </c>
      <c r="C12" s="16">
        <f>D12*2</f>
        <v>10</v>
      </c>
      <c r="D12" s="16">
        <v>5</v>
      </c>
      <c r="E12" s="16">
        <v>35</v>
      </c>
      <c r="F12" s="16">
        <v>20</v>
      </c>
      <c r="G12" s="16">
        <v>0</v>
      </c>
      <c r="H12" s="16">
        <v>120</v>
      </c>
      <c r="I12" s="16">
        <f>F12</f>
        <v>20</v>
      </c>
      <c r="J12" s="16">
        <f>G12</f>
        <v>0</v>
      </c>
      <c r="K12" s="16">
        <f>H12</f>
        <v>120</v>
      </c>
      <c r="L12" s="16">
        <f t="shared" ref="L12:L20" si="0">C12/I12</f>
        <v>0.5</v>
      </c>
      <c r="M12" s="16">
        <f>(1+L12)*(1+L12)</f>
        <v>2.25</v>
      </c>
      <c r="N12" s="16">
        <v>100</v>
      </c>
      <c r="Q12" s="174"/>
      <c r="R12" s="27"/>
      <c r="S12" s="27"/>
      <c r="T12" s="27"/>
      <c r="U12" s="27"/>
      <c r="V12" s="27"/>
      <c r="W12" s="27"/>
      <c r="X12" s="27"/>
      <c r="Y12" s="27"/>
    </row>
    <row r="13" spans="1:25" ht="16.5" x14ac:dyDescent="0.2">
      <c r="A13" s="16">
        <v>1</v>
      </c>
      <c r="B13" s="16">
        <v>30</v>
      </c>
      <c r="C13" s="16">
        <f t="shared" ref="C13:C20" si="1">D13*2</f>
        <v>14</v>
      </c>
      <c r="D13" s="16">
        <v>7</v>
      </c>
      <c r="E13" s="16">
        <f>D13*7</f>
        <v>49</v>
      </c>
      <c r="F13" s="18">
        <f>INT(C13*($B13-$B12)*0.1)</f>
        <v>21</v>
      </c>
      <c r="G13" s="18">
        <f>INT(D13*($B13-$B12)*0.1)</f>
        <v>10</v>
      </c>
      <c r="H13" s="18">
        <f>INT(E13*($B13-$B12)*0.1)</f>
        <v>73</v>
      </c>
      <c r="I13" s="18">
        <f>I12+C12*($A12-1)+F13</f>
        <v>31</v>
      </c>
      <c r="J13" s="18">
        <f>J12+D12*($A12-1)+G13</f>
        <v>5</v>
      </c>
      <c r="K13" s="18">
        <f>K12+E12*($A12-1)+H13</f>
        <v>158</v>
      </c>
      <c r="L13" s="16">
        <f t="shared" si="0"/>
        <v>0.45161290322580644</v>
      </c>
      <c r="M13" s="16">
        <f t="shared" ref="M13:M20" si="2">(1+L13)*(1+L13)</f>
        <v>2.1071800208116547</v>
      </c>
      <c r="N13" s="16">
        <f>ROUND((O$3+J13)*1.5/50,0)*50</f>
        <v>0</v>
      </c>
      <c r="Q13" s="174"/>
      <c r="R13" s="27"/>
      <c r="S13" s="27"/>
      <c r="T13" s="27"/>
      <c r="U13" s="27"/>
      <c r="V13" s="27"/>
      <c r="W13" s="27"/>
      <c r="X13" s="27"/>
      <c r="Y13" s="27"/>
    </row>
    <row r="14" spans="1:25" ht="16.5" x14ac:dyDescent="0.2">
      <c r="A14" s="16">
        <v>2</v>
      </c>
      <c r="B14" s="16">
        <v>40</v>
      </c>
      <c r="C14" s="16">
        <f t="shared" si="1"/>
        <v>20</v>
      </c>
      <c r="D14" s="16">
        <v>10</v>
      </c>
      <c r="E14" s="16">
        <f t="shared" ref="E14:E20" si="3">D14*7</f>
        <v>70</v>
      </c>
      <c r="F14" s="18">
        <f>INT(C14*($B14-$B13)*0.1)</f>
        <v>20</v>
      </c>
      <c r="G14" s="18">
        <f>INT(D14*($B14-$B13)*0.1)</f>
        <v>10</v>
      </c>
      <c r="H14" s="18">
        <f>INT(E14*($B14-$B13)*0.1)</f>
        <v>70</v>
      </c>
      <c r="I14" s="18">
        <f>I13+C13*($A13-$A12)+F14</f>
        <v>65</v>
      </c>
      <c r="J14" s="18">
        <f>J13+D13*($A13-$A12)+G14</f>
        <v>22</v>
      </c>
      <c r="K14" s="18">
        <f>K13+E13*($A13-$A12)+H14</f>
        <v>277</v>
      </c>
      <c r="L14" s="16">
        <f t="shared" si="0"/>
        <v>0.30769230769230771</v>
      </c>
      <c r="M14" s="16">
        <f t="shared" si="2"/>
        <v>1.7100591715976332</v>
      </c>
      <c r="N14" s="16">
        <f>ROUND((O$3+J14)*1.5/50,0)*50</f>
        <v>50</v>
      </c>
      <c r="Q14" s="174"/>
      <c r="R14" s="27"/>
      <c r="S14" s="27"/>
      <c r="T14" s="27"/>
      <c r="U14" s="27"/>
      <c r="V14" s="27"/>
      <c r="W14" s="27"/>
      <c r="X14" s="27"/>
      <c r="Y14" s="27"/>
    </row>
    <row r="15" spans="1:25" ht="16.5" x14ac:dyDescent="0.2">
      <c r="A15" s="16">
        <v>3</v>
      </c>
      <c r="B15" s="16">
        <v>50</v>
      </c>
      <c r="C15" s="16">
        <f t="shared" si="1"/>
        <v>24</v>
      </c>
      <c r="D15" s="16">
        <v>12</v>
      </c>
      <c r="E15" s="16">
        <f t="shared" si="3"/>
        <v>84</v>
      </c>
      <c r="F15" s="18">
        <f>INT(C15*($B15-$B14)*0.1)</f>
        <v>24</v>
      </c>
      <c r="G15" s="18">
        <f>INT(D15*($B15-$B14)*0.1)</f>
        <v>12</v>
      </c>
      <c r="H15" s="18">
        <f>INT(E15*($B15-$B14)*0.1)</f>
        <v>84</v>
      </c>
      <c r="I15" s="18">
        <f>I14+C14*($A14-$A13)+F15</f>
        <v>109</v>
      </c>
      <c r="J15" s="18">
        <f>J14+D14*($A14-$A13)+G15</f>
        <v>44</v>
      </c>
      <c r="K15" s="18">
        <f>K14+E14*($A14-$A13)+H15</f>
        <v>431</v>
      </c>
      <c r="L15" s="16">
        <f t="shared" si="0"/>
        <v>0.22018348623853212</v>
      </c>
      <c r="M15" s="16">
        <f t="shared" si="2"/>
        <v>1.4888477400892182</v>
      </c>
      <c r="N15" s="16">
        <f>ROUND((O$3+J15)*1.5/50,0)*50</f>
        <v>50</v>
      </c>
      <c r="Q15" s="174"/>
      <c r="R15" s="27"/>
      <c r="S15" s="27"/>
      <c r="T15" s="27"/>
      <c r="U15" s="27"/>
      <c r="V15" s="27"/>
      <c r="W15" s="27"/>
      <c r="X15" s="27"/>
      <c r="Y15" s="27"/>
    </row>
    <row r="16" spans="1:25" ht="16.5" x14ac:dyDescent="0.2">
      <c r="A16" s="16">
        <v>4</v>
      </c>
      <c r="B16" s="16">
        <v>60</v>
      </c>
      <c r="C16" s="16">
        <f t="shared" si="1"/>
        <v>30</v>
      </c>
      <c r="D16" s="16">
        <v>15</v>
      </c>
      <c r="E16" s="16">
        <f t="shared" si="3"/>
        <v>105</v>
      </c>
      <c r="F16" s="18">
        <f>INT(C16*($B16-$B15)*0.1)</f>
        <v>30</v>
      </c>
      <c r="G16" s="18">
        <f>INT(D16*($B16-$B15)*0.1)</f>
        <v>15</v>
      </c>
      <c r="H16" s="18">
        <f>INT(E16*($B16-$B15)*0.1)</f>
        <v>105</v>
      </c>
      <c r="I16" s="18">
        <f>I15+C15*($A15-$A14)+F16</f>
        <v>163</v>
      </c>
      <c r="J16" s="18">
        <f>J15+D15*($A15-$A14)+G16</f>
        <v>71</v>
      </c>
      <c r="K16" s="18">
        <f>K15+E15*($A15-$A14)+H16</f>
        <v>620</v>
      </c>
      <c r="L16" s="16">
        <f t="shared" si="0"/>
        <v>0.18404907975460122</v>
      </c>
      <c r="M16" s="16">
        <f t="shared" si="2"/>
        <v>1.4019722232677181</v>
      </c>
      <c r="N16" s="16">
        <f>ROUND((O$3+J16)*1.5/50,0)*50</f>
        <v>100</v>
      </c>
      <c r="Q16" s="174"/>
      <c r="R16" s="27"/>
      <c r="S16" s="27"/>
      <c r="T16" s="27"/>
      <c r="U16" s="27"/>
      <c r="V16" s="27"/>
      <c r="W16" s="27"/>
      <c r="X16" s="27"/>
      <c r="Y16" s="27"/>
    </row>
    <row r="17" spans="1:25" ht="16.5" x14ac:dyDescent="0.2">
      <c r="A17" s="16">
        <v>5</v>
      </c>
      <c r="B17" s="16">
        <v>70</v>
      </c>
      <c r="C17" s="16">
        <f t="shared" si="1"/>
        <v>34</v>
      </c>
      <c r="D17" s="16">
        <v>17</v>
      </c>
      <c r="E17" s="16">
        <f t="shared" si="3"/>
        <v>119</v>
      </c>
      <c r="F17" s="18">
        <f>INT(C17*($B17-$B16)*0.1)</f>
        <v>34</v>
      </c>
      <c r="G17" s="18">
        <f>INT(D17*($B17-$B16)*0.1)</f>
        <v>17</v>
      </c>
      <c r="H17" s="18">
        <f>INT(E17*($B17-$B16)*0.1)</f>
        <v>119</v>
      </c>
      <c r="I17" s="18">
        <f>I16+C16*($A16-$A15)+F17</f>
        <v>227</v>
      </c>
      <c r="J17" s="18">
        <f>J16+D16*($A16-$A15)+G17</f>
        <v>103</v>
      </c>
      <c r="K17" s="18">
        <f>K16+E16*($A16-$A15)+H17</f>
        <v>844</v>
      </c>
      <c r="L17" s="16">
        <f t="shared" si="0"/>
        <v>0.14977973568281938</v>
      </c>
      <c r="M17" s="16">
        <f t="shared" si="2"/>
        <v>1.3219934405868541</v>
      </c>
      <c r="N17" s="16">
        <f>ROUND((O$3+J17)*1.5/50,0)*50</f>
        <v>150</v>
      </c>
      <c r="Q17" s="174"/>
      <c r="R17" s="27"/>
      <c r="S17" s="27"/>
      <c r="T17" s="27"/>
      <c r="U17" s="27"/>
      <c r="V17" s="27"/>
      <c r="W17" s="27"/>
      <c r="X17" s="27"/>
      <c r="Y17" s="27"/>
    </row>
    <row r="18" spans="1:25" ht="16.5" x14ac:dyDescent="0.2">
      <c r="A18" s="16">
        <v>6</v>
      </c>
      <c r="B18" s="16">
        <v>80</v>
      </c>
      <c r="C18" s="16">
        <f t="shared" si="1"/>
        <v>40</v>
      </c>
      <c r="D18" s="16">
        <v>20</v>
      </c>
      <c r="E18" s="16">
        <f t="shared" si="3"/>
        <v>140</v>
      </c>
      <c r="F18" s="18">
        <f>INT(C18*($B18-$B17)*0.1)</f>
        <v>40</v>
      </c>
      <c r="G18" s="18">
        <f>INT(D18*($B18-$B17)*0.1)</f>
        <v>20</v>
      </c>
      <c r="H18" s="18">
        <f>INT(E18*($B18-$B17)*0.1)</f>
        <v>140</v>
      </c>
      <c r="I18" s="18">
        <f>I17+C17*($A17-$A16)+F18</f>
        <v>301</v>
      </c>
      <c r="J18" s="18">
        <f>J17+D17*($A17-$A16)+G18</f>
        <v>140</v>
      </c>
      <c r="K18" s="18">
        <f>K17+E17*($A17-$A16)+H18</f>
        <v>1103</v>
      </c>
      <c r="L18" s="16">
        <f t="shared" si="0"/>
        <v>0.13289036544850499</v>
      </c>
      <c r="M18" s="16">
        <f t="shared" si="2"/>
        <v>1.2834405801260471</v>
      </c>
      <c r="N18" s="16">
        <f>ROUND((O$3+J18)*1.5/50,0)*50</f>
        <v>200</v>
      </c>
      <c r="Q18" s="174"/>
      <c r="R18" s="27"/>
      <c r="S18" s="27"/>
      <c r="T18" s="27"/>
      <c r="U18" s="27"/>
      <c r="V18" s="27"/>
      <c r="W18" s="27"/>
      <c r="X18" s="27"/>
      <c r="Y18" s="27"/>
    </row>
    <row r="19" spans="1:25" ht="16.5" x14ac:dyDescent="0.2">
      <c r="A19" s="16">
        <v>7</v>
      </c>
      <c r="B19" s="16">
        <v>90</v>
      </c>
      <c r="C19" s="16">
        <f t="shared" si="1"/>
        <v>50</v>
      </c>
      <c r="D19" s="16">
        <v>25</v>
      </c>
      <c r="E19" s="16">
        <f t="shared" si="3"/>
        <v>175</v>
      </c>
      <c r="F19" s="18">
        <f>INT(C19*($B19-$B18)*0.1)</f>
        <v>50</v>
      </c>
      <c r="G19" s="18">
        <f>INT(D19*($B19-$B18)*0.1)</f>
        <v>25</v>
      </c>
      <c r="H19" s="18">
        <f>INT(E19*($B19-$B18)*0.1)</f>
        <v>175</v>
      </c>
      <c r="I19" s="18">
        <f>I18+C18*($A18-$A17)+F19</f>
        <v>391</v>
      </c>
      <c r="J19" s="18">
        <f>J18+D18*($A18-$A17)+G19</f>
        <v>185</v>
      </c>
      <c r="K19" s="18">
        <f>K18+E18*($A18-$A17)+H19</f>
        <v>1418</v>
      </c>
      <c r="L19" s="16">
        <f t="shared" si="0"/>
        <v>0.12787723785166241</v>
      </c>
      <c r="M19" s="16">
        <f t="shared" si="2"/>
        <v>1.2721070636638954</v>
      </c>
      <c r="N19" s="16">
        <f>ROUND((O$3+J19)*1.5/50,0)*50</f>
        <v>300</v>
      </c>
      <c r="Q19" s="174"/>
      <c r="R19" s="27"/>
      <c r="S19" s="27"/>
      <c r="T19" s="27"/>
      <c r="U19" s="27"/>
      <c r="V19" s="27"/>
      <c r="W19" s="27"/>
      <c r="X19" s="27"/>
      <c r="Y19" s="27"/>
    </row>
    <row r="20" spans="1:25" ht="16.5" x14ac:dyDescent="0.2">
      <c r="A20" s="16">
        <v>8</v>
      </c>
      <c r="B20" s="16">
        <v>100</v>
      </c>
      <c r="C20" s="16">
        <f t="shared" si="1"/>
        <v>60</v>
      </c>
      <c r="D20" s="16">
        <v>30</v>
      </c>
      <c r="E20" s="16">
        <f t="shared" si="3"/>
        <v>210</v>
      </c>
      <c r="F20" s="18">
        <f>INT(C20*($B20-$B19)*0.1)</f>
        <v>60</v>
      </c>
      <c r="G20" s="18">
        <f>INT(D20*($B20-$B19)*0.1)</f>
        <v>30</v>
      </c>
      <c r="H20" s="18">
        <f>INT(E20*($B20-$B19)*0.1)</f>
        <v>210</v>
      </c>
      <c r="I20" s="18">
        <f>I19+C19*($A19-$A18)+F20</f>
        <v>501</v>
      </c>
      <c r="J20" s="18">
        <f>J19+D19*($A19-$A18)+G20</f>
        <v>240</v>
      </c>
      <c r="K20" s="18">
        <f>K19+E19*($A19-$A18)+H20</f>
        <v>1803</v>
      </c>
      <c r="L20" s="16">
        <f t="shared" si="0"/>
        <v>0.11976047904191617</v>
      </c>
      <c r="M20" s="16">
        <f t="shared" si="2"/>
        <v>1.2538635304241816</v>
      </c>
      <c r="N20" s="16">
        <f>ROUND((O$3+J20)*1.5/50,0)*50</f>
        <v>350</v>
      </c>
      <c r="Q20" s="174"/>
      <c r="R20" s="27"/>
      <c r="S20" s="27"/>
      <c r="T20" s="27"/>
      <c r="U20" s="27"/>
      <c r="V20" s="27"/>
      <c r="W20" s="27"/>
      <c r="X20" s="27"/>
      <c r="Y20" s="27"/>
    </row>
    <row r="21" spans="1:25" ht="16.5" x14ac:dyDescent="0.2">
      <c r="A21" s="16" t="s">
        <v>39</v>
      </c>
      <c r="B21" s="16"/>
      <c r="C21" s="16"/>
      <c r="D21" s="16"/>
      <c r="E21" s="16"/>
      <c r="F21" s="16"/>
      <c r="G21" s="16"/>
      <c r="H21" s="16"/>
      <c r="I21" s="18">
        <f>I20+C20*($A20-$A19)+F21</f>
        <v>561</v>
      </c>
      <c r="J21" s="18">
        <f>J20+D20*($A20-$A19)+G21</f>
        <v>270</v>
      </c>
      <c r="K21" s="18">
        <f>K20+E20*($A20-$A19)+H21</f>
        <v>2013</v>
      </c>
      <c r="L21" s="16"/>
      <c r="M21" s="16"/>
      <c r="N21" s="16">
        <f>ROUND((O$3+J21)*1.5/50,0)*50</f>
        <v>400</v>
      </c>
      <c r="Q21" s="174"/>
      <c r="R21" s="27"/>
      <c r="S21" s="27"/>
      <c r="T21" s="27"/>
      <c r="U21" s="27"/>
      <c r="V21" s="27"/>
      <c r="W21" s="27"/>
      <c r="X21" s="27"/>
      <c r="Y21" s="27"/>
    </row>
    <row r="22" spans="1:25" x14ac:dyDescent="0.2">
      <c r="Q22" s="174"/>
      <c r="R22" s="27"/>
      <c r="S22" s="27"/>
      <c r="T22" s="27"/>
      <c r="U22" s="27"/>
      <c r="V22" s="27"/>
      <c r="W22" s="27"/>
      <c r="X22" s="27"/>
      <c r="Y22" s="27"/>
    </row>
    <row r="23" spans="1:25" x14ac:dyDescent="0.2">
      <c r="Q23" s="174"/>
      <c r="R23" s="27"/>
      <c r="S23" s="27"/>
      <c r="T23" s="27"/>
      <c r="U23" s="27"/>
      <c r="V23" s="27"/>
      <c r="W23" s="27"/>
      <c r="X23" s="27"/>
      <c r="Y23" s="27"/>
    </row>
    <row r="24" spans="1:25" ht="20.25" x14ac:dyDescent="0.2">
      <c r="A24" s="127" t="s">
        <v>531</v>
      </c>
      <c r="B24" s="127"/>
      <c r="C24" s="127"/>
      <c r="D24" s="127"/>
      <c r="E24" s="127"/>
      <c r="F24" s="127"/>
      <c r="G24" s="127"/>
      <c r="H24" s="127"/>
      <c r="I24" s="127"/>
      <c r="J24" s="127"/>
      <c r="K24" s="127"/>
      <c r="L24" s="127"/>
      <c r="M24" s="127"/>
      <c r="N24" s="127"/>
      <c r="Q24" s="174"/>
      <c r="R24" s="27"/>
      <c r="S24" s="27"/>
      <c r="T24" s="27"/>
      <c r="U24" s="27"/>
      <c r="V24" s="27"/>
      <c r="W24" s="27"/>
      <c r="X24" s="27"/>
      <c r="Y24" s="27"/>
    </row>
    <row r="25" spans="1:25" x14ac:dyDescent="0.2">
      <c r="Q25" s="174"/>
      <c r="R25" s="27"/>
      <c r="S25" s="27"/>
      <c r="T25" s="27"/>
      <c r="U25" s="27"/>
      <c r="V25" s="27"/>
      <c r="W25" s="27"/>
      <c r="X25" s="27"/>
      <c r="Y25" s="27"/>
    </row>
    <row r="26" spans="1:25" x14ac:dyDescent="0.2">
      <c r="Q26" s="27"/>
      <c r="R26" s="27"/>
      <c r="S26" s="27"/>
      <c r="T26" s="27"/>
      <c r="U26" s="27"/>
      <c r="V26" s="27"/>
      <c r="W26" s="27"/>
      <c r="X26" s="27"/>
      <c r="Y26" s="27"/>
    </row>
    <row r="27" spans="1:25" x14ac:dyDescent="0.2">
      <c r="Q27" s="27"/>
      <c r="R27" s="27"/>
      <c r="S27" s="27"/>
      <c r="T27" s="27"/>
      <c r="U27" s="27"/>
      <c r="V27" s="27"/>
      <c r="W27" s="27"/>
      <c r="X27" s="27"/>
      <c r="Y27" s="27"/>
    </row>
    <row r="28" spans="1:25" x14ac:dyDescent="0.2">
      <c r="Q28" s="27"/>
      <c r="R28" s="27"/>
      <c r="S28" s="27"/>
      <c r="T28" s="27"/>
      <c r="U28" s="27"/>
      <c r="V28" s="27"/>
      <c r="W28" s="27"/>
      <c r="X28" s="27"/>
      <c r="Y28" s="27"/>
    </row>
  </sheetData>
  <mergeCells count="2">
    <mergeCell ref="A24:N24"/>
    <mergeCell ref="A10:N10"/>
  </mergeCells>
  <phoneticPr fontId="2" type="noConversion"/>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
  <sheetViews>
    <sheetView tabSelected="1" workbookViewId="0">
      <selection activeCell="I11" sqref="I11"/>
    </sheetView>
  </sheetViews>
  <sheetFormatPr defaultRowHeight="14.25" x14ac:dyDescent="0.2"/>
  <sheetData>
    <row r="2" spans="1:8" x14ac:dyDescent="0.2">
      <c r="B2" s="27" t="s">
        <v>533</v>
      </c>
      <c r="C2" s="27" t="s">
        <v>534</v>
      </c>
      <c r="D2" s="27" t="s">
        <v>535</v>
      </c>
      <c r="E2" s="27"/>
      <c r="F2" s="27" t="s">
        <v>536</v>
      </c>
      <c r="G2" s="27" t="s">
        <v>537</v>
      </c>
      <c r="H2" s="27" t="s">
        <v>538</v>
      </c>
    </row>
    <row r="3" spans="1:8" x14ac:dyDescent="0.2">
      <c r="B3" s="27" t="s">
        <v>539</v>
      </c>
      <c r="C3" s="27" t="s">
        <v>540</v>
      </c>
      <c r="D3" s="27" t="s">
        <v>541</v>
      </c>
      <c r="E3" s="27"/>
      <c r="F3" s="27" t="s">
        <v>542</v>
      </c>
      <c r="G3" s="27" t="s">
        <v>543</v>
      </c>
      <c r="H3" s="27" t="s">
        <v>544</v>
      </c>
    </row>
    <row r="4" spans="1:8" x14ac:dyDescent="0.2">
      <c r="B4" s="27" t="s">
        <v>545</v>
      </c>
      <c r="C4" s="27" t="s">
        <v>546</v>
      </c>
      <c r="D4" s="27" t="s">
        <v>547</v>
      </c>
      <c r="E4" s="27"/>
      <c r="F4" s="27" t="s">
        <v>548</v>
      </c>
      <c r="G4" s="27" t="s">
        <v>549</v>
      </c>
      <c r="H4" s="27" t="s">
        <v>550</v>
      </c>
    </row>
    <row r="5" spans="1:8" x14ac:dyDescent="0.2">
      <c r="A5" t="s">
        <v>551</v>
      </c>
      <c r="B5">
        <v>2</v>
      </c>
      <c r="C5">
        <v>2</v>
      </c>
      <c r="D5">
        <v>1</v>
      </c>
      <c r="F5">
        <v>2</v>
      </c>
      <c r="G5">
        <v>2</v>
      </c>
      <c r="H5">
        <v>1</v>
      </c>
    </row>
    <row r="6" spans="1:8" x14ac:dyDescent="0.2">
      <c r="B6">
        <v>7</v>
      </c>
      <c r="C6" s="27">
        <v>7</v>
      </c>
      <c r="D6" s="27">
        <v>7</v>
      </c>
      <c r="F6">
        <v>7</v>
      </c>
      <c r="G6" s="27">
        <v>7</v>
      </c>
      <c r="H6" s="27">
        <v>7</v>
      </c>
    </row>
    <row r="7" spans="1:8" x14ac:dyDescent="0.2">
      <c r="B7">
        <v>0</v>
      </c>
      <c r="C7" s="27">
        <v>0</v>
      </c>
      <c r="D7" s="27">
        <v>0</v>
      </c>
      <c r="F7">
        <v>0</v>
      </c>
      <c r="G7" s="27">
        <v>0</v>
      </c>
      <c r="H7" s="27">
        <v>0</v>
      </c>
    </row>
    <row r="9" spans="1:8" x14ac:dyDescent="0.2">
      <c r="A9" t="s">
        <v>552</v>
      </c>
      <c r="B9" s="175" t="s">
        <v>553</v>
      </c>
      <c r="C9" s="175"/>
      <c r="D9" s="175"/>
      <c r="E9" s="175"/>
      <c r="F9" s="175"/>
      <c r="G9" s="175"/>
      <c r="H9" s="175"/>
    </row>
    <row r="10" spans="1:8" x14ac:dyDescent="0.2">
      <c r="A10" s="27"/>
      <c r="B10">
        <v>6</v>
      </c>
    </row>
  </sheetData>
  <mergeCells count="1">
    <mergeCell ref="B9:H9"/>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5"/>
  <sheetViews>
    <sheetView workbookViewId="0">
      <selection activeCell="H22" sqref="H22"/>
    </sheetView>
  </sheetViews>
  <sheetFormatPr defaultRowHeight="14.25" x14ac:dyDescent="0.2"/>
  <cols>
    <col min="5" max="5" width="9.875" customWidth="1"/>
    <col min="9" max="9" width="9.625" customWidth="1"/>
    <col min="10" max="10" width="9.75" customWidth="1"/>
    <col min="11" max="11" width="9.625" customWidth="1"/>
    <col min="12" max="12" width="9.5" customWidth="1"/>
    <col min="13" max="13" width="9.625" customWidth="1"/>
  </cols>
  <sheetData>
    <row r="2" spans="1:15" ht="20.25" x14ac:dyDescent="0.2">
      <c r="A2" s="127" t="s">
        <v>38</v>
      </c>
      <c r="B2" s="127"/>
      <c r="C2" s="127"/>
      <c r="D2" s="127"/>
      <c r="E2" s="127"/>
      <c r="F2" s="127"/>
      <c r="G2" s="127"/>
      <c r="H2" s="127"/>
      <c r="I2" s="127"/>
      <c r="J2" s="127"/>
      <c r="K2" s="127"/>
      <c r="L2" s="127"/>
      <c r="M2" s="127"/>
      <c r="N2" s="127"/>
    </row>
    <row r="3" spans="1:15" ht="17.25" x14ac:dyDescent="0.2">
      <c r="A3" s="13" t="s">
        <v>30</v>
      </c>
      <c r="B3" s="13" t="s">
        <v>37</v>
      </c>
      <c r="C3" s="13" t="s">
        <v>31</v>
      </c>
      <c r="D3" s="13" t="s">
        <v>32</v>
      </c>
      <c r="E3" s="13" t="s">
        <v>33</v>
      </c>
      <c r="F3" s="13" t="s">
        <v>34</v>
      </c>
      <c r="G3" s="13" t="s">
        <v>35</v>
      </c>
      <c r="H3" s="13" t="s">
        <v>36</v>
      </c>
      <c r="I3" s="13" t="s">
        <v>34</v>
      </c>
      <c r="J3" s="13" t="s">
        <v>52</v>
      </c>
      <c r="K3" s="13" t="s">
        <v>36</v>
      </c>
      <c r="L3" s="13" t="s">
        <v>59</v>
      </c>
      <c r="M3" s="13" t="s">
        <v>60</v>
      </c>
      <c r="N3" s="13" t="s">
        <v>132</v>
      </c>
    </row>
    <row r="4" spans="1:15" ht="16.5" x14ac:dyDescent="0.2">
      <c r="A4" s="16">
        <v>0</v>
      </c>
      <c r="B4" s="16">
        <v>15</v>
      </c>
      <c r="C4" s="16">
        <f>D4*2</f>
        <v>10</v>
      </c>
      <c r="D4" s="16">
        <v>5</v>
      </c>
      <c r="E4" s="16">
        <v>35</v>
      </c>
      <c r="F4" s="16">
        <v>20</v>
      </c>
      <c r="G4" s="16">
        <v>0</v>
      </c>
      <c r="H4" s="16">
        <v>100</v>
      </c>
      <c r="I4" s="16">
        <f>F4</f>
        <v>20</v>
      </c>
      <c r="J4" s="16">
        <f>G4</f>
        <v>0</v>
      </c>
      <c r="K4" s="16">
        <f>H4</f>
        <v>100</v>
      </c>
      <c r="L4" s="16">
        <f t="shared" ref="L4:L12" si="0">C4/I4</f>
        <v>0.5</v>
      </c>
      <c r="M4" s="16">
        <f>(1+L4)*(1+L4)</f>
        <v>2.25</v>
      </c>
      <c r="N4" s="16">
        <v>100</v>
      </c>
      <c r="O4">
        <v>100</v>
      </c>
    </row>
    <row r="5" spans="1:15" ht="16.5" x14ac:dyDescent="0.2">
      <c r="A5" s="16">
        <v>1</v>
      </c>
      <c r="B5" s="16">
        <v>30</v>
      </c>
      <c r="C5" s="16">
        <f t="shared" ref="C5:C12" si="1">D5*2</f>
        <v>14</v>
      </c>
      <c r="D5" s="16">
        <v>7</v>
      </c>
      <c r="E5" s="16">
        <f>D5*7</f>
        <v>49</v>
      </c>
      <c r="F5" s="18">
        <f>INT(C5*($B5-$B4)*0.1)</f>
        <v>21</v>
      </c>
      <c r="G5" s="18">
        <f>INT(D5*($B5-$B4)*0.1)</f>
        <v>10</v>
      </c>
      <c r="H5" s="18">
        <f>INT(E5*($B5-$B4)*0.1)</f>
        <v>73</v>
      </c>
      <c r="I5" s="18">
        <f>I4+C4*($B4-1)+F5</f>
        <v>181</v>
      </c>
      <c r="J5" s="18">
        <f>J4+D4*($B4-1)+G5</f>
        <v>80</v>
      </c>
      <c r="K5" s="18">
        <f>K4+E4*($B4-1)+H5</f>
        <v>663</v>
      </c>
      <c r="L5" s="16">
        <f t="shared" si="0"/>
        <v>7.7348066298342538E-2</v>
      </c>
      <c r="M5" s="16">
        <f t="shared" ref="M5:M12" si="2">(1+L5)*(1+L5)</f>
        <v>1.160678855956778</v>
      </c>
      <c r="N5" s="16">
        <f>ROUND((N$4+J5)*1.5/50,0)*50</f>
        <v>250</v>
      </c>
      <c r="O5">
        <f>N5-N4</f>
        <v>150</v>
      </c>
    </row>
    <row r="6" spans="1:15" ht="16.5" x14ac:dyDescent="0.2">
      <c r="A6" s="16">
        <v>2</v>
      </c>
      <c r="B6" s="16">
        <v>40</v>
      </c>
      <c r="C6" s="16">
        <f t="shared" si="1"/>
        <v>20</v>
      </c>
      <c r="D6" s="16">
        <v>10</v>
      </c>
      <c r="E6" s="16">
        <f t="shared" ref="E6:E12" si="3">D6*7</f>
        <v>70</v>
      </c>
      <c r="F6" s="18">
        <f t="shared" ref="F6:F12" si="4">C6*($B6-$B5)*0.2</f>
        <v>40</v>
      </c>
      <c r="G6" s="18">
        <f t="shared" ref="G6:G12" si="5">D6*($B6-$B5)*0.2</f>
        <v>20</v>
      </c>
      <c r="H6" s="18">
        <f t="shared" ref="H6:H12" si="6">E6*($B6-$B5)*0.2</f>
        <v>140</v>
      </c>
      <c r="I6" s="18">
        <f>I5+C5*($B5-$B4)+F6</f>
        <v>431</v>
      </c>
      <c r="J6" s="18">
        <f>J5+D5*($B5-$B4)+G6</f>
        <v>205</v>
      </c>
      <c r="K6" s="18">
        <f>K5+E5*($B5-$B4)+H6</f>
        <v>1538</v>
      </c>
      <c r="L6" s="16">
        <f t="shared" si="0"/>
        <v>4.6403712296983757E-2</v>
      </c>
      <c r="M6" s="16">
        <f t="shared" si="2"/>
        <v>1.094960729108909</v>
      </c>
      <c r="N6" s="16">
        <f t="shared" ref="N6:N13" si="7">ROUND((N$4+J6)*1.5/50,0)*50</f>
        <v>450</v>
      </c>
      <c r="O6" s="27">
        <f t="shared" ref="O6:O13" si="8">N6-N5</f>
        <v>200</v>
      </c>
    </row>
    <row r="7" spans="1:15" ht="16.5" x14ac:dyDescent="0.2">
      <c r="A7" s="16">
        <v>3</v>
      </c>
      <c r="B7" s="16">
        <v>50</v>
      </c>
      <c r="C7" s="16">
        <f t="shared" si="1"/>
        <v>24</v>
      </c>
      <c r="D7" s="16">
        <v>12</v>
      </c>
      <c r="E7" s="16">
        <f t="shared" si="3"/>
        <v>84</v>
      </c>
      <c r="F7" s="18">
        <f t="shared" si="4"/>
        <v>48</v>
      </c>
      <c r="G7" s="18">
        <f t="shared" si="5"/>
        <v>24</v>
      </c>
      <c r="H7" s="18">
        <f t="shared" si="6"/>
        <v>168</v>
      </c>
      <c r="I7" s="18">
        <f t="shared" ref="I7:I12" si="9">I6+C6*($B6-$B5)+F7</f>
        <v>679</v>
      </c>
      <c r="J7" s="18">
        <f t="shared" ref="J7:J12" si="10">J6+D6*($B6-$B5)+G7</f>
        <v>329</v>
      </c>
      <c r="K7" s="18">
        <f t="shared" ref="K7:K12" si="11">K6+E6*($B6-$B5)+H7</f>
        <v>2406</v>
      </c>
      <c r="L7" s="16">
        <f t="shared" si="0"/>
        <v>3.5346097201767304E-2</v>
      </c>
      <c r="M7" s="16">
        <f t="shared" si="2"/>
        <v>1.0719415409909316</v>
      </c>
      <c r="N7" s="16">
        <f t="shared" si="7"/>
        <v>650</v>
      </c>
      <c r="O7" s="27">
        <f t="shared" si="8"/>
        <v>200</v>
      </c>
    </row>
    <row r="8" spans="1:15" ht="16.5" x14ac:dyDescent="0.2">
      <c r="A8" s="16">
        <v>4</v>
      </c>
      <c r="B8" s="16">
        <v>60</v>
      </c>
      <c r="C8" s="16">
        <f t="shared" si="1"/>
        <v>30</v>
      </c>
      <c r="D8" s="16">
        <v>15</v>
      </c>
      <c r="E8" s="16">
        <f t="shared" si="3"/>
        <v>105</v>
      </c>
      <c r="F8" s="18">
        <f t="shared" si="4"/>
        <v>60</v>
      </c>
      <c r="G8" s="18">
        <f t="shared" si="5"/>
        <v>30</v>
      </c>
      <c r="H8" s="18">
        <f t="shared" si="6"/>
        <v>210</v>
      </c>
      <c r="I8" s="18">
        <f t="shared" si="9"/>
        <v>979</v>
      </c>
      <c r="J8" s="18">
        <f t="shared" si="10"/>
        <v>479</v>
      </c>
      <c r="K8" s="18">
        <f t="shared" si="11"/>
        <v>3456</v>
      </c>
      <c r="L8" s="16">
        <f t="shared" si="0"/>
        <v>3.0643513789581207E-2</v>
      </c>
      <c r="M8" s="16">
        <f t="shared" si="2"/>
        <v>1.0622260525165348</v>
      </c>
      <c r="N8" s="16">
        <f t="shared" si="7"/>
        <v>850</v>
      </c>
      <c r="O8" s="27">
        <f t="shared" si="8"/>
        <v>200</v>
      </c>
    </row>
    <row r="9" spans="1:15" ht="16.5" x14ac:dyDescent="0.2">
      <c r="A9" s="16">
        <v>5</v>
      </c>
      <c r="B9" s="16">
        <v>70</v>
      </c>
      <c r="C9" s="16">
        <f t="shared" si="1"/>
        <v>34</v>
      </c>
      <c r="D9" s="16">
        <v>17</v>
      </c>
      <c r="E9" s="16">
        <f t="shared" si="3"/>
        <v>119</v>
      </c>
      <c r="F9" s="18">
        <f t="shared" si="4"/>
        <v>68</v>
      </c>
      <c r="G9" s="18">
        <f t="shared" si="5"/>
        <v>34</v>
      </c>
      <c r="H9" s="18">
        <f t="shared" si="6"/>
        <v>238</v>
      </c>
      <c r="I9" s="18">
        <f t="shared" si="9"/>
        <v>1347</v>
      </c>
      <c r="J9" s="18">
        <f t="shared" si="10"/>
        <v>663</v>
      </c>
      <c r="K9" s="18">
        <f t="shared" si="11"/>
        <v>4744</v>
      </c>
      <c r="L9" s="16">
        <f t="shared" si="0"/>
        <v>2.5241276911655532E-2</v>
      </c>
      <c r="M9" s="16">
        <f t="shared" si="2"/>
        <v>1.0511196758834418</v>
      </c>
      <c r="N9" s="16">
        <f t="shared" si="7"/>
        <v>1150</v>
      </c>
      <c r="O9" s="27">
        <f t="shared" si="8"/>
        <v>300</v>
      </c>
    </row>
    <row r="10" spans="1:15" ht="16.5" x14ac:dyDescent="0.2">
      <c r="A10" s="16">
        <v>6</v>
      </c>
      <c r="B10" s="16">
        <v>80</v>
      </c>
      <c r="C10" s="16">
        <f t="shared" si="1"/>
        <v>40</v>
      </c>
      <c r="D10" s="16">
        <v>20</v>
      </c>
      <c r="E10" s="16">
        <f t="shared" si="3"/>
        <v>140</v>
      </c>
      <c r="F10" s="18">
        <f t="shared" si="4"/>
        <v>80</v>
      </c>
      <c r="G10" s="18">
        <f t="shared" si="5"/>
        <v>40</v>
      </c>
      <c r="H10" s="18">
        <f t="shared" si="6"/>
        <v>280</v>
      </c>
      <c r="I10" s="18">
        <f t="shared" si="9"/>
        <v>1767</v>
      </c>
      <c r="J10" s="18">
        <f t="shared" si="10"/>
        <v>873</v>
      </c>
      <c r="K10" s="18">
        <f t="shared" si="11"/>
        <v>6214</v>
      </c>
      <c r="L10" s="16">
        <f t="shared" si="0"/>
        <v>2.2637238256932653E-2</v>
      </c>
      <c r="M10" s="16">
        <f t="shared" si="2"/>
        <v>1.0457869210697663</v>
      </c>
      <c r="N10" s="16">
        <f t="shared" si="7"/>
        <v>1450</v>
      </c>
      <c r="O10" s="27">
        <f t="shared" si="8"/>
        <v>300</v>
      </c>
    </row>
    <row r="11" spans="1:15" ht="16.5" x14ac:dyDescent="0.2">
      <c r="A11" s="16">
        <v>7</v>
      </c>
      <c r="B11" s="16">
        <v>90</v>
      </c>
      <c r="C11" s="16">
        <f t="shared" si="1"/>
        <v>50</v>
      </c>
      <c r="D11" s="16">
        <v>25</v>
      </c>
      <c r="E11" s="16">
        <f t="shared" si="3"/>
        <v>175</v>
      </c>
      <c r="F11" s="18">
        <f t="shared" si="4"/>
        <v>100</v>
      </c>
      <c r="G11" s="18">
        <f t="shared" si="5"/>
        <v>50</v>
      </c>
      <c r="H11" s="18">
        <f t="shared" si="6"/>
        <v>350</v>
      </c>
      <c r="I11" s="18">
        <f t="shared" si="9"/>
        <v>2267</v>
      </c>
      <c r="J11" s="18">
        <f t="shared" si="10"/>
        <v>1123</v>
      </c>
      <c r="K11" s="18">
        <f t="shared" si="11"/>
        <v>7964</v>
      </c>
      <c r="L11" s="16">
        <f t="shared" si="0"/>
        <v>2.2055580061755623E-2</v>
      </c>
      <c r="M11" s="16">
        <f t="shared" si="2"/>
        <v>1.0445976087353719</v>
      </c>
      <c r="N11" s="16">
        <f t="shared" si="7"/>
        <v>1850</v>
      </c>
      <c r="O11" s="27">
        <f t="shared" si="8"/>
        <v>400</v>
      </c>
    </row>
    <row r="12" spans="1:15" ht="16.5" x14ac:dyDescent="0.2">
      <c r="A12" s="16">
        <v>8</v>
      </c>
      <c r="B12" s="16">
        <v>100</v>
      </c>
      <c r="C12" s="16">
        <f t="shared" si="1"/>
        <v>60</v>
      </c>
      <c r="D12" s="16">
        <v>30</v>
      </c>
      <c r="E12" s="16">
        <f t="shared" si="3"/>
        <v>210</v>
      </c>
      <c r="F12" s="18">
        <f t="shared" si="4"/>
        <v>120</v>
      </c>
      <c r="G12" s="18">
        <f t="shared" si="5"/>
        <v>60</v>
      </c>
      <c r="H12" s="18">
        <f t="shared" si="6"/>
        <v>420</v>
      </c>
      <c r="I12" s="18">
        <f t="shared" si="9"/>
        <v>2887</v>
      </c>
      <c r="J12" s="18">
        <f t="shared" si="10"/>
        <v>1433</v>
      </c>
      <c r="K12" s="18">
        <f t="shared" si="11"/>
        <v>10134</v>
      </c>
      <c r="L12" s="16">
        <f t="shared" si="0"/>
        <v>2.0782819535850365E-2</v>
      </c>
      <c r="M12" s="16">
        <f t="shared" si="2"/>
        <v>1.0419975646595605</v>
      </c>
      <c r="N12" s="16">
        <f t="shared" si="7"/>
        <v>2300</v>
      </c>
      <c r="O12" s="27">
        <f t="shared" si="8"/>
        <v>450</v>
      </c>
    </row>
    <row r="13" spans="1:15" ht="16.5" x14ac:dyDescent="0.2">
      <c r="A13" s="16" t="s">
        <v>39</v>
      </c>
      <c r="B13" s="16"/>
      <c r="C13" s="16"/>
      <c r="D13" s="16"/>
      <c r="E13" s="16"/>
      <c r="F13" s="16"/>
      <c r="G13" s="16"/>
      <c r="H13" s="16"/>
      <c r="I13" s="18">
        <f>I12+C12*($B12-$B11)+F13</f>
        <v>3487</v>
      </c>
      <c r="J13" s="18">
        <f>J12+D12*($B12-$B11)+G13</f>
        <v>1733</v>
      </c>
      <c r="K13" s="18">
        <f>K12+E12*($B12-$B11)+H13</f>
        <v>12234</v>
      </c>
      <c r="L13" s="16"/>
      <c r="M13" s="16"/>
      <c r="N13" s="16">
        <f t="shared" si="7"/>
        <v>2750</v>
      </c>
      <c r="O13" s="27">
        <f t="shared" si="8"/>
        <v>450</v>
      </c>
    </row>
    <row r="15" spans="1:15" ht="17.25" x14ac:dyDescent="0.2">
      <c r="A15" s="13" t="s">
        <v>44</v>
      </c>
      <c r="B15" s="13" t="s">
        <v>45</v>
      </c>
      <c r="C15" s="13" t="s">
        <v>49</v>
      </c>
      <c r="E15" s="13" t="s">
        <v>46</v>
      </c>
      <c r="F15" s="13" t="s">
        <v>47</v>
      </c>
      <c r="G15" s="13" t="s">
        <v>48</v>
      </c>
    </row>
    <row r="16" spans="1:15" ht="16.5" x14ac:dyDescent="0.2">
      <c r="A16" s="16" t="s">
        <v>40</v>
      </c>
      <c r="B16" s="16">
        <v>0.7</v>
      </c>
      <c r="C16" s="16"/>
      <c r="E16" s="16">
        <v>1</v>
      </c>
      <c r="F16" s="16">
        <v>1</v>
      </c>
      <c r="G16" s="16">
        <v>20</v>
      </c>
    </row>
    <row r="17" spans="1:13" ht="16.5" x14ac:dyDescent="0.2">
      <c r="A17" s="16" t="s">
        <v>41</v>
      </c>
      <c r="B17" s="16">
        <v>1</v>
      </c>
      <c r="C17" s="16">
        <f>SUM($G$16:$G$20)</f>
        <v>300</v>
      </c>
      <c r="E17" s="16">
        <v>2</v>
      </c>
      <c r="F17" s="16">
        <v>1.1000000000000001</v>
      </c>
      <c r="G17" s="16">
        <v>30</v>
      </c>
    </row>
    <row r="18" spans="1:13" ht="16.5" x14ac:dyDescent="0.2">
      <c r="A18" s="16" t="s">
        <v>42</v>
      </c>
      <c r="B18" s="16">
        <v>1.1000000000000001</v>
      </c>
      <c r="C18" s="16">
        <f>SUM($G$16:$G$20)</f>
        <v>300</v>
      </c>
      <c r="E18" s="16">
        <v>3</v>
      </c>
      <c r="F18" s="16">
        <v>1.2</v>
      </c>
      <c r="G18" s="16">
        <v>50</v>
      </c>
    </row>
    <row r="19" spans="1:13" ht="16.5" x14ac:dyDescent="0.2">
      <c r="A19" s="16" t="s">
        <v>43</v>
      </c>
      <c r="B19" s="16">
        <v>1.25</v>
      </c>
      <c r="C19" s="16">
        <f>SUM($G$16:$G$20)</f>
        <v>300</v>
      </c>
      <c r="E19" s="16">
        <v>4</v>
      </c>
      <c r="F19" s="16">
        <v>1.35</v>
      </c>
      <c r="G19" s="16">
        <v>80</v>
      </c>
    </row>
    <row r="20" spans="1:13" ht="16.5" x14ac:dyDescent="0.2">
      <c r="E20" s="16">
        <v>5</v>
      </c>
      <c r="F20" s="16">
        <v>1.5</v>
      </c>
      <c r="G20" s="16">
        <v>120</v>
      </c>
    </row>
    <row r="22" spans="1:13" ht="33" x14ac:dyDescent="0.2">
      <c r="A22" s="17" t="s">
        <v>50</v>
      </c>
      <c r="B22" s="15">
        <f>B19*F20</f>
        <v>1.875</v>
      </c>
    </row>
    <row r="24" spans="1:13" ht="17.25" x14ac:dyDescent="0.2">
      <c r="B24" s="13" t="s">
        <v>51</v>
      </c>
      <c r="C24" s="13" t="s">
        <v>53</v>
      </c>
      <c r="D24" s="13" t="s">
        <v>54</v>
      </c>
      <c r="E24" s="13" t="s">
        <v>220</v>
      </c>
    </row>
    <row r="25" spans="1:13" x14ac:dyDescent="0.2">
      <c r="A25" s="20" t="s">
        <v>206</v>
      </c>
      <c r="B25" s="18">
        <f>INT(I13*$B$22)</f>
        <v>6538</v>
      </c>
      <c r="C25" s="18">
        <f>INT(J13*$B$22)</f>
        <v>3249</v>
      </c>
      <c r="D25" s="18">
        <f>INT(K13*$B$22)</f>
        <v>22938</v>
      </c>
      <c r="E25" s="30">
        <f>D25*(1+C25/$N$13)</f>
        <v>50038.204363636367</v>
      </c>
    </row>
    <row r="26" spans="1:13" x14ac:dyDescent="0.2">
      <c r="A26" s="20" t="s">
        <v>207</v>
      </c>
      <c r="B26" s="18">
        <f>属性表!G4</f>
        <v>10</v>
      </c>
      <c r="C26" s="18">
        <f>属性表!G5</f>
        <v>20</v>
      </c>
      <c r="D26" s="18">
        <f>属性表!G6</f>
        <v>1</v>
      </c>
      <c r="E26" s="18"/>
    </row>
    <row r="27" spans="1:13" x14ac:dyDescent="0.2">
      <c r="A27" s="20" t="s">
        <v>208</v>
      </c>
      <c r="B27" s="18">
        <f>B26*B25</f>
        <v>65380</v>
      </c>
      <c r="C27" s="18">
        <f t="shared" ref="C27:D27" si="12">C26*C25</f>
        <v>64980</v>
      </c>
      <c r="D27" s="18">
        <f t="shared" si="12"/>
        <v>22938</v>
      </c>
      <c r="E27" s="18"/>
    </row>
    <row r="30" spans="1:13" ht="20.25" x14ac:dyDescent="0.2">
      <c r="A30" s="127" t="s">
        <v>123</v>
      </c>
      <c r="B30" s="127"/>
      <c r="C30" s="127"/>
      <c r="D30" s="127"/>
      <c r="E30" s="127"/>
      <c r="F30" s="127"/>
      <c r="G30" s="127"/>
      <c r="H30" s="127"/>
      <c r="I30" s="127"/>
      <c r="J30" s="127"/>
      <c r="K30" s="127"/>
      <c r="L30" s="127"/>
      <c r="M30" s="127"/>
    </row>
    <row r="31" spans="1:13" ht="17.25" x14ac:dyDescent="0.2">
      <c r="B31" s="13" t="s">
        <v>55</v>
      </c>
      <c r="C31" s="13" t="s">
        <v>56</v>
      </c>
      <c r="D31" s="13" t="s">
        <v>57</v>
      </c>
      <c r="E31" s="13" t="s">
        <v>113</v>
      </c>
      <c r="F31" s="13" t="s">
        <v>114</v>
      </c>
      <c r="G31" s="13" t="s">
        <v>115</v>
      </c>
      <c r="H31" s="13" t="s">
        <v>116</v>
      </c>
      <c r="I31" s="13" t="s">
        <v>117</v>
      </c>
      <c r="J31" s="13" t="s">
        <v>118</v>
      </c>
      <c r="K31" s="13" t="s">
        <v>119</v>
      </c>
      <c r="L31" s="13" t="s">
        <v>120</v>
      </c>
      <c r="M31" s="13" t="s">
        <v>121</v>
      </c>
    </row>
    <row r="32" spans="1:13" ht="16.5" x14ac:dyDescent="0.2">
      <c r="A32" s="20" t="s">
        <v>122</v>
      </c>
      <c r="B32" s="18">
        <f>B25</f>
        <v>6538</v>
      </c>
      <c r="C32" s="18">
        <f>C25</f>
        <v>3249</v>
      </c>
      <c r="D32" s="18">
        <f>D25</f>
        <v>22938</v>
      </c>
      <c r="E32" s="19">
        <v>1</v>
      </c>
      <c r="F32" s="19">
        <v>1</v>
      </c>
      <c r="G32" s="19">
        <v>1</v>
      </c>
      <c r="H32" s="19">
        <v>1</v>
      </c>
      <c r="I32" s="19">
        <v>2</v>
      </c>
      <c r="J32" s="19">
        <v>1.5</v>
      </c>
      <c r="K32" s="19">
        <v>1.5</v>
      </c>
      <c r="L32" s="19">
        <v>1</v>
      </c>
      <c r="M32" s="19">
        <v>1</v>
      </c>
    </row>
    <row r="33" spans="1:13" ht="16.5" x14ac:dyDescent="0.2">
      <c r="A33" s="20" t="s">
        <v>58</v>
      </c>
      <c r="B33" s="19">
        <v>0.31</v>
      </c>
      <c r="C33" s="19">
        <v>0.31</v>
      </c>
      <c r="D33" s="19">
        <v>0.31</v>
      </c>
      <c r="E33" s="19">
        <v>0.35</v>
      </c>
      <c r="F33" s="19">
        <v>0.35</v>
      </c>
      <c r="G33" s="19">
        <v>0.35</v>
      </c>
      <c r="H33" s="19">
        <v>0.35</v>
      </c>
      <c r="I33" s="19">
        <v>0.35</v>
      </c>
      <c r="J33" s="19">
        <v>0.35</v>
      </c>
      <c r="K33" s="19">
        <v>0.35</v>
      </c>
      <c r="L33" s="19">
        <v>0.35</v>
      </c>
      <c r="M33" s="19">
        <v>0.35</v>
      </c>
    </row>
    <row r="34" spans="1:13" ht="16.5" x14ac:dyDescent="0.2">
      <c r="A34" s="20" t="s">
        <v>213</v>
      </c>
      <c r="B34" s="19">
        <v>0.5</v>
      </c>
      <c r="C34" s="19">
        <v>0.5</v>
      </c>
      <c r="D34" s="19">
        <v>0.5</v>
      </c>
      <c r="E34" s="16"/>
      <c r="F34" s="16"/>
      <c r="G34" s="16"/>
      <c r="H34" s="16"/>
      <c r="I34" s="16"/>
      <c r="J34" s="16"/>
      <c r="K34" s="16"/>
      <c r="L34" s="16"/>
      <c r="M34" s="16"/>
    </row>
    <row r="35" spans="1:13" x14ac:dyDescent="0.2">
      <c r="A35" s="20" t="s">
        <v>58</v>
      </c>
      <c r="B35" s="18">
        <f>INT(B33*B32)</f>
        <v>2026</v>
      </c>
      <c r="C35" s="18">
        <f>INT(C33*C32)</f>
        <v>1007</v>
      </c>
      <c r="D35" s="18">
        <f>INT(D33*D32)</f>
        <v>7110</v>
      </c>
      <c r="E35" s="22">
        <f>E33*E32</f>
        <v>0.35</v>
      </c>
      <c r="F35" s="22">
        <f t="shared" ref="F35:M35" si="13">F33*F32</f>
        <v>0.35</v>
      </c>
      <c r="G35" s="22">
        <f t="shared" si="13"/>
        <v>0.35</v>
      </c>
      <c r="H35" s="22">
        <f t="shared" si="13"/>
        <v>0.35</v>
      </c>
      <c r="I35" s="22">
        <f t="shared" si="13"/>
        <v>0.7</v>
      </c>
      <c r="J35" s="22">
        <f t="shared" si="13"/>
        <v>0.52499999999999991</v>
      </c>
      <c r="K35" s="22">
        <f t="shared" si="13"/>
        <v>0.52499999999999991</v>
      </c>
      <c r="L35" s="22">
        <f t="shared" si="13"/>
        <v>0.35</v>
      </c>
      <c r="M35" s="22">
        <f t="shared" si="13"/>
        <v>0.35</v>
      </c>
    </row>
    <row r="36" spans="1:13" x14ac:dyDescent="0.2">
      <c r="A36" s="20" t="s">
        <v>214</v>
      </c>
      <c r="B36" s="18">
        <f>B32*B34</f>
        <v>3269</v>
      </c>
      <c r="C36" s="18">
        <f t="shared" ref="C36:D36" si="14">C32*C34</f>
        <v>1624.5</v>
      </c>
      <c r="D36" s="18">
        <f t="shared" si="14"/>
        <v>11469</v>
      </c>
      <c r="E36" s="18"/>
      <c r="F36" s="18"/>
      <c r="G36" s="18"/>
      <c r="H36" s="18"/>
      <c r="I36" s="18"/>
      <c r="J36" s="18"/>
      <c r="K36" s="18"/>
      <c r="L36" s="18"/>
      <c r="M36" s="18"/>
    </row>
    <row r="39" spans="1:13" ht="22.5" customHeight="1" x14ac:dyDescent="0.2">
      <c r="A39" s="101"/>
      <c r="B39" s="101"/>
      <c r="C39" s="101"/>
      <c r="D39" s="101"/>
      <c r="E39" s="101"/>
      <c r="F39" s="101"/>
      <c r="G39" s="101"/>
      <c r="H39" s="101"/>
      <c r="I39" s="101"/>
      <c r="J39" s="21"/>
      <c r="K39" s="21"/>
      <c r="L39" s="21"/>
      <c r="M39" s="21"/>
    </row>
    <row r="40" spans="1:13" x14ac:dyDescent="0.2">
      <c r="A40" s="101"/>
      <c r="B40" s="101"/>
      <c r="C40" s="101"/>
      <c r="D40" s="101"/>
      <c r="E40" s="101"/>
      <c r="F40" s="101"/>
      <c r="G40" s="101"/>
      <c r="H40" s="101"/>
      <c r="I40" s="101"/>
      <c r="J40" s="21"/>
      <c r="K40" s="21"/>
      <c r="L40" s="21"/>
      <c r="M40" s="21"/>
    </row>
    <row r="41" spans="1:13" x14ac:dyDescent="0.2">
      <c r="A41" s="101"/>
      <c r="B41" s="101"/>
      <c r="C41" s="101"/>
      <c r="D41" s="101"/>
      <c r="E41" s="101"/>
      <c r="F41" s="101"/>
      <c r="G41" s="101"/>
      <c r="H41" s="101"/>
      <c r="I41" s="101"/>
    </row>
    <row r="42" spans="1:13" x14ac:dyDescent="0.2">
      <c r="A42" s="101"/>
      <c r="B42" s="101"/>
      <c r="C42" s="101"/>
      <c r="D42" s="101"/>
      <c r="E42" s="101"/>
      <c r="F42" s="101"/>
      <c r="G42" s="101"/>
      <c r="H42" s="101"/>
      <c r="I42" s="101"/>
    </row>
    <row r="43" spans="1:13" x14ac:dyDescent="0.2">
      <c r="A43" s="101"/>
      <c r="B43" s="101"/>
      <c r="C43" s="101"/>
      <c r="D43" s="101"/>
      <c r="E43" s="101"/>
      <c r="F43" s="101"/>
      <c r="G43" s="101"/>
      <c r="H43" s="101"/>
      <c r="I43" s="101"/>
    </row>
    <row r="44" spans="1:13" x14ac:dyDescent="0.2">
      <c r="A44" s="101"/>
      <c r="B44" s="101"/>
      <c r="C44" s="101"/>
      <c r="D44" s="101"/>
      <c r="E44" s="101"/>
      <c r="F44" s="101"/>
      <c r="G44" s="101"/>
      <c r="H44" s="101"/>
      <c r="I44" s="101"/>
    </row>
    <row r="45" spans="1:13" x14ac:dyDescent="0.2">
      <c r="A45" s="101"/>
      <c r="B45" s="101"/>
      <c r="C45" s="101"/>
      <c r="D45" s="101"/>
      <c r="E45" s="101"/>
      <c r="F45" s="101"/>
      <c r="G45" s="101"/>
      <c r="H45" s="101"/>
      <c r="I45" s="101"/>
    </row>
    <row r="46" spans="1:13" x14ac:dyDescent="0.2">
      <c r="A46" s="101"/>
      <c r="B46" s="101"/>
      <c r="C46" s="101"/>
      <c r="D46" s="101"/>
      <c r="E46" s="101"/>
      <c r="F46" s="101"/>
      <c r="G46" s="101"/>
      <c r="H46" s="101"/>
      <c r="I46" s="101"/>
    </row>
    <row r="47" spans="1:13" x14ac:dyDescent="0.2">
      <c r="A47" s="101"/>
      <c r="B47" s="101"/>
      <c r="C47" s="101"/>
      <c r="D47" s="101"/>
      <c r="E47" s="101"/>
      <c r="F47" s="101"/>
      <c r="G47" s="101"/>
      <c r="H47" s="101"/>
      <c r="I47" s="101"/>
    </row>
    <row r="48" spans="1:13" x14ac:dyDescent="0.2">
      <c r="A48" s="101"/>
      <c r="B48" s="101"/>
      <c r="C48" s="101"/>
      <c r="D48" s="101"/>
      <c r="E48" s="101"/>
      <c r="F48" s="101"/>
      <c r="G48" s="101"/>
      <c r="H48" s="101"/>
      <c r="I48" s="101"/>
    </row>
    <row r="49" spans="1:9" x14ac:dyDescent="0.2">
      <c r="A49" s="101"/>
      <c r="B49" s="101"/>
      <c r="C49" s="101"/>
      <c r="D49" s="101"/>
      <c r="E49" s="101"/>
      <c r="F49" s="101"/>
      <c r="G49" s="101"/>
      <c r="H49" s="101"/>
      <c r="I49" s="101"/>
    </row>
    <row r="50" spans="1:9" x14ac:dyDescent="0.2">
      <c r="A50" s="101"/>
      <c r="B50" s="101"/>
      <c r="C50" s="101"/>
      <c r="D50" s="101"/>
      <c r="E50" s="101"/>
      <c r="F50" s="101"/>
      <c r="G50" s="101"/>
      <c r="H50" s="101"/>
      <c r="I50" s="101"/>
    </row>
    <row r="51" spans="1:9" x14ac:dyDescent="0.2">
      <c r="A51" s="101"/>
      <c r="B51" s="101"/>
      <c r="C51" s="101"/>
      <c r="D51" s="101"/>
      <c r="E51" s="101"/>
      <c r="F51" s="101"/>
      <c r="G51" s="101"/>
      <c r="H51" s="101"/>
      <c r="I51" s="101"/>
    </row>
    <row r="52" spans="1:9" ht="16.5" customHeight="1" x14ac:dyDescent="0.2">
      <c r="A52" s="101"/>
      <c r="B52" s="101"/>
      <c r="C52" s="101"/>
      <c r="D52" s="101"/>
      <c r="E52" s="101"/>
      <c r="F52" s="101"/>
      <c r="G52" s="101"/>
      <c r="H52" s="101"/>
      <c r="I52" s="101"/>
    </row>
    <row r="53" spans="1:9" x14ac:dyDescent="0.2">
      <c r="A53" s="101"/>
      <c r="B53" s="101"/>
      <c r="C53" s="101"/>
      <c r="D53" s="101"/>
      <c r="E53" s="101"/>
      <c r="F53" s="101"/>
      <c r="G53" s="101"/>
      <c r="H53" s="101"/>
      <c r="I53" s="101"/>
    </row>
    <row r="54" spans="1:9" x14ac:dyDescent="0.2">
      <c r="A54" s="101"/>
      <c r="B54" s="101"/>
      <c r="C54" s="101"/>
      <c r="D54" s="101"/>
      <c r="E54" s="101"/>
      <c r="F54" s="101"/>
      <c r="G54" s="101"/>
      <c r="H54" s="101"/>
      <c r="I54" s="101"/>
    </row>
    <row r="55" spans="1:9" x14ac:dyDescent="0.2">
      <c r="A55" s="101"/>
      <c r="B55" s="101"/>
      <c r="C55" s="101"/>
      <c r="D55" s="101"/>
      <c r="E55" s="101"/>
      <c r="F55" s="101"/>
      <c r="G55" s="101"/>
      <c r="H55" s="101"/>
      <c r="I55" s="101"/>
    </row>
  </sheetData>
  <mergeCells count="2">
    <mergeCell ref="A2:N2"/>
    <mergeCell ref="A30:M30"/>
  </mergeCells>
  <phoneticPr fontId="2" type="noConversion"/>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6"/>
  <sheetViews>
    <sheetView workbookViewId="0">
      <selection activeCell="C32" sqref="C32"/>
    </sheetView>
  </sheetViews>
  <sheetFormatPr defaultRowHeight="14.25" x14ac:dyDescent="0.2"/>
  <sheetData>
    <row r="2" spans="1:15" ht="20.25" x14ac:dyDescent="0.2">
      <c r="A2" s="127" t="s">
        <v>89</v>
      </c>
      <c r="B2" s="127"/>
      <c r="C2" s="127"/>
      <c r="D2" s="127"/>
      <c r="E2" s="127"/>
    </row>
    <row r="3" spans="1:15" ht="17.25" x14ac:dyDescent="0.2">
      <c r="A3" s="13" t="s">
        <v>61</v>
      </c>
      <c r="B3" s="13" t="s">
        <v>90</v>
      </c>
      <c r="C3" s="13" t="s">
        <v>105</v>
      </c>
      <c r="D3" s="13" t="s">
        <v>87</v>
      </c>
      <c r="E3" s="13" t="s">
        <v>88</v>
      </c>
      <c r="G3" s="13" t="s">
        <v>74</v>
      </c>
      <c r="H3" s="13" t="s">
        <v>100</v>
      </c>
      <c r="I3" s="13" t="s">
        <v>75</v>
      </c>
      <c r="J3" s="13" t="s">
        <v>100</v>
      </c>
      <c r="K3" s="21"/>
      <c r="L3" s="21"/>
      <c r="M3" s="21"/>
      <c r="N3" s="21"/>
      <c r="O3" s="21"/>
    </row>
    <row r="4" spans="1:15" ht="16.5" x14ac:dyDescent="0.2">
      <c r="A4" s="16" t="s">
        <v>62</v>
      </c>
      <c r="B4" s="16" t="s">
        <v>68</v>
      </c>
      <c r="C4" s="16" t="s">
        <v>93</v>
      </c>
      <c r="D4" s="16" t="s">
        <v>95</v>
      </c>
      <c r="E4" s="16" t="s">
        <v>76</v>
      </c>
      <c r="G4" s="16" t="s">
        <v>84</v>
      </c>
      <c r="H4" s="18">
        <f t="shared" ref="H4:H9" si="0">COUNTIF($B$4:$E$9,"="&amp;G4)</f>
        <v>2</v>
      </c>
      <c r="I4" s="16" t="s">
        <v>78</v>
      </c>
      <c r="J4" s="18">
        <f t="shared" ref="J4:J9" si="1">COUNTIF($B$4:$E$9,"="&amp;I4)</f>
        <v>2</v>
      </c>
      <c r="K4" s="21"/>
      <c r="L4" s="21"/>
      <c r="M4" s="21"/>
      <c r="N4" s="21"/>
      <c r="O4" s="21"/>
    </row>
    <row r="5" spans="1:15" ht="16.5" x14ac:dyDescent="0.2">
      <c r="A5" s="16" t="s">
        <v>63</v>
      </c>
      <c r="B5" s="16" t="s">
        <v>68</v>
      </c>
      <c r="C5" s="16" t="s">
        <v>73</v>
      </c>
      <c r="D5" s="16" t="s">
        <v>97</v>
      </c>
      <c r="E5" s="16" t="s">
        <v>99</v>
      </c>
      <c r="G5" s="16" t="s">
        <v>76</v>
      </c>
      <c r="H5" s="18">
        <f t="shared" si="0"/>
        <v>2</v>
      </c>
      <c r="I5" s="16" t="s">
        <v>79</v>
      </c>
      <c r="J5" s="18">
        <f t="shared" si="1"/>
        <v>2</v>
      </c>
      <c r="K5" s="21"/>
      <c r="L5" s="21"/>
      <c r="M5" s="21"/>
      <c r="N5" s="21"/>
      <c r="O5" s="21"/>
    </row>
    <row r="6" spans="1:15" ht="16.5" x14ac:dyDescent="0.2">
      <c r="A6" s="16" t="s">
        <v>64</v>
      </c>
      <c r="B6" s="16" t="s">
        <v>101</v>
      </c>
      <c r="C6" s="16" t="s">
        <v>94</v>
      </c>
      <c r="D6" s="16" t="s">
        <v>104</v>
      </c>
      <c r="E6" s="16" t="s">
        <v>99</v>
      </c>
      <c r="G6" s="16" t="s">
        <v>73</v>
      </c>
      <c r="H6" s="18">
        <f t="shared" si="0"/>
        <v>2</v>
      </c>
      <c r="I6" s="16" t="s">
        <v>80</v>
      </c>
      <c r="J6" s="18">
        <f t="shared" si="1"/>
        <v>2</v>
      </c>
      <c r="K6" s="21"/>
      <c r="L6" s="21"/>
      <c r="M6" s="21"/>
      <c r="N6" s="21"/>
      <c r="O6" s="21"/>
    </row>
    <row r="7" spans="1:15" ht="16.5" x14ac:dyDescent="0.2">
      <c r="A7" s="16" t="s">
        <v>65</v>
      </c>
      <c r="B7" s="16" t="s">
        <v>102</v>
      </c>
      <c r="C7" s="16" t="s">
        <v>91</v>
      </c>
      <c r="D7" s="16" t="s">
        <v>96</v>
      </c>
      <c r="E7" s="16" t="s">
        <v>104</v>
      </c>
      <c r="G7" s="16" t="s">
        <v>77</v>
      </c>
      <c r="H7" s="18">
        <f t="shared" si="0"/>
        <v>2</v>
      </c>
      <c r="I7" s="16" t="s">
        <v>82</v>
      </c>
      <c r="J7" s="18">
        <f t="shared" si="1"/>
        <v>2</v>
      </c>
      <c r="K7" s="21"/>
      <c r="L7" s="21"/>
      <c r="M7" s="21"/>
      <c r="N7" s="21"/>
      <c r="O7" s="21"/>
    </row>
    <row r="8" spans="1:15" ht="16.5" x14ac:dyDescent="0.2">
      <c r="A8" s="16" t="s">
        <v>66</v>
      </c>
      <c r="B8" s="16" t="s">
        <v>103</v>
      </c>
      <c r="C8" s="16" t="s">
        <v>92</v>
      </c>
      <c r="D8" s="16" t="s">
        <v>98</v>
      </c>
      <c r="E8" s="16" t="s">
        <v>97</v>
      </c>
      <c r="G8" s="16" t="s">
        <v>81</v>
      </c>
      <c r="H8" s="18">
        <f t="shared" si="0"/>
        <v>2</v>
      </c>
      <c r="I8" s="16" t="s">
        <v>83</v>
      </c>
      <c r="J8" s="18">
        <f t="shared" si="1"/>
        <v>2</v>
      </c>
      <c r="K8" s="21"/>
      <c r="L8" s="21"/>
      <c r="M8" s="21"/>
      <c r="N8" s="21"/>
      <c r="O8" s="21"/>
    </row>
    <row r="9" spans="1:15" ht="16.5" x14ac:dyDescent="0.2">
      <c r="A9" s="16" t="s">
        <v>67</v>
      </c>
      <c r="B9" s="16" t="s">
        <v>70</v>
      </c>
      <c r="C9" s="16" t="s">
        <v>69</v>
      </c>
      <c r="D9" s="16" t="s">
        <v>71</v>
      </c>
      <c r="E9" s="16" t="s">
        <v>72</v>
      </c>
      <c r="G9" s="16" t="s">
        <v>86</v>
      </c>
      <c r="H9" s="18">
        <f t="shared" si="0"/>
        <v>2</v>
      </c>
      <c r="I9" s="16" t="s">
        <v>85</v>
      </c>
      <c r="J9" s="18">
        <f t="shared" si="1"/>
        <v>2</v>
      </c>
      <c r="K9" s="21"/>
      <c r="L9" s="21"/>
      <c r="M9" s="21"/>
      <c r="N9" s="21"/>
      <c r="O9" s="21"/>
    </row>
    <row r="10" spans="1:15" x14ac:dyDescent="0.2">
      <c r="K10" s="21"/>
      <c r="L10" s="21"/>
      <c r="M10" s="21"/>
      <c r="N10" s="21"/>
      <c r="O10" s="21"/>
    </row>
    <row r="11" spans="1:15" ht="16.5" x14ac:dyDescent="0.2">
      <c r="A11" s="17" t="s">
        <v>112</v>
      </c>
      <c r="B11" s="16">
        <v>21</v>
      </c>
      <c r="K11" s="21"/>
      <c r="L11" s="21"/>
      <c r="M11" s="21"/>
      <c r="N11" s="21"/>
      <c r="O11" s="21"/>
    </row>
    <row r="12" spans="1:15" ht="16.5" x14ac:dyDescent="0.2">
      <c r="A12" s="17" t="s">
        <v>124</v>
      </c>
      <c r="B12" s="18">
        <f>B11/3</f>
        <v>7</v>
      </c>
      <c r="D12" s="16">
        <v>1</v>
      </c>
      <c r="E12" s="16">
        <v>0.8</v>
      </c>
      <c r="F12" s="16">
        <v>0.7</v>
      </c>
      <c r="K12" s="21"/>
      <c r="L12" s="21"/>
      <c r="M12" s="21"/>
      <c r="N12" s="21"/>
      <c r="O12" s="21"/>
    </row>
    <row r="13" spans="1:15" ht="17.25" x14ac:dyDescent="0.2">
      <c r="D13" s="13" t="s">
        <v>130</v>
      </c>
      <c r="E13" s="13" t="s">
        <v>131</v>
      </c>
      <c r="F13" s="13" t="s">
        <v>132</v>
      </c>
      <c r="K13" s="21"/>
      <c r="L13" s="21"/>
      <c r="M13" s="21"/>
      <c r="N13" s="21"/>
      <c r="O13" s="21"/>
    </row>
    <row r="14" spans="1:15" ht="17.25" x14ac:dyDescent="0.2">
      <c r="A14" s="13" t="s">
        <v>106</v>
      </c>
      <c r="B14" s="13" t="s">
        <v>107</v>
      </c>
      <c r="C14" s="13" t="s">
        <v>108</v>
      </c>
      <c r="D14" s="13" t="s">
        <v>109</v>
      </c>
      <c r="E14" s="13" t="s">
        <v>109</v>
      </c>
      <c r="F14" s="13" t="s">
        <v>109</v>
      </c>
    </row>
    <row r="15" spans="1:15" ht="16.5" x14ac:dyDescent="0.2">
      <c r="A15" s="16" t="s">
        <v>84</v>
      </c>
      <c r="B15" s="16" t="s">
        <v>110</v>
      </c>
      <c r="C15" s="18">
        <f>COUNTIF($B$4:$E$9,"="&amp;A15)</f>
        <v>2</v>
      </c>
      <c r="D15" s="18">
        <f>ROUND(属性投放!B35/2/B11,0)</f>
        <v>48</v>
      </c>
      <c r="E15" s="18">
        <f>INT($D15*E$12)</f>
        <v>38</v>
      </c>
      <c r="F15" s="18">
        <f>INT($D15*F$12)</f>
        <v>33</v>
      </c>
    </row>
    <row r="16" spans="1:15" ht="16.5" x14ac:dyDescent="0.2">
      <c r="A16" s="16" t="s">
        <v>76</v>
      </c>
      <c r="B16" s="16" t="s">
        <v>110</v>
      </c>
      <c r="C16" s="18">
        <f t="shared" ref="C16:C26" si="2">COUNTIF($B$4:$E$9,"="&amp;A16)</f>
        <v>2</v>
      </c>
      <c r="D16" s="23">
        <f>属性投放!H35/B12</f>
        <v>4.9999999999999996E-2</v>
      </c>
      <c r="E16" s="23">
        <f>ROUND($D16*E$12/0.005,3)*0.005</f>
        <v>0.04</v>
      </c>
      <c r="F16" s="23">
        <f>ROUND($D16*F$12/0.005,3)*0.005</f>
        <v>3.5000000000000003E-2</v>
      </c>
    </row>
    <row r="17" spans="1:6" ht="16.5" x14ac:dyDescent="0.2">
      <c r="A17" s="16" t="s">
        <v>73</v>
      </c>
      <c r="B17" s="16" t="s">
        <v>110</v>
      </c>
      <c r="C17" s="18">
        <f t="shared" si="2"/>
        <v>2</v>
      </c>
      <c r="D17" s="23">
        <f>属性投放!I35/B12</f>
        <v>9.9999999999999992E-2</v>
      </c>
      <c r="E17" s="23">
        <f t="shared" ref="E17:F20" si="3">ROUND($D17*E$12/0.005,3)*0.005</f>
        <v>0.08</v>
      </c>
      <c r="F17" s="23">
        <f t="shared" si="3"/>
        <v>7.0000000000000007E-2</v>
      </c>
    </row>
    <row r="18" spans="1:6" ht="16.5" x14ac:dyDescent="0.2">
      <c r="A18" s="16" t="s">
        <v>77</v>
      </c>
      <c r="B18" s="16" t="s">
        <v>110</v>
      </c>
      <c r="C18" s="18">
        <f t="shared" si="2"/>
        <v>2</v>
      </c>
      <c r="D18" s="23">
        <f>属性投放!J35/B12</f>
        <v>7.4999999999999983E-2</v>
      </c>
      <c r="E18" s="23">
        <f t="shared" si="3"/>
        <v>0.06</v>
      </c>
      <c r="F18" s="23">
        <f t="shared" si="3"/>
        <v>5.2499999999999998E-2</v>
      </c>
    </row>
    <row r="19" spans="1:6" ht="16.5" x14ac:dyDescent="0.2">
      <c r="A19" s="16" t="s">
        <v>81</v>
      </c>
      <c r="B19" s="16" t="s">
        <v>110</v>
      </c>
      <c r="C19" s="18">
        <f t="shared" si="2"/>
        <v>2</v>
      </c>
      <c r="D19" s="23">
        <f>属性投放!E35/羁绊之力!B12</f>
        <v>4.9999999999999996E-2</v>
      </c>
      <c r="E19" s="23">
        <f t="shared" si="3"/>
        <v>0.04</v>
      </c>
      <c r="F19" s="23">
        <f t="shared" si="3"/>
        <v>3.5000000000000003E-2</v>
      </c>
    </row>
    <row r="20" spans="1:6" ht="16.5" x14ac:dyDescent="0.2">
      <c r="A20" s="16" t="s">
        <v>86</v>
      </c>
      <c r="B20" s="16" t="s">
        <v>110</v>
      </c>
      <c r="C20" s="18">
        <f t="shared" si="2"/>
        <v>2</v>
      </c>
      <c r="D20" s="23">
        <f>属性投放!M35/羁绊之力!B12</f>
        <v>4.9999999999999996E-2</v>
      </c>
      <c r="E20" s="23">
        <f t="shared" si="3"/>
        <v>0.04</v>
      </c>
      <c r="F20" s="23">
        <f t="shared" si="3"/>
        <v>3.5000000000000003E-2</v>
      </c>
    </row>
    <row r="21" spans="1:6" ht="16.5" x14ac:dyDescent="0.2">
      <c r="A21" s="16" t="s">
        <v>78</v>
      </c>
      <c r="B21" s="16" t="s">
        <v>111</v>
      </c>
      <c r="C21" s="18">
        <f t="shared" si="2"/>
        <v>2</v>
      </c>
      <c r="D21" s="18">
        <f>INT(属性投放!D35/羁绊之力!B11/2/5)*5</f>
        <v>165</v>
      </c>
      <c r="E21" s="18">
        <f>INT($D21*E$12/5)*5</f>
        <v>130</v>
      </c>
      <c r="F21" s="18">
        <f>INT($D21*F$12/5)*5</f>
        <v>115</v>
      </c>
    </row>
    <row r="22" spans="1:6" ht="16.5" x14ac:dyDescent="0.2">
      <c r="A22" s="16" t="s">
        <v>79</v>
      </c>
      <c r="B22" s="16" t="s">
        <v>111</v>
      </c>
      <c r="C22" s="18">
        <f t="shared" si="2"/>
        <v>2</v>
      </c>
      <c r="D22" s="18">
        <f>ROUND(属性投放!C35/羁绊之力!B11/2,0)</f>
        <v>24</v>
      </c>
      <c r="E22" s="18">
        <f>INT($D22*E$12)</f>
        <v>19</v>
      </c>
      <c r="F22" s="18">
        <f>INT($D22*F$12)</f>
        <v>16</v>
      </c>
    </row>
    <row r="23" spans="1:6" ht="16.5" x14ac:dyDescent="0.2">
      <c r="A23" s="16" t="s">
        <v>80</v>
      </c>
      <c r="B23" s="16" t="s">
        <v>111</v>
      </c>
      <c r="C23" s="18">
        <f t="shared" si="2"/>
        <v>2</v>
      </c>
      <c r="D23" s="23">
        <f>属性投放!L35/羁绊之力!B12</f>
        <v>4.9999999999999996E-2</v>
      </c>
      <c r="E23" s="23">
        <f>ROUND($D23*E$12/0.005,3)*0.005</f>
        <v>0.04</v>
      </c>
      <c r="F23" s="23">
        <f>ROUND($D23*F$12/0.005,3)*0.005</f>
        <v>3.5000000000000003E-2</v>
      </c>
    </row>
    <row r="24" spans="1:6" ht="16.5" x14ac:dyDescent="0.2">
      <c r="A24" s="16" t="s">
        <v>82</v>
      </c>
      <c r="B24" s="16" t="s">
        <v>111</v>
      </c>
      <c r="C24" s="18">
        <f t="shared" si="2"/>
        <v>2</v>
      </c>
      <c r="D24" s="23">
        <f>属性投放!G35/B12</f>
        <v>4.9999999999999996E-2</v>
      </c>
      <c r="E24" s="23">
        <f t="shared" ref="E24:F26" si="4">ROUND($D24*E$12/0.005,3)*0.005</f>
        <v>0.04</v>
      </c>
      <c r="F24" s="23">
        <f t="shared" si="4"/>
        <v>3.5000000000000003E-2</v>
      </c>
    </row>
    <row r="25" spans="1:6" ht="16.5" x14ac:dyDescent="0.2">
      <c r="A25" s="16" t="s">
        <v>83</v>
      </c>
      <c r="B25" s="16" t="s">
        <v>111</v>
      </c>
      <c r="C25" s="18">
        <f t="shared" si="2"/>
        <v>2</v>
      </c>
      <c r="D25" s="23">
        <f>属性投放!F35/羁绊之力!B12</f>
        <v>4.9999999999999996E-2</v>
      </c>
      <c r="E25" s="23">
        <f t="shared" si="4"/>
        <v>0.04</v>
      </c>
      <c r="F25" s="23">
        <f t="shared" si="4"/>
        <v>3.5000000000000003E-2</v>
      </c>
    </row>
    <row r="26" spans="1:6" ht="16.5" x14ac:dyDescent="0.2">
      <c r="A26" s="16" t="s">
        <v>85</v>
      </c>
      <c r="B26" s="16" t="s">
        <v>111</v>
      </c>
      <c r="C26" s="18">
        <f t="shared" si="2"/>
        <v>2</v>
      </c>
      <c r="D26" s="23">
        <f>属性投放!K35/B12</f>
        <v>7.4999999999999983E-2</v>
      </c>
      <c r="E26" s="23">
        <f t="shared" si="4"/>
        <v>0.06</v>
      </c>
      <c r="F26" s="23">
        <f t="shared" si="4"/>
        <v>5.2499999999999998E-2</v>
      </c>
    </row>
  </sheetData>
  <mergeCells count="1">
    <mergeCell ref="A2:E2"/>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45"/>
  <sheetViews>
    <sheetView workbookViewId="0">
      <selection activeCell="L6" sqref="L6"/>
    </sheetView>
  </sheetViews>
  <sheetFormatPr defaultRowHeight="14.25" x14ac:dyDescent="0.2"/>
  <cols>
    <col min="2" max="2" width="14" customWidth="1"/>
    <col min="3" max="3" width="17" style="27" customWidth="1"/>
    <col min="7" max="7" width="9" style="27"/>
    <col min="8" max="8" width="9" style="27" customWidth="1"/>
    <col min="9" max="9" width="9.625" customWidth="1"/>
    <col min="11" max="11" width="10.25" customWidth="1"/>
    <col min="12" max="12" width="12.375" bestFit="1" customWidth="1"/>
    <col min="15" max="15" width="9" style="27"/>
    <col min="19" max="19" width="9.625" customWidth="1"/>
    <col min="21" max="21" width="12.125" bestFit="1" customWidth="1"/>
    <col min="22" max="22" width="9.625" customWidth="1"/>
  </cols>
  <sheetData>
    <row r="2" spans="1:25" ht="17.25" x14ac:dyDescent="0.2">
      <c r="R2" s="31" t="s">
        <v>225</v>
      </c>
      <c r="S2" s="18">
        <f>属性投放!B32+属性投放!B36</f>
        <v>9807</v>
      </c>
      <c r="T2" s="31" t="s">
        <v>224</v>
      </c>
      <c r="U2" s="18">
        <f>((属性投放!$C$32+属性投放!$C$35)/属性投放!$N$13+1)*(属性投放!$D$32+属性投放!$D$35)</f>
        <v>76551.377454545451</v>
      </c>
    </row>
    <row r="3" spans="1:25" ht="20.25" x14ac:dyDescent="0.2">
      <c r="A3" s="127" t="s">
        <v>125</v>
      </c>
      <c r="B3" s="127"/>
      <c r="C3" s="127"/>
      <c r="D3" s="127"/>
      <c r="E3" s="127"/>
      <c r="F3" s="127"/>
      <c r="G3" s="127"/>
      <c r="H3" s="127"/>
      <c r="I3" s="127"/>
      <c r="J3" s="127"/>
      <c r="K3" s="127"/>
      <c r="L3" s="127"/>
      <c r="M3" s="127"/>
      <c r="N3" s="127"/>
      <c r="O3" s="127"/>
      <c r="P3" s="127"/>
      <c r="Q3" s="127"/>
      <c r="R3" s="127"/>
      <c r="S3" s="127"/>
      <c r="T3" s="127"/>
      <c r="U3" s="127"/>
    </row>
    <row r="4" spans="1:25" s="27" customFormat="1" ht="23.25" customHeight="1" x14ac:dyDescent="0.2">
      <c r="A4" s="29"/>
      <c r="B4" s="29"/>
      <c r="C4" s="29"/>
      <c r="D4" s="29"/>
      <c r="E4" s="29"/>
      <c r="F4" s="29"/>
      <c r="G4" s="29"/>
      <c r="H4" s="29"/>
      <c r="I4" s="29"/>
      <c r="J4" s="29"/>
      <c r="K4" s="29"/>
      <c r="L4" s="131" t="s">
        <v>217</v>
      </c>
      <c r="M4" s="131"/>
      <c r="N4" s="131"/>
      <c r="O4" s="131"/>
      <c r="P4" s="127" t="s">
        <v>218</v>
      </c>
      <c r="Q4" s="127"/>
      <c r="R4" s="127"/>
      <c r="S4" s="127" t="s">
        <v>223</v>
      </c>
      <c r="T4" s="127"/>
      <c r="U4" s="127"/>
      <c r="V4" s="127"/>
    </row>
    <row r="5" spans="1:25" ht="17.25" x14ac:dyDescent="0.2">
      <c r="A5" s="13" t="s">
        <v>126</v>
      </c>
      <c r="B5" s="13" t="s">
        <v>127</v>
      </c>
      <c r="C5" s="13" t="s">
        <v>150</v>
      </c>
      <c r="D5" s="13" t="s">
        <v>133</v>
      </c>
      <c r="E5" s="13" t="s">
        <v>134</v>
      </c>
      <c r="F5" s="24" t="s">
        <v>136</v>
      </c>
      <c r="G5" s="24" t="s">
        <v>227</v>
      </c>
      <c r="H5" s="24" t="s">
        <v>228</v>
      </c>
      <c r="I5" s="13" t="s">
        <v>219</v>
      </c>
      <c r="J5" s="13" t="s">
        <v>209</v>
      </c>
      <c r="K5" s="13" t="s">
        <v>135</v>
      </c>
      <c r="L5" s="24" t="s">
        <v>110</v>
      </c>
      <c r="M5" s="24" t="s">
        <v>216</v>
      </c>
      <c r="N5" s="24" t="s">
        <v>215</v>
      </c>
      <c r="O5" s="24" t="s">
        <v>221</v>
      </c>
      <c r="P5" s="24" t="s">
        <v>110</v>
      </c>
      <c r="Q5" s="24" t="s">
        <v>216</v>
      </c>
      <c r="R5" s="24" t="s">
        <v>215</v>
      </c>
      <c r="S5" s="13" t="s">
        <v>216</v>
      </c>
      <c r="T5" s="13" t="s">
        <v>215</v>
      </c>
      <c r="U5" s="13" t="s">
        <v>222</v>
      </c>
      <c r="V5" s="13" t="s">
        <v>226</v>
      </c>
    </row>
    <row r="6" spans="1:25" ht="16.5" x14ac:dyDescent="0.2">
      <c r="A6" s="128" t="s">
        <v>192</v>
      </c>
      <c r="B6" s="16" t="s">
        <v>494</v>
      </c>
      <c r="C6" s="16">
        <v>1</v>
      </c>
      <c r="D6" s="16"/>
      <c r="E6" s="16"/>
      <c r="F6" s="16"/>
      <c r="G6" s="16"/>
      <c r="H6" s="19">
        <v>1</v>
      </c>
      <c r="I6" s="18">
        <f>L6/属性投放!$B$25</f>
        <v>0.66289385133068213</v>
      </c>
      <c r="J6" s="16">
        <v>1.5</v>
      </c>
      <c r="K6" s="16">
        <v>1.25</v>
      </c>
      <c r="L6" s="18">
        <f>V6-P6</f>
        <v>4334</v>
      </c>
      <c r="M6" s="18">
        <f>INT(属性投放!$C$32*K6)</f>
        <v>4061</v>
      </c>
      <c r="N6" s="18">
        <f>INT(属性投放!$D$32*J6)</f>
        <v>34407</v>
      </c>
      <c r="O6" s="18">
        <f>L6*10+M6*20+N6</f>
        <v>158967</v>
      </c>
      <c r="P6" s="18">
        <f>属性投放!B$35</f>
        <v>2026</v>
      </c>
      <c r="Q6" s="18">
        <f>属性投放!C$35</f>
        <v>1007</v>
      </c>
      <c r="R6" s="18">
        <f>属性投放!D$35</f>
        <v>7110</v>
      </c>
      <c r="S6" s="18">
        <f>(M6+Q6)</f>
        <v>5068</v>
      </c>
      <c r="T6" s="18">
        <f>(N6+R6)</f>
        <v>41517</v>
      </c>
      <c r="U6" s="18">
        <f>T6*(1+S6/属性投放!$N$13)</f>
        <v>118029.05672727272</v>
      </c>
      <c r="V6" s="18">
        <f>INT($S$2*$U$2/U6*H6)</f>
        <v>6360</v>
      </c>
      <c r="Y6" s="27"/>
    </row>
    <row r="7" spans="1:25" ht="16.5" x14ac:dyDescent="0.2">
      <c r="A7" s="129"/>
      <c r="B7" s="16" t="s">
        <v>495</v>
      </c>
      <c r="C7" s="16">
        <v>2</v>
      </c>
      <c r="D7" s="16"/>
      <c r="E7" s="16"/>
      <c r="F7" s="16"/>
      <c r="G7" s="16"/>
      <c r="H7" s="19">
        <v>1</v>
      </c>
      <c r="I7" s="18">
        <f>L7/属性投放!$B$25</f>
        <v>0.70816763536249616</v>
      </c>
      <c r="J7" s="16">
        <v>1.2</v>
      </c>
      <c r="K7" s="16">
        <v>1.6</v>
      </c>
      <c r="L7" s="18">
        <f t="shared" ref="L7:L20" si="0">V7-P7</f>
        <v>4630</v>
      </c>
      <c r="M7" s="18">
        <f>INT(属性投放!$C$32*K7)</f>
        <v>5198</v>
      </c>
      <c r="N7" s="18">
        <f>INT(属性投放!$D$32*J7)</f>
        <v>27525</v>
      </c>
      <c r="O7" s="18">
        <f t="shared" ref="O7:O20" si="1">L7*10+M7*20+N7</f>
        <v>177785</v>
      </c>
      <c r="P7" s="18">
        <f>属性投放!B$35</f>
        <v>2026</v>
      </c>
      <c r="Q7" s="18">
        <f>属性投放!C$35</f>
        <v>1007</v>
      </c>
      <c r="R7" s="18">
        <f>属性投放!D$35</f>
        <v>7110</v>
      </c>
      <c r="S7" s="18">
        <f t="shared" ref="S7:S20" si="2">(M7+Q7)</f>
        <v>6205</v>
      </c>
      <c r="T7" s="18">
        <f t="shared" ref="T7:T20" si="3">(N7+R7)</f>
        <v>34635</v>
      </c>
      <c r="U7" s="18">
        <f>T7*(1+S7/属性投放!$N$13)</f>
        <v>112784.15454545454</v>
      </c>
      <c r="V7" s="18">
        <f t="shared" ref="V7:V20" si="4">INT($S$2*$U$2/U7*H7)</f>
        <v>6656</v>
      </c>
      <c r="X7" s="27"/>
      <c r="Y7" s="27"/>
    </row>
    <row r="8" spans="1:25" ht="16.5" x14ac:dyDescent="0.2">
      <c r="A8" s="130"/>
      <c r="B8" s="16" t="s">
        <v>496</v>
      </c>
      <c r="C8" s="16">
        <v>3</v>
      </c>
      <c r="D8" s="19"/>
      <c r="E8" s="19">
        <v>0.2</v>
      </c>
      <c r="F8" s="16"/>
      <c r="G8" s="16"/>
      <c r="H8" s="19">
        <f>1-E8*0.5</f>
        <v>0.9</v>
      </c>
      <c r="I8" s="18">
        <f>L8/属性投放!$B$25</f>
        <v>0.70602630773936981</v>
      </c>
      <c r="J8" s="16">
        <v>1.25</v>
      </c>
      <c r="K8" s="16">
        <v>1.25</v>
      </c>
      <c r="L8" s="18">
        <f t="shared" si="0"/>
        <v>4616</v>
      </c>
      <c r="M8" s="18">
        <f>INT(属性投放!$C$32*K8)</f>
        <v>4061</v>
      </c>
      <c r="N8" s="18">
        <f>INT(属性投放!$D$32*J8)</f>
        <v>28672</v>
      </c>
      <c r="O8" s="18">
        <f t="shared" si="1"/>
        <v>156052</v>
      </c>
      <c r="P8" s="18">
        <f>属性投放!B$35</f>
        <v>2026</v>
      </c>
      <c r="Q8" s="18">
        <f>属性投放!C$35</f>
        <v>1007</v>
      </c>
      <c r="R8" s="18">
        <f>属性投放!D$35</f>
        <v>7110</v>
      </c>
      <c r="S8" s="18">
        <f t="shared" si="2"/>
        <v>5068</v>
      </c>
      <c r="T8" s="18">
        <f t="shared" si="3"/>
        <v>35782</v>
      </c>
      <c r="U8" s="18">
        <f>T8*(1+S8/属性投放!$N$13)</f>
        <v>101724.97309090909</v>
      </c>
      <c r="V8" s="18">
        <f t="shared" si="4"/>
        <v>6642</v>
      </c>
      <c r="X8" s="27"/>
      <c r="Y8" s="27"/>
    </row>
    <row r="9" spans="1:25" ht="18" customHeight="1" x14ac:dyDescent="0.2">
      <c r="A9" s="124" t="s">
        <v>128</v>
      </c>
      <c r="B9" s="16" t="s">
        <v>497</v>
      </c>
      <c r="C9" s="16">
        <v>4</v>
      </c>
      <c r="D9" s="19">
        <v>0.1</v>
      </c>
      <c r="E9" s="16"/>
      <c r="F9" s="16"/>
      <c r="G9" s="16"/>
      <c r="H9" s="19">
        <f>1/(1+D9)</f>
        <v>0.90909090909090906</v>
      </c>
      <c r="I9" s="18">
        <f>L9/属性投放!$B$25</f>
        <v>1.8617314163352707</v>
      </c>
      <c r="J9" s="16">
        <v>0.7</v>
      </c>
      <c r="K9" s="16">
        <v>0.6</v>
      </c>
      <c r="L9" s="18">
        <f t="shared" si="0"/>
        <v>12172</v>
      </c>
      <c r="M9" s="18">
        <f>INT(属性投放!$C$32*K9)</f>
        <v>1949</v>
      </c>
      <c r="N9" s="18">
        <f>INT(属性投放!$D$32*J9)</f>
        <v>16056</v>
      </c>
      <c r="O9" s="18">
        <f t="shared" si="1"/>
        <v>176756</v>
      </c>
      <c r="P9" s="18">
        <f>属性投放!B$35</f>
        <v>2026</v>
      </c>
      <c r="Q9" s="18">
        <f>属性投放!C$35</f>
        <v>1007</v>
      </c>
      <c r="R9" s="18">
        <f>属性投放!D$35</f>
        <v>7110</v>
      </c>
      <c r="S9" s="18">
        <f t="shared" si="2"/>
        <v>2956</v>
      </c>
      <c r="T9" s="18">
        <f t="shared" si="3"/>
        <v>23166</v>
      </c>
      <c r="U9" s="18">
        <f>T9*(1+S9/属性投放!$N$13)</f>
        <v>48067.343999999997</v>
      </c>
      <c r="V9" s="18">
        <f t="shared" si="4"/>
        <v>14198</v>
      </c>
      <c r="X9" s="27"/>
      <c r="Y9" s="27"/>
    </row>
    <row r="10" spans="1:25" ht="16.5" x14ac:dyDescent="0.2">
      <c r="A10" s="125"/>
      <c r="B10" s="16" t="s">
        <v>498</v>
      </c>
      <c r="C10" s="16">
        <v>5</v>
      </c>
      <c r="D10" s="16"/>
      <c r="E10" s="16"/>
      <c r="F10" s="19">
        <v>0.1</v>
      </c>
      <c r="G10" s="19"/>
      <c r="H10" s="19">
        <f>1/(1+F10)</f>
        <v>0.90909090909090906</v>
      </c>
      <c r="I10" s="18">
        <f>L10/属性投放!$B$25</f>
        <v>1.4050168247170389</v>
      </c>
      <c r="J10" s="16">
        <v>0.9</v>
      </c>
      <c r="K10" s="16">
        <v>0.7</v>
      </c>
      <c r="L10" s="18">
        <f t="shared" si="0"/>
        <v>9186</v>
      </c>
      <c r="M10" s="18">
        <f>INT(属性投放!$C$32*K10)</f>
        <v>2274</v>
      </c>
      <c r="N10" s="18">
        <f>INT(属性投放!$D$32*J10)</f>
        <v>20644</v>
      </c>
      <c r="O10" s="18">
        <f t="shared" si="1"/>
        <v>157984</v>
      </c>
      <c r="P10" s="18">
        <f>属性投放!B$35</f>
        <v>2026</v>
      </c>
      <c r="Q10" s="18">
        <f>属性投放!C$35</f>
        <v>1007</v>
      </c>
      <c r="R10" s="18">
        <f>属性投放!D$35</f>
        <v>7110</v>
      </c>
      <c r="S10" s="18">
        <f t="shared" si="2"/>
        <v>3281</v>
      </c>
      <c r="T10" s="18">
        <f t="shared" si="3"/>
        <v>27754</v>
      </c>
      <c r="U10" s="18">
        <f>T10*(1+S10/属性投放!$N$13)</f>
        <v>60867.045090909087</v>
      </c>
      <c r="V10" s="18">
        <f t="shared" si="4"/>
        <v>11212</v>
      </c>
      <c r="X10" s="27"/>
      <c r="Y10" s="27"/>
    </row>
    <row r="11" spans="1:25" ht="16.5" x14ac:dyDescent="0.2">
      <c r="A11" s="125"/>
      <c r="B11" s="16" t="s">
        <v>499</v>
      </c>
      <c r="C11" s="16">
        <v>6</v>
      </c>
      <c r="D11" s="19"/>
      <c r="E11" s="16"/>
      <c r="F11" s="16"/>
      <c r="G11" s="19">
        <v>0.5</v>
      </c>
      <c r="H11" s="19">
        <f>(0.75*1+0.25*1.5)/(0.75*1+0.25*(1.5+G11))</f>
        <v>0.9</v>
      </c>
      <c r="I11" s="18">
        <f>L11/属性投放!$B$25</f>
        <v>1.8400122361578464</v>
      </c>
      <c r="J11" s="16">
        <v>0.7</v>
      </c>
      <c r="K11" s="16">
        <v>0.6</v>
      </c>
      <c r="L11" s="18">
        <f t="shared" si="0"/>
        <v>12030</v>
      </c>
      <c r="M11" s="18">
        <f>INT(属性投放!$C$32*K11)</f>
        <v>1949</v>
      </c>
      <c r="N11" s="18">
        <f>INT(属性投放!$D$32*J11)</f>
        <v>16056</v>
      </c>
      <c r="O11" s="18">
        <f t="shared" si="1"/>
        <v>175336</v>
      </c>
      <c r="P11" s="18">
        <f>属性投放!B$35</f>
        <v>2026</v>
      </c>
      <c r="Q11" s="18">
        <f>属性投放!C$35</f>
        <v>1007</v>
      </c>
      <c r="R11" s="18">
        <f>属性投放!D$35</f>
        <v>7110</v>
      </c>
      <c r="S11" s="18">
        <f t="shared" si="2"/>
        <v>2956</v>
      </c>
      <c r="T11" s="18">
        <f t="shared" si="3"/>
        <v>23166</v>
      </c>
      <c r="U11" s="18">
        <f>T11*(1+S11/属性投放!$N$13)</f>
        <v>48067.343999999997</v>
      </c>
      <c r="V11" s="18">
        <f t="shared" si="4"/>
        <v>14056</v>
      </c>
      <c r="X11" s="27"/>
      <c r="Y11" s="27"/>
    </row>
    <row r="12" spans="1:25" ht="16.5" x14ac:dyDescent="0.2">
      <c r="A12" s="128" t="s">
        <v>212</v>
      </c>
      <c r="B12" s="16" t="s">
        <v>500</v>
      </c>
      <c r="C12" s="16">
        <v>7</v>
      </c>
      <c r="D12" s="16"/>
      <c r="E12" s="16"/>
      <c r="F12" s="16"/>
      <c r="G12" s="16"/>
      <c r="H12" s="19">
        <v>1</v>
      </c>
      <c r="I12" s="18">
        <f>L12/属性投放!$B$25</f>
        <v>1.4325481798715203</v>
      </c>
      <c r="J12" s="16">
        <v>1</v>
      </c>
      <c r="K12" s="16">
        <v>0.7</v>
      </c>
      <c r="L12" s="18">
        <f t="shared" si="0"/>
        <v>9366</v>
      </c>
      <c r="M12" s="18">
        <f>INT(属性投放!$C$32*K12)</f>
        <v>2274</v>
      </c>
      <c r="N12" s="18">
        <f>INT(属性投放!$D$32*J12)</f>
        <v>22938</v>
      </c>
      <c r="O12" s="18">
        <f t="shared" si="1"/>
        <v>162078</v>
      </c>
      <c r="P12" s="18">
        <f>属性投放!B$35</f>
        <v>2026</v>
      </c>
      <c r="Q12" s="18">
        <f>属性投放!C$35</f>
        <v>1007</v>
      </c>
      <c r="R12" s="18">
        <f>属性投放!D$35</f>
        <v>7110</v>
      </c>
      <c r="S12" s="18">
        <f t="shared" si="2"/>
        <v>3281</v>
      </c>
      <c r="T12" s="18">
        <f t="shared" si="3"/>
        <v>30048</v>
      </c>
      <c r="U12" s="18">
        <f>T12*(1+S12/属性投放!$N$13)</f>
        <v>65897.99563636363</v>
      </c>
      <c r="V12" s="18">
        <f t="shared" si="4"/>
        <v>11392</v>
      </c>
      <c r="X12" s="27"/>
      <c r="Y12" s="27"/>
    </row>
    <row r="13" spans="1:25" ht="16.5" x14ac:dyDescent="0.2">
      <c r="A13" s="130"/>
      <c r="B13" s="16" t="s">
        <v>501</v>
      </c>
      <c r="C13" s="16">
        <v>8</v>
      </c>
      <c r="D13" s="16"/>
      <c r="E13" s="16"/>
      <c r="F13" s="16"/>
      <c r="G13" s="16"/>
      <c r="H13" s="19">
        <v>1</v>
      </c>
      <c r="I13" s="18">
        <f>L13/属性投放!$B$25</f>
        <v>2.2231569287243804</v>
      </c>
      <c r="J13" s="16">
        <v>0.7</v>
      </c>
      <c r="K13" s="16">
        <v>0.5</v>
      </c>
      <c r="L13" s="18">
        <f t="shared" si="0"/>
        <v>14535</v>
      </c>
      <c r="M13" s="18">
        <f>INT(属性投放!$C$32*K13)</f>
        <v>1624</v>
      </c>
      <c r="N13" s="18">
        <f>INT(属性投放!$D$32*J13)</f>
        <v>16056</v>
      </c>
      <c r="O13" s="18">
        <f t="shared" si="1"/>
        <v>193886</v>
      </c>
      <c r="P13" s="18">
        <f>属性投放!B$35</f>
        <v>2026</v>
      </c>
      <c r="Q13" s="18">
        <f>属性投放!C$35</f>
        <v>1007</v>
      </c>
      <c r="R13" s="18">
        <f>属性投放!D$35</f>
        <v>7110</v>
      </c>
      <c r="S13" s="18">
        <f t="shared" si="2"/>
        <v>2631</v>
      </c>
      <c r="T13" s="18">
        <f t="shared" si="3"/>
        <v>23166</v>
      </c>
      <c r="U13" s="18">
        <f>T13*(1+S13/属性投放!$N$13)</f>
        <v>45329.544000000002</v>
      </c>
      <c r="V13" s="18">
        <f t="shared" si="4"/>
        <v>16561</v>
      </c>
      <c r="X13" s="27"/>
      <c r="Y13" s="27"/>
    </row>
    <row r="14" spans="1:25" ht="16.5" x14ac:dyDescent="0.2">
      <c r="A14" s="124" t="s">
        <v>487</v>
      </c>
      <c r="B14" s="16" t="s">
        <v>502</v>
      </c>
      <c r="C14" s="16">
        <v>9</v>
      </c>
      <c r="D14" s="16"/>
      <c r="E14" s="16"/>
      <c r="F14" s="16"/>
      <c r="G14" s="16"/>
      <c r="H14" s="19">
        <v>1</v>
      </c>
      <c r="I14" s="18">
        <f>L14/属性投放!$B$25</f>
        <v>1.1532578770266138</v>
      </c>
      <c r="J14" s="16">
        <v>1.25</v>
      </c>
      <c r="K14" s="16">
        <v>0.7</v>
      </c>
      <c r="L14" s="18">
        <f t="shared" si="0"/>
        <v>7540</v>
      </c>
      <c r="M14" s="18">
        <f>INT(属性投放!$C$32*K14)</f>
        <v>2274</v>
      </c>
      <c r="N14" s="18">
        <f>INT(属性投放!$D$32*J14)</f>
        <v>28672</v>
      </c>
      <c r="O14" s="18">
        <f t="shared" si="1"/>
        <v>149552</v>
      </c>
      <c r="P14" s="18">
        <f>属性投放!B$35</f>
        <v>2026</v>
      </c>
      <c r="Q14" s="18">
        <f>属性投放!C$35</f>
        <v>1007</v>
      </c>
      <c r="R14" s="18">
        <f>属性投放!D$35</f>
        <v>7110</v>
      </c>
      <c r="S14" s="18">
        <f t="shared" si="2"/>
        <v>3281</v>
      </c>
      <c r="T14" s="18">
        <f t="shared" si="3"/>
        <v>35782</v>
      </c>
      <c r="U14" s="18">
        <f>T14*(1+S14/属性投放!$N$13)</f>
        <v>78473.178909090901</v>
      </c>
      <c r="V14" s="18">
        <f t="shared" si="4"/>
        <v>9566</v>
      </c>
      <c r="X14" s="27"/>
      <c r="Y14" s="27"/>
    </row>
    <row r="15" spans="1:25" s="27" customFormat="1" ht="19.5" customHeight="1" x14ac:dyDescent="0.2">
      <c r="A15" s="126"/>
      <c r="B15" s="16" t="s">
        <v>503</v>
      </c>
      <c r="C15" s="16">
        <v>10</v>
      </c>
      <c r="D15" s="16"/>
      <c r="E15" s="16"/>
      <c r="F15" s="16"/>
      <c r="G15" s="16"/>
      <c r="H15" s="19">
        <v>0.8</v>
      </c>
      <c r="I15" s="18">
        <f>L15/属性投放!$B$25</f>
        <v>0.86066075252370755</v>
      </c>
      <c r="J15" s="16">
        <v>1.25</v>
      </c>
      <c r="K15" s="16">
        <v>0.7</v>
      </c>
      <c r="L15" s="18">
        <f t="shared" ref="L15" si="5">V15-P15</f>
        <v>5627</v>
      </c>
      <c r="M15" s="18">
        <f>INT(属性投放!$C$32*K15)</f>
        <v>2274</v>
      </c>
      <c r="N15" s="18">
        <f>INT(属性投放!$D$32*J15)</f>
        <v>28672</v>
      </c>
      <c r="O15" s="18">
        <f t="shared" ref="O15" si="6">L15*10+M15*20+N15</f>
        <v>130422</v>
      </c>
      <c r="P15" s="18">
        <f>属性投放!B$35</f>
        <v>2026</v>
      </c>
      <c r="Q15" s="18">
        <f>属性投放!C$35</f>
        <v>1007</v>
      </c>
      <c r="R15" s="18">
        <f>属性投放!D$35</f>
        <v>7110</v>
      </c>
      <c r="S15" s="18">
        <f t="shared" ref="S15" si="7">(M15+Q15)</f>
        <v>3281</v>
      </c>
      <c r="T15" s="18">
        <f t="shared" ref="T15" si="8">(N15+R15)</f>
        <v>35782</v>
      </c>
      <c r="U15" s="18">
        <f>T15*(1+S15/属性投放!$N$13)</f>
        <v>78473.178909090901</v>
      </c>
      <c r="V15" s="18">
        <f t="shared" ref="V15" si="9">INT($S$2*$U$2/U15*H15)</f>
        <v>7653</v>
      </c>
    </row>
    <row r="16" spans="1:25" ht="16.5" x14ac:dyDescent="0.2">
      <c r="A16" s="124" t="s">
        <v>482</v>
      </c>
      <c r="B16" s="16" t="s">
        <v>129</v>
      </c>
      <c r="C16" s="16">
        <v>11</v>
      </c>
      <c r="D16" s="16"/>
      <c r="E16" s="16"/>
      <c r="F16" s="16"/>
      <c r="G16" s="16"/>
      <c r="H16" s="19">
        <v>1</v>
      </c>
      <c r="I16" s="18">
        <f>L16/属性投放!$B$25</f>
        <v>1.1901193025390027</v>
      </c>
      <c r="J16" s="16">
        <v>1</v>
      </c>
      <c r="K16" s="16">
        <v>1</v>
      </c>
      <c r="L16" s="18">
        <f t="shared" si="0"/>
        <v>7781</v>
      </c>
      <c r="M16" s="18">
        <f>INT(属性投放!$C$32*K16)</f>
        <v>3249</v>
      </c>
      <c r="N16" s="18">
        <f>INT(属性投放!$D$32*J16)</f>
        <v>22938</v>
      </c>
      <c r="O16" s="18">
        <f t="shared" si="1"/>
        <v>165728</v>
      </c>
      <c r="P16" s="18">
        <f>属性投放!B$35</f>
        <v>2026</v>
      </c>
      <c r="Q16" s="18">
        <f>属性投放!C$35</f>
        <v>1007</v>
      </c>
      <c r="R16" s="18">
        <f>属性投放!D$35</f>
        <v>7110</v>
      </c>
      <c r="S16" s="18">
        <f t="shared" si="2"/>
        <v>4256</v>
      </c>
      <c r="T16" s="18">
        <f t="shared" si="3"/>
        <v>30048</v>
      </c>
      <c r="U16" s="18">
        <f>T16*(1+S16/属性投放!$N$13)</f>
        <v>76551.377454545451</v>
      </c>
      <c r="V16" s="18">
        <f t="shared" si="4"/>
        <v>9807</v>
      </c>
      <c r="X16" s="27"/>
      <c r="Y16" s="27"/>
    </row>
    <row r="17" spans="1:25" s="27" customFormat="1" ht="16.5" x14ac:dyDescent="0.2">
      <c r="A17" s="125"/>
      <c r="B17" s="16" t="s">
        <v>469</v>
      </c>
      <c r="C17" s="16">
        <v>12</v>
      </c>
      <c r="D17" s="16"/>
      <c r="E17" s="19">
        <v>0.2</v>
      </c>
      <c r="F17" s="16"/>
      <c r="G17" s="16"/>
      <c r="H17" s="19">
        <f>1-E17*0.5</f>
        <v>0.9</v>
      </c>
      <c r="I17" s="18">
        <f>L17/属性投放!$B$25</f>
        <v>1.0400734169470787</v>
      </c>
      <c r="J17" s="16">
        <v>1</v>
      </c>
      <c r="K17" s="16">
        <v>1</v>
      </c>
      <c r="L17" s="18">
        <f t="shared" ref="L17" si="10">V17-P17</f>
        <v>6800</v>
      </c>
      <c r="M17" s="18">
        <f>INT(属性投放!$C$32*K17)</f>
        <v>3249</v>
      </c>
      <c r="N17" s="18">
        <f>INT(属性投放!$D$32*J17)</f>
        <v>22938</v>
      </c>
      <c r="O17" s="18">
        <f t="shared" ref="O17" si="11">L17*10+M17*20+N17</f>
        <v>155918</v>
      </c>
      <c r="P17" s="18">
        <f>属性投放!B$35</f>
        <v>2026</v>
      </c>
      <c r="Q17" s="18">
        <f>属性投放!C$35</f>
        <v>1007</v>
      </c>
      <c r="R17" s="18">
        <f>属性投放!D$35</f>
        <v>7110</v>
      </c>
      <c r="S17" s="18">
        <f t="shared" ref="S17" si="12">(M17+Q17)</f>
        <v>4256</v>
      </c>
      <c r="T17" s="18">
        <f t="shared" ref="T17" si="13">(N17+R17)</f>
        <v>30048</v>
      </c>
      <c r="U17" s="18">
        <f>T17*(1+S17/属性投放!$N$13)</f>
        <v>76551.377454545451</v>
      </c>
      <c r="V17" s="18">
        <f t="shared" ref="V17" si="14">INT($S$2*$U$2/U17*H17)</f>
        <v>8826</v>
      </c>
    </row>
    <row r="18" spans="1:25" s="27" customFormat="1" ht="16.5" x14ac:dyDescent="0.2">
      <c r="A18" s="126"/>
      <c r="B18" s="16" t="s">
        <v>481</v>
      </c>
      <c r="C18" s="16">
        <v>13</v>
      </c>
      <c r="D18" s="16"/>
      <c r="E18" s="19">
        <v>0.1</v>
      </c>
      <c r="F18" s="16"/>
      <c r="G18" s="19">
        <v>0.5</v>
      </c>
      <c r="H18" s="19">
        <v>0.85</v>
      </c>
      <c r="I18" s="18">
        <f>L18/属性投放!$B$25</f>
        <v>0.980422147445702</v>
      </c>
      <c r="J18" s="16">
        <v>0.85</v>
      </c>
      <c r="K18" s="16">
        <v>1.25</v>
      </c>
      <c r="L18" s="18">
        <f t="shared" ref="L18" si="15">V18-P18</f>
        <v>6410</v>
      </c>
      <c r="M18" s="18">
        <f>INT(属性投放!$C$32*K18)</f>
        <v>4061</v>
      </c>
      <c r="N18" s="18">
        <f>INT(属性投放!$D$32*J18)</f>
        <v>19497</v>
      </c>
      <c r="O18" s="18">
        <f t="shared" ref="O18" si="16">L18*10+M18*20+N18</f>
        <v>164817</v>
      </c>
      <c r="P18" s="18">
        <f>属性投放!B$35</f>
        <v>2026</v>
      </c>
      <c r="Q18" s="18">
        <f>属性投放!C$35</f>
        <v>1007</v>
      </c>
      <c r="R18" s="18">
        <f>属性投放!D$35</f>
        <v>7110</v>
      </c>
      <c r="S18" s="18">
        <f t="shared" ref="S18" si="17">(M18+Q18)</f>
        <v>5068</v>
      </c>
      <c r="T18" s="18">
        <f t="shared" ref="T18" si="18">(N18+R18)</f>
        <v>26607</v>
      </c>
      <c r="U18" s="18">
        <f>T18*(1+S18/属性投放!$N$13)</f>
        <v>75641.282181818169</v>
      </c>
      <c r="V18" s="18">
        <f t="shared" ref="V18" si="19">INT($S$2*$U$2/U18*H18)</f>
        <v>8436</v>
      </c>
    </row>
    <row r="19" spans="1:25" ht="16.5" x14ac:dyDescent="0.2">
      <c r="A19" s="128" t="s">
        <v>473</v>
      </c>
      <c r="B19" s="16" t="s">
        <v>210</v>
      </c>
      <c r="C19" s="16">
        <v>14</v>
      </c>
      <c r="D19" s="16"/>
      <c r="E19" s="16"/>
      <c r="F19" s="16"/>
      <c r="G19" s="16"/>
      <c r="H19" s="19">
        <v>1</v>
      </c>
      <c r="I19" s="18">
        <f>L19/属性投放!$B$25</f>
        <v>1.5766289385133068</v>
      </c>
      <c r="J19" s="16">
        <v>0.9</v>
      </c>
      <c r="K19" s="16">
        <v>0.7</v>
      </c>
      <c r="L19" s="18">
        <f t="shared" si="0"/>
        <v>10308</v>
      </c>
      <c r="M19" s="18">
        <f>INT(属性投放!$C$32*K19)</f>
        <v>2274</v>
      </c>
      <c r="N19" s="18">
        <f>INT(属性投放!$D$32*J19)</f>
        <v>20644</v>
      </c>
      <c r="O19" s="18">
        <f t="shared" si="1"/>
        <v>169204</v>
      </c>
      <c r="P19" s="18">
        <f>属性投放!B$35</f>
        <v>2026</v>
      </c>
      <c r="Q19" s="18">
        <f>属性投放!C$35</f>
        <v>1007</v>
      </c>
      <c r="R19" s="18">
        <f>属性投放!D$35</f>
        <v>7110</v>
      </c>
      <c r="S19" s="18">
        <f t="shared" si="2"/>
        <v>3281</v>
      </c>
      <c r="T19" s="18">
        <f t="shared" si="3"/>
        <v>27754</v>
      </c>
      <c r="U19" s="18">
        <f>T19*(1+S19/属性投放!$N$13)</f>
        <v>60867.045090909087</v>
      </c>
      <c r="V19" s="18">
        <f t="shared" si="4"/>
        <v>12334</v>
      </c>
      <c r="X19" s="27"/>
      <c r="Y19" s="27"/>
    </row>
    <row r="20" spans="1:25" ht="16.5" x14ac:dyDescent="0.2">
      <c r="A20" s="130"/>
      <c r="B20" s="16" t="s">
        <v>211</v>
      </c>
      <c r="C20" s="16">
        <v>15</v>
      </c>
      <c r="D20" s="16"/>
      <c r="E20" s="16"/>
      <c r="F20" s="16"/>
      <c r="G20" s="16"/>
      <c r="H20" s="19">
        <v>1</v>
      </c>
      <c r="I20" s="18">
        <f>L20/属性投放!$B$25</f>
        <v>1.0784643621902723</v>
      </c>
      <c r="J20" s="16">
        <v>1.25</v>
      </c>
      <c r="K20" s="16">
        <v>0.8</v>
      </c>
      <c r="L20" s="18">
        <f t="shared" si="0"/>
        <v>7051</v>
      </c>
      <c r="M20" s="18">
        <f>INT(属性投放!$C$32*K20)</f>
        <v>2599</v>
      </c>
      <c r="N20" s="18">
        <f>INT(属性投放!$D$32*J20)</f>
        <v>28672</v>
      </c>
      <c r="O20" s="18">
        <f t="shared" si="1"/>
        <v>151162</v>
      </c>
      <c r="P20" s="18">
        <f>属性投放!B$35</f>
        <v>2026</v>
      </c>
      <c r="Q20" s="18">
        <f>属性投放!C$35</f>
        <v>1007</v>
      </c>
      <c r="R20" s="18">
        <f>属性投放!D$35</f>
        <v>7110</v>
      </c>
      <c r="S20" s="18">
        <f t="shared" si="2"/>
        <v>3606</v>
      </c>
      <c r="T20" s="18">
        <f t="shared" si="3"/>
        <v>35782</v>
      </c>
      <c r="U20" s="18">
        <f>T20*(1+S20/属性投放!$N$13)</f>
        <v>82701.96072727273</v>
      </c>
      <c r="V20" s="18">
        <f t="shared" si="4"/>
        <v>9077</v>
      </c>
      <c r="X20" s="27"/>
      <c r="Y20" s="27"/>
    </row>
    <row r="24" spans="1:25" ht="17.25" x14ac:dyDescent="0.2">
      <c r="A24" s="13" t="s">
        <v>460</v>
      </c>
      <c r="B24" s="13" t="s">
        <v>462</v>
      </c>
      <c r="C24" s="13" t="s">
        <v>463</v>
      </c>
      <c r="D24" s="13" t="s">
        <v>464</v>
      </c>
      <c r="E24" s="13" t="s">
        <v>465</v>
      </c>
      <c r="F24" s="13" t="s">
        <v>466</v>
      </c>
      <c r="G24" s="13" t="s">
        <v>467</v>
      </c>
      <c r="H24" s="13" t="s">
        <v>219</v>
      </c>
      <c r="I24" s="13" t="s">
        <v>466</v>
      </c>
      <c r="J24" s="13" t="s">
        <v>467</v>
      </c>
      <c r="K24" s="13" t="s">
        <v>219</v>
      </c>
    </row>
    <row r="25" spans="1:25" ht="16.5" x14ac:dyDescent="0.2">
      <c r="A25" s="16" t="s">
        <v>244</v>
      </c>
      <c r="B25" s="16">
        <v>1102015</v>
      </c>
      <c r="C25" s="16" t="s">
        <v>470</v>
      </c>
      <c r="D25" s="16">
        <v>11</v>
      </c>
      <c r="E25" s="16" t="s">
        <v>471</v>
      </c>
      <c r="F25" s="18">
        <f>INDEX($J$6:$J$20,D25)*INDEX(属性投放!$B$16:$B$19,MATCH(职业设计!E25,属性投放!$A$16:$A$19,0))</f>
        <v>1</v>
      </c>
      <c r="G25" s="18">
        <f>INDEX($K$6:$K$20,D25)*INDEX(属性投放!$B$16:$B$19,MATCH(职业设计!E25,属性投放!$A$16:$A$19,0))</f>
        <v>1</v>
      </c>
      <c r="H25" s="18">
        <f>INDEX($I$6:$I$20,D25)*INDEX(属性投放!$B$16:$B$19,MATCH(职业设计!E25,属性投放!$A$16:$A$19,0))</f>
        <v>1.1901193025390027</v>
      </c>
      <c r="I25" s="18">
        <f>INDEX($J$6:$J$20,D25)</f>
        <v>1</v>
      </c>
      <c r="J25" s="18">
        <f>INDEX($K$6:$K$20,D25)</f>
        <v>1</v>
      </c>
      <c r="K25" s="18">
        <f>INDEX($I$6:$I$20,D25)</f>
        <v>1.1901193025390027</v>
      </c>
    </row>
    <row r="26" spans="1:25" ht="16.5" x14ac:dyDescent="0.2">
      <c r="A26" s="16" t="s">
        <v>260</v>
      </c>
      <c r="B26" s="16">
        <v>1102004</v>
      </c>
      <c r="C26" s="16" t="s">
        <v>493</v>
      </c>
      <c r="D26" s="16">
        <v>4</v>
      </c>
      <c r="E26" s="16" t="s">
        <v>471</v>
      </c>
      <c r="F26" s="18">
        <f>INDEX($J$6:$J$20,D26)*INDEX(属性投放!$B$16:$B$19,MATCH(职业设计!E26,属性投放!$A$16:$A$19,0))</f>
        <v>0.7</v>
      </c>
      <c r="G26" s="18">
        <f>INDEX($K$6:$K$20,D26)*INDEX(属性投放!$B$16:$B$19,MATCH(职业设计!E26,属性投放!$A$16:$A$19,0))</f>
        <v>0.6</v>
      </c>
      <c r="H26" s="18">
        <f>INDEX($I$6:$I$20,D26)*INDEX(属性投放!$B$16:$B$19,MATCH(职业设计!E26,属性投放!$A$16:$A$19,0))</f>
        <v>1.8617314163352707</v>
      </c>
      <c r="I26" s="18">
        <f t="shared" ref="I26:I38" si="20">INDEX($J$6:$J$20,D26)</f>
        <v>0.7</v>
      </c>
      <c r="J26" s="18">
        <f t="shared" ref="J26:J38" si="21">INDEX($K$6:$K$20,D26)</f>
        <v>0.6</v>
      </c>
      <c r="K26" s="18">
        <f t="shared" ref="K26:K38" si="22">INDEX($I$6:$I$20,D26)</f>
        <v>1.8617314163352707</v>
      </c>
    </row>
    <row r="27" spans="1:25" ht="16.5" x14ac:dyDescent="0.2">
      <c r="A27" s="16" t="s">
        <v>269</v>
      </c>
      <c r="B27" s="16">
        <v>1102005</v>
      </c>
      <c r="C27" s="16" t="s">
        <v>490</v>
      </c>
      <c r="D27" s="16">
        <v>14</v>
      </c>
      <c r="E27" s="16" t="s">
        <v>474</v>
      </c>
      <c r="F27" s="18">
        <f>INDEX($J$6:$J$20,D27)*INDEX(属性投放!$B$16:$B$19,MATCH(职业设计!E27,属性投放!$A$16:$A$19,0))</f>
        <v>0.9900000000000001</v>
      </c>
      <c r="G27" s="18">
        <f>INDEX($K$6:$K$20,D27)*INDEX(属性投放!$B$16:$B$19,MATCH(职业设计!E27,属性投放!$A$16:$A$19,0))</f>
        <v>0.77</v>
      </c>
      <c r="H27" s="18">
        <f>INDEX($I$6:$I$20,D27)*INDEX(属性投放!$B$16:$B$19,MATCH(职业设计!E27,属性投放!$A$16:$A$19,0))</f>
        <v>1.7342918323646377</v>
      </c>
      <c r="I27" s="18">
        <f t="shared" si="20"/>
        <v>0.9</v>
      </c>
      <c r="J27" s="18">
        <f t="shared" si="21"/>
        <v>0.7</v>
      </c>
      <c r="K27" s="18">
        <f t="shared" si="22"/>
        <v>1.5766289385133068</v>
      </c>
    </row>
    <row r="28" spans="1:25" ht="16.5" x14ac:dyDescent="0.2">
      <c r="A28" s="16" t="s">
        <v>284</v>
      </c>
      <c r="B28" s="16">
        <v>1102017</v>
      </c>
      <c r="C28" s="16" t="s">
        <v>475</v>
      </c>
      <c r="D28" s="16">
        <v>6</v>
      </c>
      <c r="E28" s="16" t="s">
        <v>477</v>
      </c>
      <c r="F28" s="18">
        <f>INDEX($J$6:$J$20,D28)*INDEX(属性投放!$B$16:$B$19,MATCH(职业设计!E28,属性投放!$A$16:$A$19,0))</f>
        <v>0.77</v>
      </c>
      <c r="G28" s="18">
        <f>INDEX($K$6:$K$20,D28)*INDEX(属性投放!$B$16:$B$19,MATCH(职业设计!E28,属性投放!$A$16:$A$19,0))</f>
        <v>0.66</v>
      </c>
      <c r="H28" s="18">
        <f>INDEX($I$6:$I$20,D28)*INDEX(属性投放!$B$16:$B$19,MATCH(职业设计!E28,属性投放!$A$16:$A$19,0))</f>
        <v>2.0240134597736312</v>
      </c>
      <c r="I28" s="18">
        <f t="shared" si="20"/>
        <v>0.7</v>
      </c>
      <c r="J28" s="18">
        <f t="shared" si="21"/>
        <v>0.6</v>
      </c>
      <c r="K28" s="18">
        <f t="shared" si="22"/>
        <v>1.8400122361578464</v>
      </c>
    </row>
    <row r="29" spans="1:25" ht="16.5" x14ac:dyDescent="0.2">
      <c r="A29" s="16" t="s">
        <v>294</v>
      </c>
      <c r="B29" s="16">
        <v>1102012</v>
      </c>
      <c r="C29" s="16" t="s">
        <v>478</v>
      </c>
      <c r="D29" s="16">
        <v>5</v>
      </c>
      <c r="E29" s="16" t="s">
        <v>476</v>
      </c>
      <c r="F29" s="18">
        <f>INDEX($J$6:$J$20,D29)*INDEX(属性投放!$B$16:$B$19,MATCH(职业设计!E29,属性投放!$A$16:$A$19,0))</f>
        <v>1.125</v>
      </c>
      <c r="G29" s="18">
        <f>INDEX($K$6:$K$20,D29)*INDEX(属性投放!$B$16:$B$19,MATCH(职业设计!E29,属性投放!$A$16:$A$19,0))</f>
        <v>0.875</v>
      </c>
      <c r="H29" s="18">
        <f>INDEX($I$6:$I$20,D29)*INDEX(属性投放!$B$16:$B$19,MATCH(职业设计!E29,属性投放!$A$16:$A$19,0))</f>
        <v>1.7562710308962988</v>
      </c>
      <c r="I29" s="18">
        <f t="shared" si="20"/>
        <v>0.9</v>
      </c>
      <c r="J29" s="18">
        <f t="shared" si="21"/>
        <v>0.7</v>
      </c>
      <c r="K29" s="18">
        <f t="shared" si="22"/>
        <v>1.4050168247170389</v>
      </c>
    </row>
    <row r="30" spans="1:25" ht="16.5" x14ac:dyDescent="0.2">
      <c r="A30" s="16" t="s">
        <v>308</v>
      </c>
      <c r="B30" s="16">
        <v>1102006</v>
      </c>
      <c r="C30" s="16" t="s">
        <v>479</v>
      </c>
      <c r="D30" s="16">
        <v>12</v>
      </c>
      <c r="E30" s="16" t="s">
        <v>476</v>
      </c>
      <c r="F30" s="18">
        <f>INDEX($J$6:$J$20,D30)*INDEX(属性投放!$B$16:$B$19,MATCH(职业设计!E30,属性投放!$A$16:$A$19,0))</f>
        <v>1.25</v>
      </c>
      <c r="G30" s="18">
        <f>INDEX($K$6:$K$20,D30)*INDEX(属性投放!$B$16:$B$19,MATCH(职业设计!E30,属性投放!$A$16:$A$19,0))</f>
        <v>1.25</v>
      </c>
      <c r="H30" s="18">
        <f>INDEX($I$6:$I$20,D30)*INDEX(属性投放!$B$16:$B$19,MATCH(职业设计!E30,属性投放!$A$16:$A$19,0))</f>
        <v>1.3000917711838484</v>
      </c>
      <c r="I30" s="18">
        <f t="shared" si="20"/>
        <v>1</v>
      </c>
      <c r="J30" s="18">
        <f t="shared" si="21"/>
        <v>1</v>
      </c>
      <c r="K30" s="18">
        <f t="shared" si="22"/>
        <v>1.0400734169470787</v>
      </c>
    </row>
    <row r="31" spans="1:25" ht="16.5" x14ac:dyDescent="0.2">
      <c r="A31" s="16" t="s">
        <v>322</v>
      </c>
      <c r="B31" s="16">
        <v>1102001</v>
      </c>
      <c r="C31" s="16" t="s">
        <v>483</v>
      </c>
      <c r="D31" s="16">
        <v>13</v>
      </c>
      <c r="E31" s="16" t="s">
        <v>476</v>
      </c>
      <c r="F31" s="18">
        <f>INDEX($J$6:$J$20,D31)*INDEX(属性投放!$B$16:$B$19,MATCH(职业设计!E31,属性投放!$A$16:$A$19,0))</f>
        <v>1.0625</v>
      </c>
      <c r="G31" s="18">
        <f>INDEX($K$6:$K$20,D31)*INDEX(属性投放!$B$16:$B$19,MATCH(职业设计!E31,属性投放!$A$16:$A$19,0))</f>
        <v>1.5625</v>
      </c>
      <c r="H31" s="18">
        <f>INDEX($I$6:$I$20,D31)*INDEX(属性投放!$B$16:$B$19,MATCH(职业设计!E31,属性投放!$A$16:$A$19,0))</f>
        <v>1.2255276843071274</v>
      </c>
      <c r="I31" s="18">
        <f t="shared" si="20"/>
        <v>0.85</v>
      </c>
      <c r="J31" s="18">
        <f t="shared" si="21"/>
        <v>1.25</v>
      </c>
      <c r="K31" s="18">
        <f t="shared" si="22"/>
        <v>0.980422147445702</v>
      </c>
    </row>
    <row r="32" spans="1:25" ht="16.5" x14ac:dyDescent="0.2">
      <c r="A32" s="16" t="s">
        <v>332</v>
      </c>
      <c r="B32" s="16">
        <v>1102008</v>
      </c>
      <c r="C32" s="16" t="s">
        <v>484</v>
      </c>
      <c r="D32" s="16">
        <v>7</v>
      </c>
      <c r="E32" s="16" t="s">
        <v>476</v>
      </c>
      <c r="F32" s="18">
        <f>INDEX($J$6:$J$20,D32)*INDEX(属性投放!$B$16:$B$19,MATCH(职业设计!E32,属性投放!$A$16:$A$19,0))</f>
        <v>1.25</v>
      </c>
      <c r="G32" s="18">
        <f>INDEX($K$6:$K$20,D32)*INDEX(属性投放!$B$16:$B$19,MATCH(职业设计!E32,属性投放!$A$16:$A$19,0))</f>
        <v>0.875</v>
      </c>
      <c r="H32" s="18">
        <f>INDEX($I$6:$I$20,D32)*INDEX(属性投放!$B$16:$B$19,MATCH(职业设计!E32,属性投放!$A$16:$A$19,0))</f>
        <v>1.7906852248394003</v>
      </c>
      <c r="I32" s="18">
        <f t="shared" si="20"/>
        <v>1</v>
      </c>
      <c r="J32" s="18">
        <f t="shared" si="21"/>
        <v>0.7</v>
      </c>
      <c r="K32" s="18">
        <f t="shared" si="22"/>
        <v>1.4325481798715203</v>
      </c>
    </row>
    <row r="33" spans="1:11" ht="16.5" x14ac:dyDescent="0.2">
      <c r="A33" s="16" t="s">
        <v>339</v>
      </c>
      <c r="B33" s="16">
        <v>1102009</v>
      </c>
      <c r="C33" s="16" t="s">
        <v>485</v>
      </c>
      <c r="D33" s="16">
        <v>3</v>
      </c>
      <c r="E33" s="16" t="s">
        <v>486</v>
      </c>
      <c r="F33" s="18">
        <f>INDEX($J$6:$J$20,D33)*INDEX(属性投放!$B$16:$B$19,MATCH(职业设计!E33,属性投放!$A$16:$A$19,0))</f>
        <v>1.375</v>
      </c>
      <c r="G33" s="18">
        <f>INDEX($K$6:$K$20,D33)*INDEX(属性投放!$B$16:$B$19,MATCH(职业设计!E33,属性投放!$A$16:$A$19,0))</f>
        <v>1.375</v>
      </c>
      <c r="H33" s="18">
        <f>INDEX($I$6:$I$20,D33)*INDEX(属性投放!$B$16:$B$19,MATCH(职业设计!E33,属性投放!$A$16:$A$19,0))</f>
        <v>0.77662893851330683</v>
      </c>
      <c r="I33" s="18">
        <f t="shared" si="20"/>
        <v>1.25</v>
      </c>
      <c r="J33" s="18">
        <f t="shared" si="21"/>
        <v>1.25</v>
      </c>
      <c r="K33" s="18">
        <f t="shared" si="22"/>
        <v>0.70602630773936981</v>
      </c>
    </row>
    <row r="34" spans="1:11" ht="16.5" x14ac:dyDescent="0.2">
      <c r="A34" s="16" t="s">
        <v>345</v>
      </c>
      <c r="B34" s="16">
        <v>1102007</v>
      </c>
      <c r="C34" s="16" t="s">
        <v>488</v>
      </c>
      <c r="D34" s="16">
        <v>9</v>
      </c>
      <c r="E34" s="16" t="s">
        <v>486</v>
      </c>
      <c r="F34" s="18">
        <f>INDEX($J$6:$J$20,D34)*INDEX(属性投放!$B$16:$B$19,MATCH(职业设计!E34,属性投放!$A$16:$A$19,0))</f>
        <v>1.375</v>
      </c>
      <c r="G34" s="18">
        <f>INDEX($K$6:$K$20,D34)*INDEX(属性投放!$B$16:$B$19,MATCH(职业设计!E34,属性投放!$A$16:$A$19,0))</f>
        <v>0.77</v>
      </c>
      <c r="H34" s="18">
        <f>INDEX($I$6:$I$20,D34)*INDEX(属性投放!$B$16:$B$19,MATCH(职业设计!E34,属性投放!$A$16:$A$19,0))</f>
        <v>1.2685836647292752</v>
      </c>
      <c r="I34" s="18">
        <f t="shared" si="20"/>
        <v>1.25</v>
      </c>
      <c r="J34" s="18">
        <f t="shared" si="21"/>
        <v>0.7</v>
      </c>
      <c r="K34" s="18">
        <f t="shared" si="22"/>
        <v>1.1532578770266138</v>
      </c>
    </row>
    <row r="35" spans="1:11" ht="16.5" x14ac:dyDescent="0.2">
      <c r="A35" s="16" t="s">
        <v>355</v>
      </c>
      <c r="B35" s="16">
        <v>1102011</v>
      </c>
      <c r="C35" s="16" t="s">
        <v>489</v>
      </c>
      <c r="D35" s="16">
        <v>15</v>
      </c>
      <c r="E35" s="16" t="s">
        <v>491</v>
      </c>
      <c r="F35" s="18">
        <f>INDEX($J$6:$J$20,D35)*INDEX(属性投放!$B$16:$B$19,MATCH(职业设计!E35,属性投放!$A$16:$A$19,0))</f>
        <v>1.5625</v>
      </c>
      <c r="G35" s="18">
        <f>INDEX($K$6:$K$20,D35)*INDEX(属性投放!$B$16:$B$19,MATCH(职业设计!E35,属性投放!$A$16:$A$19,0))</f>
        <v>1</v>
      </c>
      <c r="H35" s="18">
        <f>INDEX($I$6:$I$20,D35)*INDEX(属性投放!$B$16:$B$19,MATCH(职业设计!E35,属性投放!$A$16:$A$19,0))</f>
        <v>1.3480804527378405</v>
      </c>
      <c r="I35" s="18">
        <f t="shared" si="20"/>
        <v>1.25</v>
      </c>
      <c r="J35" s="18">
        <f t="shared" si="21"/>
        <v>0.8</v>
      </c>
      <c r="K35" s="18">
        <f t="shared" si="22"/>
        <v>1.0784643621902723</v>
      </c>
    </row>
    <row r="36" spans="1:11" ht="16.5" x14ac:dyDescent="0.2">
      <c r="A36" s="16" t="s">
        <v>361</v>
      </c>
      <c r="B36" s="16">
        <v>1102010</v>
      </c>
      <c r="C36" s="16" t="s">
        <v>472</v>
      </c>
      <c r="D36" s="16">
        <v>8</v>
      </c>
      <c r="E36" s="16" t="s">
        <v>492</v>
      </c>
      <c r="F36" s="18">
        <f>INDEX($J$6:$J$20,D36)*INDEX(属性投放!$B$16:$B$19,MATCH(职业设计!E36,属性投放!$A$16:$A$19,0))</f>
        <v>0.77</v>
      </c>
      <c r="G36" s="18">
        <f>INDEX($K$6:$K$20,D36)*INDEX(属性投放!$B$16:$B$19,MATCH(职业设计!E36,属性投放!$A$16:$A$19,0))</f>
        <v>0.55000000000000004</v>
      </c>
      <c r="H36" s="18">
        <f>INDEX($I$6:$I$20,D36)*INDEX(属性投放!$B$16:$B$19,MATCH(职业设计!E36,属性投放!$A$16:$A$19,0))</f>
        <v>2.4454726215968186</v>
      </c>
      <c r="I36" s="18">
        <f t="shared" si="20"/>
        <v>0.7</v>
      </c>
      <c r="J36" s="18">
        <f t="shared" si="21"/>
        <v>0.5</v>
      </c>
      <c r="K36" s="18">
        <f t="shared" si="22"/>
        <v>2.2231569287243804</v>
      </c>
    </row>
    <row r="37" spans="1:11" ht="16.5" x14ac:dyDescent="0.2">
      <c r="A37" s="16" t="s">
        <v>366</v>
      </c>
      <c r="B37" s="16">
        <v>1102020</v>
      </c>
      <c r="C37" s="16" t="s">
        <v>493</v>
      </c>
      <c r="D37" s="16">
        <v>4</v>
      </c>
      <c r="E37" s="16" t="s">
        <v>492</v>
      </c>
      <c r="F37" s="18">
        <f>INDEX($J$6:$J$20,D37)*INDEX(属性投放!$B$16:$B$19,MATCH(职业设计!E37,属性投放!$A$16:$A$19,0))</f>
        <v>0.77</v>
      </c>
      <c r="G37" s="18">
        <f>INDEX($K$6:$K$20,D37)*INDEX(属性投放!$B$16:$B$19,MATCH(职业设计!E37,属性投放!$A$16:$A$19,0))</f>
        <v>0.66</v>
      </c>
      <c r="H37" s="18">
        <f>INDEX($I$6:$I$20,D37)*INDEX(属性投放!$B$16:$B$19,MATCH(职业设计!E37,属性投放!$A$16:$A$19,0))</f>
        <v>2.0479045579687978</v>
      </c>
      <c r="I37" s="18">
        <f t="shared" si="20"/>
        <v>0.7</v>
      </c>
      <c r="J37" s="18">
        <f t="shared" si="21"/>
        <v>0.6</v>
      </c>
      <c r="K37" s="18">
        <f t="shared" si="22"/>
        <v>1.8617314163352707</v>
      </c>
    </row>
    <row r="38" spans="1:11" ht="16.5" x14ac:dyDescent="0.2">
      <c r="A38" s="16" t="s">
        <v>468</v>
      </c>
      <c r="B38" s="16">
        <v>1102014</v>
      </c>
      <c r="C38" s="16" t="s">
        <v>500</v>
      </c>
      <c r="D38" s="16">
        <v>7</v>
      </c>
      <c r="E38" s="16" t="s">
        <v>492</v>
      </c>
      <c r="F38" s="18">
        <f>INDEX($J$6:$J$20,D38)*INDEX(属性投放!$B$16:$B$19,MATCH(职业设计!E38,属性投放!$A$16:$A$19,0))</f>
        <v>1.1000000000000001</v>
      </c>
      <c r="G38" s="18">
        <f>INDEX($K$6:$K$20,D38)*INDEX(属性投放!$B$16:$B$19,MATCH(职业设计!E38,属性投放!$A$16:$A$19,0))</f>
        <v>0.77</v>
      </c>
      <c r="H38" s="18">
        <f>INDEX($I$6:$I$20,D38)*INDEX(属性投放!$B$16:$B$19,MATCH(职业设计!E38,属性投放!$A$16:$A$19,0))</f>
        <v>1.5758029978586725</v>
      </c>
      <c r="I38" s="18">
        <f t="shared" si="20"/>
        <v>1</v>
      </c>
      <c r="J38" s="18">
        <f t="shared" si="21"/>
        <v>0.7</v>
      </c>
      <c r="K38" s="18">
        <f t="shared" si="22"/>
        <v>1.4325481798715203</v>
      </c>
    </row>
    <row r="39" spans="1:11" ht="16.5" x14ac:dyDescent="0.2">
      <c r="A39" s="16" t="s">
        <v>388</v>
      </c>
      <c r="B39" s="16">
        <v>1102003</v>
      </c>
      <c r="C39" s="16"/>
      <c r="D39" s="16"/>
      <c r="E39" s="16"/>
      <c r="F39" s="16"/>
      <c r="G39" s="16"/>
      <c r="H39" s="16"/>
      <c r="I39" s="18"/>
      <c r="J39" s="18"/>
      <c r="K39" s="18"/>
    </row>
    <row r="40" spans="1:11" ht="16.5" x14ac:dyDescent="0.2">
      <c r="A40" s="16" t="s">
        <v>393</v>
      </c>
      <c r="B40" s="16">
        <v>1102002</v>
      </c>
      <c r="C40" s="16"/>
      <c r="D40" s="16"/>
      <c r="E40" s="16"/>
      <c r="F40" s="16"/>
      <c r="G40" s="16"/>
      <c r="H40" s="16"/>
      <c r="I40" s="18"/>
      <c r="J40" s="18"/>
      <c r="K40" s="18"/>
    </row>
    <row r="41" spans="1:11" ht="16.5" x14ac:dyDescent="0.2">
      <c r="A41" s="16" t="s">
        <v>402</v>
      </c>
      <c r="B41" s="16">
        <v>1102021</v>
      </c>
      <c r="C41" s="16"/>
      <c r="D41" s="16"/>
      <c r="E41" s="16"/>
      <c r="F41" s="16"/>
      <c r="G41" s="16"/>
      <c r="H41" s="16"/>
      <c r="I41" s="18"/>
      <c r="J41" s="18"/>
      <c r="K41" s="18"/>
    </row>
    <row r="42" spans="1:11" ht="16.5" x14ac:dyDescent="0.2">
      <c r="A42" s="16" t="s">
        <v>412</v>
      </c>
      <c r="B42" s="16">
        <v>1102013</v>
      </c>
      <c r="C42" s="16"/>
      <c r="D42" s="16"/>
      <c r="E42" s="16"/>
      <c r="F42" s="16"/>
      <c r="G42" s="16"/>
      <c r="H42" s="16"/>
      <c r="I42" s="18"/>
      <c r="J42" s="18"/>
      <c r="K42" s="18"/>
    </row>
    <row r="43" spans="1:11" ht="16.5" x14ac:dyDescent="0.2">
      <c r="A43" s="16" t="s">
        <v>423</v>
      </c>
      <c r="B43" s="16">
        <v>1102018</v>
      </c>
      <c r="C43" s="16"/>
      <c r="D43" s="16"/>
      <c r="E43" s="16"/>
      <c r="F43" s="16"/>
      <c r="G43" s="16"/>
      <c r="H43" s="16"/>
      <c r="I43" s="18"/>
      <c r="J43" s="18"/>
      <c r="K43" s="18"/>
    </row>
    <row r="44" spans="1:11" ht="16.5" x14ac:dyDescent="0.2">
      <c r="A44" s="16" t="s">
        <v>432</v>
      </c>
      <c r="B44" s="16">
        <v>1102019</v>
      </c>
      <c r="C44" s="16"/>
      <c r="D44" s="16"/>
      <c r="E44" s="16"/>
      <c r="F44" s="16"/>
      <c r="G44" s="16"/>
      <c r="H44" s="16"/>
      <c r="I44" s="18"/>
      <c r="J44" s="18"/>
      <c r="K44" s="18"/>
    </row>
    <row r="45" spans="1:11" ht="16.5" x14ac:dyDescent="0.2">
      <c r="A45" s="16" t="s">
        <v>444</v>
      </c>
      <c r="B45" s="16">
        <v>1102016</v>
      </c>
      <c r="C45" s="16"/>
      <c r="D45" s="16"/>
      <c r="E45" s="16"/>
      <c r="F45" s="16"/>
      <c r="G45" s="16"/>
      <c r="H45" s="16"/>
      <c r="I45" s="18"/>
      <c r="J45" s="18"/>
      <c r="K45" s="18"/>
    </row>
  </sheetData>
  <mergeCells count="10">
    <mergeCell ref="A3:U3"/>
    <mergeCell ref="S4:V4"/>
    <mergeCell ref="A6:A8"/>
    <mergeCell ref="A12:A13"/>
    <mergeCell ref="A19:A20"/>
    <mergeCell ref="P4:R4"/>
    <mergeCell ref="L4:O4"/>
    <mergeCell ref="A16:A18"/>
    <mergeCell ref="A14:A15"/>
    <mergeCell ref="A9:A11"/>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26"/>
  <sheetViews>
    <sheetView workbookViewId="0">
      <selection activeCell="P24" sqref="P24"/>
    </sheetView>
  </sheetViews>
  <sheetFormatPr defaultRowHeight="14.25" x14ac:dyDescent="0.2"/>
  <cols>
    <col min="1" max="1" width="9" style="27"/>
    <col min="2" max="2" width="14" style="27" customWidth="1"/>
    <col min="3" max="4" width="10.5" style="27" customWidth="1"/>
    <col min="5" max="5" width="36.875" style="27" customWidth="1"/>
    <col min="6" max="6" width="34.625" style="27" customWidth="1"/>
    <col min="7" max="11" width="9" style="27"/>
    <col min="12" max="15" width="9" style="27" customWidth="1"/>
    <col min="16" max="16" width="9.625" style="27" customWidth="1"/>
    <col min="17" max="18" width="9" style="27"/>
    <col min="19" max="19" width="12.375" style="27" bestFit="1" customWidth="1"/>
    <col min="20" max="25" width="9" style="27"/>
    <col min="26" max="26" width="9.625" style="27" customWidth="1"/>
    <col min="27" max="27" width="9" style="27"/>
    <col min="28" max="28" width="12.125" style="27" bestFit="1" customWidth="1"/>
    <col min="29" max="29" width="9.625" style="27" customWidth="1"/>
    <col min="30" max="16384" width="9" style="27"/>
  </cols>
  <sheetData>
    <row r="2" spans="1:29" ht="17.25" x14ac:dyDescent="0.2">
      <c r="Y2" s="31" t="s">
        <v>225</v>
      </c>
      <c r="Z2" s="18">
        <f>属性投放!B32+属性投放!B36</f>
        <v>9807</v>
      </c>
      <c r="AA2" s="31" t="s">
        <v>224</v>
      </c>
      <c r="AB2" s="18">
        <f>((属性投放!$C$32+属性投放!$C$35)/属性投放!$N$13+1)*(属性投放!$D$32+属性投放!$D$35)</f>
        <v>76551.377454545451</v>
      </c>
    </row>
    <row r="3" spans="1:29" ht="20.25" x14ac:dyDescent="0.2">
      <c r="A3" s="127" t="s">
        <v>125</v>
      </c>
      <c r="B3" s="127"/>
      <c r="C3" s="127"/>
      <c r="D3" s="127"/>
      <c r="E3" s="127"/>
      <c r="F3" s="127"/>
      <c r="G3" s="127"/>
      <c r="H3" s="127"/>
      <c r="I3" s="127"/>
      <c r="J3" s="127"/>
      <c r="K3" s="127"/>
      <c r="L3" s="127"/>
      <c r="M3" s="127"/>
      <c r="N3" s="127"/>
      <c r="O3" s="127"/>
      <c r="P3" s="127"/>
      <c r="Q3" s="127"/>
      <c r="R3" s="127"/>
      <c r="S3" s="127"/>
      <c r="T3" s="127"/>
      <c r="U3" s="127"/>
      <c r="V3" s="127"/>
      <c r="W3" s="127"/>
      <c r="X3" s="127"/>
      <c r="Y3" s="127"/>
      <c r="Z3" s="127"/>
      <c r="AA3" s="127"/>
      <c r="AB3" s="127"/>
    </row>
    <row r="4" spans="1:29" ht="23.25" customHeight="1" x14ac:dyDescent="0.2">
      <c r="A4" s="32"/>
      <c r="B4" s="32"/>
      <c r="C4" s="32"/>
      <c r="D4" s="32"/>
      <c r="E4" s="32"/>
      <c r="F4" s="32"/>
      <c r="G4" s="32"/>
      <c r="H4" s="32"/>
      <c r="I4" s="32"/>
      <c r="J4" s="32"/>
      <c r="K4" s="32"/>
      <c r="L4" s="32"/>
      <c r="M4" s="32"/>
      <c r="N4" s="32"/>
      <c r="O4" s="32"/>
      <c r="P4" s="32"/>
      <c r="Q4" s="32"/>
      <c r="R4" s="32"/>
      <c r="S4" s="131" t="s">
        <v>217</v>
      </c>
      <c r="T4" s="131"/>
      <c r="U4" s="131"/>
      <c r="V4" s="131"/>
      <c r="W4" s="127" t="s">
        <v>58</v>
      </c>
      <c r="X4" s="127"/>
      <c r="Y4" s="127"/>
      <c r="Z4" s="127" t="s">
        <v>223</v>
      </c>
      <c r="AA4" s="127"/>
      <c r="AB4" s="127"/>
      <c r="AC4" s="127"/>
    </row>
    <row r="5" spans="1:29" ht="17.25" x14ac:dyDescent="0.2">
      <c r="A5" s="13" t="s">
        <v>231</v>
      </c>
      <c r="B5" s="13" t="s">
        <v>461</v>
      </c>
      <c r="C5" s="13" t="s">
        <v>504</v>
      </c>
      <c r="D5" s="13" t="s">
        <v>511</v>
      </c>
      <c r="E5" s="13" t="s">
        <v>509</v>
      </c>
      <c r="F5" s="13" t="s">
        <v>520</v>
      </c>
      <c r="G5" s="13" t="s">
        <v>133</v>
      </c>
      <c r="H5" s="13" t="s">
        <v>134</v>
      </c>
      <c r="I5" s="24" t="s">
        <v>136</v>
      </c>
      <c r="J5" s="24" t="s">
        <v>227</v>
      </c>
      <c r="K5" s="24" t="s">
        <v>505</v>
      </c>
      <c r="L5" s="24" t="s">
        <v>228</v>
      </c>
      <c r="M5" s="24" t="s">
        <v>506</v>
      </c>
      <c r="N5" s="24" t="s">
        <v>507</v>
      </c>
      <c r="O5" s="24" t="s">
        <v>508</v>
      </c>
      <c r="P5" s="13" t="s">
        <v>219</v>
      </c>
      <c r="Q5" s="13" t="s">
        <v>209</v>
      </c>
      <c r="R5" s="13" t="s">
        <v>135</v>
      </c>
      <c r="S5" s="24" t="s">
        <v>110</v>
      </c>
      <c r="T5" s="24" t="s">
        <v>192</v>
      </c>
      <c r="U5" s="24" t="s">
        <v>215</v>
      </c>
      <c r="V5" s="24" t="s">
        <v>207</v>
      </c>
      <c r="W5" s="24" t="s">
        <v>110</v>
      </c>
      <c r="X5" s="24" t="s">
        <v>192</v>
      </c>
      <c r="Y5" s="24" t="s">
        <v>215</v>
      </c>
      <c r="Z5" s="13" t="s">
        <v>192</v>
      </c>
      <c r="AA5" s="13" t="s">
        <v>215</v>
      </c>
      <c r="AB5" s="13" t="s">
        <v>222</v>
      </c>
      <c r="AC5" s="13" t="s">
        <v>189</v>
      </c>
    </row>
    <row r="6" spans="1:29" ht="16.5" x14ac:dyDescent="0.2">
      <c r="A6" s="16" t="s">
        <v>244</v>
      </c>
      <c r="B6" s="16">
        <v>1102015</v>
      </c>
      <c r="C6" s="16" t="s">
        <v>246</v>
      </c>
      <c r="D6" s="16" t="s">
        <v>513</v>
      </c>
      <c r="E6" s="16" t="s">
        <v>512</v>
      </c>
      <c r="F6" s="16"/>
      <c r="G6" s="19">
        <v>0.05</v>
      </c>
      <c r="H6" s="19">
        <v>0.05</v>
      </c>
      <c r="I6" s="16"/>
      <c r="J6" s="19"/>
      <c r="K6" s="16"/>
      <c r="L6" s="19">
        <f>1/(1+G6+H6+I6+J6/4+K6)</f>
        <v>0.90909090909090906</v>
      </c>
      <c r="M6" s="18">
        <f>INDEX(属性投放!$B$16:$B$19,MATCH('职业设计 (2)'!C6,属性投放!$A$16:$A$19))*P6</f>
        <v>1.0536861425512389</v>
      </c>
      <c r="N6" s="18">
        <f>INDEX(属性投放!$B$16:$B$19,MATCH('职业设计 (2)'!C6,属性投放!$A$16:$A$19))*Q6</f>
        <v>1</v>
      </c>
      <c r="O6" s="18">
        <f>INDEX(属性投放!$B$16:$B$19,MATCH('职业设计 (2)'!C6,属性投放!$A$16:$A$19))*R6</f>
        <v>1</v>
      </c>
      <c r="P6" s="18">
        <f>S6/属性投放!$B$25</f>
        <v>1.0536861425512389</v>
      </c>
      <c r="Q6" s="16">
        <v>1</v>
      </c>
      <c r="R6" s="16">
        <v>1</v>
      </c>
      <c r="S6" s="18">
        <f>AC6-W6</f>
        <v>6889</v>
      </c>
      <c r="T6" s="18">
        <f>INT(属性投放!$C$32*R6)</f>
        <v>3249</v>
      </c>
      <c r="U6" s="18">
        <f>INT(属性投放!$D$32*Q6)</f>
        <v>22938</v>
      </c>
      <c r="V6" s="18">
        <f>S6*10+T6*20+U6</f>
        <v>156808</v>
      </c>
      <c r="W6" s="18">
        <f>属性投放!B$35</f>
        <v>2026</v>
      </c>
      <c r="X6" s="18">
        <f>属性投放!C$35</f>
        <v>1007</v>
      </c>
      <c r="Y6" s="18">
        <f>属性投放!D$35</f>
        <v>7110</v>
      </c>
      <c r="Z6" s="18">
        <f>(T6+X6)</f>
        <v>4256</v>
      </c>
      <c r="AA6" s="18">
        <f>(U6+Y6)</f>
        <v>30048</v>
      </c>
      <c r="AB6" s="18">
        <f>AA6*(1+Z6/属性投放!$N$13)</f>
        <v>76551.377454545451</v>
      </c>
      <c r="AC6" s="18">
        <f>INT($Z$2*$AB$2/AB6*L6)</f>
        <v>8915</v>
      </c>
    </row>
    <row r="7" spans="1:29" ht="16.5" x14ac:dyDescent="0.2">
      <c r="A7" s="16" t="s">
        <v>260</v>
      </c>
      <c r="B7" s="16">
        <v>1102004</v>
      </c>
      <c r="C7" s="16" t="s">
        <v>246</v>
      </c>
      <c r="D7" s="16" t="s">
        <v>514</v>
      </c>
      <c r="E7" s="16" t="s">
        <v>510</v>
      </c>
      <c r="F7" s="16"/>
      <c r="G7" s="19">
        <v>0.1</v>
      </c>
      <c r="H7" s="16"/>
      <c r="I7" s="16"/>
      <c r="J7" s="19"/>
      <c r="K7" s="16"/>
      <c r="L7" s="19">
        <f t="shared" ref="L7:L26" si="0">1/(1+G7+H7+I7+J7/4+K7)</f>
        <v>0.90909090909090906</v>
      </c>
      <c r="M7" s="18">
        <f>INDEX(属性投放!$B$16:$B$19,MATCH('职业设计 (2)'!C7,属性投放!$A$16:$A$19))*P7</f>
        <v>1.8617314163352707</v>
      </c>
      <c r="N7" s="18">
        <f>INDEX(属性投放!$B$16:$B$19,MATCH('职业设计 (2)'!C7,属性投放!$A$16:$A$19))*Q7</f>
        <v>0.7</v>
      </c>
      <c r="O7" s="18">
        <f>INDEX(属性投放!$B$16:$B$19,MATCH('职业设计 (2)'!C7,属性投放!$A$16:$A$19))*R7</f>
        <v>0.6</v>
      </c>
      <c r="P7" s="18">
        <f>S7/属性投放!$B$25</f>
        <v>1.8617314163352707</v>
      </c>
      <c r="Q7" s="16">
        <v>0.7</v>
      </c>
      <c r="R7" s="16">
        <v>0.6</v>
      </c>
      <c r="S7" s="18">
        <f t="shared" ref="S7:S20" si="1">AC7-W7</f>
        <v>12172</v>
      </c>
      <c r="T7" s="18">
        <f>INT(属性投放!$C$32*R7)</f>
        <v>1949</v>
      </c>
      <c r="U7" s="18">
        <f>INT(属性投放!$D$32*Q7)</f>
        <v>16056</v>
      </c>
      <c r="V7" s="18">
        <f t="shared" ref="V7:V20" si="2">S7*10+T7*20+U7</f>
        <v>176756</v>
      </c>
      <c r="W7" s="18">
        <f>属性投放!B$35</f>
        <v>2026</v>
      </c>
      <c r="X7" s="18">
        <f>属性投放!C$35</f>
        <v>1007</v>
      </c>
      <c r="Y7" s="18">
        <f>属性投放!D$35</f>
        <v>7110</v>
      </c>
      <c r="Z7" s="18">
        <f t="shared" ref="Z7:AA20" si="3">(T7+X7)</f>
        <v>2956</v>
      </c>
      <c r="AA7" s="18">
        <f t="shared" si="3"/>
        <v>23166</v>
      </c>
      <c r="AB7" s="18">
        <f>AA7*(1+Z7/属性投放!$N$13)</f>
        <v>48067.343999999997</v>
      </c>
      <c r="AC7" s="18">
        <f t="shared" ref="AC7:AC20" si="4">INT($Z$2*$AB$2/AB7*L7)</f>
        <v>14198</v>
      </c>
    </row>
    <row r="8" spans="1:29" ht="16.5" x14ac:dyDescent="0.2">
      <c r="A8" s="16" t="s">
        <v>269</v>
      </c>
      <c r="B8" s="16">
        <v>1102005</v>
      </c>
      <c r="C8" s="16" t="s">
        <v>271</v>
      </c>
      <c r="D8" s="16" t="s">
        <v>515</v>
      </c>
      <c r="E8" s="16" t="s">
        <v>516</v>
      </c>
      <c r="F8" s="16"/>
      <c r="G8" s="19"/>
      <c r="H8" s="19"/>
      <c r="I8" s="16"/>
      <c r="J8" s="16"/>
      <c r="K8" s="19">
        <v>0.15</v>
      </c>
      <c r="L8" s="19">
        <f t="shared" si="0"/>
        <v>0.86956521739130443</v>
      </c>
      <c r="M8" s="18">
        <f>INDEX(属性投放!$B$16:$B$19,MATCH('职业设计 (2)'!C8,属性投放!$A$16:$A$19))*P8</f>
        <v>1.4635821352095442</v>
      </c>
      <c r="N8" s="18">
        <f>INDEX(属性投放!$B$16:$B$19,MATCH('职业设计 (2)'!C8,属性投放!$A$16:$A$19))*Q8</f>
        <v>0.9900000000000001</v>
      </c>
      <c r="O8" s="18">
        <f>INDEX(属性投放!$B$16:$B$19,MATCH('职业设计 (2)'!C8,属性投放!$A$16:$A$19))*R8</f>
        <v>0.77</v>
      </c>
      <c r="P8" s="18">
        <f>S8/属性投放!$B$25</f>
        <v>1.3305292138268583</v>
      </c>
      <c r="Q8" s="16">
        <v>0.9</v>
      </c>
      <c r="R8" s="16">
        <v>0.7</v>
      </c>
      <c r="S8" s="18">
        <f t="shared" si="1"/>
        <v>8699</v>
      </c>
      <c r="T8" s="18">
        <f>INT(属性投放!$C$32*R8)</f>
        <v>2274</v>
      </c>
      <c r="U8" s="18">
        <f>INT(属性投放!$D$32*Q8)</f>
        <v>20644</v>
      </c>
      <c r="V8" s="18">
        <f t="shared" si="2"/>
        <v>153114</v>
      </c>
      <c r="W8" s="18">
        <f>属性投放!B$35</f>
        <v>2026</v>
      </c>
      <c r="X8" s="18">
        <f>属性投放!C$35</f>
        <v>1007</v>
      </c>
      <c r="Y8" s="18">
        <f>属性投放!D$35</f>
        <v>7110</v>
      </c>
      <c r="Z8" s="18">
        <f t="shared" si="3"/>
        <v>3281</v>
      </c>
      <c r="AA8" s="18">
        <f t="shared" si="3"/>
        <v>27754</v>
      </c>
      <c r="AB8" s="18">
        <f>AA8*(1+Z8/属性投放!$N$13)</f>
        <v>60867.045090909087</v>
      </c>
      <c r="AC8" s="18">
        <f t="shared" si="4"/>
        <v>10725</v>
      </c>
    </row>
    <row r="9" spans="1:29" ht="18" customHeight="1" x14ac:dyDescent="0.2">
      <c r="A9" s="16" t="s">
        <v>284</v>
      </c>
      <c r="B9" s="16">
        <v>1102017</v>
      </c>
      <c r="C9" s="16" t="s">
        <v>271</v>
      </c>
      <c r="D9" s="16" t="s">
        <v>517</v>
      </c>
      <c r="E9" s="16" t="s">
        <v>518</v>
      </c>
      <c r="F9" s="16"/>
      <c r="G9" s="19">
        <v>0.1</v>
      </c>
      <c r="H9" s="16"/>
      <c r="I9" s="16"/>
      <c r="J9" s="16"/>
      <c r="K9" s="19">
        <v>0.1</v>
      </c>
      <c r="L9" s="19">
        <f t="shared" si="0"/>
        <v>0.83333333333333326</v>
      </c>
      <c r="M9" s="18">
        <f>INDEX(属性投放!$B$16:$B$19,MATCH('职业设计 (2)'!C9,属性投放!$A$16:$A$19))*P9</f>
        <v>1.8488681553992048</v>
      </c>
      <c r="N9" s="18">
        <f>INDEX(属性投放!$B$16:$B$19,MATCH('职业设计 (2)'!C9,属性投放!$A$16:$A$19))*Q9</f>
        <v>0.77</v>
      </c>
      <c r="O9" s="18">
        <f>INDEX(属性投放!$B$16:$B$19,MATCH('职业设计 (2)'!C9,属性投放!$A$16:$A$19))*R9</f>
        <v>0.66</v>
      </c>
      <c r="P9" s="18">
        <f>S9/属性投放!$B$25</f>
        <v>1.6807892321810951</v>
      </c>
      <c r="Q9" s="16">
        <v>0.7</v>
      </c>
      <c r="R9" s="16">
        <v>0.6</v>
      </c>
      <c r="S9" s="18">
        <f t="shared" si="1"/>
        <v>10989</v>
      </c>
      <c r="T9" s="18">
        <f>INT(属性投放!$C$32*R9)</f>
        <v>1949</v>
      </c>
      <c r="U9" s="18">
        <f>INT(属性投放!$D$32*Q9)</f>
        <v>16056</v>
      </c>
      <c r="V9" s="18">
        <f t="shared" si="2"/>
        <v>164926</v>
      </c>
      <c r="W9" s="18">
        <f>属性投放!B$35</f>
        <v>2026</v>
      </c>
      <c r="X9" s="18">
        <f>属性投放!C$35</f>
        <v>1007</v>
      </c>
      <c r="Y9" s="18">
        <f>属性投放!D$35</f>
        <v>7110</v>
      </c>
      <c r="Z9" s="18">
        <f t="shared" si="3"/>
        <v>2956</v>
      </c>
      <c r="AA9" s="18">
        <f t="shared" si="3"/>
        <v>23166</v>
      </c>
      <c r="AB9" s="18">
        <f>AA9*(1+Z9/属性投放!$N$13)</f>
        <v>48067.343999999997</v>
      </c>
      <c r="AC9" s="18">
        <f t="shared" si="4"/>
        <v>13015</v>
      </c>
    </row>
    <row r="10" spans="1:29" ht="16.5" x14ac:dyDescent="0.2">
      <c r="A10" s="16" t="s">
        <v>294</v>
      </c>
      <c r="B10" s="16">
        <v>1102012</v>
      </c>
      <c r="C10" s="16" t="s">
        <v>310</v>
      </c>
      <c r="D10" s="16" t="s">
        <v>514</v>
      </c>
      <c r="E10" s="16" t="s">
        <v>519</v>
      </c>
      <c r="F10" s="16"/>
      <c r="G10" s="19">
        <v>0.1</v>
      </c>
      <c r="H10" s="16"/>
      <c r="I10" s="19"/>
      <c r="J10" s="19">
        <v>0.5</v>
      </c>
      <c r="K10" s="19"/>
      <c r="L10" s="19">
        <f t="shared" si="0"/>
        <v>0.81632653061224481</v>
      </c>
      <c r="M10" s="18">
        <f>INDEX(属性投放!$B$16:$B$19,MATCH('职业设计 (2)'!C10,属性投放!$A$16:$A$19))*P10</f>
        <v>1.5375497093912509</v>
      </c>
      <c r="N10" s="18">
        <f>INDEX(属性投放!$B$16:$B$19,MATCH('职业设计 (2)'!C10,属性投放!$A$16:$A$19))*Q10</f>
        <v>1.125</v>
      </c>
      <c r="O10" s="18">
        <f>INDEX(属性投放!$B$16:$B$19,MATCH('职业设计 (2)'!C10,属性投放!$A$16:$A$19))*R10</f>
        <v>0.875</v>
      </c>
      <c r="P10" s="18">
        <f>S10/属性投放!$B$25</f>
        <v>1.2300397675130008</v>
      </c>
      <c r="Q10" s="16">
        <v>0.9</v>
      </c>
      <c r="R10" s="16">
        <v>0.7</v>
      </c>
      <c r="S10" s="18">
        <f t="shared" si="1"/>
        <v>8042</v>
      </c>
      <c r="T10" s="18">
        <f>INT(属性投放!$C$32*R10)</f>
        <v>2274</v>
      </c>
      <c r="U10" s="18">
        <f>INT(属性投放!$D$32*Q10)</f>
        <v>20644</v>
      </c>
      <c r="V10" s="18">
        <f t="shared" si="2"/>
        <v>146544</v>
      </c>
      <c r="W10" s="18">
        <f>属性投放!B$35</f>
        <v>2026</v>
      </c>
      <c r="X10" s="18">
        <f>属性投放!C$35</f>
        <v>1007</v>
      </c>
      <c r="Y10" s="18">
        <f>属性投放!D$35</f>
        <v>7110</v>
      </c>
      <c r="Z10" s="18">
        <f t="shared" si="3"/>
        <v>3281</v>
      </c>
      <c r="AA10" s="18">
        <f t="shared" si="3"/>
        <v>27754</v>
      </c>
      <c r="AB10" s="18">
        <f>AA10*(1+Z10/属性投放!$N$13)</f>
        <v>60867.045090909087</v>
      </c>
      <c r="AC10" s="18">
        <f t="shared" si="4"/>
        <v>10068</v>
      </c>
    </row>
    <row r="11" spans="1:29" ht="16.5" x14ac:dyDescent="0.2">
      <c r="A11" s="16" t="s">
        <v>308</v>
      </c>
      <c r="B11" s="16">
        <v>1102006</v>
      </c>
      <c r="C11" s="16" t="s">
        <v>310</v>
      </c>
      <c r="D11" s="16"/>
      <c r="E11" s="16"/>
      <c r="F11" s="16"/>
      <c r="G11" s="19"/>
      <c r="H11" s="16"/>
      <c r="I11" s="16"/>
      <c r="J11" s="19"/>
      <c r="K11" s="19"/>
      <c r="L11" s="19">
        <f t="shared" si="0"/>
        <v>1</v>
      </c>
      <c r="M11" s="18">
        <f>INDEX(属性投放!$B$16:$B$19,MATCH('职业设计 (2)'!C11,属性投放!$A$16:$A$19))*P11</f>
        <v>1.4876491281737534</v>
      </c>
      <c r="N11" s="18">
        <f>INDEX(属性投放!$B$16:$B$19,MATCH('职业设计 (2)'!C11,属性投放!$A$16:$A$19))*Q11</f>
        <v>1.25</v>
      </c>
      <c r="O11" s="18">
        <f>INDEX(属性投放!$B$16:$B$19,MATCH('职业设计 (2)'!C11,属性投放!$A$16:$A$19))*R11</f>
        <v>1.25</v>
      </c>
      <c r="P11" s="18">
        <f>S11/属性投放!$B$25</f>
        <v>1.1901193025390027</v>
      </c>
      <c r="Q11" s="16">
        <v>1</v>
      </c>
      <c r="R11" s="16">
        <v>1</v>
      </c>
      <c r="S11" s="18">
        <f t="shared" si="1"/>
        <v>7781</v>
      </c>
      <c r="T11" s="18">
        <f>INT(属性投放!$C$32*R11)</f>
        <v>3249</v>
      </c>
      <c r="U11" s="18">
        <f>INT(属性投放!$D$32*Q11)</f>
        <v>22938</v>
      </c>
      <c r="V11" s="18">
        <f t="shared" si="2"/>
        <v>165728</v>
      </c>
      <c r="W11" s="18">
        <f>属性投放!B$35</f>
        <v>2026</v>
      </c>
      <c r="X11" s="18">
        <f>属性投放!C$35</f>
        <v>1007</v>
      </c>
      <c r="Y11" s="18">
        <f>属性投放!D$35</f>
        <v>7110</v>
      </c>
      <c r="Z11" s="18">
        <f t="shared" si="3"/>
        <v>4256</v>
      </c>
      <c r="AA11" s="18">
        <f t="shared" si="3"/>
        <v>30048</v>
      </c>
      <c r="AB11" s="18">
        <f>AA11*(1+Z11/属性投放!$N$13)</f>
        <v>76551.377454545451</v>
      </c>
      <c r="AC11" s="18">
        <f t="shared" si="4"/>
        <v>9807</v>
      </c>
    </row>
    <row r="12" spans="1:29" ht="16.5" x14ac:dyDescent="0.2">
      <c r="A12" s="16" t="s">
        <v>322</v>
      </c>
      <c r="B12" s="16">
        <v>1102001</v>
      </c>
      <c r="C12" s="16" t="s">
        <v>310</v>
      </c>
      <c r="D12" s="16"/>
      <c r="E12" s="16"/>
      <c r="F12" s="16"/>
      <c r="G12" s="16"/>
      <c r="H12" s="16"/>
      <c r="I12" s="16"/>
      <c r="J12" s="16"/>
      <c r="K12" s="16"/>
      <c r="L12" s="19">
        <f t="shared" si="0"/>
        <v>1</v>
      </c>
      <c r="M12" s="18">
        <f>INDEX(属性投放!$B$16:$B$19,MATCH('职业设计 (2)'!C12,属性投放!$A$16:$A$19))*P12</f>
        <v>1.5100183542367696</v>
      </c>
      <c r="N12" s="18">
        <f>INDEX(属性投放!$B$16:$B$19,MATCH('职业设计 (2)'!C12,属性投放!$A$16:$A$19))*Q12</f>
        <v>1.0625</v>
      </c>
      <c r="O12" s="18">
        <f>INDEX(属性投放!$B$16:$B$19,MATCH('职业设计 (2)'!C12,属性投放!$A$16:$A$19))*R12</f>
        <v>1.5625</v>
      </c>
      <c r="P12" s="18">
        <f>S12/属性投放!$B$25</f>
        <v>1.2080146833894156</v>
      </c>
      <c r="Q12" s="16">
        <v>0.85</v>
      </c>
      <c r="R12" s="16">
        <v>1.25</v>
      </c>
      <c r="S12" s="18">
        <f t="shared" si="1"/>
        <v>7898</v>
      </c>
      <c r="T12" s="18">
        <f>INT(属性投放!$C$32*R12)</f>
        <v>4061</v>
      </c>
      <c r="U12" s="18">
        <f>INT(属性投放!$D$32*Q12)</f>
        <v>19497</v>
      </c>
      <c r="V12" s="18">
        <f t="shared" si="2"/>
        <v>179697</v>
      </c>
      <c r="W12" s="18">
        <f>属性投放!B$35</f>
        <v>2026</v>
      </c>
      <c r="X12" s="18">
        <f>属性投放!C$35</f>
        <v>1007</v>
      </c>
      <c r="Y12" s="18">
        <f>属性投放!D$35</f>
        <v>7110</v>
      </c>
      <c r="Z12" s="18">
        <f t="shared" si="3"/>
        <v>5068</v>
      </c>
      <c r="AA12" s="18">
        <f t="shared" si="3"/>
        <v>26607</v>
      </c>
      <c r="AB12" s="18">
        <f>AA12*(1+Z12/属性投放!$N$13)</f>
        <v>75641.282181818169</v>
      </c>
      <c r="AC12" s="18">
        <f t="shared" si="4"/>
        <v>9924</v>
      </c>
    </row>
    <row r="13" spans="1:29" ht="16.5" x14ac:dyDescent="0.2">
      <c r="A13" s="16" t="s">
        <v>332</v>
      </c>
      <c r="B13" s="16">
        <v>1102008</v>
      </c>
      <c r="C13" s="16" t="s">
        <v>310</v>
      </c>
      <c r="D13" s="16"/>
      <c r="E13" s="16"/>
      <c r="F13" s="16"/>
      <c r="G13" s="16"/>
      <c r="H13" s="16"/>
      <c r="I13" s="16"/>
      <c r="J13" s="16"/>
      <c r="K13" s="16"/>
      <c r="L13" s="19">
        <f t="shared" si="0"/>
        <v>1</v>
      </c>
      <c r="M13" s="18">
        <f>INDEX(属性投放!$B$16:$B$19,MATCH('职业设计 (2)'!C13,属性投放!$A$16:$A$19))*P13</f>
        <v>1.7906852248394003</v>
      </c>
      <c r="N13" s="18">
        <f>INDEX(属性投放!$B$16:$B$19,MATCH('职业设计 (2)'!C13,属性投放!$A$16:$A$19))*Q13</f>
        <v>1.25</v>
      </c>
      <c r="O13" s="18">
        <f>INDEX(属性投放!$B$16:$B$19,MATCH('职业设计 (2)'!C13,属性投放!$A$16:$A$19))*R13</f>
        <v>0.875</v>
      </c>
      <c r="P13" s="18">
        <f>S13/属性投放!$B$25</f>
        <v>1.4325481798715203</v>
      </c>
      <c r="Q13" s="16">
        <v>1</v>
      </c>
      <c r="R13" s="16">
        <v>0.7</v>
      </c>
      <c r="S13" s="18">
        <f t="shared" si="1"/>
        <v>9366</v>
      </c>
      <c r="T13" s="18">
        <f>INT(属性投放!$C$32*R13)</f>
        <v>2274</v>
      </c>
      <c r="U13" s="18">
        <f>INT(属性投放!$D$32*Q13)</f>
        <v>22938</v>
      </c>
      <c r="V13" s="18">
        <f t="shared" si="2"/>
        <v>162078</v>
      </c>
      <c r="W13" s="18">
        <f>属性投放!B$35</f>
        <v>2026</v>
      </c>
      <c r="X13" s="18">
        <f>属性投放!C$35</f>
        <v>1007</v>
      </c>
      <c r="Y13" s="18">
        <f>属性投放!D$35</f>
        <v>7110</v>
      </c>
      <c r="Z13" s="18">
        <f t="shared" si="3"/>
        <v>3281</v>
      </c>
      <c r="AA13" s="18">
        <f t="shared" si="3"/>
        <v>30048</v>
      </c>
      <c r="AB13" s="18">
        <f>AA13*(1+Z13/属性投放!$N$13)</f>
        <v>65897.99563636363</v>
      </c>
      <c r="AC13" s="18">
        <f t="shared" si="4"/>
        <v>11392</v>
      </c>
    </row>
    <row r="14" spans="1:29" ht="16.5" x14ac:dyDescent="0.2">
      <c r="A14" s="16" t="s">
        <v>339</v>
      </c>
      <c r="B14" s="16">
        <v>1102009</v>
      </c>
      <c r="C14" s="16" t="s">
        <v>271</v>
      </c>
      <c r="D14" s="16"/>
      <c r="E14" s="16"/>
      <c r="F14" s="16"/>
      <c r="G14" s="16"/>
      <c r="H14" s="16"/>
      <c r="I14" s="16"/>
      <c r="J14" s="16"/>
      <c r="K14" s="16"/>
      <c r="L14" s="19">
        <f t="shared" si="0"/>
        <v>1</v>
      </c>
      <c r="M14" s="18">
        <f>INDEX(属性投放!$B$16:$B$19,MATCH('职业设计 (2)'!C14,属性投放!$A$16:$A$19))*P14</f>
        <v>0.90079535026001845</v>
      </c>
      <c r="N14" s="18">
        <f>INDEX(属性投放!$B$16:$B$19,MATCH('职业设计 (2)'!C14,属性投放!$A$16:$A$19))*Q14</f>
        <v>1.375</v>
      </c>
      <c r="O14" s="18">
        <f>INDEX(属性投放!$B$16:$B$19,MATCH('职业设计 (2)'!C14,属性投放!$A$16:$A$19))*R14</f>
        <v>1.375</v>
      </c>
      <c r="P14" s="18">
        <f>S14/属性投放!$B$25</f>
        <v>0.81890486387274397</v>
      </c>
      <c r="Q14" s="16">
        <v>1.25</v>
      </c>
      <c r="R14" s="16">
        <v>1.25</v>
      </c>
      <c r="S14" s="18">
        <f t="shared" si="1"/>
        <v>5354</v>
      </c>
      <c r="T14" s="18">
        <f>INT(属性投放!$C$32*R14)</f>
        <v>4061</v>
      </c>
      <c r="U14" s="18">
        <f>INT(属性投放!$D$32*Q14)</f>
        <v>28672</v>
      </c>
      <c r="V14" s="18">
        <f t="shared" si="2"/>
        <v>163432</v>
      </c>
      <c r="W14" s="18">
        <f>属性投放!B$35</f>
        <v>2026</v>
      </c>
      <c r="X14" s="18">
        <f>属性投放!C$35</f>
        <v>1007</v>
      </c>
      <c r="Y14" s="18">
        <f>属性投放!D$35</f>
        <v>7110</v>
      </c>
      <c r="Z14" s="18">
        <f t="shared" si="3"/>
        <v>5068</v>
      </c>
      <c r="AA14" s="18">
        <f t="shared" si="3"/>
        <v>35782</v>
      </c>
      <c r="AB14" s="18">
        <f>AA14*(1+Z14/属性投放!$N$13)</f>
        <v>101724.97309090909</v>
      </c>
      <c r="AC14" s="18">
        <f t="shared" si="4"/>
        <v>7380</v>
      </c>
    </row>
    <row r="15" spans="1:29" ht="19.5" customHeight="1" x14ac:dyDescent="0.2">
      <c r="A15" s="16" t="s">
        <v>345</v>
      </c>
      <c r="B15" s="16">
        <v>1102007</v>
      </c>
      <c r="C15" s="16" t="s">
        <v>271</v>
      </c>
      <c r="D15" s="16"/>
      <c r="E15" s="16"/>
      <c r="F15" s="16"/>
      <c r="G15" s="16"/>
      <c r="H15" s="16"/>
      <c r="I15" s="16"/>
      <c r="J15" s="16"/>
      <c r="K15" s="16"/>
      <c r="L15" s="19">
        <f t="shared" si="0"/>
        <v>1</v>
      </c>
      <c r="M15" s="18">
        <f>INDEX(属性投放!$B$16:$B$19,MATCH('职业设计 (2)'!C15,属性投放!$A$16:$A$19))*P15</f>
        <v>1.2685836647292752</v>
      </c>
      <c r="N15" s="18">
        <f>INDEX(属性投放!$B$16:$B$19,MATCH('职业设计 (2)'!C15,属性投放!$A$16:$A$19))*Q15</f>
        <v>1.375</v>
      </c>
      <c r="O15" s="18">
        <f>INDEX(属性投放!$B$16:$B$19,MATCH('职业设计 (2)'!C15,属性投放!$A$16:$A$19))*R15</f>
        <v>0.77</v>
      </c>
      <c r="P15" s="18">
        <f>S15/属性投放!$B$25</f>
        <v>1.1532578770266138</v>
      </c>
      <c r="Q15" s="16">
        <v>1.25</v>
      </c>
      <c r="R15" s="16">
        <v>0.7</v>
      </c>
      <c r="S15" s="18">
        <f t="shared" si="1"/>
        <v>7540</v>
      </c>
      <c r="T15" s="18">
        <f>INT(属性投放!$C$32*R15)</f>
        <v>2274</v>
      </c>
      <c r="U15" s="18">
        <f>INT(属性投放!$D$32*Q15)</f>
        <v>28672</v>
      </c>
      <c r="V15" s="18">
        <f t="shared" si="2"/>
        <v>149552</v>
      </c>
      <c r="W15" s="18">
        <f>属性投放!B$35</f>
        <v>2026</v>
      </c>
      <c r="X15" s="18">
        <f>属性投放!C$35</f>
        <v>1007</v>
      </c>
      <c r="Y15" s="18">
        <f>属性投放!D$35</f>
        <v>7110</v>
      </c>
      <c r="Z15" s="18">
        <f t="shared" si="3"/>
        <v>3281</v>
      </c>
      <c r="AA15" s="18">
        <f t="shared" si="3"/>
        <v>35782</v>
      </c>
      <c r="AB15" s="18">
        <f>AA15*(1+Z15/属性投放!$N$13)</f>
        <v>78473.178909090901</v>
      </c>
      <c r="AC15" s="18">
        <f t="shared" si="4"/>
        <v>9566</v>
      </c>
    </row>
    <row r="16" spans="1:29" ht="16.5" x14ac:dyDescent="0.2">
      <c r="A16" s="16" t="s">
        <v>355</v>
      </c>
      <c r="B16" s="16">
        <v>1102011</v>
      </c>
      <c r="C16" s="16" t="s">
        <v>310</v>
      </c>
      <c r="D16" s="16"/>
      <c r="E16" s="16"/>
      <c r="F16" s="16"/>
      <c r="G16" s="16"/>
      <c r="H16" s="16"/>
      <c r="I16" s="16"/>
      <c r="J16" s="16"/>
      <c r="K16" s="16"/>
      <c r="L16" s="19">
        <f t="shared" si="0"/>
        <v>1</v>
      </c>
      <c r="M16" s="18">
        <f>INDEX(属性投放!$B$16:$B$19,MATCH('职业设计 (2)'!C16,属性投放!$A$16:$A$19))*P16</f>
        <v>1.3480804527378405</v>
      </c>
      <c r="N16" s="18">
        <f>INDEX(属性投放!$B$16:$B$19,MATCH('职业设计 (2)'!C16,属性投放!$A$16:$A$19))*Q16</f>
        <v>1.5625</v>
      </c>
      <c r="O16" s="18">
        <f>INDEX(属性投放!$B$16:$B$19,MATCH('职业设计 (2)'!C16,属性投放!$A$16:$A$19))*R16</f>
        <v>1</v>
      </c>
      <c r="P16" s="18">
        <f>S16/属性投放!$B$25</f>
        <v>1.0784643621902723</v>
      </c>
      <c r="Q16" s="16">
        <v>1.25</v>
      </c>
      <c r="R16" s="16">
        <v>0.8</v>
      </c>
      <c r="S16" s="18">
        <f t="shared" si="1"/>
        <v>7051</v>
      </c>
      <c r="T16" s="18">
        <f>INT(属性投放!$C$32*R16)</f>
        <v>2599</v>
      </c>
      <c r="U16" s="18">
        <f>INT(属性投放!$D$32*Q16)</f>
        <v>28672</v>
      </c>
      <c r="V16" s="18">
        <f t="shared" si="2"/>
        <v>151162</v>
      </c>
      <c r="W16" s="18">
        <f>属性投放!B$35</f>
        <v>2026</v>
      </c>
      <c r="X16" s="18">
        <f>属性投放!C$35</f>
        <v>1007</v>
      </c>
      <c r="Y16" s="18">
        <f>属性投放!D$35</f>
        <v>7110</v>
      </c>
      <c r="Z16" s="18">
        <f t="shared" si="3"/>
        <v>3606</v>
      </c>
      <c r="AA16" s="18">
        <f t="shared" si="3"/>
        <v>35782</v>
      </c>
      <c r="AB16" s="18">
        <f>AA16*(1+Z16/属性投放!$N$13)</f>
        <v>82701.96072727273</v>
      </c>
      <c r="AC16" s="18">
        <f t="shared" si="4"/>
        <v>9077</v>
      </c>
    </row>
    <row r="17" spans="1:29" ht="16.5" x14ac:dyDescent="0.2">
      <c r="A17" s="16" t="s">
        <v>361</v>
      </c>
      <c r="B17" s="16">
        <v>1102010</v>
      </c>
      <c r="C17" s="16" t="s">
        <v>271</v>
      </c>
      <c r="D17" s="16"/>
      <c r="E17" s="16"/>
      <c r="F17" s="16"/>
      <c r="G17" s="16"/>
      <c r="H17" s="19"/>
      <c r="I17" s="16"/>
      <c r="J17" s="16"/>
      <c r="K17" s="16"/>
      <c r="L17" s="19">
        <f t="shared" si="0"/>
        <v>1</v>
      </c>
      <c r="M17" s="18">
        <f>INDEX(属性投放!$B$16:$B$19,MATCH('职业设计 (2)'!C17,属性投放!$A$16:$A$19))*P17</f>
        <v>2.4454726215968186</v>
      </c>
      <c r="N17" s="18">
        <f>INDEX(属性投放!$B$16:$B$19,MATCH('职业设计 (2)'!C17,属性投放!$A$16:$A$19))*Q17</f>
        <v>0.77</v>
      </c>
      <c r="O17" s="18">
        <f>INDEX(属性投放!$B$16:$B$19,MATCH('职业设计 (2)'!C17,属性投放!$A$16:$A$19))*R17</f>
        <v>0.55000000000000004</v>
      </c>
      <c r="P17" s="18">
        <f>S17/属性投放!$B$25</f>
        <v>2.2231569287243804</v>
      </c>
      <c r="Q17" s="16">
        <v>0.7</v>
      </c>
      <c r="R17" s="16">
        <v>0.5</v>
      </c>
      <c r="S17" s="18">
        <f t="shared" si="1"/>
        <v>14535</v>
      </c>
      <c r="T17" s="18">
        <f>INT(属性投放!$C$32*R17)</f>
        <v>1624</v>
      </c>
      <c r="U17" s="18">
        <f>INT(属性投放!$D$32*Q17)</f>
        <v>16056</v>
      </c>
      <c r="V17" s="18">
        <f t="shared" si="2"/>
        <v>193886</v>
      </c>
      <c r="W17" s="18">
        <f>属性投放!B$35</f>
        <v>2026</v>
      </c>
      <c r="X17" s="18">
        <f>属性投放!C$35</f>
        <v>1007</v>
      </c>
      <c r="Y17" s="18">
        <f>属性投放!D$35</f>
        <v>7110</v>
      </c>
      <c r="Z17" s="18">
        <f t="shared" si="3"/>
        <v>2631</v>
      </c>
      <c r="AA17" s="18">
        <f t="shared" si="3"/>
        <v>23166</v>
      </c>
      <c r="AB17" s="18">
        <f>AA17*(1+Z17/属性投放!$N$13)</f>
        <v>45329.544000000002</v>
      </c>
      <c r="AC17" s="18">
        <f t="shared" si="4"/>
        <v>16561</v>
      </c>
    </row>
    <row r="18" spans="1:29" ht="16.5" x14ac:dyDescent="0.2">
      <c r="A18" s="16" t="s">
        <v>366</v>
      </c>
      <c r="B18" s="16">
        <v>1102020</v>
      </c>
      <c r="C18" s="16" t="s">
        <v>271</v>
      </c>
      <c r="D18" s="16"/>
      <c r="E18" s="16"/>
      <c r="F18" s="16"/>
      <c r="G18" s="16"/>
      <c r="H18" s="19"/>
      <c r="I18" s="16"/>
      <c r="J18" s="19"/>
      <c r="K18" s="19"/>
      <c r="L18" s="19">
        <f t="shared" si="0"/>
        <v>1</v>
      </c>
      <c r="M18" s="18">
        <f>INDEX(属性投放!$B$16:$B$19,MATCH('职业设计 (2)'!C18,属性投放!$A$16:$A$19))*P18</f>
        <v>2.286815539920465</v>
      </c>
      <c r="N18" s="18">
        <f>INDEX(属性投放!$B$16:$B$19,MATCH('职业设计 (2)'!C18,属性投放!$A$16:$A$19))*Q18</f>
        <v>0.77</v>
      </c>
      <c r="O18" s="18">
        <f>INDEX(属性投放!$B$16:$B$19,MATCH('职业设计 (2)'!C18,属性投放!$A$16:$A$19))*R18</f>
        <v>0.66</v>
      </c>
      <c r="P18" s="18">
        <f>S18/属性投放!$B$25</f>
        <v>2.0789232181095136</v>
      </c>
      <c r="Q18" s="16">
        <v>0.7</v>
      </c>
      <c r="R18" s="16">
        <v>0.6</v>
      </c>
      <c r="S18" s="18">
        <f t="shared" si="1"/>
        <v>13592</v>
      </c>
      <c r="T18" s="18">
        <f>INT(属性投放!$C$32*R18)</f>
        <v>1949</v>
      </c>
      <c r="U18" s="18">
        <f>INT(属性投放!$D$32*Q18)</f>
        <v>16056</v>
      </c>
      <c r="V18" s="18">
        <f t="shared" si="2"/>
        <v>190956</v>
      </c>
      <c r="W18" s="18">
        <f>属性投放!B$35</f>
        <v>2026</v>
      </c>
      <c r="X18" s="18">
        <f>属性投放!C$35</f>
        <v>1007</v>
      </c>
      <c r="Y18" s="18">
        <f>属性投放!D$35</f>
        <v>7110</v>
      </c>
      <c r="Z18" s="18">
        <f t="shared" si="3"/>
        <v>2956</v>
      </c>
      <c r="AA18" s="18">
        <f t="shared" si="3"/>
        <v>23166</v>
      </c>
      <c r="AB18" s="18">
        <f>AA18*(1+Z18/属性投放!$N$13)</f>
        <v>48067.343999999997</v>
      </c>
      <c r="AC18" s="18">
        <f t="shared" si="4"/>
        <v>15618</v>
      </c>
    </row>
    <row r="19" spans="1:29" ht="16.5" x14ac:dyDescent="0.2">
      <c r="A19" s="16" t="s">
        <v>468</v>
      </c>
      <c r="B19" s="16">
        <v>1102014</v>
      </c>
      <c r="C19" s="16" t="s">
        <v>271</v>
      </c>
      <c r="D19" s="16"/>
      <c r="E19" s="16"/>
      <c r="F19" s="16"/>
      <c r="G19" s="16"/>
      <c r="H19" s="16"/>
      <c r="I19" s="16"/>
      <c r="J19" s="16"/>
      <c r="K19" s="16"/>
      <c r="L19" s="19">
        <f t="shared" si="0"/>
        <v>1</v>
      </c>
      <c r="M19" s="18">
        <f>INDEX(属性投放!$B$16:$B$19,MATCH('职业设计 (2)'!C19,属性投放!$A$16:$A$19))*P19</f>
        <v>1.5758029978586725</v>
      </c>
      <c r="N19" s="18">
        <f>INDEX(属性投放!$B$16:$B$19,MATCH('职业设计 (2)'!C19,属性投放!$A$16:$A$19))*Q19</f>
        <v>1.1000000000000001</v>
      </c>
      <c r="O19" s="18">
        <f>INDEX(属性投放!$B$16:$B$19,MATCH('职业设计 (2)'!C19,属性投放!$A$16:$A$19))*R19</f>
        <v>0.77</v>
      </c>
      <c r="P19" s="18">
        <f>S19/属性投放!$B$25</f>
        <v>1.4325481798715203</v>
      </c>
      <c r="Q19" s="16">
        <v>1</v>
      </c>
      <c r="R19" s="16">
        <v>0.7</v>
      </c>
      <c r="S19" s="18">
        <f t="shared" si="1"/>
        <v>9366</v>
      </c>
      <c r="T19" s="18">
        <f>INT(属性投放!$C$32*R19)</f>
        <v>2274</v>
      </c>
      <c r="U19" s="18">
        <f>INT(属性投放!$D$32*Q19)</f>
        <v>22938</v>
      </c>
      <c r="V19" s="18">
        <f t="shared" si="2"/>
        <v>162078</v>
      </c>
      <c r="W19" s="18">
        <f>属性投放!B$35</f>
        <v>2026</v>
      </c>
      <c r="X19" s="18">
        <f>属性投放!C$35</f>
        <v>1007</v>
      </c>
      <c r="Y19" s="18">
        <f>属性投放!D$35</f>
        <v>7110</v>
      </c>
      <c r="Z19" s="18">
        <f t="shared" si="3"/>
        <v>3281</v>
      </c>
      <c r="AA19" s="18">
        <f t="shared" si="3"/>
        <v>30048</v>
      </c>
      <c r="AB19" s="18">
        <f>AA19*(1+Z19/属性投放!$N$13)</f>
        <v>65897.99563636363</v>
      </c>
      <c r="AC19" s="18">
        <f t="shared" si="4"/>
        <v>11392</v>
      </c>
    </row>
    <row r="20" spans="1:29" ht="16.5" x14ac:dyDescent="0.2">
      <c r="A20" s="16" t="s">
        <v>388</v>
      </c>
      <c r="B20" s="16">
        <v>1102003</v>
      </c>
      <c r="C20" s="16"/>
      <c r="D20" s="16"/>
      <c r="E20" s="16"/>
      <c r="F20" s="16"/>
      <c r="G20" s="16"/>
      <c r="H20" s="16"/>
      <c r="I20" s="16"/>
      <c r="J20" s="16"/>
      <c r="K20" s="16"/>
      <c r="L20" s="19">
        <f t="shared" si="0"/>
        <v>1</v>
      </c>
      <c r="M20" s="18"/>
      <c r="N20" s="18"/>
      <c r="O20" s="18"/>
      <c r="P20" s="18"/>
      <c r="Q20" s="16">
        <v>1</v>
      </c>
      <c r="R20" s="16">
        <v>1</v>
      </c>
      <c r="S20" s="18">
        <f t="shared" si="1"/>
        <v>7781</v>
      </c>
      <c r="T20" s="18">
        <f>INT(属性投放!$C$32*R20)</f>
        <v>3249</v>
      </c>
      <c r="U20" s="18">
        <f>INT(属性投放!$D$32*Q20)</f>
        <v>22938</v>
      </c>
      <c r="V20" s="18">
        <f t="shared" si="2"/>
        <v>165728</v>
      </c>
      <c r="W20" s="18">
        <f>属性投放!B$35</f>
        <v>2026</v>
      </c>
      <c r="X20" s="18">
        <f>属性投放!C$35</f>
        <v>1007</v>
      </c>
      <c r="Y20" s="18">
        <f>属性投放!D$35</f>
        <v>7110</v>
      </c>
      <c r="Z20" s="18">
        <f t="shared" si="3"/>
        <v>4256</v>
      </c>
      <c r="AA20" s="18">
        <f t="shared" si="3"/>
        <v>30048</v>
      </c>
      <c r="AB20" s="18">
        <f>AA20*(1+Z20/属性投放!$N$13)</f>
        <v>76551.377454545451</v>
      </c>
      <c r="AC20" s="18">
        <f t="shared" si="4"/>
        <v>9807</v>
      </c>
    </row>
    <row r="21" spans="1:29" ht="16.5" x14ac:dyDescent="0.2">
      <c r="A21" s="16" t="s">
        <v>393</v>
      </c>
      <c r="B21" s="16">
        <v>1102002</v>
      </c>
      <c r="C21" s="16"/>
      <c r="D21" s="16"/>
      <c r="E21" s="16"/>
      <c r="F21" s="16"/>
      <c r="G21" s="16"/>
      <c r="H21" s="16"/>
      <c r="I21" s="16"/>
      <c r="J21" s="16"/>
      <c r="K21" s="16"/>
      <c r="L21" s="19">
        <f t="shared" si="0"/>
        <v>1</v>
      </c>
      <c r="M21" s="18"/>
      <c r="N21" s="18"/>
      <c r="O21" s="18"/>
      <c r="P21" s="18"/>
      <c r="Q21" s="16">
        <v>1</v>
      </c>
      <c r="R21" s="16">
        <v>1</v>
      </c>
      <c r="S21" s="18"/>
      <c r="T21" s="18"/>
      <c r="U21" s="18"/>
      <c r="V21" s="18"/>
      <c r="W21" s="18"/>
      <c r="X21" s="18"/>
      <c r="Y21" s="18"/>
      <c r="Z21" s="18"/>
      <c r="AA21" s="18"/>
      <c r="AB21" s="18"/>
      <c r="AC21" s="18"/>
    </row>
    <row r="22" spans="1:29" ht="16.5" x14ac:dyDescent="0.2">
      <c r="A22" s="16" t="s">
        <v>402</v>
      </c>
      <c r="B22" s="16">
        <v>1102021</v>
      </c>
      <c r="C22" s="16"/>
      <c r="D22" s="16"/>
      <c r="E22" s="16"/>
      <c r="F22" s="16"/>
      <c r="G22" s="16"/>
      <c r="H22" s="16"/>
      <c r="I22" s="16"/>
      <c r="J22" s="16"/>
      <c r="K22" s="16"/>
      <c r="L22" s="19">
        <f t="shared" si="0"/>
        <v>1</v>
      </c>
      <c r="M22" s="18"/>
      <c r="N22" s="18"/>
      <c r="O22" s="18"/>
      <c r="P22" s="18"/>
      <c r="Q22" s="16">
        <v>1</v>
      </c>
      <c r="R22" s="16">
        <v>1</v>
      </c>
      <c r="S22" s="18"/>
      <c r="T22" s="18"/>
      <c r="U22" s="18"/>
      <c r="V22" s="18"/>
      <c r="W22" s="18"/>
      <c r="X22" s="18"/>
      <c r="Y22" s="18"/>
      <c r="Z22" s="18"/>
      <c r="AA22" s="18"/>
      <c r="AB22" s="18"/>
      <c r="AC22" s="18"/>
    </row>
    <row r="23" spans="1:29" ht="16.5" x14ac:dyDescent="0.2">
      <c r="A23" s="16" t="s">
        <v>412</v>
      </c>
      <c r="B23" s="16">
        <v>1102013</v>
      </c>
      <c r="C23" s="16"/>
      <c r="D23" s="16"/>
      <c r="E23" s="16"/>
      <c r="F23" s="16"/>
      <c r="G23" s="16"/>
      <c r="H23" s="16"/>
      <c r="I23" s="16"/>
      <c r="J23" s="16"/>
      <c r="K23" s="16"/>
      <c r="L23" s="19">
        <f t="shared" si="0"/>
        <v>1</v>
      </c>
      <c r="M23" s="18"/>
      <c r="N23" s="18"/>
      <c r="O23" s="18"/>
      <c r="P23" s="18"/>
      <c r="Q23" s="16">
        <v>1</v>
      </c>
      <c r="R23" s="16">
        <v>1</v>
      </c>
      <c r="S23" s="18"/>
      <c r="T23" s="18"/>
      <c r="U23" s="18"/>
      <c r="V23" s="18"/>
      <c r="W23" s="18"/>
      <c r="X23" s="18"/>
      <c r="Y23" s="18"/>
      <c r="Z23" s="18"/>
      <c r="AA23" s="18"/>
      <c r="AB23" s="18"/>
      <c r="AC23" s="18"/>
    </row>
    <row r="24" spans="1:29" ht="16.5" x14ac:dyDescent="0.2">
      <c r="A24" s="16" t="s">
        <v>423</v>
      </c>
      <c r="B24" s="16">
        <v>1102018</v>
      </c>
      <c r="C24" s="16"/>
      <c r="D24" s="16"/>
      <c r="E24" s="16"/>
      <c r="F24" s="16"/>
      <c r="G24" s="16"/>
      <c r="H24" s="16"/>
      <c r="I24" s="16"/>
      <c r="J24" s="16"/>
      <c r="K24" s="16"/>
      <c r="L24" s="19">
        <f t="shared" si="0"/>
        <v>1</v>
      </c>
      <c r="M24" s="18"/>
      <c r="N24" s="18"/>
      <c r="O24" s="18"/>
      <c r="P24" s="18"/>
      <c r="Q24" s="16">
        <v>1</v>
      </c>
      <c r="R24" s="16">
        <v>1</v>
      </c>
      <c r="S24" s="18"/>
      <c r="T24" s="18"/>
      <c r="U24" s="18"/>
      <c r="V24" s="18"/>
      <c r="W24" s="18"/>
      <c r="X24" s="18"/>
      <c r="Y24" s="18"/>
      <c r="Z24" s="18"/>
      <c r="AA24" s="18"/>
      <c r="AB24" s="18"/>
      <c r="AC24" s="18"/>
    </row>
    <row r="25" spans="1:29" ht="16.5" x14ac:dyDescent="0.2">
      <c r="A25" s="16" t="s">
        <v>432</v>
      </c>
      <c r="B25" s="16">
        <v>1102019</v>
      </c>
      <c r="C25" s="16"/>
      <c r="D25" s="16"/>
      <c r="E25" s="16"/>
      <c r="F25" s="16"/>
      <c r="G25" s="16"/>
      <c r="H25" s="16"/>
      <c r="I25" s="16"/>
      <c r="J25" s="16"/>
      <c r="K25" s="16"/>
      <c r="L25" s="19">
        <f t="shared" si="0"/>
        <v>1</v>
      </c>
      <c r="M25" s="18"/>
      <c r="N25" s="18"/>
      <c r="O25" s="18"/>
      <c r="P25" s="18"/>
      <c r="Q25" s="16">
        <v>1</v>
      </c>
      <c r="R25" s="16">
        <v>1</v>
      </c>
      <c r="S25" s="18"/>
      <c r="T25" s="18"/>
      <c r="U25" s="18"/>
      <c r="V25" s="18"/>
      <c r="W25" s="18"/>
      <c r="X25" s="18"/>
      <c r="Y25" s="18"/>
      <c r="Z25" s="18"/>
      <c r="AA25" s="18"/>
      <c r="AB25" s="18"/>
      <c r="AC25" s="18"/>
    </row>
    <row r="26" spans="1:29" ht="16.5" x14ac:dyDescent="0.2">
      <c r="A26" s="16" t="s">
        <v>444</v>
      </c>
      <c r="B26" s="16">
        <v>1102016</v>
      </c>
      <c r="C26" s="16"/>
      <c r="D26" s="16"/>
      <c r="E26" s="16"/>
      <c r="F26" s="16"/>
      <c r="G26" s="16"/>
      <c r="H26" s="16"/>
      <c r="I26" s="16"/>
      <c r="J26" s="16"/>
      <c r="K26" s="16"/>
      <c r="L26" s="19">
        <f t="shared" si="0"/>
        <v>1</v>
      </c>
      <c r="M26" s="18"/>
      <c r="N26" s="18"/>
      <c r="O26" s="18"/>
      <c r="P26" s="18"/>
      <c r="Q26" s="16">
        <v>1</v>
      </c>
      <c r="R26" s="16">
        <v>1</v>
      </c>
      <c r="S26" s="18"/>
      <c r="T26" s="18"/>
      <c r="U26" s="18"/>
      <c r="V26" s="18"/>
      <c r="W26" s="18"/>
      <c r="X26" s="18"/>
      <c r="Y26" s="18"/>
      <c r="Z26" s="18"/>
      <c r="AA26" s="18"/>
      <c r="AB26" s="18"/>
      <c r="AC26" s="18"/>
    </row>
  </sheetData>
  <mergeCells count="4">
    <mergeCell ref="A3:AB3"/>
    <mergeCell ref="S4:V4"/>
    <mergeCell ref="W4:Y4"/>
    <mergeCell ref="Z4:AC4"/>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6"/>
  <sheetViews>
    <sheetView zoomScale="85" zoomScaleNormal="85" workbookViewId="0">
      <selection activeCell="G23" sqref="G23:G25"/>
    </sheetView>
  </sheetViews>
  <sheetFormatPr defaultColWidth="9" defaultRowHeight="16.5" x14ac:dyDescent="0.2"/>
  <cols>
    <col min="1" max="1" width="14.625" style="100" customWidth="1"/>
    <col min="2" max="2" width="13.375" style="41" customWidth="1"/>
    <col min="3" max="3" width="14.5" style="41" customWidth="1"/>
    <col min="4" max="4" width="11" style="41" customWidth="1"/>
    <col min="5" max="5" width="9" style="41" customWidth="1"/>
    <col min="6" max="6" width="8.875" style="41" customWidth="1"/>
    <col min="7" max="8" width="13.875" style="41" customWidth="1"/>
    <col min="9" max="9" width="9.25" style="41" customWidth="1"/>
    <col min="10" max="10" width="54" style="41" customWidth="1"/>
    <col min="11" max="11" width="14.5" style="41" customWidth="1"/>
    <col min="12" max="12" width="13.875" style="41" customWidth="1"/>
    <col min="13" max="14" width="97.625" style="41" customWidth="1"/>
    <col min="15" max="16384" width="9" style="41"/>
  </cols>
  <sheetData>
    <row r="1" spans="1:14" s="36" customFormat="1" ht="17.25" thickBot="1" x14ac:dyDescent="0.25">
      <c r="A1" s="33" t="s">
        <v>229</v>
      </c>
      <c r="B1" s="34" t="s">
        <v>230</v>
      </c>
      <c r="C1" s="34" t="s">
        <v>231</v>
      </c>
      <c r="D1" s="34" t="s">
        <v>232</v>
      </c>
      <c r="E1" s="34" t="s">
        <v>233</v>
      </c>
      <c r="F1" s="34" t="s">
        <v>234</v>
      </c>
      <c r="G1" s="34" t="s">
        <v>235</v>
      </c>
      <c r="H1" s="34" t="s">
        <v>236</v>
      </c>
      <c r="I1" s="34" t="s">
        <v>237</v>
      </c>
      <c r="J1" s="34" t="s">
        <v>238</v>
      </c>
      <c r="K1" s="35" t="s">
        <v>239</v>
      </c>
      <c r="L1" s="34" t="s">
        <v>237</v>
      </c>
      <c r="M1" s="34" t="s">
        <v>240</v>
      </c>
      <c r="N1" s="34" t="s">
        <v>241</v>
      </c>
    </row>
    <row r="2" spans="1:14" ht="33" x14ac:dyDescent="0.2">
      <c r="A2" s="135" t="s">
        <v>242</v>
      </c>
      <c r="B2" s="137" t="s">
        <v>243</v>
      </c>
      <c r="C2" s="132" t="s">
        <v>244</v>
      </c>
      <c r="D2" s="132" t="s">
        <v>245</v>
      </c>
      <c r="E2" s="132" t="s">
        <v>246</v>
      </c>
      <c r="F2" s="132" t="s">
        <v>247</v>
      </c>
      <c r="G2" s="132" t="s">
        <v>248</v>
      </c>
      <c r="H2" s="132" t="s">
        <v>249</v>
      </c>
      <c r="I2" s="37" t="s">
        <v>250</v>
      </c>
      <c r="J2" s="38" t="s">
        <v>251</v>
      </c>
      <c r="K2" s="37" t="s">
        <v>252</v>
      </c>
      <c r="L2" s="39" t="s">
        <v>253</v>
      </c>
      <c r="M2" s="38" t="s">
        <v>254</v>
      </c>
      <c r="N2" s="40" t="s">
        <v>255</v>
      </c>
    </row>
    <row r="3" spans="1:14" ht="50.25" thickBot="1" x14ac:dyDescent="0.25">
      <c r="A3" s="136"/>
      <c r="B3" s="138"/>
      <c r="C3" s="133"/>
      <c r="D3" s="133"/>
      <c r="E3" s="133"/>
      <c r="F3" s="133"/>
      <c r="G3" s="133"/>
      <c r="H3" s="133"/>
      <c r="I3" s="42" t="s">
        <v>256</v>
      </c>
      <c r="J3" s="43" t="s">
        <v>257</v>
      </c>
      <c r="K3" s="44"/>
      <c r="L3" s="45" t="s">
        <v>258</v>
      </c>
      <c r="M3" s="43"/>
      <c r="N3" s="46"/>
    </row>
    <row r="4" spans="1:14" ht="17.25" thickBot="1" x14ac:dyDescent="0.25">
      <c r="A4" s="136"/>
      <c r="B4" s="138"/>
      <c r="C4" s="134"/>
      <c r="D4" s="134"/>
      <c r="E4" s="134"/>
      <c r="F4" s="134"/>
      <c r="G4" s="134"/>
      <c r="H4" s="134"/>
      <c r="I4" s="47"/>
      <c r="J4" s="47"/>
      <c r="K4" s="42"/>
      <c r="L4" s="48" t="s">
        <v>258</v>
      </c>
      <c r="M4" s="47"/>
      <c r="N4" s="49"/>
    </row>
    <row r="5" spans="1:14" ht="33" x14ac:dyDescent="0.2">
      <c r="A5" s="135" t="s">
        <v>259</v>
      </c>
      <c r="B5" s="137" t="s">
        <v>243</v>
      </c>
      <c r="C5" s="132" t="s">
        <v>260</v>
      </c>
      <c r="D5" s="132" t="s">
        <v>261</v>
      </c>
      <c r="E5" s="132" t="s">
        <v>246</v>
      </c>
      <c r="F5" s="132" t="s">
        <v>262</v>
      </c>
      <c r="G5" s="132" t="s">
        <v>248</v>
      </c>
      <c r="H5" s="132" t="s">
        <v>110</v>
      </c>
      <c r="I5" s="37" t="s">
        <v>263</v>
      </c>
      <c r="J5" s="38" t="s">
        <v>264</v>
      </c>
      <c r="K5" s="37" t="s">
        <v>265</v>
      </c>
      <c r="L5" s="39" t="s">
        <v>253</v>
      </c>
      <c r="M5" s="38" t="s">
        <v>266</v>
      </c>
      <c r="N5" s="40"/>
    </row>
    <row r="6" spans="1:14" ht="33.75" thickBot="1" x14ac:dyDescent="0.25">
      <c r="A6" s="136"/>
      <c r="B6" s="138"/>
      <c r="C6" s="133"/>
      <c r="D6" s="133"/>
      <c r="E6" s="133"/>
      <c r="F6" s="133"/>
      <c r="G6" s="133"/>
      <c r="H6" s="133"/>
      <c r="I6" s="42" t="s">
        <v>267</v>
      </c>
      <c r="J6" s="43" t="s">
        <v>268</v>
      </c>
      <c r="K6" s="44"/>
      <c r="L6" s="45" t="s">
        <v>258</v>
      </c>
      <c r="M6" s="43"/>
      <c r="N6" s="46"/>
    </row>
    <row r="7" spans="1:14" ht="17.25" thickBot="1" x14ac:dyDescent="0.25">
      <c r="A7" s="136"/>
      <c r="B7" s="138"/>
      <c r="C7" s="134"/>
      <c r="D7" s="134"/>
      <c r="E7" s="134"/>
      <c r="F7" s="134"/>
      <c r="G7" s="134"/>
      <c r="H7" s="134"/>
      <c r="I7" s="47"/>
      <c r="J7" s="47"/>
      <c r="K7" s="42"/>
      <c r="L7" s="48" t="s">
        <v>258</v>
      </c>
      <c r="M7" s="47"/>
      <c r="N7" s="49"/>
    </row>
    <row r="8" spans="1:14" ht="34.5" customHeight="1" x14ac:dyDescent="0.2">
      <c r="A8" s="144" t="s">
        <v>242</v>
      </c>
      <c r="B8" s="146" t="s">
        <v>243</v>
      </c>
      <c r="C8" s="139" t="s">
        <v>269</v>
      </c>
      <c r="D8" s="139" t="s">
        <v>270</v>
      </c>
      <c r="E8" s="139" t="s">
        <v>271</v>
      </c>
      <c r="F8" s="139" t="s">
        <v>272</v>
      </c>
      <c r="G8" s="139" t="s">
        <v>273</v>
      </c>
      <c r="H8" s="139" t="s">
        <v>274</v>
      </c>
      <c r="I8" s="50" t="s">
        <v>275</v>
      </c>
      <c r="J8" s="50" t="s">
        <v>276</v>
      </c>
      <c r="K8" s="51" t="s">
        <v>277</v>
      </c>
      <c r="L8" s="52" t="s">
        <v>253</v>
      </c>
      <c r="M8" s="50" t="s">
        <v>278</v>
      </c>
      <c r="N8" s="40" t="s">
        <v>279</v>
      </c>
    </row>
    <row r="9" spans="1:14" ht="39" customHeight="1" x14ac:dyDescent="0.2">
      <c r="A9" s="145"/>
      <c r="B9" s="147"/>
      <c r="C9" s="140"/>
      <c r="D9" s="140"/>
      <c r="E9" s="140"/>
      <c r="F9" s="140"/>
      <c r="G9" s="140"/>
      <c r="H9" s="140"/>
      <c r="I9" s="53" t="s">
        <v>280</v>
      </c>
      <c r="J9" s="53" t="s">
        <v>281</v>
      </c>
      <c r="K9" s="54"/>
      <c r="L9" s="55" t="s">
        <v>258</v>
      </c>
      <c r="M9" s="53"/>
      <c r="N9" s="46"/>
    </row>
    <row r="10" spans="1:14" ht="17.25" thickBot="1" x14ac:dyDescent="0.25">
      <c r="A10" s="145"/>
      <c r="B10" s="147"/>
      <c r="C10" s="141"/>
      <c r="D10" s="141"/>
      <c r="E10" s="141"/>
      <c r="F10" s="141"/>
      <c r="G10" s="141"/>
      <c r="H10" s="141"/>
      <c r="I10" s="56"/>
      <c r="J10" s="56"/>
      <c r="K10" s="57"/>
      <c r="L10" s="58" t="s">
        <v>258</v>
      </c>
      <c r="M10" s="56"/>
      <c r="N10" s="49"/>
    </row>
    <row r="11" spans="1:14" ht="49.5" x14ac:dyDescent="0.2">
      <c r="A11" s="142" t="s">
        <v>282</v>
      </c>
      <c r="B11" s="132" t="s">
        <v>283</v>
      </c>
      <c r="C11" s="132" t="s">
        <v>284</v>
      </c>
      <c r="D11" s="132" t="s">
        <v>285</v>
      </c>
      <c r="E11" s="132" t="s">
        <v>271</v>
      </c>
      <c r="F11" s="132" t="s">
        <v>247</v>
      </c>
      <c r="G11" s="132" t="s">
        <v>248</v>
      </c>
      <c r="H11" s="132" t="s">
        <v>286</v>
      </c>
      <c r="I11" s="59" t="s">
        <v>287</v>
      </c>
      <c r="J11" s="38" t="s">
        <v>288</v>
      </c>
      <c r="K11" s="37" t="s">
        <v>289</v>
      </c>
      <c r="L11" s="39" t="s">
        <v>253</v>
      </c>
      <c r="M11" s="38" t="s">
        <v>290</v>
      </c>
      <c r="N11" s="40"/>
    </row>
    <row r="12" spans="1:14" ht="17.25" thickBot="1" x14ac:dyDescent="0.25">
      <c r="A12" s="143"/>
      <c r="B12" s="133"/>
      <c r="C12" s="133"/>
      <c r="D12" s="133"/>
      <c r="E12" s="133"/>
      <c r="F12" s="133"/>
      <c r="G12" s="133"/>
      <c r="H12" s="133"/>
      <c r="I12" s="42" t="s">
        <v>291</v>
      </c>
      <c r="J12" s="43" t="s">
        <v>292</v>
      </c>
      <c r="K12" s="44"/>
      <c r="L12" s="45" t="s">
        <v>258</v>
      </c>
      <c r="M12" s="43"/>
      <c r="N12" s="46"/>
    </row>
    <row r="13" spans="1:14" ht="17.25" thickBot="1" x14ac:dyDescent="0.25">
      <c r="A13" s="143"/>
      <c r="B13" s="133"/>
      <c r="C13" s="134"/>
      <c r="D13" s="134"/>
      <c r="E13" s="134"/>
      <c r="F13" s="134"/>
      <c r="G13" s="134"/>
      <c r="H13" s="134"/>
      <c r="I13" s="47"/>
      <c r="J13" s="47"/>
      <c r="K13" s="42"/>
      <c r="L13" s="48" t="s">
        <v>258</v>
      </c>
      <c r="M13" s="47"/>
      <c r="N13" s="49"/>
    </row>
    <row r="14" spans="1:14" ht="33" x14ac:dyDescent="0.2">
      <c r="A14" s="142" t="s">
        <v>293</v>
      </c>
      <c r="B14" s="132" t="s">
        <v>283</v>
      </c>
      <c r="C14" s="132" t="s">
        <v>294</v>
      </c>
      <c r="D14" s="132" t="s">
        <v>295</v>
      </c>
      <c r="E14" s="142" t="s">
        <v>296</v>
      </c>
      <c r="F14" s="132" t="s">
        <v>262</v>
      </c>
      <c r="G14" s="132" t="s">
        <v>297</v>
      </c>
      <c r="H14" s="132" t="s">
        <v>298</v>
      </c>
      <c r="I14" s="38" t="s">
        <v>299</v>
      </c>
      <c r="J14" s="38" t="s">
        <v>300</v>
      </c>
      <c r="K14" s="60" t="s">
        <v>301</v>
      </c>
      <c r="L14" s="39" t="s">
        <v>253</v>
      </c>
      <c r="M14" s="38" t="s">
        <v>302</v>
      </c>
      <c r="N14" s="40" t="s">
        <v>303</v>
      </c>
    </row>
    <row r="15" spans="1:14" ht="33" x14ac:dyDescent="0.2">
      <c r="A15" s="143"/>
      <c r="B15" s="133"/>
      <c r="C15" s="133"/>
      <c r="D15" s="133"/>
      <c r="E15" s="143"/>
      <c r="F15" s="133"/>
      <c r="G15" s="133"/>
      <c r="H15" s="133"/>
      <c r="I15" s="43" t="s">
        <v>304</v>
      </c>
      <c r="J15" s="43" t="s">
        <v>305</v>
      </c>
      <c r="K15" s="44"/>
      <c r="L15" s="45" t="s">
        <v>258</v>
      </c>
      <c r="M15" s="43"/>
      <c r="N15" s="46"/>
    </row>
    <row r="16" spans="1:14" ht="17.25" thickBot="1" x14ac:dyDescent="0.25">
      <c r="A16" s="143"/>
      <c r="B16" s="133"/>
      <c r="C16" s="134"/>
      <c r="D16" s="134"/>
      <c r="E16" s="148"/>
      <c r="F16" s="134"/>
      <c r="G16" s="134"/>
      <c r="H16" s="134"/>
      <c r="I16" s="47"/>
      <c r="J16" s="47"/>
      <c r="K16" s="42"/>
      <c r="L16" s="48" t="s">
        <v>258</v>
      </c>
      <c r="M16" s="47"/>
      <c r="N16" s="49"/>
    </row>
    <row r="17" spans="1:14" ht="16.5" customHeight="1" thickBot="1" x14ac:dyDescent="0.25">
      <c r="A17" s="142" t="s">
        <v>306</v>
      </c>
      <c r="B17" s="142" t="s">
        <v>307</v>
      </c>
      <c r="C17" s="132" t="s">
        <v>308</v>
      </c>
      <c r="D17" s="132" t="s">
        <v>309</v>
      </c>
      <c r="E17" s="132" t="s">
        <v>310</v>
      </c>
      <c r="F17" s="132" t="s">
        <v>247</v>
      </c>
      <c r="G17" s="132" t="s">
        <v>311</v>
      </c>
      <c r="H17" s="132" t="s">
        <v>312</v>
      </c>
      <c r="I17" s="38" t="s">
        <v>313</v>
      </c>
      <c r="J17" s="38" t="s">
        <v>314</v>
      </c>
      <c r="K17" s="42" t="s">
        <v>315</v>
      </c>
      <c r="L17" s="39" t="s">
        <v>253</v>
      </c>
      <c r="M17" s="38" t="s">
        <v>316</v>
      </c>
      <c r="N17" s="40"/>
    </row>
    <row r="18" spans="1:14" ht="33" x14ac:dyDescent="0.2">
      <c r="A18" s="143"/>
      <c r="B18" s="143"/>
      <c r="C18" s="133"/>
      <c r="D18" s="133"/>
      <c r="E18" s="133"/>
      <c r="F18" s="133"/>
      <c r="G18" s="133"/>
      <c r="H18" s="133"/>
      <c r="I18" s="43" t="s">
        <v>317</v>
      </c>
      <c r="J18" s="43" t="s">
        <v>318</v>
      </c>
      <c r="K18" s="44"/>
      <c r="L18" s="45" t="s">
        <v>258</v>
      </c>
      <c r="M18" s="43"/>
      <c r="N18" s="46" t="s">
        <v>319</v>
      </c>
    </row>
    <row r="19" spans="1:14" ht="17.25" thickBot="1" x14ac:dyDescent="0.25">
      <c r="A19" s="143"/>
      <c r="B19" s="143"/>
      <c r="C19" s="134"/>
      <c r="D19" s="134"/>
      <c r="E19" s="134"/>
      <c r="F19" s="134"/>
      <c r="G19" s="134"/>
      <c r="H19" s="134"/>
      <c r="I19" s="47"/>
      <c r="J19" s="47"/>
      <c r="K19" s="42"/>
      <c r="L19" s="48" t="s">
        <v>258</v>
      </c>
      <c r="M19" s="47"/>
      <c r="N19" s="49" t="s">
        <v>320</v>
      </c>
    </row>
    <row r="20" spans="1:14" ht="30.75" customHeight="1" thickBot="1" x14ac:dyDescent="0.25">
      <c r="A20" s="142" t="s">
        <v>321</v>
      </c>
      <c r="B20" s="132" t="s">
        <v>283</v>
      </c>
      <c r="C20" s="132" t="s">
        <v>322</v>
      </c>
      <c r="D20" s="132" t="s">
        <v>323</v>
      </c>
      <c r="E20" s="132" t="s">
        <v>310</v>
      </c>
      <c r="F20" s="132" t="s">
        <v>262</v>
      </c>
      <c r="G20" s="132" t="s">
        <v>273</v>
      </c>
      <c r="H20" s="132" t="s">
        <v>249</v>
      </c>
      <c r="I20" s="37" t="s">
        <v>480</v>
      </c>
      <c r="J20" s="38" t="s">
        <v>324</v>
      </c>
      <c r="K20" s="37" t="s">
        <v>325</v>
      </c>
      <c r="L20" s="39" t="s">
        <v>253</v>
      </c>
      <c r="M20" s="38" t="s">
        <v>326</v>
      </c>
      <c r="N20" s="40" t="s">
        <v>327</v>
      </c>
    </row>
    <row r="21" spans="1:14" ht="21.75" customHeight="1" x14ac:dyDescent="0.2">
      <c r="A21" s="143"/>
      <c r="B21" s="133"/>
      <c r="C21" s="133"/>
      <c r="D21" s="133"/>
      <c r="E21" s="133"/>
      <c r="F21" s="133"/>
      <c r="G21" s="133"/>
      <c r="H21" s="133"/>
      <c r="I21" s="37" t="s">
        <v>328</v>
      </c>
      <c r="J21" s="43" t="s">
        <v>329</v>
      </c>
      <c r="K21" s="44"/>
      <c r="L21" s="45" t="s">
        <v>258</v>
      </c>
      <c r="M21" s="43"/>
      <c r="N21" s="46" t="s">
        <v>330</v>
      </c>
    </row>
    <row r="22" spans="1:14" ht="17.25" thickBot="1" x14ac:dyDescent="0.25">
      <c r="A22" s="143"/>
      <c r="B22" s="133"/>
      <c r="C22" s="134"/>
      <c r="D22" s="134"/>
      <c r="E22" s="134"/>
      <c r="F22" s="134"/>
      <c r="G22" s="134"/>
      <c r="H22" s="134"/>
      <c r="I22" s="47"/>
      <c r="J22" s="47"/>
      <c r="K22" s="42"/>
      <c r="L22" s="48" t="s">
        <v>258</v>
      </c>
      <c r="M22" s="47"/>
      <c r="N22" s="49"/>
    </row>
    <row r="23" spans="1:14" ht="49.5" x14ac:dyDescent="0.2">
      <c r="A23" s="142" t="s">
        <v>331</v>
      </c>
      <c r="B23" s="132" t="s">
        <v>283</v>
      </c>
      <c r="C23" s="132" t="s">
        <v>332</v>
      </c>
      <c r="D23" s="132" t="s">
        <v>295</v>
      </c>
      <c r="E23" s="132" t="s">
        <v>310</v>
      </c>
      <c r="F23" s="132" t="s">
        <v>262</v>
      </c>
      <c r="G23" s="132" t="s">
        <v>297</v>
      </c>
      <c r="H23" s="132" t="s">
        <v>274</v>
      </c>
      <c r="I23" s="38" t="s">
        <v>333</v>
      </c>
      <c r="J23" s="38"/>
      <c r="K23" s="37" t="s">
        <v>334</v>
      </c>
      <c r="L23" s="39" t="s">
        <v>253</v>
      </c>
      <c r="M23" s="38" t="s">
        <v>335</v>
      </c>
      <c r="N23" s="40" t="s">
        <v>336</v>
      </c>
    </row>
    <row r="24" spans="1:14" x14ac:dyDescent="0.2">
      <c r="A24" s="143"/>
      <c r="B24" s="133"/>
      <c r="C24" s="133"/>
      <c r="D24" s="133"/>
      <c r="E24" s="133"/>
      <c r="F24" s="133"/>
      <c r="G24" s="133"/>
      <c r="H24" s="133"/>
      <c r="I24" s="43" t="s">
        <v>337</v>
      </c>
      <c r="J24" s="43"/>
      <c r="K24" s="44"/>
      <c r="L24" s="45" t="s">
        <v>258</v>
      </c>
      <c r="M24" s="43"/>
      <c r="N24" s="46"/>
    </row>
    <row r="25" spans="1:14" ht="17.25" thickBot="1" x14ac:dyDescent="0.25">
      <c r="A25" s="143"/>
      <c r="B25" s="133"/>
      <c r="C25" s="134"/>
      <c r="D25" s="134"/>
      <c r="E25" s="134"/>
      <c r="F25" s="134"/>
      <c r="G25" s="134"/>
      <c r="H25" s="134"/>
      <c r="I25" s="47"/>
      <c r="J25" s="47"/>
      <c r="K25" s="42"/>
      <c r="L25" s="48" t="s">
        <v>258</v>
      </c>
      <c r="M25" s="47"/>
      <c r="N25" s="49"/>
    </row>
    <row r="26" spans="1:14" x14ac:dyDescent="0.2">
      <c r="A26" s="142" t="s">
        <v>338</v>
      </c>
      <c r="B26" s="132" t="s">
        <v>283</v>
      </c>
      <c r="C26" s="132" t="s">
        <v>339</v>
      </c>
      <c r="D26" s="132" t="s">
        <v>295</v>
      </c>
      <c r="E26" s="132" t="s">
        <v>271</v>
      </c>
      <c r="F26" s="132" t="s">
        <v>247</v>
      </c>
      <c r="G26" s="132" t="s">
        <v>273</v>
      </c>
      <c r="H26" s="132" t="s">
        <v>340</v>
      </c>
      <c r="I26" s="38" t="s">
        <v>333</v>
      </c>
      <c r="J26" s="38"/>
      <c r="K26" s="37" t="s">
        <v>341</v>
      </c>
      <c r="L26" s="39" t="s">
        <v>253</v>
      </c>
      <c r="M26" s="38" t="s">
        <v>342</v>
      </c>
      <c r="N26" s="40" t="s">
        <v>343</v>
      </c>
    </row>
    <row r="27" spans="1:14" x14ac:dyDescent="0.2">
      <c r="A27" s="143"/>
      <c r="B27" s="133"/>
      <c r="C27" s="133"/>
      <c r="D27" s="133"/>
      <c r="E27" s="133"/>
      <c r="F27" s="133"/>
      <c r="G27" s="133"/>
      <c r="H27" s="133"/>
      <c r="I27" s="43" t="s">
        <v>337</v>
      </c>
      <c r="J27" s="43"/>
      <c r="K27" s="44"/>
      <c r="L27" s="45" t="s">
        <v>258</v>
      </c>
      <c r="M27" s="43"/>
      <c r="N27" s="46"/>
    </row>
    <row r="28" spans="1:14" ht="17.25" thickBot="1" x14ac:dyDescent="0.25">
      <c r="A28" s="143"/>
      <c r="B28" s="133"/>
      <c r="C28" s="134"/>
      <c r="D28" s="134"/>
      <c r="E28" s="134"/>
      <c r="F28" s="134"/>
      <c r="G28" s="134"/>
      <c r="H28" s="134"/>
      <c r="I28" s="47"/>
      <c r="J28" s="47"/>
      <c r="K28" s="42"/>
      <c r="L28" s="48" t="s">
        <v>258</v>
      </c>
      <c r="M28" s="47"/>
      <c r="N28" s="49"/>
    </row>
    <row r="29" spans="1:14" ht="66" x14ac:dyDescent="0.2">
      <c r="A29" s="142" t="s">
        <v>344</v>
      </c>
      <c r="B29" s="142" t="s">
        <v>307</v>
      </c>
      <c r="C29" s="132" t="s">
        <v>345</v>
      </c>
      <c r="D29" s="132" t="s">
        <v>346</v>
      </c>
      <c r="E29" s="132" t="s">
        <v>271</v>
      </c>
      <c r="F29" s="132" t="s">
        <v>262</v>
      </c>
      <c r="G29" s="132" t="s">
        <v>297</v>
      </c>
      <c r="H29" s="132" t="s">
        <v>274</v>
      </c>
      <c r="I29" s="38" t="s">
        <v>347</v>
      </c>
      <c r="J29" s="38" t="s">
        <v>348</v>
      </c>
      <c r="K29" s="37" t="s">
        <v>349</v>
      </c>
      <c r="L29" s="39" t="s">
        <v>253</v>
      </c>
      <c r="M29" s="38" t="s">
        <v>350</v>
      </c>
      <c r="N29" s="40"/>
    </row>
    <row r="30" spans="1:14" x14ac:dyDescent="0.2">
      <c r="A30" s="143"/>
      <c r="B30" s="143"/>
      <c r="C30" s="133"/>
      <c r="D30" s="133"/>
      <c r="E30" s="133"/>
      <c r="F30" s="133"/>
      <c r="G30" s="133"/>
      <c r="H30" s="133"/>
      <c r="I30" s="43" t="s">
        <v>351</v>
      </c>
      <c r="J30" s="43" t="s">
        <v>352</v>
      </c>
      <c r="K30" s="44"/>
      <c r="L30" s="45" t="s">
        <v>258</v>
      </c>
      <c r="M30" s="43"/>
      <c r="N30" s="46"/>
    </row>
    <row r="31" spans="1:14" ht="17.25" thickBot="1" x14ac:dyDescent="0.25">
      <c r="A31" s="143"/>
      <c r="B31" s="143"/>
      <c r="C31" s="134"/>
      <c r="D31" s="134"/>
      <c r="E31" s="134"/>
      <c r="F31" s="134"/>
      <c r="G31" s="134"/>
      <c r="H31" s="134"/>
      <c r="I31" s="47"/>
      <c r="J31" s="47"/>
      <c r="K31" s="42"/>
      <c r="L31" s="48" t="s">
        <v>258</v>
      </c>
      <c r="M31" s="47"/>
      <c r="N31" s="49"/>
    </row>
    <row r="32" spans="1:14" s="64" customFormat="1" ht="16.5" customHeight="1" x14ac:dyDescent="0.2">
      <c r="A32" s="152" t="s">
        <v>353</v>
      </c>
      <c r="B32" s="149" t="s">
        <v>354</v>
      </c>
      <c r="C32" s="149" t="s">
        <v>355</v>
      </c>
      <c r="D32" s="149" t="s">
        <v>323</v>
      </c>
      <c r="E32" s="149" t="s">
        <v>310</v>
      </c>
      <c r="F32" s="149" t="s">
        <v>247</v>
      </c>
      <c r="G32" s="149" t="s">
        <v>273</v>
      </c>
      <c r="H32" s="149" t="s">
        <v>356</v>
      </c>
      <c r="I32" s="40"/>
      <c r="J32" s="40"/>
      <c r="K32" s="61" t="s">
        <v>357</v>
      </c>
      <c r="L32" s="62" t="s">
        <v>253</v>
      </c>
      <c r="M32" s="40" t="s">
        <v>358</v>
      </c>
      <c r="N32" s="63" t="s">
        <v>359</v>
      </c>
    </row>
    <row r="33" spans="1:14" s="64" customFormat="1" x14ac:dyDescent="0.2">
      <c r="A33" s="153"/>
      <c r="B33" s="150"/>
      <c r="C33" s="150"/>
      <c r="D33" s="150"/>
      <c r="E33" s="150"/>
      <c r="F33" s="150"/>
      <c r="G33" s="150"/>
      <c r="H33" s="150"/>
      <c r="I33" s="46"/>
      <c r="J33" s="46"/>
      <c r="K33" s="65"/>
      <c r="L33" s="66" t="s">
        <v>258</v>
      </c>
      <c r="M33" s="46"/>
      <c r="N33" s="67"/>
    </row>
    <row r="34" spans="1:14" s="64" customFormat="1" ht="17.25" thickBot="1" x14ac:dyDescent="0.25">
      <c r="A34" s="153"/>
      <c r="B34" s="150"/>
      <c r="C34" s="151"/>
      <c r="D34" s="151"/>
      <c r="E34" s="151"/>
      <c r="F34" s="151"/>
      <c r="G34" s="151"/>
      <c r="H34" s="151"/>
      <c r="I34" s="49"/>
      <c r="J34" s="49"/>
      <c r="K34" s="68"/>
      <c r="L34" s="69" t="s">
        <v>258</v>
      </c>
      <c r="M34" s="49"/>
      <c r="N34" s="70"/>
    </row>
    <row r="35" spans="1:14" ht="16.5" customHeight="1" x14ac:dyDescent="0.2">
      <c r="A35" s="142" t="s">
        <v>360</v>
      </c>
      <c r="B35" s="132" t="s">
        <v>283</v>
      </c>
      <c r="C35" s="132" t="s">
        <v>361</v>
      </c>
      <c r="D35" s="132" t="s">
        <v>295</v>
      </c>
      <c r="E35" s="132" t="s">
        <v>310</v>
      </c>
      <c r="F35" s="132" t="s">
        <v>272</v>
      </c>
      <c r="G35" s="132" t="s">
        <v>297</v>
      </c>
      <c r="H35" s="132" t="s">
        <v>274</v>
      </c>
      <c r="I35" s="38" t="s">
        <v>333</v>
      </c>
      <c r="J35" s="38"/>
      <c r="K35" s="37" t="s">
        <v>362</v>
      </c>
      <c r="L35" s="39" t="s">
        <v>253</v>
      </c>
      <c r="M35" s="38" t="s">
        <v>363</v>
      </c>
      <c r="N35" s="40" t="s">
        <v>364</v>
      </c>
    </row>
    <row r="36" spans="1:14" x14ac:dyDescent="0.2">
      <c r="A36" s="143"/>
      <c r="B36" s="133"/>
      <c r="C36" s="133"/>
      <c r="D36" s="133"/>
      <c r="E36" s="133"/>
      <c r="F36" s="133"/>
      <c r="G36" s="133"/>
      <c r="H36" s="133"/>
      <c r="I36" s="43" t="s">
        <v>337</v>
      </c>
      <c r="J36" s="43"/>
      <c r="K36" s="44"/>
      <c r="L36" s="45" t="s">
        <v>258</v>
      </c>
      <c r="M36" s="43"/>
      <c r="N36" s="46"/>
    </row>
    <row r="37" spans="1:14" ht="17.25" thickBot="1" x14ac:dyDescent="0.25">
      <c r="A37" s="143"/>
      <c r="B37" s="133"/>
      <c r="C37" s="134"/>
      <c r="D37" s="134"/>
      <c r="E37" s="134"/>
      <c r="F37" s="134"/>
      <c r="G37" s="134"/>
      <c r="H37" s="134"/>
      <c r="I37" s="47"/>
      <c r="J37" s="47"/>
      <c r="K37" s="42"/>
      <c r="L37" s="48" t="s">
        <v>258</v>
      </c>
      <c r="M37" s="47"/>
      <c r="N37" s="49"/>
    </row>
    <row r="38" spans="1:14" ht="33" x14ac:dyDescent="0.2">
      <c r="A38" s="157" t="s">
        <v>365</v>
      </c>
      <c r="B38" s="157" t="s">
        <v>307</v>
      </c>
      <c r="C38" s="154" t="s">
        <v>366</v>
      </c>
      <c r="D38" s="154" t="s">
        <v>367</v>
      </c>
      <c r="E38" s="154" t="s">
        <v>271</v>
      </c>
      <c r="F38" s="154" t="s">
        <v>247</v>
      </c>
      <c r="G38" s="154" t="s">
        <v>368</v>
      </c>
      <c r="H38" s="154" t="s">
        <v>369</v>
      </c>
      <c r="I38" s="71" t="s">
        <v>370</v>
      </c>
      <c r="J38" s="71" t="s">
        <v>371</v>
      </c>
      <c r="K38" s="72" t="s">
        <v>372</v>
      </c>
      <c r="L38" s="73" t="s">
        <v>253</v>
      </c>
      <c r="M38" s="71" t="s">
        <v>373</v>
      </c>
      <c r="N38" s="40" t="s">
        <v>374</v>
      </c>
    </row>
    <row r="39" spans="1:14" x14ac:dyDescent="0.2">
      <c r="A39" s="158"/>
      <c r="B39" s="158"/>
      <c r="C39" s="155"/>
      <c r="D39" s="155"/>
      <c r="E39" s="155"/>
      <c r="F39" s="155"/>
      <c r="G39" s="155"/>
      <c r="H39" s="155"/>
      <c r="I39" s="74" t="s">
        <v>375</v>
      </c>
      <c r="J39" s="74" t="s">
        <v>376</v>
      </c>
      <c r="K39" s="75"/>
      <c r="L39" s="76" t="s">
        <v>258</v>
      </c>
      <c r="M39" s="74"/>
      <c r="N39" s="46"/>
    </row>
    <row r="40" spans="1:14" ht="17.25" thickBot="1" x14ac:dyDescent="0.25">
      <c r="A40" s="158"/>
      <c r="B40" s="158"/>
      <c r="C40" s="156"/>
      <c r="D40" s="156"/>
      <c r="E40" s="156"/>
      <c r="F40" s="156"/>
      <c r="G40" s="156"/>
      <c r="H40" s="156"/>
      <c r="I40" s="77"/>
      <c r="J40" s="77"/>
      <c r="K40" s="78"/>
      <c r="L40" s="79" t="s">
        <v>258</v>
      </c>
      <c r="M40" s="77"/>
      <c r="N40" s="49"/>
    </row>
    <row r="41" spans="1:14" ht="49.5" x14ac:dyDescent="0.2">
      <c r="A41" s="157" t="s">
        <v>377</v>
      </c>
      <c r="B41" s="154" t="s">
        <v>283</v>
      </c>
      <c r="C41" s="154" t="s">
        <v>378</v>
      </c>
      <c r="D41" s="154" t="s">
        <v>379</v>
      </c>
      <c r="E41" s="154" t="s">
        <v>271</v>
      </c>
      <c r="F41" s="154" t="s">
        <v>262</v>
      </c>
      <c r="G41" s="154" t="s">
        <v>273</v>
      </c>
      <c r="H41" s="154" t="s">
        <v>249</v>
      </c>
      <c r="I41" s="71" t="s">
        <v>380</v>
      </c>
      <c r="J41" s="71" t="s">
        <v>381</v>
      </c>
      <c r="K41" s="72" t="s">
        <v>382</v>
      </c>
      <c r="L41" s="73" t="s">
        <v>253</v>
      </c>
      <c r="M41" s="71" t="s">
        <v>383</v>
      </c>
      <c r="N41" s="40" t="s">
        <v>384</v>
      </c>
    </row>
    <row r="42" spans="1:14" x14ac:dyDescent="0.2">
      <c r="A42" s="158"/>
      <c r="B42" s="155"/>
      <c r="C42" s="155"/>
      <c r="D42" s="155"/>
      <c r="E42" s="155"/>
      <c r="F42" s="155"/>
      <c r="G42" s="155"/>
      <c r="H42" s="155"/>
      <c r="I42" s="74" t="s">
        <v>385</v>
      </c>
      <c r="J42" s="74" t="s">
        <v>386</v>
      </c>
      <c r="K42" s="75"/>
      <c r="L42" s="76" t="s">
        <v>258</v>
      </c>
      <c r="M42" s="74"/>
      <c r="N42" s="46"/>
    </row>
    <row r="43" spans="1:14" ht="17.25" thickBot="1" x14ac:dyDescent="0.25">
      <c r="A43" s="158"/>
      <c r="B43" s="155"/>
      <c r="C43" s="156"/>
      <c r="D43" s="156"/>
      <c r="E43" s="156"/>
      <c r="F43" s="156"/>
      <c r="G43" s="156"/>
      <c r="H43" s="156"/>
      <c r="I43" s="77"/>
      <c r="J43" s="77"/>
      <c r="K43" s="78"/>
      <c r="L43" s="79" t="s">
        <v>258</v>
      </c>
      <c r="M43" s="77"/>
      <c r="N43" s="49"/>
    </row>
    <row r="44" spans="1:14" ht="33" x14ac:dyDescent="0.2">
      <c r="A44" s="157" t="s">
        <v>387</v>
      </c>
      <c r="B44" s="154" t="s">
        <v>283</v>
      </c>
      <c r="C44" s="154" t="s">
        <v>388</v>
      </c>
      <c r="D44" s="154" t="s">
        <v>245</v>
      </c>
      <c r="E44" s="154" t="s">
        <v>271</v>
      </c>
      <c r="F44" s="154" t="s">
        <v>247</v>
      </c>
      <c r="G44" s="154" t="s">
        <v>273</v>
      </c>
      <c r="H44" s="154" t="s">
        <v>286</v>
      </c>
      <c r="I44" s="71" t="s">
        <v>333</v>
      </c>
      <c r="J44" s="71"/>
      <c r="K44" s="72" t="s">
        <v>389</v>
      </c>
      <c r="L44" s="73" t="s">
        <v>253</v>
      </c>
      <c r="M44" s="71" t="s">
        <v>390</v>
      </c>
      <c r="N44" s="40" t="s">
        <v>391</v>
      </c>
    </row>
    <row r="45" spans="1:14" x14ac:dyDescent="0.2">
      <c r="A45" s="158"/>
      <c r="B45" s="155"/>
      <c r="C45" s="155"/>
      <c r="D45" s="155"/>
      <c r="E45" s="155"/>
      <c r="F45" s="155"/>
      <c r="G45" s="155"/>
      <c r="H45" s="155"/>
      <c r="I45" s="74" t="s">
        <v>337</v>
      </c>
      <c r="J45" s="74"/>
      <c r="K45" s="75"/>
      <c r="L45" s="76" t="s">
        <v>258</v>
      </c>
      <c r="M45" s="74"/>
      <c r="N45" s="46"/>
    </row>
    <row r="46" spans="1:14" ht="17.25" thickBot="1" x14ac:dyDescent="0.25">
      <c r="A46" s="158"/>
      <c r="B46" s="155"/>
      <c r="C46" s="156"/>
      <c r="D46" s="156"/>
      <c r="E46" s="156"/>
      <c r="F46" s="156"/>
      <c r="G46" s="156"/>
      <c r="H46" s="156"/>
      <c r="I46" s="77"/>
      <c r="J46" s="77"/>
      <c r="K46" s="78"/>
      <c r="L46" s="79" t="s">
        <v>258</v>
      </c>
      <c r="M46" s="77"/>
      <c r="N46" s="49"/>
    </row>
    <row r="47" spans="1:14" ht="33" customHeight="1" x14ac:dyDescent="0.2">
      <c r="A47" s="157" t="s">
        <v>392</v>
      </c>
      <c r="B47" s="159" t="s">
        <v>243</v>
      </c>
      <c r="C47" s="154" t="s">
        <v>393</v>
      </c>
      <c r="D47" s="154" t="s">
        <v>245</v>
      </c>
      <c r="E47" s="154" t="s">
        <v>271</v>
      </c>
      <c r="F47" s="154" t="s">
        <v>262</v>
      </c>
      <c r="G47" s="154" t="s">
        <v>394</v>
      </c>
      <c r="H47" s="154" t="s">
        <v>249</v>
      </c>
      <c r="I47" s="71" t="s">
        <v>333</v>
      </c>
      <c r="J47" s="71"/>
      <c r="K47" s="80" t="s">
        <v>395</v>
      </c>
      <c r="L47" s="73" t="s">
        <v>253</v>
      </c>
      <c r="M47" s="71" t="s">
        <v>396</v>
      </c>
      <c r="N47" s="40" t="s">
        <v>397</v>
      </c>
    </row>
    <row r="48" spans="1:14" x14ac:dyDescent="0.2">
      <c r="A48" s="158"/>
      <c r="B48" s="160"/>
      <c r="C48" s="155"/>
      <c r="D48" s="155"/>
      <c r="E48" s="155"/>
      <c r="F48" s="155"/>
      <c r="G48" s="155"/>
      <c r="H48" s="155"/>
      <c r="I48" s="74" t="s">
        <v>337</v>
      </c>
      <c r="J48" s="74"/>
      <c r="K48" s="75"/>
      <c r="L48" s="76" t="s">
        <v>258</v>
      </c>
      <c r="M48" s="74"/>
      <c r="N48" s="46" t="s">
        <v>398</v>
      </c>
    </row>
    <row r="49" spans="1:14" ht="17.25" thickBot="1" x14ac:dyDescent="0.25">
      <c r="A49" s="158"/>
      <c r="B49" s="160"/>
      <c r="C49" s="156"/>
      <c r="D49" s="156"/>
      <c r="E49" s="156"/>
      <c r="F49" s="156"/>
      <c r="G49" s="156"/>
      <c r="H49" s="156"/>
      <c r="I49" s="77"/>
      <c r="J49" s="77"/>
      <c r="K49" s="78"/>
      <c r="L49" s="79" t="s">
        <v>258</v>
      </c>
      <c r="M49" s="77"/>
      <c r="N49" s="49" t="s">
        <v>399</v>
      </c>
    </row>
    <row r="50" spans="1:14" ht="33" x14ac:dyDescent="0.2">
      <c r="A50" s="152" t="s">
        <v>400</v>
      </c>
      <c r="B50" s="149" t="s">
        <v>401</v>
      </c>
      <c r="C50" s="161" t="s">
        <v>402</v>
      </c>
      <c r="D50" s="161" t="s">
        <v>403</v>
      </c>
      <c r="E50" s="161" t="s">
        <v>246</v>
      </c>
      <c r="F50" s="161" t="s">
        <v>247</v>
      </c>
      <c r="G50" s="161" t="s">
        <v>297</v>
      </c>
      <c r="H50" s="161" t="s">
        <v>249</v>
      </c>
      <c r="I50" s="40" t="s">
        <v>404</v>
      </c>
      <c r="J50" s="63" t="s">
        <v>405</v>
      </c>
      <c r="K50" s="81" t="s">
        <v>406</v>
      </c>
      <c r="L50" s="82" t="s">
        <v>253</v>
      </c>
      <c r="M50" s="63" t="s">
        <v>407</v>
      </c>
      <c r="N50" s="63" t="s">
        <v>408</v>
      </c>
    </row>
    <row r="51" spans="1:14" x14ac:dyDescent="0.2">
      <c r="A51" s="153"/>
      <c r="B51" s="150"/>
      <c r="C51" s="162"/>
      <c r="D51" s="162"/>
      <c r="E51" s="162"/>
      <c r="F51" s="162"/>
      <c r="G51" s="162"/>
      <c r="H51" s="162"/>
      <c r="I51" s="46" t="s">
        <v>409</v>
      </c>
      <c r="J51" s="46" t="s">
        <v>410</v>
      </c>
      <c r="K51" s="83"/>
      <c r="L51" s="84" t="s">
        <v>258</v>
      </c>
      <c r="M51" s="67"/>
      <c r="N51" s="67"/>
    </row>
    <row r="52" spans="1:14" ht="17.25" thickBot="1" x14ac:dyDescent="0.25">
      <c r="A52" s="153"/>
      <c r="B52" s="150"/>
      <c r="C52" s="163"/>
      <c r="D52" s="163"/>
      <c r="E52" s="163"/>
      <c r="F52" s="163"/>
      <c r="G52" s="163"/>
      <c r="H52" s="163"/>
      <c r="I52" s="49"/>
      <c r="J52" s="70"/>
      <c r="K52" s="85"/>
      <c r="L52" s="86" t="s">
        <v>258</v>
      </c>
      <c r="M52" s="70"/>
      <c r="N52" s="70"/>
    </row>
    <row r="53" spans="1:14" ht="33" x14ac:dyDescent="0.2">
      <c r="A53" s="152" t="s">
        <v>400</v>
      </c>
      <c r="B53" s="164" t="s">
        <v>411</v>
      </c>
      <c r="C53" s="149" t="s">
        <v>412</v>
      </c>
      <c r="D53" s="149" t="s">
        <v>413</v>
      </c>
      <c r="E53" s="149" t="s">
        <v>246</v>
      </c>
      <c r="F53" s="149" t="s">
        <v>247</v>
      </c>
      <c r="G53" s="149" t="s">
        <v>414</v>
      </c>
      <c r="H53" s="149" t="s">
        <v>415</v>
      </c>
      <c r="I53" s="40" t="s">
        <v>416</v>
      </c>
      <c r="J53" s="40" t="s">
        <v>417</v>
      </c>
      <c r="K53" s="61" t="s">
        <v>418</v>
      </c>
      <c r="L53" s="62" t="s">
        <v>253</v>
      </c>
      <c r="M53" s="40" t="s">
        <v>419</v>
      </c>
      <c r="N53" s="40"/>
    </row>
    <row r="54" spans="1:14" x14ac:dyDescent="0.2">
      <c r="A54" s="153"/>
      <c r="B54" s="165"/>
      <c r="C54" s="150"/>
      <c r="D54" s="150"/>
      <c r="E54" s="150"/>
      <c r="F54" s="150"/>
      <c r="G54" s="150"/>
      <c r="H54" s="150"/>
      <c r="I54" s="46" t="s">
        <v>420</v>
      </c>
      <c r="J54" s="46" t="s">
        <v>421</v>
      </c>
      <c r="K54" s="65"/>
      <c r="L54" s="66" t="s">
        <v>258</v>
      </c>
      <c r="M54" s="46"/>
      <c r="N54" s="46"/>
    </row>
    <row r="55" spans="1:14" ht="17.25" thickBot="1" x14ac:dyDescent="0.25">
      <c r="A55" s="153"/>
      <c r="B55" s="166"/>
      <c r="C55" s="151"/>
      <c r="D55" s="151"/>
      <c r="E55" s="151"/>
      <c r="F55" s="151"/>
      <c r="G55" s="151"/>
      <c r="H55" s="151"/>
      <c r="I55" s="49"/>
      <c r="J55" s="49"/>
      <c r="K55" s="68"/>
      <c r="L55" s="69" t="s">
        <v>258</v>
      </c>
      <c r="M55" s="49"/>
      <c r="N55" s="49"/>
    </row>
    <row r="56" spans="1:14" ht="33" x14ac:dyDescent="0.2">
      <c r="A56" s="152" t="s">
        <v>422</v>
      </c>
      <c r="B56" s="149" t="s">
        <v>401</v>
      </c>
      <c r="C56" s="161" t="s">
        <v>423</v>
      </c>
      <c r="D56" s="161" t="s">
        <v>424</v>
      </c>
      <c r="E56" s="161" t="s">
        <v>246</v>
      </c>
      <c r="F56" s="161" t="s">
        <v>247</v>
      </c>
      <c r="G56" s="161" t="s">
        <v>311</v>
      </c>
      <c r="H56" s="161" t="s">
        <v>286</v>
      </c>
      <c r="I56" s="40" t="s">
        <v>425</v>
      </c>
      <c r="J56" s="63" t="s">
        <v>426</v>
      </c>
      <c r="K56" s="81" t="s">
        <v>427</v>
      </c>
      <c r="L56" s="82" t="s">
        <v>253</v>
      </c>
      <c r="M56" s="63" t="s">
        <v>428</v>
      </c>
      <c r="N56" s="63" t="s">
        <v>429</v>
      </c>
    </row>
    <row r="57" spans="1:14" x14ac:dyDescent="0.2">
      <c r="A57" s="153"/>
      <c r="B57" s="150"/>
      <c r="C57" s="162"/>
      <c r="D57" s="162"/>
      <c r="E57" s="162"/>
      <c r="F57" s="162"/>
      <c r="G57" s="162"/>
      <c r="H57" s="162"/>
      <c r="I57" s="46" t="s">
        <v>430</v>
      </c>
      <c r="J57" s="67" t="s">
        <v>431</v>
      </c>
      <c r="K57" s="83"/>
      <c r="L57" s="84" t="s">
        <v>258</v>
      </c>
      <c r="M57" s="67"/>
      <c r="N57" s="67"/>
    </row>
    <row r="58" spans="1:14" ht="17.25" thickBot="1" x14ac:dyDescent="0.25">
      <c r="A58" s="153"/>
      <c r="B58" s="150"/>
      <c r="C58" s="163"/>
      <c r="D58" s="163"/>
      <c r="E58" s="163"/>
      <c r="F58" s="163"/>
      <c r="G58" s="163"/>
      <c r="H58" s="163"/>
      <c r="I58" s="49"/>
      <c r="J58" s="70"/>
      <c r="K58" s="85"/>
      <c r="L58" s="86" t="s">
        <v>258</v>
      </c>
      <c r="M58" s="70"/>
      <c r="N58" s="70"/>
    </row>
    <row r="59" spans="1:14" s="64" customFormat="1" ht="33" x14ac:dyDescent="0.2">
      <c r="A59" s="152" t="s">
        <v>400</v>
      </c>
      <c r="B59" s="161" t="s">
        <v>354</v>
      </c>
      <c r="C59" s="161" t="s">
        <v>432</v>
      </c>
      <c r="D59" s="161" t="s">
        <v>433</v>
      </c>
      <c r="E59" s="161" t="s">
        <v>246</v>
      </c>
      <c r="F59" s="161" t="s">
        <v>247</v>
      </c>
      <c r="G59" s="161" t="s">
        <v>434</v>
      </c>
      <c r="H59" s="161" t="s">
        <v>435</v>
      </c>
      <c r="I59" s="63" t="s">
        <v>436</v>
      </c>
      <c r="J59" s="63" t="s">
        <v>437</v>
      </c>
      <c r="K59" s="81" t="s">
        <v>438</v>
      </c>
      <c r="L59" s="82" t="s">
        <v>253</v>
      </c>
      <c r="M59" s="63" t="s">
        <v>439</v>
      </c>
      <c r="N59" s="63" t="s">
        <v>440</v>
      </c>
    </row>
    <row r="60" spans="1:14" s="64" customFormat="1" x14ac:dyDescent="0.2">
      <c r="A60" s="153"/>
      <c r="B60" s="162"/>
      <c r="C60" s="162"/>
      <c r="D60" s="162"/>
      <c r="E60" s="162"/>
      <c r="F60" s="162"/>
      <c r="G60" s="162"/>
      <c r="H60" s="162"/>
      <c r="I60" s="67" t="s">
        <v>441</v>
      </c>
      <c r="J60" s="87" t="s">
        <v>442</v>
      </c>
      <c r="K60" s="88"/>
      <c r="L60" s="84" t="s">
        <v>258</v>
      </c>
      <c r="M60" s="67"/>
      <c r="N60" s="67"/>
    </row>
    <row r="61" spans="1:14" s="64" customFormat="1" ht="17.25" thickBot="1" x14ac:dyDescent="0.25">
      <c r="A61" s="153"/>
      <c r="B61" s="162"/>
      <c r="C61" s="163"/>
      <c r="D61" s="163"/>
      <c r="E61" s="163"/>
      <c r="F61" s="163"/>
      <c r="G61" s="163"/>
      <c r="H61" s="163"/>
      <c r="I61" s="70"/>
      <c r="J61" s="70"/>
      <c r="K61" s="85"/>
      <c r="L61" s="86" t="s">
        <v>258</v>
      </c>
      <c r="M61" s="70"/>
      <c r="N61" s="70"/>
    </row>
    <row r="62" spans="1:14" ht="16.5" customHeight="1" x14ac:dyDescent="0.2">
      <c r="A62" s="167" t="s">
        <v>443</v>
      </c>
      <c r="B62" s="169" t="s">
        <v>283</v>
      </c>
      <c r="C62" s="171" t="s">
        <v>444</v>
      </c>
      <c r="D62" s="171" t="s">
        <v>445</v>
      </c>
      <c r="E62" s="171" t="s">
        <v>310</v>
      </c>
      <c r="F62" s="171" t="s">
        <v>272</v>
      </c>
      <c r="G62" s="171" t="s">
        <v>311</v>
      </c>
      <c r="H62" s="171" t="s">
        <v>73</v>
      </c>
      <c r="I62" s="89" t="s">
        <v>446</v>
      </c>
      <c r="J62" s="90" t="s">
        <v>447</v>
      </c>
      <c r="K62" s="91" t="s">
        <v>448</v>
      </c>
      <c r="L62" s="92" t="s">
        <v>253</v>
      </c>
      <c r="M62" s="89" t="s">
        <v>449</v>
      </c>
      <c r="N62" s="63"/>
    </row>
    <row r="63" spans="1:14" ht="33.75" thickBot="1" x14ac:dyDescent="0.25">
      <c r="A63" s="168"/>
      <c r="B63" s="170"/>
      <c r="C63" s="172"/>
      <c r="D63" s="172"/>
      <c r="E63" s="172"/>
      <c r="F63" s="172"/>
      <c r="G63" s="172"/>
      <c r="H63" s="172"/>
      <c r="I63" s="93" t="s">
        <v>450</v>
      </c>
      <c r="J63" s="93" t="s">
        <v>451</v>
      </c>
      <c r="K63" s="94"/>
      <c r="L63" s="95" t="s">
        <v>258</v>
      </c>
      <c r="M63" s="96"/>
      <c r="N63" s="67"/>
    </row>
    <row r="64" spans="1:14" ht="17.25" thickBot="1" x14ac:dyDescent="0.25">
      <c r="A64" s="168"/>
      <c r="B64" s="170"/>
      <c r="C64" s="173"/>
      <c r="D64" s="173"/>
      <c r="E64" s="173"/>
      <c r="F64" s="173"/>
      <c r="G64" s="173"/>
      <c r="H64" s="173"/>
      <c r="I64" s="97"/>
      <c r="J64" s="98"/>
      <c r="K64" s="94"/>
      <c r="L64" s="99" t="s">
        <v>258</v>
      </c>
      <c r="M64" s="98"/>
      <c r="N64" s="70"/>
    </row>
    <row r="65" spans="1:14" ht="16.5" customHeight="1" x14ac:dyDescent="0.2">
      <c r="A65" s="40"/>
      <c r="B65" s="40"/>
      <c r="C65" s="149" t="s">
        <v>452</v>
      </c>
      <c r="D65" s="149"/>
      <c r="E65" s="149"/>
      <c r="F65" s="149" t="s">
        <v>272</v>
      </c>
      <c r="G65" s="149"/>
      <c r="H65" s="149"/>
      <c r="I65" s="40" t="s">
        <v>333</v>
      </c>
      <c r="J65" s="40"/>
      <c r="K65" s="61"/>
      <c r="L65" s="62" t="s">
        <v>253</v>
      </c>
      <c r="M65" s="40" t="s">
        <v>453</v>
      </c>
      <c r="N65" s="40"/>
    </row>
    <row r="66" spans="1:14" x14ac:dyDescent="0.2">
      <c r="A66" s="46"/>
      <c r="B66" s="46"/>
      <c r="C66" s="150"/>
      <c r="D66" s="150"/>
      <c r="E66" s="150"/>
      <c r="F66" s="150"/>
      <c r="G66" s="150"/>
      <c r="H66" s="150"/>
      <c r="I66" s="46" t="s">
        <v>337</v>
      </c>
      <c r="J66" s="46"/>
      <c r="K66" s="65"/>
      <c r="L66" s="66" t="s">
        <v>258</v>
      </c>
      <c r="M66" s="46"/>
      <c r="N66" s="46"/>
    </row>
    <row r="67" spans="1:14" ht="17.25" thickBot="1" x14ac:dyDescent="0.25">
      <c r="A67" s="46"/>
      <c r="B67" s="46"/>
      <c r="C67" s="151"/>
      <c r="D67" s="151"/>
      <c r="E67" s="151"/>
      <c r="F67" s="151"/>
      <c r="G67" s="151"/>
      <c r="H67" s="151"/>
      <c r="I67" s="49"/>
      <c r="J67" s="49"/>
      <c r="K67" s="68"/>
      <c r="L67" s="69" t="s">
        <v>258</v>
      </c>
      <c r="M67" s="49"/>
      <c r="N67" s="49"/>
    </row>
    <row r="68" spans="1:14" x14ac:dyDescent="0.2">
      <c r="A68" s="46"/>
      <c r="B68" s="46"/>
      <c r="C68" s="149" t="s">
        <v>454</v>
      </c>
      <c r="D68" s="149"/>
      <c r="E68" s="149"/>
      <c r="F68" s="149"/>
      <c r="G68" s="149"/>
      <c r="H68" s="149"/>
      <c r="I68" s="40" t="s">
        <v>333</v>
      </c>
      <c r="J68" s="40"/>
      <c r="K68" s="61"/>
      <c r="L68" s="62" t="s">
        <v>253</v>
      </c>
      <c r="M68" s="40"/>
      <c r="N68" s="40"/>
    </row>
    <row r="69" spans="1:14" x14ac:dyDescent="0.2">
      <c r="A69" s="46"/>
      <c r="B69" s="46"/>
      <c r="C69" s="150"/>
      <c r="D69" s="150"/>
      <c r="E69" s="150"/>
      <c r="F69" s="150"/>
      <c r="G69" s="150"/>
      <c r="H69" s="150"/>
      <c r="I69" s="46" t="s">
        <v>337</v>
      </c>
      <c r="J69" s="46"/>
      <c r="K69" s="65"/>
      <c r="L69" s="66" t="s">
        <v>258</v>
      </c>
      <c r="M69" s="46"/>
      <c r="N69" s="46"/>
    </row>
    <row r="70" spans="1:14" ht="17.25" thickBot="1" x14ac:dyDescent="0.25">
      <c r="A70" s="46"/>
      <c r="B70" s="46"/>
      <c r="C70" s="151"/>
      <c r="D70" s="151"/>
      <c r="E70" s="151"/>
      <c r="F70" s="151"/>
      <c r="G70" s="151"/>
      <c r="H70" s="151"/>
      <c r="I70" s="49"/>
      <c r="J70" s="49"/>
      <c r="K70" s="68"/>
      <c r="L70" s="69" t="s">
        <v>258</v>
      </c>
      <c r="M70" s="49"/>
      <c r="N70" s="49"/>
    </row>
    <row r="71" spans="1:14" x14ac:dyDescent="0.2">
      <c r="A71" s="46"/>
      <c r="B71" s="46"/>
      <c r="C71" s="149" t="s">
        <v>455</v>
      </c>
      <c r="D71" s="149"/>
      <c r="E71" s="149"/>
      <c r="F71" s="149"/>
      <c r="G71" s="149"/>
      <c r="H71" s="149"/>
      <c r="I71" s="40" t="s">
        <v>333</v>
      </c>
      <c r="J71" s="40"/>
      <c r="K71" s="61"/>
      <c r="L71" s="62" t="s">
        <v>253</v>
      </c>
      <c r="M71" s="40"/>
      <c r="N71" s="40"/>
    </row>
    <row r="72" spans="1:14" x14ac:dyDescent="0.2">
      <c r="A72" s="46"/>
      <c r="B72" s="46"/>
      <c r="C72" s="150"/>
      <c r="D72" s="150"/>
      <c r="E72" s="150"/>
      <c r="F72" s="150"/>
      <c r="G72" s="150"/>
      <c r="H72" s="150"/>
      <c r="I72" s="46" t="s">
        <v>337</v>
      </c>
      <c r="J72" s="46"/>
      <c r="K72" s="65"/>
      <c r="L72" s="66" t="s">
        <v>258</v>
      </c>
      <c r="M72" s="46"/>
      <c r="N72" s="46"/>
    </row>
    <row r="73" spans="1:14" ht="17.25" thickBot="1" x14ac:dyDescent="0.25">
      <c r="A73" s="46"/>
      <c r="B73" s="46"/>
      <c r="C73" s="151"/>
      <c r="D73" s="151"/>
      <c r="E73" s="151"/>
      <c r="F73" s="151"/>
      <c r="G73" s="151"/>
      <c r="H73" s="151"/>
      <c r="I73" s="49"/>
      <c r="J73" s="49"/>
      <c r="K73" s="68"/>
      <c r="L73" s="69" t="s">
        <v>258</v>
      </c>
      <c r="M73" s="49"/>
      <c r="N73" s="49"/>
    </row>
    <row r="74" spans="1:14" x14ac:dyDescent="0.2">
      <c r="A74" s="46"/>
      <c r="B74" s="46"/>
      <c r="C74" s="149" t="s">
        <v>456</v>
      </c>
      <c r="D74" s="149"/>
      <c r="E74" s="149"/>
      <c r="F74" s="149"/>
      <c r="G74" s="149"/>
      <c r="H74" s="149"/>
      <c r="I74" s="40" t="s">
        <v>333</v>
      </c>
      <c r="J74" s="40"/>
      <c r="K74" s="61"/>
      <c r="L74" s="62" t="s">
        <v>253</v>
      </c>
      <c r="M74" s="40"/>
      <c r="N74" s="40"/>
    </row>
    <row r="75" spans="1:14" x14ac:dyDescent="0.2">
      <c r="A75" s="46"/>
      <c r="B75" s="46"/>
      <c r="C75" s="150"/>
      <c r="D75" s="150"/>
      <c r="E75" s="150"/>
      <c r="F75" s="150"/>
      <c r="G75" s="150"/>
      <c r="H75" s="150"/>
      <c r="I75" s="46" t="s">
        <v>337</v>
      </c>
      <c r="J75" s="46"/>
      <c r="K75" s="65"/>
      <c r="L75" s="66" t="s">
        <v>258</v>
      </c>
      <c r="M75" s="46"/>
      <c r="N75" s="46"/>
    </row>
    <row r="76" spans="1:14" ht="17.25" thickBot="1" x14ac:dyDescent="0.25">
      <c r="A76" s="46"/>
      <c r="B76" s="46"/>
      <c r="C76" s="151"/>
      <c r="D76" s="151"/>
      <c r="E76" s="151"/>
      <c r="F76" s="151"/>
      <c r="G76" s="151"/>
      <c r="H76" s="151"/>
      <c r="I76" s="49"/>
      <c r="J76" s="49"/>
      <c r="K76" s="68"/>
      <c r="L76" s="69" t="s">
        <v>258</v>
      </c>
      <c r="M76" s="49"/>
      <c r="N76" s="49"/>
    </row>
    <row r="77" spans="1:14" x14ac:dyDescent="0.2">
      <c r="A77" s="46"/>
      <c r="B77" s="46"/>
      <c r="C77" s="149" t="s">
        <v>457</v>
      </c>
      <c r="D77" s="149"/>
      <c r="E77" s="149"/>
      <c r="F77" s="149"/>
      <c r="G77" s="149"/>
      <c r="H77" s="149"/>
      <c r="I77" s="40" t="s">
        <v>333</v>
      </c>
      <c r="J77" s="40"/>
      <c r="K77" s="61"/>
      <c r="L77" s="62" t="s">
        <v>253</v>
      </c>
      <c r="M77" s="40"/>
      <c r="N77" s="40"/>
    </row>
    <row r="78" spans="1:14" x14ac:dyDescent="0.2">
      <c r="A78" s="46"/>
      <c r="B78" s="46"/>
      <c r="C78" s="150"/>
      <c r="D78" s="150"/>
      <c r="E78" s="150"/>
      <c r="F78" s="150"/>
      <c r="G78" s="150"/>
      <c r="H78" s="150"/>
      <c r="I78" s="46" t="s">
        <v>337</v>
      </c>
      <c r="J78" s="46"/>
      <c r="K78" s="65"/>
      <c r="L78" s="66" t="s">
        <v>258</v>
      </c>
      <c r="M78" s="46"/>
      <c r="N78" s="46"/>
    </row>
    <row r="79" spans="1:14" ht="17.25" thickBot="1" x14ac:dyDescent="0.25">
      <c r="A79" s="46"/>
      <c r="B79" s="46"/>
      <c r="C79" s="151"/>
      <c r="D79" s="151"/>
      <c r="E79" s="151"/>
      <c r="F79" s="151"/>
      <c r="G79" s="151"/>
      <c r="H79" s="151"/>
      <c r="I79" s="49"/>
      <c r="J79" s="49"/>
      <c r="K79" s="68"/>
      <c r="L79" s="69" t="s">
        <v>258</v>
      </c>
      <c r="M79" s="49"/>
      <c r="N79" s="49"/>
    </row>
    <row r="80" spans="1:14" x14ac:dyDescent="0.2">
      <c r="A80" s="46"/>
      <c r="B80" s="46"/>
      <c r="C80" s="149" t="s">
        <v>458</v>
      </c>
      <c r="D80" s="149"/>
      <c r="E80" s="149"/>
      <c r="F80" s="149"/>
      <c r="G80" s="149"/>
      <c r="H80" s="149"/>
      <c r="I80" s="40" t="s">
        <v>333</v>
      </c>
      <c r="J80" s="40"/>
      <c r="K80" s="61"/>
      <c r="L80" s="62" t="s">
        <v>253</v>
      </c>
      <c r="M80" s="40"/>
      <c r="N80" s="40"/>
    </row>
    <row r="81" spans="1:14" x14ac:dyDescent="0.2">
      <c r="A81" s="46"/>
      <c r="B81" s="46"/>
      <c r="C81" s="150"/>
      <c r="D81" s="150"/>
      <c r="E81" s="150"/>
      <c r="F81" s="150"/>
      <c r="G81" s="150"/>
      <c r="H81" s="150"/>
      <c r="I81" s="46" t="s">
        <v>337</v>
      </c>
      <c r="J81" s="46"/>
      <c r="K81" s="65"/>
      <c r="L81" s="66" t="s">
        <v>258</v>
      </c>
      <c r="M81" s="46"/>
      <c r="N81" s="46"/>
    </row>
    <row r="82" spans="1:14" ht="17.25" thickBot="1" x14ac:dyDescent="0.25">
      <c r="A82" s="46"/>
      <c r="B82" s="46"/>
      <c r="C82" s="151"/>
      <c r="D82" s="151"/>
      <c r="E82" s="151"/>
      <c r="F82" s="151"/>
      <c r="G82" s="151"/>
      <c r="H82" s="151"/>
      <c r="I82" s="49"/>
      <c r="J82" s="49"/>
      <c r="K82" s="68"/>
      <c r="L82" s="69" t="s">
        <v>258</v>
      </c>
      <c r="M82" s="49"/>
      <c r="N82" s="49"/>
    </row>
    <row r="83" spans="1:14" x14ac:dyDescent="0.2">
      <c r="A83" s="46"/>
      <c r="B83" s="46"/>
      <c r="C83" s="149" t="s">
        <v>459</v>
      </c>
      <c r="D83" s="149"/>
      <c r="E83" s="149"/>
      <c r="F83" s="149"/>
      <c r="G83" s="149"/>
      <c r="H83" s="149"/>
      <c r="I83" s="40" t="s">
        <v>333</v>
      </c>
      <c r="J83" s="40"/>
      <c r="K83" s="61"/>
      <c r="L83" s="62" t="s">
        <v>253</v>
      </c>
      <c r="M83" s="40"/>
      <c r="N83" s="40"/>
    </row>
    <row r="84" spans="1:14" x14ac:dyDescent="0.2">
      <c r="A84" s="46"/>
      <c r="B84" s="46"/>
      <c r="C84" s="150"/>
      <c r="D84" s="150"/>
      <c r="E84" s="150"/>
      <c r="F84" s="150"/>
      <c r="G84" s="150"/>
      <c r="H84" s="150"/>
      <c r="I84" s="46" t="s">
        <v>337</v>
      </c>
      <c r="J84" s="46"/>
      <c r="K84" s="65"/>
      <c r="L84" s="66" t="s">
        <v>258</v>
      </c>
      <c r="M84" s="46"/>
      <c r="N84" s="46"/>
    </row>
    <row r="85" spans="1:14" ht="17.25" thickBot="1" x14ac:dyDescent="0.25">
      <c r="A85" s="49"/>
      <c r="B85" s="49"/>
      <c r="C85" s="151"/>
      <c r="D85" s="151"/>
      <c r="E85" s="151"/>
      <c r="F85" s="151"/>
      <c r="G85" s="151"/>
      <c r="H85" s="151"/>
      <c r="I85" s="49"/>
      <c r="J85" s="49"/>
      <c r="K85" s="68"/>
      <c r="L85" s="69" t="s">
        <v>258</v>
      </c>
      <c r="M85" s="49"/>
      <c r="N85" s="49"/>
    </row>
    <row r="86" spans="1:14" x14ac:dyDescent="0.2">
      <c r="C86" s="149"/>
      <c r="D86" s="149"/>
      <c r="E86" s="149"/>
      <c r="F86" s="149"/>
      <c r="G86" s="149"/>
      <c r="H86" s="149"/>
      <c r="I86" s="40"/>
      <c r="J86" s="40"/>
      <c r="K86" s="61"/>
      <c r="L86" s="62"/>
      <c r="M86" s="40"/>
      <c r="N86" s="40"/>
    </row>
    <row r="87" spans="1:14" x14ac:dyDescent="0.2">
      <c r="C87" s="150"/>
      <c r="D87" s="150"/>
      <c r="E87" s="150"/>
      <c r="F87" s="150"/>
      <c r="G87" s="150"/>
      <c r="H87" s="150"/>
      <c r="I87" s="46"/>
      <c r="J87" s="46"/>
      <c r="K87" s="65"/>
      <c r="L87" s="66"/>
      <c r="M87" s="46"/>
      <c r="N87" s="46"/>
    </row>
    <row r="88" spans="1:14" ht="17.25" thickBot="1" x14ac:dyDescent="0.25">
      <c r="C88" s="151"/>
      <c r="D88" s="151"/>
      <c r="E88" s="151"/>
      <c r="F88" s="151"/>
      <c r="G88" s="151"/>
      <c r="H88" s="151"/>
      <c r="I88" s="49"/>
      <c r="J88" s="49"/>
      <c r="K88" s="68"/>
      <c r="L88" s="69"/>
      <c r="M88" s="49"/>
      <c r="N88" s="49"/>
    </row>
    <row r="89" spans="1:14" x14ac:dyDescent="0.2">
      <c r="C89" s="149"/>
      <c r="D89" s="149"/>
      <c r="E89" s="149"/>
      <c r="F89" s="149"/>
      <c r="G89" s="149"/>
      <c r="H89" s="149"/>
      <c r="I89" s="40"/>
      <c r="J89" s="40"/>
      <c r="K89" s="61"/>
      <c r="L89" s="62"/>
      <c r="M89" s="40"/>
      <c r="N89" s="40"/>
    </row>
    <row r="90" spans="1:14" x14ac:dyDescent="0.2">
      <c r="C90" s="150"/>
      <c r="D90" s="150"/>
      <c r="E90" s="150"/>
      <c r="F90" s="150"/>
      <c r="G90" s="150"/>
      <c r="H90" s="150"/>
      <c r="I90" s="46"/>
      <c r="J90" s="46"/>
      <c r="K90" s="65"/>
      <c r="L90" s="66"/>
      <c r="M90" s="46"/>
      <c r="N90" s="46"/>
    </row>
    <row r="91" spans="1:14" ht="17.25" thickBot="1" x14ac:dyDescent="0.25">
      <c r="C91" s="151"/>
      <c r="D91" s="151"/>
      <c r="E91" s="151"/>
      <c r="F91" s="151"/>
      <c r="G91" s="151"/>
      <c r="H91" s="151"/>
      <c r="I91" s="49"/>
      <c r="J91" s="49"/>
      <c r="K91" s="68"/>
      <c r="L91" s="69"/>
      <c r="M91" s="49"/>
      <c r="N91" s="49"/>
    </row>
    <row r="92" spans="1:14" x14ac:dyDescent="0.2">
      <c r="C92" s="149"/>
      <c r="D92" s="149"/>
      <c r="E92" s="149"/>
      <c r="F92" s="149"/>
      <c r="G92" s="149"/>
      <c r="H92" s="149"/>
      <c r="I92" s="40"/>
      <c r="J92" s="40"/>
      <c r="K92" s="61"/>
      <c r="L92" s="62"/>
      <c r="M92" s="40"/>
      <c r="N92" s="40"/>
    </row>
    <row r="93" spans="1:14" x14ac:dyDescent="0.2">
      <c r="C93" s="150"/>
      <c r="D93" s="150"/>
      <c r="E93" s="150"/>
      <c r="F93" s="150"/>
      <c r="G93" s="150"/>
      <c r="H93" s="150"/>
      <c r="I93" s="46"/>
      <c r="J93" s="46"/>
      <c r="K93" s="65"/>
      <c r="L93" s="66"/>
      <c r="M93" s="46"/>
      <c r="N93" s="46"/>
    </row>
    <row r="94" spans="1:14" ht="17.25" thickBot="1" x14ac:dyDescent="0.25">
      <c r="C94" s="151"/>
      <c r="D94" s="151"/>
      <c r="E94" s="151"/>
      <c r="F94" s="151"/>
      <c r="G94" s="151"/>
      <c r="H94" s="151"/>
      <c r="I94" s="49"/>
      <c r="J94" s="49"/>
      <c r="K94" s="68"/>
      <c r="L94" s="69"/>
      <c r="M94" s="49"/>
      <c r="N94" s="49"/>
    </row>
    <row r="95" spans="1:14" x14ac:dyDescent="0.2">
      <c r="C95" s="149"/>
      <c r="D95" s="149"/>
      <c r="E95" s="149"/>
      <c r="F95" s="149"/>
      <c r="G95" s="149"/>
      <c r="H95" s="149"/>
      <c r="I95" s="40"/>
      <c r="J95" s="40"/>
      <c r="K95" s="61"/>
      <c r="L95" s="62"/>
      <c r="M95" s="40"/>
      <c r="N95" s="40"/>
    </row>
    <row r="96" spans="1:14" x14ac:dyDescent="0.2">
      <c r="C96" s="150"/>
      <c r="D96" s="150"/>
      <c r="E96" s="150"/>
      <c r="F96" s="150"/>
      <c r="G96" s="150"/>
      <c r="H96" s="150"/>
      <c r="I96" s="46"/>
      <c r="J96" s="46"/>
      <c r="K96" s="65"/>
      <c r="L96" s="66"/>
      <c r="M96" s="46"/>
      <c r="N96" s="46"/>
    </row>
    <row r="97" spans="3:14" ht="17.25" thickBot="1" x14ac:dyDescent="0.25">
      <c r="C97" s="151"/>
      <c r="D97" s="151"/>
      <c r="E97" s="151"/>
      <c r="F97" s="151"/>
      <c r="G97" s="151"/>
      <c r="H97" s="151"/>
      <c r="I97" s="49"/>
      <c r="J97" s="49"/>
      <c r="K97" s="68"/>
      <c r="L97" s="69"/>
      <c r="M97" s="49"/>
      <c r="N97" s="49"/>
    </row>
    <row r="98" spans="3:14" x14ac:dyDescent="0.2">
      <c r="C98" s="149"/>
      <c r="D98" s="149"/>
      <c r="E98" s="149"/>
      <c r="F98" s="149"/>
      <c r="G98" s="149"/>
      <c r="H98" s="149"/>
      <c r="I98" s="40"/>
      <c r="J98" s="40"/>
      <c r="K98" s="61"/>
      <c r="L98" s="62"/>
      <c r="M98" s="40"/>
      <c r="N98" s="40"/>
    </row>
    <row r="99" spans="3:14" x14ac:dyDescent="0.2">
      <c r="C99" s="150"/>
      <c r="D99" s="150"/>
      <c r="E99" s="150"/>
      <c r="F99" s="150"/>
      <c r="G99" s="150"/>
      <c r="H99" s="150"/>
      <c r="I99" s="46"/>
      <c r="J99" s="46"/>
      <c r="K99" s="65"/>
      <c r="L99" s="66"/>
      <c r="M99" s="46"/>
      <c r="N99" s="46"/>
    </row>
    <row r="100" spans="3:14" ht="17.25" thickBot="1" x14ac:dyDescent="0.25">
      <c r="C100" s="151"/>
      <c r="D100" s="151"/>
      <c r="E100" s="151"/>
      <c r="F100" s="151"/>
      <c r="G100" s="151"/>
      <c r="H100" s="151"/>
      <c r="I100" s="49"/>
      <c r="J100" s="49"/>
      <c r="K100" s="68"/>
      <c r="L100" s="69"/>
      <c r="M100" s="49"/>
      <c r="N100" s="49"/>
    </row>
    <row r="101" spans="3:14" x14ac:dyDescent="0.2">
      <c r="C101" s="149"/>
      <c r="D101" s="149"/>
      <c r="E101" s="149"/>
      <c r="F101" s="149"/>
      <c r="G101" s="149"/>
      <c r="H101" s="149"/>
      <c r="I101" s="40"/>
      <c r="J101" s="40"/>
      <c r="K101" s="61"/>
      <c r="L101" s="62"/>
      <c r="M101" s="40"/>
      <c r="N101" s="40"/>
    </row>
    <row r="102" spans="3:14" x14ac:dyDescent="0.2">
      <c r="C102" s="150"/>
      <c r="D102" s="150"/>
      <c r="E102" s="150"/>
      <c r="F102" s="150"/>
      <c r="G102" s="150"/>
      <c r="H102" s="150"/>
      <c r="I102" s="46"/>
      <c r="J102" s="46"/>
      <c r="K102" s="65"/>
      <c r="L102" s="66"/>
      <c r="M102" s="46"/>
      <c r="N102" s="46"/>
    </row>
    <row r="103" spans="3:14" ht="17.25" thickBot="1" x14ac:dyDescent="0.25">
      <c r="C103" s="151"/>
      <c r="D103" s="151"/>
      <c r="E103" s="151"/>
      <c r="F103" s="151"/>
      <c r="G103" s="151"/>
      <c r="H103" s="151"/>
      <c r="I103" s="49"/>
      <c r="J103" s="49"/>
      <c r="K103" s="68"/>
      <c r="L103" s="69"/>
      <c r="M103" s="49"/>
      <c r="N103" s="49"/>
    </row>
    <row r="104" spans="3:14" x14ac:dyDescent="0.2">
      <c r="C104" s="149"/>
      <c r="D104" s="149"/>
      <c r="E104" s="149"/>
      <c r="F104" s="149"/>
      <c r="G104" s="149"/>
      <c r="H104" s="149"/>
      <c r="I104" s="40"/>
      <c r="J104" s="40"/>
      <c r="K104" s="61"/>
      <c r="L104" s="62"/>
      <c r="M104" s="40"/>
      <c r="N104" s="40"/>
    </row>
    <row r="105" spans="3:14" x14ac:dyDescent="0.2">
      <c r="C105" s="150"/>
      <c r="D105" s="150"/>
      <c r="E105" s="150"/>
      <c r="F105" s="150"/>
      <c r="G105" s="150"/>
      <c r="H105" s="150"/>
      <c r="I105" s="46"/>
      <c r="J105" s="46"/>
      <c r="K105" s="65"/>
      <c r="L105" s="66"/>
      <c r="M105" s="46"/>
      <c r="N105" s="46"/>
    </row>
    <row r="106" spans="3:14" ht="17.25" thickBot="1" x14ac:dyDescent="0.25">
      <c r="C106" s="151"/>
      <c r="D106" s="151"/>
      <c r="E106" s="151"/>
      <c r="F106" s="151"/>
      <c r="G106" s="151"/>
      <c r="H106" s="151"/>
      <c r="I106" s="49"/>
      <c r="J106" s="49"/>
      <c r="K106" s="68"/>
      <c r="L106" s="69"/>
      <c r="M106" s="49"/>
      <c r="N106" s="49"/>
    </row>
    <row r="107" spans="3:14" x14ac:dyDescent="0.2">
      <c r="C107" s="149"/>
      <c r="D107" s="149"/>
      <c r="E107" s="149"/>
      <c r="F107" s="149"/>
      <c r="G107" s="149"/>
      <c r="H107" s="149"/>
      <c r="I107" s="40"/>
      <c r="J107" s="40"/>
      <c r="K107" s="61"/>
      <c r="L107" s="62"/>
      <c r="M107" s="40"/>
      <c r="N107" s="40"/>
    </row>
    <row r="108" spans="3:14" x14ac:dyDescent="0.2">
      <c r="C108" s="150"/>
      <c r="D108" s="150"/>
      <c r="E108" s="150"/>
      <c r="F108" s="150"/>
      <c r="G108" s="150"/>
      <c r="H108" s="150"/>
      <c r="I108" s="46"/>
      <c r="J108" s="46"/>
      <c r="K108" s="65"/>
      <c r="L108" s="66"/>
      <c r="M108" s="46"/>
      <c r="N108" s="46"/>
    </row>
    <row r="109" spans="3:14" ht="17.25" thickBot="1" x14ac:dyDescent="0.25">
      <c r="C109" s="151"/>
      <c r="D109" s="151"/>
      <c r="E109" s="151"/>
      <c r="F109" s="151"/>
      <c r="G109" s="151"/>
      <c r="H109" s="151"/>
      <c r="I109" s="49"/>
      <c r="J109" s="49"/>
      <c r="K109" s="68"/>
      <c r="L109" s="69"/>
      <c r="M109" s="49"/>
      <c r="N109" s="49"/>
    </row>
    <row r="110" spans="3:14" x14ac:dyDescent="0.2">
      <c r="C110" s="149"/>
      <c r="D110" s="149"/>
      <c r="E110" s="149"/>
      <c r="F110" s="149"/>
      <c r="G110" s="149"/>
      <c r="H110" s="149"/>
      <c r="I110" s="40"/>
      <c r="J110" s="40"/>
      <c r="K110" s="61"/>
      <c r="L110" s="62"/>
      <c r="M110" s="40"/>
      <c r="N110" s="40"/>
    </row>
    <row r="111" spans="3:14" x14ac:dyDescent="0.2">
      <c r="C111" s="150"/>
      <c r="D111" s="150"/>
      <c r="E111" s="150"/>
      <c r="F111" s="150"/>
      <c r="G111" s="150"/>
      <c r="H111" s="150"/>
      <c r="I111" s="46"/>
      <c r="J111" s="46"/>
      <c r="K111" s="65"/>
      <c r="L111" s="66"/>
      <c r="M111" s="46"/>
      <c r="N111" s="46"/>
    </row>
    <row r="112" spans="3:14" ht="17.25" thickBot="1" x14ac:dyDescent="0.25">
      <c r="C112" s="151"/>
      <c r="D112" s="151"/>
      <c r="E112" s="151"/>
      <c r="F112" s="151"/>
      <c r="G112" s="151"/>
      <c r="H112" s="151"/>
      <c r="I112" s="49"/>
      <c r="J112" s="49"/>
      <c r="K112" s="68"/>
      <c r="L112" s="69"/>
      <c r="M112" s="49"/>
      <c r="N112" s="49"/>
    </row>
    <row r="113" spans="3:14" x14ac:dyDescent="0.2">
      <c r="C113" s="149"/>
      <c r="D113" s="149"/>
      <c r="E113" s="149"/>
      <c r="F113" s="149"/>
      <c r="G113" s="149"/>
      <c r="H113" s="149"/>
      <c r="I113" s="40"/>
      <c r="J113" s="40"/>
      <c r="K113" s="61"/>
      <c r="L113" s="62"/>
      <c r="M113" s="40"/>
      <c r="N113" s="40"/>
    </row>
    <row r="114" spans="3:14" x14ac:dyDescent="0.2">
      <c r="C114" s="150"/>
      <c r="D114" s="150"/>
      <c r="E114" s="150"/>
      <c r="F114" s="150"/>
      <c r="G114" s="150"/>
      <c r="H114" s="150"/>
      <c r="I114" s="46"/>
      <c r="J114" s="46"/>
      <c r="K114" s="65"/>
      <c r="L114" s="66"/>
      <c r="M114" s="46"/>
      <c r="N114" s="46"/>
    </row>
    <row r="115" spans="3:14" ht="17.25" thickBot="1" x14ac:dyDescent="0.25">
      <c r="C115" s="151"/>
      <c r="D115" s="151"/>
      <c r="E115" s="151"/>
      <c r="F115" s="151"/>
      <c r="G115" s="151"/>
      <c r="H115" s="151"/>
      <c r="I115" s="49"/>
      <c r="J115" s="49"/>
      <c r="K115" s="68"/>
      <c r="L115" s="69"/>
      <c r="M115" s="49"/>
      <c r="N115" s="49"/>
    </row>
    <row r="116" spans="3:14" x14ac:dyDescent="0.2">
      <c r="C116" s="149"/>
      <c r="D116" s="149"/>
      <c r="E116" s="149"/>
      <c r="F116" s="149"/>
      <c r="G116" s="149"/>
      <c r="H116" s="149"/>
      <c r="I116" s="40"/>
      <c r="J116" s="40"/>
      <c r="K116" s="61"/>
      <c r="L116" s="62"/>
      <c r="M116" s="40"/>
      <c r="N116" s="40"/>
    </row>
    <row r="117" spans="3:14" x14ac:dyDescent="0.2">
      <c r="C117" s="150"/>
      <c r="D117" s="150"/>
      <c r="E117" s="150"/>
      <c r="F117" s="150"/>
      <c r="G117" s="150"/>
      <c r="H117" s="150"/>
      <c r="I117" s="46"/>
      <c r="J117" s="46"/>
      <c r="K117" s="65"/>
      <c r="L117" s="66"/>
      <c r="M117" s="46"/>
      <c r="N117" s="46"/>
    </row>
    <row r="118" spans="3:14" ht="17.25" thickBot="1" x14ac:dyDescent="0.25">
      <c r="C118" s="151"/>
      <c r="D118" s="151"/>
      <c r="E118" s="151"/>
      <c r="F118" s="151"/>
      <c r="G118" s="151"/>
      <c r="H118" s="151"/>
      <c r="I118" s="49"/>
      <c r="J118" s="49"/>
      <c r="K118" s="68"/>
      <c r="L118" s="69"/>
      <c r="M118" s="49"/>
      <c r="N118" s="49"/>
    </row>
    <row r="119" spans="3:14" x14ac:dyDescent="0.2">
      <c r="C119" s="149"/>
      <c r="D119" s="149"/>
      <c r="E119" s="149"/>
      <c r="F119" s="149"/>
      <c r="G119" s="149"/>
      <c r="H119" s="149"/>
      <c r="I119" s="40"/>
      <c r="J119" s="40"/>
      <c r="K119" s="61"/>
      <c r="L119" s="62"/>
      <c r="M119" s="40"/>
      <c r="N119" s="40"/>
    </row>
    <row r="120" spans="3:14" x14ac:dyDescent="0.2">
      <c r="C120" s="150"/>
      <c r="D120" s="150"/>
      <c r="E120" s="150"/>
      <c r="F120" s="150"/>
      <c r="G120" s="150"/>
      <c r="H120" s="150"/>
      <c r="I120" s="46"/>
      <c r="J120" s="46"/>
      <c r="K120" s="65"/>
      <c r="L120" s="66"/>
      <c r="M120" s="46"/>
      <c r="N120" s="46"/>
    </row>
    <row r="121" spans="3:14" ht="17.25" thickBot="1" x14ac:dyDescent="0.25">
      <c r="C121" s="151"/>
      <c r="D121" s="151"/>
      <c r="E121" s="151"/>
      <c r="F121" s="151"/>
      <c r="G121" s="151"/>
      <c r="H121" s="151"/>
      <c r="I121" s="49"/>
      <c r="J121" s="49"/>
      <c r="K121" s="68"/>
      <c r="L121" s="69"/>
      <c r="M121" s="49"/>
      <c r="N121" s="49"/>
    </row>
    <row r="122" spans="3:14" x14ac:dyDescent="0.2">
      <c r="C122" s="149"/>
      <c r="D122" s="149"/>
      <c r="E122" s="149"/>
      <c r="F122" s="149"/>
      <c r="G122" s="149"/>
      <c r="H122" s="149"/>
      <c r="I122" s="40"/>
      <c r="J122" s="40"/>
      <c r="K122" s="61"/>
      <c r="L122" s="62"/>
      <c r="M122" s="40"/>
      <c r="N122" s="40"/>
    </row>
    <row r="123" spans="3:14" x14ac:dyDescent="0.2">
      <c r="C123" s="150"/>
      <c r="D123" s="150"/>
      <c r="E123" s="150"/>
      <c r="F123" s="150"/>
      <c r="G123" s="150"/>
      <c r="H123" s="150"/>
      <c r="I123" s="46"/>
      <c r="J123" s="46"/>
      <c r="K123" s="65"/>
      <c r="L123" s="66"/>
      <c r="M123" s="46"/>
      <c r="N123" s="46"/>
    </row>
    <row r="124" spans="3:14" ht="17.25" thickBot="1" x14ac:dyDescent="0.25">
      <c r="C124" s="151"/>
      <c r="D124" s="151"/>
      <c r="E124" s="151"/>
      <c r="F124" s="151"/>
      <c r="G124" s="151"/>
      <c r="H124" s="151"/>
      <c r="I124" s="49"/>
      <c r="J124" s="49"/>
      <c r="K124" s="68"/>
      <c r="L124" s="69"/>
      <c r="M124" s="49"/>
      <c r="N124" s="49"/>
    </row>
    <row r="125" spans="3:14" x14ac:dyDescent="0.2">
      <c r="C125" s="149"/>
      <c r="D125" s="149"/>
      <c r="E125" s="149"/>
      <c r="F125" s="149"/>
      <c r="G125" s="149"/>
      <c r="H125" s="149"/>
      <c r="I125" s="40"/>
      <c r="J125" s="40"/>
      <c r="K125" s="61"/>
      <c r="L125" s="62"/>
      <c r="M125" s="40"/>
      <c r="N125" s="40"/>
    </row>
    <row r="126" spans="3:14" x14ac:dyDescent="0.2">
      <c r="C126" s="150"/>
      <c r="D126" s="150"/>
      <c r="E126" s="150"/>
      <c r="F126" s="150"/>
      <c r="G126" s="150"/>
      <c r="H126" s="150"/>
      <c r="I126" s="46"/>
      <c r="J126" s="46"/>
      <c r="K126" s="65"/>
      <c r="L126" s="66"/>
      <c r="M126" s="46"/>
      <c r="N126" s="46"/>
    </row>
    <row r="127" spans="3:14" ht="17.25" thickBot="1" x14ac:dyDescent="0.25">
      <c r="C127" s="151"/>
      <c r="D127" s="151"/>
      <c r="E127" s="151"/>
      <c r="F127" s="151"/>
      <c r="G127" s="151"/>
      <c r="H127" s="151"/>
      <c r="I127" s="49"/>
      <c r="J127" s="49"/>
      <c r="K127" s="68"/>
      <c r="L127" s="69"/>
      <c r="M127" s="49"/>
      <c r="N127" s="49"/>
    </row>
    <row r="128" spans="3:14" x14ac:dyDescent="0.2">
      <c r="C128" s="149"/>
      <c r="D128" s="149"/>
      <c r="E128" s="149"/>
      <c r="F128" s="149"/>
      <c r="G128" s="149"/>
      <c r="H128" s="149"/>
      <c r="I128" s="40"/>
      <c r="J128" s="40"/>
      <c r="K128" s="61"/>
      <c r="L128" s="62"/>
      <c r="M128" s="40"/>
      <c r="N128" s="40"/>
    </row>
    <row r="129" spans="3:14" x14ac:dyDescent="0.2">
      <c r="C129" s="150"/>
      <c r="D129" s="150"/>
      <c r="E129" s="150"/>
      <c r="F129" s="150"/>
      <c r="G129" s="150"/>
      <c r="H129" s="150"/>
      <c r="I129" s="46"/>
      <c r="J129" s="46"/>
      <c r="K129" s="65"/>
      <c r="L129" s="66"/>
      <c r="M129" s="46"/>
      <c r="N129" s="46"/>
    </row>
    <row r="130" spans="3:14" ht="17.25" thickBot="1" x14ac:dyDescent="0.25">
      <c r="C130" s="151"/>
      <c r="D130" s="151"/>
      <c r="E130" s="151"/>
      <c r="F130" s="151"/>
      <c r="G130" s="151"/>
      <c r="H130" s="151"/>
      <c r="I130" s="49"/>
      <c r="J130" s="49"/>
      <c r="K130" s="68"/>
      <c r="L130" s="69"/>
      <c r="M130" s="49"/>
      <c r="N130" s="49"/>
    </row>
    <row r="131" spans="3:14" x14ac:dyDescent="0.2">
      <c r="C131" s="149"/>
      <c r="D131" s="149"/>
      <c r="E131" s="149"/>
      <c r="F131" s="149"/>
      <c r="G131" s="149"/>
      <c r="H131" s="149"/>
      <c r="I131" s="40"/>
      <c r="J131" s="40"/>
      <c r="K131" s="61"/>
      <c r="L131" s="62"/>
      <c r="M131" s="40"/>
      <c r="N131" s="40"/>
    </row>
    <row r="132" spans="3:14" x14ac:dyDescent="0.2">
      <c r="C132" s="150"/>
      <c r="D132" s="150"/>
      <c r="E132" s="150"/>
      <c r="F132" s="150"/>
      <c r="G132" s="150"/>
      <c r="H132" s="150"/>
      <c r="I132" s="46"/>
      <c r="J132" s="46"/>
      <c r="K132" s="65"/>
      <c r="L132" s="66"/>
      <c r="M132" s="46"/>
      <c r="N132" s="46"/>
    </row>
    <row r="133" spans="3:14" ht="17.25" thickBot="1" x14ac:dyDescent="0.25">
      <c r="C133" s="151"/>
      <c r="D133" s="151"/>
      <c r="E133" s="151"/>
      <c r="F133" s="151"/>
      <c r="G133" s="151"/>
      <c r="H133" s="151"/>
      <c r="I133" s="49"/>
      <c r="J133" s="49"/>
      <c r="K133" s="68"/>
      <c r="L133" s="69"/>
      <c r="M133" s="49"/>
      <c r="N133" s="49"/>
    </row>
    <row r="134" spans="3:14" x14ac:dyDescent="0.2">
      <c r="C134" s="149"/>
      <c r="D134" s="149"/>
      <c r="E134" s="149"/>
      <c r="F134" s="149"/>
      <c r="G134" s="149"/>
      <c r="H134" s="149"/>
      <c r="I134" s="40"/>
      <c r="J134" s="40"/>
      <c r="K134" s="61"/>
      <c r="L134" s="62"/>
      <c r="M134" s="40"/>
      <c r="N134" s="40"/>
    </row>
    <row r="135" spans="3:14" x14ac:dyDescent="0.2">
      <c r="C135" s="150"/>
      <c r="D135" s="150"/>
      <c r="E135" s="150"/>
      <c r="F135" s="150"/>
      <c r="G135" s="150"/>
      <c r="H135" s="150"/>
      <c r="I135" s="46"/>
      <c r="J135" s="46"/>
      <c r="K135" s="65"/>
      <c r="L135" s="66"/>
      <c r="M135" s="46"/>
      <c r="N135" s="46"/>
    </row>
    <row r="136" spans="3:14" ht="17.25" thickBot="1" x14ac:dyDescent="0.25">
      <c r="C136" s="151"/>
      <c r="D136" s="151"/>
      <c r="E136" s="151"/>
      <c r="F136" s="151"/>
      <c r="G136" s="151"/>
      <c r="H136" s="151"/>
      <c r="I136" s="49"/>
      <c r="J136" s="49"/>
      <c r="K136" s="68"/>
      <c r="L136" s="69"/>
      <c r="M136" s="49"/>
      <c r="N136" s="49"/>
    </row>
  </sheetData>
  <mergeCells count="312">
    <mergeCell ref="C134:C136"/>
    <mergeCell ref="D134:D136"/>
    <mergeCell ref="E134:E136"/>
    <mergeCell ref="F134:F136"/>
    <mergeCell ref="G134:G136"/>
    <mergeCell ref="H134:H136"/>
    <mergeCell ref="C131:C133"/>
    <mergeCell ref="D131:D133"/>
    <mergeCell ref="E131:E133"/>
    <mergeCell ref="F131:F133"/>
    <mergeCell ref="G131:G133"/>
    <mergeCell ref="H131:H133"/>
    <mergeCell ref="C128:C130"/>
    <mergeCell ref="D128:D130"/>
    <mergeCell ref="E128:E130"/>
    <mergeCell ref="F128:F130"/>
    <mergeCell ref="G128:G130"/>
    <mergeCell ref="H128:H130"/>
    <mergeCell ref="C125:C127"/>
    <mergeCell ref="D125:D127"/>
    <mergeCell ref="E125:E127"/>
    <mergeCell ref="F125:F127"/>
    <mergeCell ref="G125:G127"/>
    <mergeCell ref="H125:H127"/>
    <mergeCell ref="C122:C124"/>
    <mergeCell ref="D122:D124"/>
    <mergeCell ref="E122:E124"/>
    <mergeCell ref="F122:F124"/>
    <mergeCell ref="G122:G124"/>
    <mergeCell ref="H122:H124"/>
    <mergeCell ref="C119:C121"/>
    <mergeCell ref="D119:D121"/>
    <mergeCell ref="E119:E121"/>
    <mergeCell ref="F119:F121"/>
    <mergeCell ref="G119:G121"/>
    <mergeCell ref="H119:H121"/>
    <mergeCell ref="C116:C118"/>
    <mergeCell ref="D116:D118"/>
    <mergeCell ref="E116:E118"/>
    <mergeCell ref="F116:F118"/>
    <mergeCell ref="G116:G118"/>
    <mergeCell ref="H116:H118"/>
    <mergeCell ref="C113:C115"/>
    <mergeCell ref="D113:D115"/>
    <mergeCell ref="E113:E115"/>
    <mergeCell ref="F113:F115"/>
    <mergeCell ref="G113:G115"/>
    <mergeCell ref="H113:H115"/>
    <mergeCell ref="C110:C112"/>
    <mergeCell ref="D110:D112"/>
    <mergeCell ref="E110:E112"/>
    <mergeCell ref="F110:F112"/>
    <mergeCell ref="G110:G112"/>
    <mergeCell ref="H110:H112"/>
    <mergeCell ref="C107:C109"/>
    <mergeCell ref="D107:D109"/>
    <mergeCell ref="E107:E109"/>
    <mergeCell ref="F107:F109"/>
    <mergeCell ref="G107:G109"/>
    <mergeCell ref="H107:H109"/>
    <mergeCell ref="C104:C106"/>
    <mergeCell ref="D104:D106"/>
    <mergeCell ref="E104:E106"/>
    <mergeCell ref="F104:F106"/>
    <mergeCell ref="G104:G106"/>
    <mergeCell ref="H104:H106"/>
    <mergeCell ref="C101:C103"/>
    <mergeCell ref="D101:D103"/>
    <mergeCell ref="E101:E103"/>
    <mergeCell ref="F101:F103"/>
    <mergeCell ref="G101:G103"/>
    <mergeCell ref="H101:H103"/>
    <mergeCell ref="C98:C100"/>
    <mergeCell ref="D98:D100"/>
    <mergeCell ref="E98:E100"/>
    <mergeCell ref="F98:F100"/>
    <mergeCell ref="G98:G100"/>
    <mergeCell ref="H98:H100"/>
    <mergeCell ref="C95:C97"/>
    <mergeCell ref="D95:D97"/>
    <mergeCell ref="E95:E97"/>
    <mergeCell ref="F95:F97"/>
    <mergeCell ref="G95:G97"/>
    <mergeCell ref="H95:H97"/>
    <mergeCell ref="C92:C94"/>
    <mergeCell ref="D92:D94"/>
    <mergeCell ref="E92:E94"/>
    <mergeCell ref="F92:F94"/>
    <mergeCell ref="G92:G94"/>
    <mergeCell ref="H92:H94"/>
    <mergeCell ref="C89:C91"/>
    <mergeCell ref="D89:D91"/>
    <mergeCell ref="E89:E91"/>
    <mergeCell ref="F89:F91"/>
    <mergeCell ref="G89:G91"/>
    <mergeCell ref="H89:H91"/>
    <mergeCell ref="C86:C88"/>
    <mergeCell ref="D86:D88"/>
    <mergeCell ref="E86:E88"/>
    <mergeCell ref="F86:F88"/>
    <mergeCell ref="G86:G88"/>
    <mergeCell ref="H86:H88"/>
    <mergeCell ref="C83:C85"/>
    <mergeCell ref="D83:D85"/>
    <mergeCell ref="E83:E85"/>
    <mergeCell ref="F83:F85"/>
    <mergeCell ref="G83:G85"/>
    <mergeCell ref="H83:H85"/>
    <mergeCell ref="C80:C82"/>
    <mergeCell ref="D80:D82"/>
    <mergeCell ref="E80:E82"/>
    <mergeCell ref="F80:F82"/>
    <mergeCell ref="G80:G82"/>
    <mergeCell ref="H80:H82"/>
    <mergeCell ref="C77:C79"/>
    <mergeCell ref="D77:D79"/>
    <mergeCell ref="E77:E79"/>
    <mergeCell ref="F77:F79"/>
    <mergeCell ref="G77:G79"/>
    <mergeCell ref="H77:H79"/>
    <mergeCell ref="C74:C76"/>
    <mergeCell ref="D74:D76"/>
    <mergeCell ref="E74:E76"/>
    <mergeCell ref="F74:F76"/>
    <mergeCell ref="G74:G76"/>
    <mergeCell ref="H74:H76"/>
    <mergeCell ref="C71:C73"/>
    <mergeCell ref="D71:D73"/>
    <mergeCell ref="E71:E73"/>
    <mergeCell ref="F71:F73"/>
    <mergeCell ref="G71:G73"/>
    <mergeCell ref="H71:H73"/>
    <mergeCell ref="C68:C70"/>
    <mergeCell ref="D68:D70"/>
    <mergeCell ref="E68:E70"/>
    <mergeCell ref="F68:F70"/>
    <mergeCell ref="G68:G70"/>
    <mergeCell ref="H68:H70"/>
    <mergeCell ref="G62:G64"/>
    <mergeCell ref="H62:H64"/>
    <mergeCell ref="C65:C67"/>
    <mergeCell ref="D65:D67"/>
    <mergeCell ref="E65:E67"/>
    <mergeCell ref="F65:F67"/>
    <mergeCell ref="G65:G67"/>
    <mergeCell ref="H65:H67"/>
    <mergeCell ref="A62:A64"/>
    <mergeCell ref="B62:B64"/>
    <mergeCell ref="C62:C64"/>
    <mergeCell ref="D62:D64"/>
    <mergeCell ref="E62:E64"/>
    <mergeCell ref="F62:F64"/>
    <mergeCell ref="G56:G58"/>
    <mergeCell ref="H56:H58"/>
    <mergeCell ref="A59:A61"/>
    <mergeCell ref="B59:B61"/>
    <mergeCell ref="C59:C61"/>
    <mergeCell ref="D59:D61"/>
    <mergeCell ref="E59:E61"/>
    <mergeCell ref="F59:F61"/>
    <mergeCell ref="G59:G61"/>
    <mergeCell ref="H59:H61"/>
    <mergeCell ref="A56:A58"/>
    <mergeCell ref="B56:B58"/>
    <mergeCell ref="C56:C58"/>
    <mergeCell ref="D56:D58"/>
    <mergeCell ref="E56:E58"/>
    <mergeCell ref="F56:F58"/>
    <mergeCell ref="G50:G52"/>
    <mergeCell ref="H50:H52"/>
    <mergeCell ref="A53:A55"/>
    <mergeCell ref="B53:B55"/>
    <mergeCell ref="C53:C55"/>
    <mergeCell ref="D53:D55"/>
    <mergeCell ref="E53:E55"/>
    <mergeCell ref="F53:F55"/>
    <mergeCell ref="G53:G55"/>
    <mergeCell ref="H53:H55"/>
    <mergeCell ref="A50:A52"/>
    <mergeCell ref="B50:B52"/>
    <mergeCell ref="C50:C52"/>
    <mergeCell ref="D50:D52"/>
    <mergeCell ref="E50:E52"/>
    <mergeCell ref="F50:F52"/>
    <mergeCell ref="G44:G46"/>
    <mergeCell ref="H44:H46"/>
    <mergeCell ref="A47:A49"/>
    <mergeCell ref="B47:B49"/>
    <mergeCell ref="C47:C49"/>
    <mergeCell ref="D47:D49"/>
    <mergeCell ref="E47:E49"/>
    <mergeCell ref="F47:F49"/>
    <mergeCell ref="G47:G49"/>
    <mergeCell ref="H47:H49"/>
    <mergeCell ref="A44:A46"/>
    <mergeCell ref="B44:B46"/>
    <mergeCell ref="C44:C46"/>
    <mergeCell ref="D44:D46"/>
    <mergeCell ref="E44:E46"/>
    <mergeCell ref="F44:F46"/>
    <mergeCell ref="G38:G40"/>
    <mergeCell ref="H38:H40"/>
    <mergeCell ref="A41:A43"/>
    <mergeCell ref="B41:B43"/>
    <mergeCell ref="C41:C43"/>
    <mergeCell ref="D41:D43"/>
    <mergeCell ref="E41:E43"/>
    <mergeCell ref="F41:F43"/>
    <mergeCell ref="G41:G43"/>
    <mergeCell ref="H41:H43"/>
    <mergeCell ref="A38:A40"/>
    <mergeCell ref="B38:B40"/>
    <mergeCell ref="C38:C40"/>
    <mergeCell ref="D38:D40"/>
    <mergeCell ref="E38:E40"/>
    <mergeCell ref="F38:F40"/>
    <mergeCell ref="G32:G34"/>
    <mergeCell ref="H32:H34"/>
    <mergeCell ref="A35:A37"/>
    <mergeCell ref="B35:B37"/>
    <mergeCell ref="C35:C37"/>
    <mergeCell ref="D35:D37"/>
    <mergeCell ref="E35:E37"/>
    <mergeCell ref="F35:F37"/>
    <mergeCell ref="G35:G37"/>
    <mergeCell ref="H35:H37"/>
    <mergeCell ref="A32:A34"/>
    <mergeCell ref="B32:B34"/>
    <mergeCell ref="C32:C34"/>
    <mergeCell ref="D32:D34"/>
    <mergeCell ref="E32:E34"/>
    <mergeCell ref="F32:F34"/>
    <mergeCell ref="G26:G28"/>
    <mergeCell ref="H26:H28"/>
    <mergeCell ref="A29:A31"/>
    <mergeCell ref="B29:B31"/>
    <mergeCell ref="C29:C31"/>
    <mergeCell ref="D29:D31"/>
    <mergeCell ref="E29:E31"/>
    <mergeCell ref="F29:F31"/>
    <mergeCell ref="G29:G31"/>
    <mergeCell ref="H29:H31"/>
    <mergeCell ref="A26:A28"/>
    <mergeCell ref="B26:B28"/>
    <mergeCell ref="C26:C28"/>
    <mergeCell ref="D26:D28"/>
    <mergeCell ref="E26:E28"/>
    <mergeCell ref="F26:F28"/>
    <mergeCell ref="G20:G22"/>
    <mergeCell ref="H20:H22"/>
    <mergeCell ref="A23:A25"/>
    <mergeCell ref="B23:B25"/>
    <mergeCell ref="C23:C25"/>
    <mergeCell ref="D23:D25"/>
    <mergeCell ref="E23:E25"/>
    <mergeCell ref="F23:F25"/>
    <mergeCell ref="G23:G25"/>
    <mergeCell ref="H23:H25"/>
    <mergeCell ref="A20:A22"/>
    <mergeCell ref="B20:B22"/>
    <mergeCell ref="C20:C22"/>
    <mergeCell ref="D20:D22"/>
    <mergeCell ref="E20:E22"/>
    <mergeCell ref="F20:F22"/>
    <mergeCell ref="G14:G16"/>
    <mergeCell ref="H14:H16"/>
    <mergeCell ref="A17:A19"/>
    <mergeCell ref="B17:B19"/>
    <mergeCell ref="C17:C19"/>
    <mergeCell ref="D17:D19"/>
    <mergeCell ref="E17:E19"/>
    <mergeCell ref="F17:F19"/>
    <mergeCell ref="G17:G19"/>
    <mergeCell ref="H17:H19"/>
    <mergeCell ref="A14:A16"/>
    <mergeCell ref="B14:B16"/>
    <mergeCell ref="C14:C16"/>
    <mergeCell ref="D14:D16"/>
    <mergeCell ref="E14:E16"/>
    <mergeCell ref="F14:F16"/>
    <mergeCell ref="G8:G10"/>
    <mergeCell ref="H8:H10"/>
    <mergeCell ref="A11:A13"/>
    <mergeCell ref="B11:B13"/>
    <mergeCell ref="C11:C13"/>
    <mergeCell ref="D11:D13"/>
    <mergeCell ref="E11:E13"/>
    <mergeCell ref="F11:F13"/>
    <mergeCell ref="G11:G13"/>
    <mergeCell ref="H11:H13"/>
    <mergeCell ref="A8:A10"/>
    <mergeCell ref="B8:B10"/>
    <mergeCell ref="C8:C10"/>
    <mergeCell ref="D8:D10"/>
    <mergeCell ref="E8:E10"/>
    <mergeCell ref="F8:F10"/>
    <mergeCell ref="G2:G4"/>
    <mergeCell ref="H2:H4"/>
    <mergeCell ref="A5:A7"/>
    <mergeCell ref="B5:B7"/>
    <mergeCell ref="C5:C7"/>
    <mergeCell ref="D5:D7"/>
    <mergeCell ref="E5:E7"/>
    <mergeCell ref="F5:F7"/>
    <mergeCell ref="G5:G7"/>
    <mergeCell ref="H5:H7"/>
    <mergeCell ref="A2:A4"/>
    <mergeCell ref="B2:B4"/>
    <mergeCell ref="C2:C4"/>
    <mergeCell ref="D2:D4"/>
    <mergeCell ref="E2:E4"/>
    <mergeCell ref="F2:F4"/>
  </mergeCells>
  <phoneticPr fontId="2" type="noConversion"/>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文档说明</vt:lpstr>
      <vt:lpstr>属性表</vt:lpstr>
      <vt:lpstr>新属性投放</vt:lpstr>
      <vt:lpstr>战斗模拟</vt:lpstr>
      <vt:lpstr>属性投放</vt:lpstr>
      <vt:lpstr>羁绊之力</vt:lpstr>
      <vt:lpstr>职业设计</vt:lpstr>
      <vt:lpstr>职业设计 (2)</vt:lpstr>
      <vt:lpstr>守护灵（4次修订版）</vt:lpstr>
      <vt:lpstr>属性填表</vt:lpstr>
      <vt:lpstr>关卡思路</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2019-02-20T09:44:25Z</dcterms:modified>
</cp:coreProperties>
</file>