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80" yWindow="45" windowWidth="15180" windowHeight="11760" activeTab="1"/>
  </bookViews>
  <sheets>
    <sheet name="Meta" sheetId="4" r:id="rId1"/>
    <sheet name="Output" sheetId="50" r:id="rId2"/>
    <sheet name="Grade8" sheetId="1" r:id="rId3"/>
    <sheet name="Grade9" sheetId="52" r:id="rId4"/>
    <sheet name="Grade10" sheetId="53" r:id="rId5"/>
    <sheet name="Grade11" sheetId="54" r:id="rId6"/>
    <sheet name="Grade12" sheetId="55" r:id="rId7"/>
    <sheet name="Grade13" sheetId="56" r:id="rId8"/>
    <sheet name="Grade14" sheetId="57" r:id="rId9"/>
    <sheet name="Grade15" sheetId="58" r:id="rId10"/>
    <sheet name="Grade16" sheetId="59" r:id="rId11"/>
    <sheet name="Grade17" sheetId="60" r:id="rId12"/>
    <sheet name="Grade18" sheetId="61" r:id="rId13"/>
  </sheets>
  <definedNames>
    <definedName name="_edn1" localSheetId="0">Meta!$E$10</definedName>
    <definedName name="_edn1" localSheetId="1">Output!$B$10</definedName>
    <definedName name="_ednref1" localSheetId="0">Meta!$E$7</definedName>
    <definedName name="_ednref1" localSheetId="1">Output!$B$7</definedName>
    <definedName name="baseincome" localSheetId="0">Meta!$B$2</definedName>
    <definedName name="benefits" localSheetId="4">Grade10!$D$2</definedName>
    <definedName name="benefits" localSheetId="5">Grade11!$D$2</definedName>
    <definedName name="benefits" localSheetId="6">Grade12!$D$2</definedName>
    <definedName name="benefits" localSheetId="7">Grade13!$D$2</definedName>
    <definedName name="benefits" localSheetId="8">Grade14!$D$2</definedName>
    <definedName name="benefits" localSheetId="9">Grade15!$D$2</definedName>
    <definedName name="benefits" localSheetId="10">Grade16!$D$2</definedName>
    <definedName name="benefits" localSheetId="11">Grade17!$D$2</definedName>
    <definedName name="benefits" localSheetId="12">Grade18!$D$2</definedName>
    <definedName name="benefits" localSheetId="3">Grade9!$D$2</definedName>
    <definedName name="benefits">Grade8!$D$2</definedName>
    <definedName name="benrat" localSheetId="4">Grade10!$I$2</definedName>
    <definedName name="benrat" localSheetId="5">Grade11!$I$2</definedName>
    <definedName name="benrat" localSheetId="6">Grade12!$I$2</definedName>
    <definedName name="benrat" localSheetId="7">Grade13!$I$2</definedName>
    <definedName name="benrat" localSheetId="8">Grade14!$I$2</definedName>
    <definedName name="benrat" localSheetId="9">Grade15!$I$2</definedName>
    <definedName name="benrat" localSheetId="10">Grade16!$I$2</definedName>
    <definedName name="benrat" localSheetId="11">Grade17!$I$2</definedName>
    <definedName name="benrat" localSheetId="12">Grade18!$I$2</definedName>
    <definedName name="benrat" localSheetId="3">Grade9!$I$2</definedName>
    <definedName name="benrat">Grade8!$I$2</definedName>
    <definedName name="coltuition">Meta!$Q$2</definedName>
    <definedName name="compensationratio">#REF!</definedName>
    <definedName name="completionprob" localSheetId="4">Grade10!$H$2</definedName>
    <definedName name="completionprob" localSheetId="5">Grade11!$H$2</definedName>
    <definedName name="completionprob" localSheetId="6">Grade12!$H$2</definedName>
    <definedName name="completionprob" localSheetId="7">Grade13!$H$2</definedName>
    <definedName name="completionprob" localSheetId="8">Grade14!$H$2</definedName>
    <definedName name="completionprob" localSheetId="9">Grade15!$H$2</definedName>
    <definedName name="completionprob" localSheetId="10">Grade16!$H$2</definedName>
    <definedName name="completionprob" localSheetId="11">Grade17!$H$2</definedName>
    <definedName name="completionprob" localSheetId="12">Grade18!$H$2</definedName>
    <definedName name="completionprob">Grade9!$H$2</definedName>
    <definedName name="comprat" localSheetId="4">Grade10!$I$2</definedName>
    <definedName name="comprat" localSheetId="5">Grade11!$I$2</definedName>
    <definedName name="comprat" localSheetId="6">Grade12!$I$2</definedName>
    <definedName name="comprat" localSheetId="7">Grade13!$I$2</definedName>
    <definedName name="comprat" localSheetId="8">Grade14!$I$2</definedName>
    <definedName name="comprat" localSheetId="9">Grade15!$I$2</definedName>
    <definedName name="comprat" localSheetId="10">Grade16!$I$2</definedName>
    <definedName name="comprat" localSheetId="11">Grade17!$I$2</definedName>
    <definedName name="comprat" localSheetId="12">Grade18!$I$2</definedName>
    <definedName name="comprat" localSheetId="3">Grade9!$I$2</definedName>
    <definedName name="comprat">Grade8!$I$2</definedName>
    <definedName name="experiencepremium" localSheetId="1">Output!#REF!</definedName>
    <definedName name="experiencepremium">Meta!$H$2</definedName>
    <definedName name="expnorm" localSheetId="4">Grade10!$G$2</definedName>
    <definedName name="expnorm" localSheetId="5">Grade11!$G$2</definedName>
    <definedName name="expnorm" localSheetId="6">Grade12!$G$2</definedName>
    <definedName name="expnorm" localSheetId="7">Grade13!$G$2</definedName>
    <definedName name="expnorm" localSheetId="8">Grade14!$G$2</definedName>
    <definedName name="expnorm" localSheetId="9">Grade15!$G$2</definedName>
    <definedName name="expnorm" localSheetId="10">Grade16!$G$2</definedName>
    <definedName name="expnorm" localSheetId="11">Grade17!$G$2</definedName>
    <definedName name="expnorm" localSheetId="12">Grade18!$G$2</definedName>
    <definedName name="expnorm" localSheetId="3">Grade9!$G$2</definedName>
    <definedName name="expnorm">Grade8!$G$2</definedName>
    <definedName name="expnorm8" localSheetId="4">Grade10!$G$2</definedName>
    <definedName name="expnorm8" localSheetId="5">Grade11!$G$2</definedName>
    <definedName name="expnorm8" localSheetId="6">Grade12!$G$2</definedName>
    <definedName name="expnorm8" localSheetId="7">Grade13!$G$2</definedName>
    <definedName name="expnorm8" localSheetId="8">Grade14!$G$2</definedName>
    <definedName name="expnorm8" localSheetId="9">Grade15!$G$2</definedName>
    <definedName name="expnorm8" localSheetId="10">Grade16!$G$2</definedName>
    <definedName name="expnorm8" localSheetId="11">Grade17!$G$2</definedName>
    <definedName name="expnorm8" localSheetId="12">Grade18!$G$2</definedName>
    <definedName name="expnorm8" localSheetId="3">Grade9!$G$2</definedName>
    <definedName name="expnorm8">Grade8!$G$2</definedName>
    <definedName name="feel">Meta!$R$2</definedName>
    <definedName name="hstuition">Meta!$P$2</definedName>
    <definedName name="incomeindex" localSheetId="0">Meta!$E$2</definedName>
    <definedName name="initialbenrat" localSheetId="4">Grade10!$L$2</definedName>
    <definedName name="initialbenrat" localSheetId="5">Grade11!$L$2</definedName>
    <definedName name="initialbenrat" localSheetId="6">Grade12!$L$2</definedName>
    <definedName name="initialbenrat" localSheetId="7">Grade13!$L$2</definedName>
    <definedName name="initialbenrat" localSheetId="8">Grade14!$L$2</definedName>
    <definedName name="initialbenrat" localSheetId="9">Grade15!$L$2</definedName>
    <definedName name="initialbenrat" localSheetId="10">Grade16!$L$2</definedName>
    <definedName name="initialbenrat" localSheetId="11">Grade17!$L$2</definedName>
    <definedName name="initialbenrat" localSheetId="12">Grade18!$L$2</definedName>
    <definedName name="initialbenrat" localSheetId="3">Grade9!$L$2</definedName>
    <definedName name="initialbenrat">Grade8!$L$2</definedName>
    <definedName name="initialcompensationratio">#REF!</definedName>
    <definedName name="initialcomprat">#REF!</definedName>
    <definedName name="initialpart" localSheetId="4">Grade10!$L$2</definedName>
    <definedName name="initialpart" localSheetId="5">Grade11!$L$2</definedName>
    <definedName name="initialpart" localSheetId="6">Grade12!$L$2</definedName>
    <definedName name="initialpart" localSheetId="7">Grade13!$L$2</definedName>
    <definedName name="initialpart" localSheetId="8">Grade14!$L$2</definedName>
    <definedName name="initialpart" localSheetId="9">Grade15!$L$2</definedName>
    <definedName name="initialpart" localSheetId="10">Grade16!$L$2</definedName>
    <definedName name="initialpart" localSheetId="11">Grade17!$L$2</definedName>
    <definedName name="initialpart" localSheetId="12">Grade18!$L$2</definedName>
    <definedName name="initialpart">Grade9!$L$2</definedName>
    <definedName name="initialspart" localSheetId="4">Grade10!$J$2</definedName>
    <definedName name="initialspart" localSheetId="5">Grade11!$J$2</definedName>
    <definedName name="initialspart" localSheetId="6">Grade12!$J$2</definedName>
    <definedName name="initialspart" localSheetId="7">Grade13!$J$2</definedName>
    <definedName name="initialspart" localSheetId="8">Grade14!$J$2</definedName>
    <definedName name="initialspart" localSheetId="9">Grade15!$J$2</definedName>
    <definedName name="initialspart" localSheetId="10">Grade16!$J$2</definedName>
    <definedName name="initialspart" localSheetId="11">Grade17!$J$2</definedName>
    <definedName name="initialspart" localSheetId="12">Grade18!$J$2</definedName>
    <definedName name="initialspart">Grade9!$J$2</definedName>
    <definedName name="initialunempprob" localSheetId="4">Grade10!$K$2</definedName>
    <definedName name="initialunempprob" localSheetId="5">Grade11!$K$2</definedName>
    <definedName name="initialunempprob" localSheetId="6">Grade12!$K$2</definedName>
    <definedName name="initialunempprob" localSheetId="7">Grade13!$K$2</definedName>
    <definedName name="initialunempprob" localSheetId="8">Grade14!$K$2</definedName>
    <definedName name="initialunempprob" localSheetId="9">Grade15!$K$2</definedName>
    <definedName name="initialunempprob" localSheetId="10">Grade16!$K$2</definedName>
    <definedName name="initialunempprob" localSheetId="11">Grade17!$K$2</definedName>
    <definedName name="initialunempprob" localSheetId="12">Grade18!$K$2</definedName>
    <definedName name="initialunempprob" localSheetId="3">Grade9!$K$2</definedName>
    <definedName name="initialunempprob">Grade8!$K$2</definedName>
    <definedName name="nptrans">Meta!$S$2</definedName>
    <definedName name="part10">Meta!$F$4</definedName>
    <definedName name="part11">Meta!$F$5</definedName>
    <definedName name="part12">Meta!$F$6</definedName>
    <definedName name="part13">Meta!$F$7</definedName>
    <definedName name="part14">Meta!$F$8</definedName>
    <definedName name="part15">Meta!$F$9</definedName>
    <definedName name="part16">Meta!$F$10</definedName>
    <definedName name="part17">Meta!$F$11</definedName>
    <definedName name="part18">Meta!$F$12</definedName>
    <definedName name="part8">Meta!$F$2</definedName>
    <definedName name="part9">Meta!$F$3</definedName>
    <definedName name="pecuniaryreturn">#REF!</definedName>
    <definedName name="pretaxincome" localSheetId="4">Grade10!$C$2</definedName>
    <definedName name="pretaxincome" localSheetId="5">Grade11!$C$2</definedName>
    <definedName name="pretaxincome" localSheetId="6">Grade12!$C$2</definedName>
    <definedName name="pretaxincome" localSheetId="7">Grade13!$C$2</definedName>
    <definedName name="pretaxincome" localSheetId="8">Grade14!$C$2</definedName>
    <definedName name="pretaxincome" localSheetId="9">Grade15!$C$2</definedName>
    <definedName name="pretaxincome" localSheetId="10">Grade16!$C$2</definedName>
    <definedName name="pretaxincome" localSheetId="11">Grade17!$C$2</definedName>
    <definedName name="pretaxincome" localSheetId="12">Grade18!$C$2</definedName>
    <definedName name="pretaxincome" localSheetId="3">Grade9!$C$2</definedName>
    <definedName name="pretaxincome">Grade8!$C$2</definedName>
    <definedName name="pretaxincome8" localSheetId="4">Grade10!$C$2</definedName>
    <definedName name="pretaxincome8" localSheetId="5">Grade11!$C$2</definedName>
    <definedName name="pretaxincome8" localSheetId="6">Grade12!$C$2</definedName>
    <definedName name="pretaxincome8" localSheetId="7">Grade13!$C$2</definedName>
    <definedName name="pretaxincome8" localSheetId="8">Grade14!$C$2</definedName>
    <definedName name="pretaxincome8" localSheetId="9">Grade15!$C$2</definedName>
    <definedName name="pretaxincome8" localSheetId="10">Grade16!$C$2</definedName>
    <definedName name="pretaxincome8" localSheetId="11">Grade17!$C$2</definedName>
    <definedName name="pretaxincome8" localSheetId="12">Grade18!$C$2</definedName>
    <definedName name="pretaxincome8" localSheetId="3">Grade9!$C$2</definedName>
    <definedName name="pretaxincome8">Grade8!$C$2</definedName>
    <definedName name="pretaxincomey8" localSheetId="4">Grade10!$C$2</definedName>
    <definedName name="pretaxincomey8" localSheetId="5">Grade11!$C$2</definedName>
    <definedName name="pretaxincomey8" localSheetId="6">Grade12!$C$2</definedName>
    <definedName name="pretaxincomey8" localSheetId="7">Grade13!$C$2</definedName>
    <definedName name="pretaxincomey8" localSheetId="8">Grade14!$C$2</definedName>
    <definedName name="pretaxincomey8" localSheetId="9">Grade15!$C$2</definedName>
    <definedName name="pretaxincomey8" localSheetId="10">Grade16!$C$2</definedName>
    <definedName name="pretaxincomey8" localSheetId="11">Grade17!$C$2</definedName>
    <definedName name="pretaxincomey8" localSheetId="12">Grade18!$C$2</definedName>
    <definedName name="pretaxincomey8" localSheetId="3">Grade9!$C$2</definedName>
    <definedName name="pretaxincomey8">Grade8!$C$2</definedName>
    <definedName name="return">#REF!</definedName>
    <definedName name="returntoeducation">#REF!</definedName>
    <definedName name="returntoexperience" localSheetId="1">Output!#REF!</definedName>
    <definedName name="returntoexperience">Meta!$H$2</definedName>
    <definedName name="sbenefits" localSheetId="4">Grade10!$O$2</definedName>
    <definedName name="sbenefits" localSheetId="5">Grade11!$O$2</definedName>
    <definedName name="sbenefits" localSheetId="6">Grade12!$O$2</definedName>
    <definedName name="sbenefits" localSheetId="7">Grade13!$O$2</definedName>
    <definedName name="sbenefits" localSheetId="8">Grade14!$O$2</definedName>
    <definedName name="sbenefits" localSheetId="9">Grade15!$O$2</definedName>
    <definedName name="sbenefits" localSheetId="10">Grade16!$O$2</definedName>
    <definedName name="sbenefits" localSheetId="11">Grade17!$O$2</definedName>
    <definedName name="sbenefits" localSheetId="12">Grade18!$O$2</definedName>
    <definedName name="sbenefits" localSheetId="3">Grade9!$O$2</definedName>
    <definedName name="sbenefits">Grade8!$O$2</definedName>
    <definedName name="scrimecost" localSheetId="4">Grade10!$R$2</definedName>
    <definedName name="scrimecost" localSheetId="5">Grade11!$R$2</definedName>
    <definedName name="scrimecost" localSheetId="6">Grade12!$R$2</definedName>
    <definedName name="scrimecost" localSheetId="7">Grade13!$R$2</definedName>
    <definedName name="scrimecost" localSheetId="8">Grade14!$R$2</definedName>
    <definedName name="scrimecost" localSheetId="9">Grade15!$R$2</definedName>
    <definedName name="scrimecost" localSheetId="10">Grade16!$R$2</definedName>
    <definedName name="scrimecost" localSheetId="11">Grade17!$R$2</definedName>
    <definedName name="scrimecost" localSheetId="12">Grade18!$R$2</definedName>
    <definedName name="scrimecost" localSheetId="3">Grade9!$R$2</definedName>
    <definedName name="scrimecost">Grade8!$R$2</definedName>
    <definedName name="sincome" localSheetId="4">Grade10!$N$2</definedName>
    <definedName name="sincome" localSheetId="5">Grade11!$N$2</definedName>
    <definedName name="sincome" localSheetId="6">Grade12!$N$2</definedName>
    <definedName name="sincome" localSheetId="7">Grade13!$N$2</definedName>
    <definedName name="sincome" localSheetId="8">Grade14!$N$2</definedName>
    <definedName name="sincome" localSheetId="9">Grade15!$N$2</definedName>
    <definedName name="sincome" localSheetId="10">Grade16!$N$2</definedName>
    <definedName name="sincome" localSheetId="11">Grade17!$N$2</definedName>
    <definedName name="sincome" localSheetId="12">Grade18!$N$2</definedName>
    <definedName name="sincome" localSheetId="3">Grade9!$N$2</definedName>
    <definedName name="sincome">Grade8!$N$2</definedName>
    <definedName name="spart" localSheetId="4">Grade10!$Q$2</definedName>
    <definedName name="spart" localSheetId="5">Grade11!$Q$2</definedName>
    <definedName name="spart" localSheetId="6">Grade12!$Q$2</definedName>
    <definedName name="spart" localSheetId="7">Grade13!$Q$2</definedName>
    <definedName name="spart" localSheetId="8">Grade14!$Q$2</definedName>
    <definedName name="spart" localSheetId="9">Grade15!$Q$2</definedName>
    <definedName name="spart" localSheetId="10">Grade16!$Q$2</definedName>
    <definedName name="spart" localSheetId="11">Grade17!$Q$2</definedName>
    <definedName name="spart" localSheetId="12">Grade18!$Q$2</definedName>
    <definedName name="spart" localSheetId="3">Grade9!$Q$2</definedName>
    <definedName name="spart">Grade8!$Q$2</definedName>
    <definedName name="sreturn" localSheetId="4">Grade10!$T$2</definedName>
    <definedName name="sreturn" localSheetId="5">Grade11!$T$2</definedName>
    <definedName name="sreturn" localSheetId="6">Grade12!$T$2</definedName>
    <definedName name="sreturn" localSheetId="7">Grade13!$T$2</definedName>
    <definedName name="sreturn" localSheetId="8">Grade14!$T$2</definedName>
    <definedName name="sreturn" localSheetId="9">Grade15!$T$2</definedName>
    <definedName name="sreturn" localSheetId="10">Grade16!$T$2</definedName>
    <definedName name="sreturn" localSheetId="11">Grade17!$T$2</definedName>
    <definedName name="sreturn" localSheetId="12">Grade18!$T$2</definedName>
    <definedName name="sreturn">Grade9!$T$2</definedName>
    <definedName name="startage" localSheetId="4">Grade10!$B$2</definedName>
    <definedName name="startage" localSheetId="5">Grade11!$B$2</definedName>
    <definedName name="startage" localSheetId="6">Grade12!$B$2</definedName>
    <definedName name="startage" localSheetId="7">Grade13!$B$2</definedName>
    <definedName name="startage" localSheetId="8">Grade14!$B$2</definedName>
    <definedName name="startage" localSheetId="9">Grade15!$B$2</definedName>
    <definedName name="startage" localSheetId="10">Grade16!$B$2</definedName>
    <definedName name="startage" localSheetId="11">Grade17!$B$2</definedName>
    <definedName name="startage" localSheetId="12">Grade18!$B$2</definedName>
    <definedName name="startage" localSheetId="3">Grade9!$B$2</definedName>
    <definedName name="startage">Grade8!$B$2</definedName>
    <definedName name="sunemp" localSheetId="4">Grade10!$P$2</definedName>
    <definedName name="sunemp" localSheetId="5">Grade11!$P$2</definedName>
    <definedName name="sunemp" localSheetId="6">Grade12!$P$2</definedName>
    <definedName name="sunemp" localSheetId="7">Grade13!$P$2</definedName>
    <definedName name="sunemp" localSheetId="8">Grade14!$P$2</definedName>
    <definedName name="sunemp" localSheetId="9">Grade15!$P$2</definedName>
    <definedName name="sunemp" localSheetId="10">Grade16!$P$2</definedName>
    <definedName name="sunemp" localSheetId="11">Grade17!$P$2</definedName>
    <definedName name="sunemp" localSheetId="12">Grade18!$P$2</definedName>
    <definedName name="sunemp" localSheetId="3">Grade9!$P$2</definedName>
    <definedName name="sunemp">Grade8!$P$2</definedName>
    <definedName name="ttd">#REF!</definedName>
    <definedName name="unempprob" localSheetId="4">Grade10!$E$2</definedName>
    <definedName name="unempprob" localSheetId="5">Grade11!$E$2</definedName>
    <definedName name="unempprob" localSheetId="6">Grade12!$E$2</definedName>
    <definedName name="unempprob" localSheetId="7">Grade13!$E$2</definedName>
    <definedName name="unempprob" localSheetId="8">Grade14!$E$2</definedName>
    <definedName name="unempprob" localSheetId="9">Grade15!$E$2</definedName>
    <definedName name="unempprob" localSheetId="10">Grade16!$E$2</definedName>
    <definedName name="unempprob" localSheetId="11">Grade17!$E$2</definedName>
    <definedName name="unempprob" localSheetId="12">Grade18!$E$2</definedName>
    <definedName name="unempprob" localSheetId="3">Grade9!$E$2</definedName>
    <definedName name="unempprob">Grade8!$E$2</definedName>
    <definedName name="unempprob8" localSheetId="4">Grade10!$E$2</definedName>
    <definedName name="unempprob8" localSheetId="5">Grade11!$E$2</definedName>
    <definedName name="unempprob8" localSheetId="6">Grade12!$E$2</definedName>
    <definedName name="unempprob8" localSheetId="7">Grade13!$E$2</definedName>
    <definedName name="unempprob8" localSheetId="8">Grade14!$E$2</definedName>
    <definedName name="unempprob8" localSheetId="9">Grade15!$E$2</definedName>
    <definedName name="unempprob8" localSheetId="10">Grade16!$E$2</definedName>
    <definedName name="unempprob8" localSheetId="11">Grade17!$E$2</definedName>
    <definedName name="unempprob8" localSheetId="12">Grade18!$E$2</definedName>
    <definedName name="unempprob8" localSheetId="3">Grade9!$E$2</definedName>
    <definedName name="unempprob8">Grade8!$E$2</definedName>
    <definedName name="unempproby8" localSheetId="4">Grade10!$E$2</definedName>
    <definedName name="unempproby8" localSheetId="5">Grade11!$E$2</definedName>
    <definedName name="unempproby8" localSheetId="6">Grade12!$E$2</definedName>
    <definedName name="unempproby8" localSheetId="7">Grade13!$E$2</definedName>
    <definedName name="unempproby8" localSheetId="8">Grade14!$E$2</definedName>
    <definedName name="unempproby8" localSheetId="9">Grade15!$E$2</definedName>
    <definedName name="unempproby8" localSheetId="10">Grade16!$E$2</definedName>
    <definedName name="unempproby8" localSheetId="11">Grade17!$E$2</definedName>
    <definedName name="unempproby8" localSheetId="12">Grade18!$E$2</definedName>
    <definedName name="unempproby8" localSheetId="3">Grade9!$E$2</definedName>
    <definedName name="unempproby8">Grade8!$E$2</definedName>
  </definedNames>
  <calcPr calcId="145621"/>
</workbook>
</file>

<file path=xl/calcChain.xml><?xml version="1.0" encoding="utf-8"?>
<calcChain xmlns="http://schemas.openxmlformats.org/spreadsheetml/2006/main">
  <c r="R14" i="61" l="1"/>
  <c r="N57" i="61"/>
  <c r="N58" i="61"/>
  <c r="N59" i="61"/>
  <c r="N60" i="61"/>
  <c r="N61" i="61"/>
  <c r="N62" i="61"/>
  <c r="N63" i="61"/>
  <c r="N64" i="61"/>
  <c r="N65" i="61"/>
  <c r="N66" i="61"/>
  <c r="N67" i="61"/>
  <c r="N68" i="61"/>
  <c r="N69" i="61"/>
  <c r="R2" i="61"/>
  <c r="M19" i="61"/>
  <c r="Q2" i="61"/>
  <c r="P2" i="61"/>
  <c r="O2" i="61"/>
  <c r="N2" i="61"/>
  <c r="K2" i="61"/>
  <c r="J2" i="61"/>
  <c r="H2" i="61"/>
  <c r="F2" i="61"/>
  <c r="E2" i="61"/>
  <c r="D2" i="61"/>
  <c r="C2" i="61"/>
  <c r="B2" i="61"/>
  <c r="R13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R2" i="60"/>
  <c r="M17" i="60"/>
  <c r="Q2" i="60"/>
  <c r="P2" i="60"/>
  <c r="O2" i="60"/>
  <c r="N2" i="60"/>
  <c r="K2" i="60"/>
  <c r="J2" i="60"/>
  <c r="H2" i="60"/>
  <c r="F2" i="60"/>
  <c r="E2" i="60"/>
  <c r="D2" i="60"/>
  <c r="C2" i="60"/>
  <c r="B2" i="60"/>
  <c r="B22" i="60"/>
  <c r="R12" i="59"/>
  <c r="N57" i="59"/>
  <c r="N58" i="59"/>
  <c r="N59" i="59"/>
  <c r="N60" i="59"/>
  <c r="N61" i="59"/>
  <c r="N62" i="59"/>
  <c r="N63" i="59"/>
  <c r="N64" i="59"/>
  <c r="N65" i="59"/>
  <c r="N66" i="59"/>
  <c r="N67" i="59"/>
  <c r="N68" i="59"/>
  <c r="N69" i="59"/>
  <c r="R2" i="59"/>
  <c r="Q2" i="59"/>
  <c r="P2" i="59"/>
  <c r="O2" i="59"/>
  <c r="N2" i="59"/>
  <c r="K2" i="59"/>
  <c r="J2" i="59"/>
  <c r="H2" i="59"/>
  <c r="F2" i="59"/>
  <c r="E2" i="59"/>
  <c r="D2" i="59"/>
  <c r="C2" i="59"/>
  <c r="B2" i="59"/>
  <c r="B31" i="59"/>
  <c r="R11" i="58"/>
  <c r="N57" i="58"/>
  <c r="N58" i="58"/>
  <c r="N59" i="58"/>
  <c r="N60" i="58"/>
  <c r="N61" i="58"/>
  <c r="N62" i="58"/>
  <c r="N63" i="58"/>
  <c r="N64" i="58"/>
  <c r="N65" i="58"/>
  <c r="N66" i="58"/>
  <c r="N67" i="58"/>
  <c r="N68" i="58"/>
  <c r="N69" i="58"/>
  <c r="R2" i="58"/>
  <c r="Q2" i="58"/>
  <c r="P2" i="58"/>
  <c r="O2" i="58"/>
  <c r="N2" i="58"/>
  <c r="K2" i="58"/>
  <c r="J2" i="58"/>
  <c r="H2" i="58"/>
  <c r="F2" i="58"/>
  <c r="E2" i="58"/>
  <c r="D2" i="58"/>
  <c r="C2" i="58"/>
  <c r="B2" i="58"/>
  <c r="R10" i="57"/>
  <c r="N57" i="57"/>
  <c r="N58" i="57"/>
  <c r="N59" i="57"/>
  <c r="N60" i="57"/>
  <c r="N61" i="57"/>
  <c r="N62" i="57"/>
  <c r="N63" i="57"/>
  <c r="N64" i="57"/>
  <c r="N65" i="57"/>
  <c r="N66" i="57"/>
  <c r="N67" i="57"/>
  <c r="N68" i="57"/>
  <c r="N69" i="57"/>
  <c r="R2" i="57"/>
  <c r="Q2" i="57"/>
  <c r="P2" i="57"/>
  <c r="O2" i="57"/>
  <c r="N2" i="57"/>
  <c r="K2" i="57"/>
  <c r="J2" i="57"/>
  <c r="H2" i="57"/>
  <c r="F2" i="57"/>
  <c r="E2" i="57"/>
  <c r="D2" i="57"/>
  <c r="C2" i="57"/>
  <c r="B2" i="57"/>
  <c r="B15" i="57"/>
  <c r="R9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R2" i="56"/>
  <c r="M53" i="56"/>
  <c r="Q2" i="56"/>
  <c r="P2" i="56"/>
  <c r="O2" i="56"/>
  <c r="N2" i="56"/>
  <c r="K2" i="56"/>
  <c r="J2" i="56"/>
  <c r="H2" i="56"/>
  <c r="F2" i="56"/>
  <c r="E2" i="56"/>
  <c r="D2" i="56"/>
  <c r="C2" i="56"/>
  <c r="B2" i="56"/>
  <c r="B56" i="56"/>
  <c r="R8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R2" i="55"/>
  <c r="M18" i="55"/>
  <c r="Q2" i="55"/>
  <c r="P2" i="55"/>
  <c r="O2" i="55"/>
  <c r="N2" i="55"/>
  <c r="K2" i="55"/>
  <c r="J2" i="55"/>
  <c r="H2" i="55"/>
  <c r="F2" i="55"/>
  <c r="E2" i="55"/>
  <c r="D2" i="55"/>
  <c r="C2" i="55"/>
  <c r="B2" i="55"/>
  <c r="B36" i="55"/>
  <c r="R7" i="54"/>
  <c r="R6" i="53"/>
  <c r="N57" i="54"/>
  <c r="N58" i="54"/>
  <c r="N59" i="54"/>
  <c r="N60" i="54"/>
  <c r="N61" i="54"/>
  <c r="N62" i="54"/>
  <c r="N63" i="54"/>
  <c r="N64" i="54"/>
  <c r="N65" i="54"/>
  <c r="N66" i="54"/>
  <c r="N67" i="54"/>
  <c r="N68" i="54"/>
  <c r="N69" i="54"/>
  <c r="R2" i="54"/>
  <c r="M61" i="54"/>
  <c r="Q2" i="54"/>
  <c r="P2" i="54"/>
  <c r="O2" i="54"/>
  <c r="N2" i="54"/>
  <c r="K2" i="54"/>
  <c r="J2" i="54"/>
  <c r="H2" i="54"/>
  <c r="F2" i="54"/>
  <c r="E2" i="54"/>
  <c r="D2" i="54"/>
  <c r="C2" i="54"/>
  <c r="B2" i="54"/>
  <c r="B46" i="54"/>
  <c r="N57" i="53"/>
  <c r="N58" i="53"/>
  <c r="N59" i="53"/>
  <c r="N60" i="53"/>
  <c r="N61" i="53"/>
  <c r="N62" i="53"/>
  <c r="N63" i="53"/>
  <c r="N64" i="53"/>
  <c r="N65" i="53"/>
  <c r="N66" i="53"/>
  <c r="N67" i="53"/>
  <c r="N68" i="53"/>
  <c r="N69" i="53"/>
  <c r="R2" i="53"/>
  <c r="M21" i="53"/>
  <c r="Q2" i="53"/>
  <c r="P2" i="53"/>
  <c r="L18" i="53"/>
  <c r="O2" i="53"/>
  <c r="N2" i="53"/>
  <c r="K2" i="53"/>
  <c r="J2" i="53"/>
  <c r="H2" i="53"/>
  <c r="F2" i="53"/>
  <c r="E2" i="53"/>
  <c r="D2" i="53"/>
  <c r="C2" i="53"/>
  <c r="B2" i="53"/>
  <c r="B15" i="53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J2" i="52"/>
  <c r="Q2" i="52"/>
  <c r="R5" i="52"/>
  <c r="R2" i="52"/>
  <c r="P2" i="52"/>
  <c r="O2" i="52"/>
  <c r="N2" i="52"/>
  <c r="H2" i="52"/>
  <c r="F2" i="52"/>
  <c r="E2" i="52"/>
  <c r="D2" i="52"/>
  <c r="C2" i="52"/>
  <c r="B2" i="52"/>
  <c r="B6" i="52"/>
  <c r="K2" i="52"/>
  <c r="R2" i="1"/>
  <c r="S2" i="4"/>
  <c r="F2" i="1"/>
  <c r="E2" i="1"/>
  <c r="Q2" i="1"/>
  <c r="P2" i="1"/>
  <c r="O2" i="1"/>
  <c r="N2" i="1"/>
  <c r="D2" i="1"/>
  <c r="C2" i="1"/>
  <c r="B7" i="50"/>
  <c r="B3" i="50"/>
  <c r="K3" i="50"/>
  <c r="B4" i="50"/>
  <c r="N4" i="50"/>
  <c r="B5" i="50"/>
  <c r="B6" i="50"/>
  <c r="B8" i="50"/>
  <c r="B9" i="50"/>
  <c r="Q10" i="50"/>
  <c r="B10" i="50"/>
  <c r="B11" i="50"/>
  <c r="B12" i="50"/>
  <c r="B2" i="50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B2" i="1"/>
  <c r="B54" i="1"/>
  <c r="K2" i="1"/>
  <c r="H2" i="1"/>
  <c r="M15" i="61"/>
  <c r="M23" i="61"/>
  <c r="B47" i="61"/>
  <c r="B35" i="61"/>
  <c r="M55" i="61"/>
  <c r="M47" i="61"/>
  <c r="M39" i="61"/>
  <c r="M31" i="61"/>
  <c r="M60" i="61"/>
  <c r="M26" i="59"/>
  <c r="B19" i="59"/>
  <c r="B23" i="59"/>
  <c r="B27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56" i="59"/>
  <c r="B55" i="59"/>
  <c r="B54" i="59"/>
  <c r="B53" i="59"/>
  <c r="B13" i="59"/>
  <c r="B15" i="59"/>
  <c r="B16" i="59"/>
  <c r="B20" i="59"/>
  <c r="B24" i="59"/>
  <c r="B28" i="59"/>
  <c r="M66" i="59"/>
  <c r="M63" i="59"/>
  <c r="M54" i="59"/>
  <c r="M50" i="59"/>
  <c r="M46" i="59"/>
  <c r="M42" i="59"/>
  <c r="M69" i="59"/>
  <c r="M20" i="59"/>
  <c r="B21" i="59"/>
  <c r="B25" i="59"/>
  <c r="M28" i="59"/>
  <c r="B29" i="59"/>
  <c r="M37" i="59"/>
  <c r="B14" i="59"/>
  <c r="B17" i="59"/>
  <c r="B18" i="59"/>
  <c r="B22" i="59"/>
  <c r="B26" i="59"/>
  <c r="B30" i="59"/>
  <c r="M53" i="58"/>
  <c r="M20" i="57"/>
  <c r="B17" i="57"/>
  <c r="B30" i="57"/>
  <c r="M17" i="56"/>
  <c r="M46" i="56"/>
  <c r="M31" i="56"/>
  <c r="B31" i="56"/>
  <c r="B20" i="54"/>
  <c r="M28" i="54"/>
  <c r="B10" i="53"/>
  <c r="M16" i="53"/>
  <c r="M68" i="53"/>
  <c r="M33" i="53"/>
  <c r="M50" i="53"/>
  <c r="M42" i="53"/>
  <c r="M55" i="53"/>
  <c r="M23" i="53"/>
  <c r="B55" i="53"/>
  <c r="B53" i="53"/>
  <c r="B51" i="53"/>
  <c r="B49" i="53"/>
  <c r="B47" i="53"/>
  <c r="B45" i="53"/>
  <c r="B43" i="53"/>
  <c r="B41" i="53"/>
  <c r="B39" i="53"/>
  <c r="B37" i="53"/>
  <c r="B35" i="53"/>
  <c r="B33" i="53"/>
  <c r="B31" i="53"/>
  <c r="B29" i="53"/>
  <c r="B27" i="53"/>
  <c r="B25" i="53"/>
  <c r="B23" i="53"/>
  <c r="B21" i="53"/>
  <c r="B19" i="53"/>
  <c r="B17" i="53"/>
  <c r="B48" i="52"/>
  <c r="B15" i="52"/>
  <c r="B32" i="52"/>
  <c r="B7" i="52"/>
  <c r="B14" i="52"/>
  <c r="B10" i="52"/>
  <c r="B23" i="52"/>
  <c r="B54" i="52"/>
  <c r="B50" i="52"/>
  <c r="B46" i="52"/>
  <c r="B42" i="52"/>
  <c r="B38" i="52"/>
  <c r="B34" i="52"/>
  <c r="B30" i="52"/>
  <c r="B53" i="52"/>
  <c r="B49" i="52"/>
  <c r="B45" i="52"/>
  <c r="B41" i="52"/>
  <c r="B37" i="52"/>
  <c r="B33" i="52"/>
  <c r="B29" i="52"/>
  <c r="B55" i="52"/>
  <c r="B47" i="52"/>
  <c r="B39" i="52"/>
  <c r="B31" i="52"/>
  <c r="B24" i="52"/>
  <c r="B20" i="52"/>
  <c r="B16" i="52"/>
  <c r="B12" i="52"/>
  <c r="B52" i="52"/>
  <c r="B44" i="52"/>
  <c r="B36" i="52"/>
  <c r="B28" i="52"/>
  <c r="B25" i="52"/>
  <c r="B21" i="52"/>
  <c r="B17" i="52"/>
  <c r="B13" i="52"/>
  <c r="B56" i="52"/>
  <c r="B40" i="52"/>
  <c r="B27" i="52"/>
  <c r="B19" i="52"/>
  <c r="B8" i="52"/>
  <c r="B51" i="52"/>
  <c r="B35" i="52"/>
  <c r="B26" i="52"/>
  <c r="B18" i="52"/>
  <c r="B9" i="52"/>
  <c r="B11" i="52"/>
  <c r="B22" i="52"/>
  <c r="B43" i="52"/>
  <c r="M17" i="53"/>
  <c r="M11" i="53"/>
  <c r="M20" i="53"/>
  <c r="M65" i="53"/>
  <c r="M36" i="53"/>
  <c r="M53" i="53"/>
  <c r="M45" i="53"/>
  <c r="M32" i="53"/>
  <c r="M10" i="53"/>
  <c r="M24" i="53"/>
  <c r="M61" i="53"/>
  <c r="O61" i="54" s="1"/>
  <c r="S61" i="54" s="1"/>
  <c r="M35" i="53"/>
  <c r="M52" i="53"/>
  <c r="M44" i="53"/>
  <c r="M31" i="53"/>
  <c r="M15" i="53"/>
  <c r="M14" i="53"/>
  <c r="M18" i="53"/>
  <c r="M57" i="53"/>
  <c r="M34" i="53"/>
  <c r="M51" i="53"/>
  <c r="M43" i="53"/>
  <c r="M30" i="53"/>
  <c r="M19" i="53"/>
  <c r="M67" i="55"/>
  <c r="M27" i="55"/>
  <c r="M63" i="55"/>
  <c r="O63" i="56" s="1"/>
  <c r="S63" i="56" s="1"/>
  <c r="M26" i="55"/>
  <c r="M53" i="55"/>
  <c r="M19" i="55"/>
  <c r="M66" i="1"/>
  <c r="M50" i="1"/>
  <c r="M34" i="1"/>
  <c r="M18" i="1"/>
  <c r="M65" i="1"/>
  <c r="M49" i="1"/>
  <c r="M33" i="1"/>
  <c r="M17" i="1"/>
  <c r="M5" i="1"/>
  <c r="M56" i="1"/>
  <c r="M40" i="1"/>
  <c r="M24" i="1"/>
  <c r="M28" i="61"/>
  <c r="M36" i="61"/>
  <c r="M44" i="61"/>
  <c r="M52" i="61"/>
  <c r="M58" i="61"/>
  <c r="M26" i="61"/>
  <c r="M18" i="61"/>
  <c r="M68" i="61"/>
  <c r="M32" i="61"/>
  <c r="M40" i="61"/>
  <c r="M48" i="61"/>
  <c r="M56" i="61"/>
  <c r="M22" i="61"/>
  <c r="M14" i="61"/>
  <c r="M61" i="61"/>
  <c r="M35" i="61"/>
  <c r="M43" i="61"/>
  <c r="M51" i="61"/>
  <c r="M67" i="61"/>
  <c r="M27" i="61"/>
  <c r="N5" i="50"/>
  <c r="N9" i="50"/>
  <c r="M66" i="56"/>
  <c r="O66" i="56" s="1"/>
  <c r="S66" i="56" s="1"/>
  <c r="M61" i="56"/>
  <c r="B29" i="60"/>
  <c r="M37" i="55"/>
  <c r="M42" i="55"/>
  <c r="M43" i="55"/>
  <c r="M8" i="53"/>
  <c r="M47" i="53"/>
  <c r="M38" i="53"/>
  <c r="M12" i="53"/>
  <c r="M7" i="53"/>
  <c r="M48" i="53"/>
  <c r="M60" i="53"/>
  <c r="M27" i="53"/>
  <c r="M41" i="53"/>
  <c r="M67" i="53"/>
  <c r="M66" i="53"/>
  <c r="M13" i="53"/>
  <c r="B16" i="53"/>
  <c r="B20" i="53"/>
  <c r="B24" i="53"/>
  <c r="B28" i="53"/>
  <c r="B32" i="53"/>
  <c r="B36" i="53"/>
  <c r="B40" i="53"/>
  <c r="B44" i="53"/>
  <c r="B48" i="53"/>
  <c r="B52" i="53"/>
  <c r="B56" i="53"/>
  <c r="M56" i="53"/>
  <c r="M54" i="53"/>
  <c r="M69" i="53"/>
  <c r="M28" i="53"/>
  <c r="O28" i="54" s="1"/>
  <c r="B17" i="55"/>
  <c r="M66" i="55"/>
  <c r="M13" i="55"/>
  <c r="M12" i="55"/>
  <c r="M39" i="53"/>
  <c r="M59" i="53"/>
  <c r="M58" i="53"/>
  <c r="M25" i="53"/>
  <c r="M40" i="53"/>
  <c r="M63" i="53"/>
  <c r="M62" i="53"/>
  <c r="M6" i="53"/>
  <c r="M49" i="53"/>
  <c r="M64" i="53"/>
  <c r="M26" i="53"/>
  <c r="M29" i="53"/>
  <c r="B18" i="53"/>
  <c r="B22" i="53"/>
  <c r="B26" i="53"/>
  <c r="B30" i="53"/>
  <c r="B34" i="53"/>
  <c r="B38" i="53"/>
  <c r="B42" i="53"/>
  <c r="B46" i="53"/>
  <c r="B50" i="53"/>
  <c r="B54" i="53"/>
  <c r="M9" i="53"/>
  <c r="M46" i="53"/>
  <c r="M37" i="53"/>
  <c r="M22" i="53"/>
  <c r="M53" i="54"/>
  <c r="B48" i="60"/>
  <c r="B11" i="53"/>
  <c r="B7" i="53"/>
  <c r="B14" i="53"/>
  <c r="M13" i="59"/>
  <c r="B9" i="53"/>
  <c r="B12" i="53"/>
  <c r="M25" i="55"/>
  <c r="M41" i="55"/>
  <c r="M59" i="55"/>
  <c r="M14" i="55"/>
  <c r="M30" i="55"/>
  <c r="M46" i="55"/>
  <c r="M68" i="55"/>
  <c r="M9" i="55"/>
  <c r="M31" i="55"/>
  <c r="M47" i="55"/>
  <c r="M57" i="55"/>
  <c r="M8" i="55"/>
  <c r="M32" i="54"/>
  <c r="O32" i="54" s="1"/>
  <c r="S32" i="54" s="1"/>
  <c r="M64" i="54"/>
  <c r="B33" i="54"/>
  <c r="M18" i="56"/>
  <c r="B46" i="58"/>
  <c r="B35" i="58"/>
  <c r="B50" i="58"/>
  <c r="B26" i="58"/>
  <c r="M15" i="58"/>
  <c r="M58" i="58"/>
  <c r="M30" i="58"/>
  <c r="B45" i="55"/>
  <c r="B32" i="55"/>
  <c r="B13" i="55"/>
  <c r="B41" i="55"/>
  <c r="B28" i="55"/>
  <c r="B9" i="55"/>
  <c r="B53" i="55"/>
  <c r="B20" i="55"/>
  <c r="B24" i="55"/>
  <c r="M29" i="55"/>
  <c r="M45" i="55"/>
  <c r="M64" i="55"/>
  <c r="M10" i="55"/>
  <c r="M34" i="55"/>
  <c r="M50" i="55"/>
  <c r="M69" i="55"/>
  <c r="M21" i="55"/>
  <c r="M35" i="55"/>
  <c r="M51" i="55"/>
  <c r="M58" i="55"/>
  <c r="M12" i="54"/>
  <c r="O12" i="55" s="1"/>
  <c r="S12" i="55" s="1"/>
  <c r="B27" i="54"/>
  <c r="B49" i="55"/>
  <c r="B56" i="54"/>
  <c r="B44" i="54"/>
  <c r="B34" i="54"/>
  <c r="B18" i="54"/>
  <c r="B10" i="54"/>
  <c r="B25" i="54"/>
  <c r="B52" i="54"/>
  <c r="B42" i="54"/>
  <c r="B30" i="54"/>
  <c r="B16" i="54"/>
  <c r="B8" i="54"/>
  <c r="B29" i="54"/>
  <c r="B48" i="54"/>
  <c r="B40" i="54"/>
  <c r="B22" i="54"/>
  <c r="B14" i="54"/>
  <c r="B35" i="54"/>
  <c r="B31" i="54"/>
  <c r="M67" i="54"/>
  <c r="M51" i="54"/>
  <c r="M43" i="54"/>
  <c r="M38" i="54"/>
  <c r="M30" i="54"/>
  <c r="M26" i="54"/>
  <c r="M18" i="54"/>
  <c r="O18" i="54" s="1"/>
  <c r="M10" i="54"/>
  <c r="M59" i="54"/>
  <c r="M49" i="54"/>
  <c r="M41" i="54"/>
  <c r="M36" i="54"/>
  <c r="M39" i="54"/>
  <c r="O39" i="54"/>
  <c r="S39" i="54" s="1"/>
  <c r="M24" i="54"/>
  <c r="O24" i="54" s="1"/>
  <c r="S24" i="54" s="1"/>
  <c r="M16" i="54"/>
  <c r="M8" i="54"/>
  <c r="O8" i="54" s="1"/>
  <c r="S8" i="54" s="1"/>
  <c r="M55" i="54"/>
  <c r="O55" i="54" s="1"/>
  <c r="S55" i="54" s="1"/>
  <c r="M47" i="54"/>
  <c r="M69" i="54"/>
  <c r="M34" i="54"/>
  <c r="O34" i="54" s="1"/>
  <c r="S34" i="54" s="1"/>
  <c r="M66" i="54"/>
  <c r="O66" i="55" s="1"/>
  <c r="S66" i="55" s="1"/>
  <c r="M22" i="54"/>
  <c r="O22" i="54"/>
  <c r="S22" i="54" s="1"/>
  <c r="M14" i="54"/>
  <c r="M28" i="55"/>
  <c r="O28" i="55" s="1"/>
  <c r="M56" i="55"/>
  <c r="M44" i="55"/>
  <c r="M33" i="55"/>
  <c r="M49" i="55"/>
  <c r="M65" i="55"/>
  <c r="M22" i="55"/>
  <c r="O22" i="55" s="1"/>
  <c r="M38" i="55"/>
  <c r="M54" i="55"/>
  <c r="M17" i="55"/>
  <c r="O17" i="56"/>
  <c r="M23" i="55"/>
  <c r="M39" i="55"/>
  <c r="M55" i="55"/>
  <c r="M16" i="55"/>
  <c r="O53" i="54"/>
  <c r="M60" i="55"/>
  <c r="M20" i="54"/>
  <c r="M45" i="54"/>
  <c r="B12" i="54"/>
  <c r="M36" i="55"/>
  <c r="B11" i="1"/>
  <c r="B51" i="1"/>
  <c r="B8" i="1"/>
  <c r="Q5" i="50"/>
  <c r="Q6" i="50"/>
  <c r="M49" i="52"/>
  <c r="O49" i="53" s="1"/>
  <c r="M52" i="52"/>
  <c r="B18" i="56"/>
  <c r="B14" i="56"/>
  <c r="B52" i="56"/>
  <c r="B35" i="56"/>
  <c r="B40" i="56"/>
  <c r="B48" i="56"/>
  <c r="B39" i="56"/>
  <c r="B44" i="56"/>
  <c r="M11" i="56"/>
  <c r="M63" i="56"/>
  <c r="M50" i="56"/>
  <c r="M43" i="56"/>
  <c r="M38" i="56"/>
  <c r="M30" i="56"/>
  <c r="M20" i="56"/>
  <c r="M59" i="56"/>
  <c r="M49" i="56"/>
  <c r="M42" i="56"/>
  <c r="M35" i="56"/>
  <c r="O35" i="56" s="1"/>
  <c r="S35" i="56" s="1"/>
  <c r="M60" i="56"/>
  <c r="M26" i="56"/>
  <c r="M65" i="56"/>
  <c r="O65" i="56" s="1"/>
  <c r="S65" i="56" s="1"/>
  <c r="M54" i="56"/>
  <c r="O54" i="56"/>
  <c r="M47" i="56"/>
  <c r="M39" i="56"/>
  <c r="O39" i="56" s="1"/>
  <c r="M34" i="56"/>
  <c r="M12" i="56"/>
  <c r="M28" i="56"/>
  <c r="B13" i="53"/>
  <c r="B8" i="53"/>
  <c r="M23" i="59"/>
  <c r="I3" i="4"/>
  <c r="G2" i="52"/>
  <c r="C28" i="52"/>
  <c r="D28" i="52"/>
  <c r="C43" i="52"/>
  <c r="D43" i="52"/>
  <c r="E43" i="52"/>
  <c r="F43" i="52"/>
  <c r="O38" i="55"/>
  <c r="C41" i="52"/>
  <c r="D41" i="52"/>
  <c r="E41" i="52"/>
  <c r="F41" i="52"/>
  <c r="O53" i="55"/>
  <c r="I6" i="4"/>
  <c r="G2" i="55"/>
  <c r="B12" i="57"/>
  <c r="B34" i="57"/>
  <c r="B21" i="57"/>
  <c r="N6" i="50"/>
  <c r="M29" i="59"/>
  <c r="H37" i="52"/>
  <c r="H56" i="52"/>
  <c r="B49" i="57"/>
  <c r="B38" i="57"/>
  <c r="B48" i="57"/>
  <c r="H16" i="52"/>
  <c r="H50" i="52"/>
  <c r="H6" i="52"/>
  <c r="H6" i="53"/>
  <c r="H17" i="52"/>
  <c r="H26" i="52"/>
  <c r="B26" i="57"/>
  <c r="B47" i="57"/>
  <c r="Q9" i="50"/>
  <c r="K9" i="50"/>
  <c r="C34" i="52"/>
  <c r="D34" i="52"/>
  <c r="H9" i="52"/>
  <c r="H23" i="52"/>
  <c r="C51" i="52"/>
  <c r="D51" i="52"/>
  <c r="E51" i="52"/>
  <c r="F51" i="52"/>
  <c r="H15" i="52"/>
  <c r="H40" i="52"/>
  <c r="H51" i="52"/>
  <c r="C55" i="52"/>
  <c r="D55" i="52"/>
  <c r="E55" i="52"/>
  <c r="F55" i="52"/>
  <c r="C18" i="52"/>
  <c r="D18" i="52"/>
  <c r="H43" i="52"/>
  <c r="H41" i="52"/>
  <c r="B16" i="60"/>
  <c r="B20" i="60"/>
  <c r="B43" i="60"/>
  <c r="B39" i="60"/>
  <c r="B35" i="60"/>
  <c r="B31" i="60"/>
  <c r="B27" i="60"/>
  <c r="B55" i="60"/>
  <c r="B47" i="60"/>
  <c r="B52" i="60"/>
  <c r="B44" i="60"/>
  <c r="B17" i="60"/>
  <c r="B21" i="60"/>
  <c r="B42" i="60"/>
  <c r="B38" i="60"/>
  <c r="B34" i="60"/>
  <c r="B30" i="60"/>
  <c r="B26" i="60"/>
  <c r="B53" i="60"/>
  <c r="B45" i="60"/>
  <c r="B50" i="60"/>
  <c r="B19" i="60"/>
  <c r="B40" i="60"/>
  <c r="B32" i="60"/>
  <c r="B24" i="60"/>
  <c r="B54" i="60"/>
  <c r="B15" i="60"/>
  <c r="B23" i="60"/>
  <c r="B36" i="60"/>
  <c r="B28" i="60"/>
  <c r="B49" i="60"/>
  <c r="B46" i="60"/>
  <c r="B18" i="60"/>
  <c r="B33" i="60"/>
  <c r="B56" i="60"/>
  <c r="B41" i="60"/>
  <c r="B25" i="60"/>
  <c r="B14" i="60"/>
  <c r="B37" i="60"/>
  <c r="B51" i="60"/>
  <c r="M56" i="60"/>
  <c r="M22" i="60"/>
  <c r="M26" i="60"/>
  <c r="O26" i="61" s="1"/>
  <c r="M62" i="60"/>
  <c r="M33" i="60"/>
  <c r="M47" i="60"/>
  <c r="O47" i="61" s="1"/>
  <c r="S47" i="61" s="1"/>
  <c r="C21" i="52"/>
  <c r="D21" i="52"/>
  <c r="E21" i="52"/>
  <c r="F21" i="52"/>
  <c r="B14" i="1"/>
  <c r="B50" i="57"/>
  <c r="B40" i="57"/>
  <c r="B20" i="57"/>
  <c r="B16" i="57"/>
  <c r="B44" i="57"/>
  <c r="B37" i="57"/>
  <c r="B33" i="57"/>
  <c r="B29" i="57"/>
  <c r="B25" i="57"/>
  <c r="B45" i="57"/>
  <c r="B14" i="57"/>
  <c r="B11" i="57"/>
  <c r="B56" i="57"/>
  <c r="B23" i="57"/>
  <c r="B19" i="57"/>
  <c r="B55" i="57"/>
  <c r="B42" i="57"/>
  <c r="B36" i="57"/>
  <c r="B32" i="57"/>
  <c r="B28" i="57"/>
  <c r="B24" i="57"/>
  <c r="B43" i="57"/>
  <c r="B54" i="57"/>
  <c r="B13" i="57"/>
  <c r="B22" i="57"/>
  <c r="B51" i="57"/>
  <c r="B35" i="57"/>
  <c r="B27" i="57"/>
  <c r="B41" i="57"/>
  <c r="B52" i="57"/>
  <c r="B18" i="57"/>
  <c r="B39" i="57"/>
  <c r="B31" i="57"/>
  <c r="B53" i="57"/>
  <c r="B46" i="57"/>
  <c r="B17" i="1"/>
  <c r="B56" i="1"/>
  <c r="B50" i="1"/>
  <c r="B52" i="1"/>
  <c r="B23" i="1"/>
  <c r="B35" i="1"/>
  <c r="B24" i="1"/>
  <c r="B30" i="1"/>
  <c r="B38" i="1"/>
  <c r="B13" i="1"/>
  <c r="B49" i="1"/>
  <c r="B55" i="1"/>
  <c r="B6" i="1"/>
  <c r="B10" i="1"/>
  <c r="B44" i="1"/>
  <c r="B39" i="1"/>
  <c r="B26" i="1"/>
  <c r="B9" i="1"/>
  <c r="B31" i="1"/>
  <c r="B20" i="1"/>
  <c r="I10" i="4"/>
  <c r="G2" i="59"/>
  <c r="C55" i="59"/>
  <c r="D55" i="59"/>
  <c r="E55" i="59"/>
  <c r="F55" i="59"/>
  <c r="I9" i="4"/>
  <c r="G2" i="58"/>
  <c r="C46" i="58"/>
  <c r="D46" i="58"/>
  <c r="B45" i="1"/>
  <c r="M55" i="1"/>
  <c r="M26" i="52"/>
  <c r="O26" i="53" s="1"/>
  <c r="M64" i="52"/>
  <c r="M41" i="52"/>
  <c r="M13" i="52"/>
  <c r="O13" i="53" s="1"/>
  <c r="M50" i="52"/>
  <c r="O50" i="53" s="1"/>
  <c r="B54" i="54"/>
  <c r="B50" i="54"/>
  <c r="B53" i="54"/>
  <c r="B49" i="54"/>
  <c r="B51" i="54"/>
  <c r="B45" i="54"/>
  <c r="B41" i="54"/>
  <c r="B38" i="54"/>
  <c r="B23" i="54"/>
  <c r="B19" i="54"/>
  <c r="B15" i="54"/>
  <c r="B11" i="54"/>
  <c r="B39" i="54"/>
  <c r="B26" i="54"/>
  <c r="B36" i="54"/>
  <c r="B55" i="54"/>
  <c r="B47" i="54"/>
  <c r="B43" i="54"/>
  <c r="B37" i="54"/>
  <c r="B32" i="54"/>
  <c r="B21" i="54"/>
  <c r="B17" i="54"/>
  <c r="B13" i="54"/>
  <c r="B9" i="54"/>
  <c r="B28" i="54"/>
  <c r="B24" i="54"/>
  <c r="M60" i="54"/>
  <c r="O60" i="55" s="1"/>
  <c r="S60" i="55" s="1"/>
  <c r="M56" i="54"/>
  <c r="M52" i="54"/>
  <c r="M48" i="54"/>
  <c r="M44" i="54"/>
  <c r="O44" i="54" s="1"/>
  <c r="S44" i="54" s="1"/>
  <c r="M40" i="54"/>
  <c r="O40" i="54" s="1"/>
  <c r="S40" i="54" s="1"/>
  <c r="M57" i="54"/>
  <c r="M35" i="54"/>
  <c r="M31" i="54"/>
  <c r="M62" i="54"/>
  <c r="O62" i="54"/>
  <c r="S62" i="54" s="1"/>
  <c r="M27" i="54"/>
  <c r="O27" i="55" s="1"/>
  <c r="S27" i="55" s="1"/>
  <c r="M23" i="54"/>
  <c r="M19" i="54"/>
  <c r="M15" i="54"/>
  <c r="M11" i="54"/>
  <c r="M7" i="54"/>
  <c r="M68" i="54"/>
  <c r="O68" i="54"/>
  <c r="S68" i="54" s="1"/>
  <c r="M63" i="54"/>
  <c r="M54" i="54"/>
  <c r="M50" i="54"/>
  <c r="O50" i="54" s="1"/>
  <c r="S50" i="54" s="1"/>
  <c r="M46" i="54"/>
  <c r="O46" i="54" s="1"/>
  <c r="S46" i="54" s="1"/>
  <c r="M42" i="54"/>
  <c r="O42" i="54" s="1"/>
  <c r="S42" i="54" s="1"/>
  <c r="M65" i="54"/>
  <c r="M37" i="54"/>
  <c r="O37" i="55" s="1"/>
  <c r="S37" i="55" s="1"/>
  <c r="M33" i="54"/>
  <c r="M29" i="54"/>
  <c r="O29" i="55" s="1"/>
  <c r="M58" i="54"/>
  <c r="O58" i="55" s="1"/>
  <c r="S58" i="55" s="1"/>
  <c r="M25" i="54"/>
  <c r="M21" i="54"/>
  <c r="M17" i="54"/>
  <c r="M13" i="54"/>
  <c r="O13" i="55" s="1"/>
  <c r="S13" i="55" s="1"/>
  <c r="M9" i="54"/>
  <c r="B55" i="55"/>
  <c r="B51" i="55"/>
  <c r="B47" i="55"/>
  <c r="B43" i="55"/>
  <c r="B22" i="55"/>
  <c r="B38" i="55"/>
  <c r="B34" i="55"/>
  <c r="B30" i="55"/>
  <c r="B26" i="55"/>
  <c r="B19" i="55"/>
  <c r="C19" i="55"/>
  <c r="D19" i="55"/>
  <c r="B15" i="55"/>
  <c r="B11" i="55"/>
  <c r="B54" i="55"/>
  <c r="B50" i="55"/>
  <c r="B46" i="55"/>
  <c r="B42" i="55"/>
  <c r="B21" i="55"/>
  <c r="B37" i="55"/>
  <c r="B33" i="55"/>
  <c r="B29" i="55"/>
  <c r="B25" i="55"/>
  <c r="B18" i="55"/>
  <c r="C18" i="55"/>
  <c r="D18" i="55"/>
  <c r="B14" i="55"/>
  <c r="B10" i="55"/>
  <c r="B56" i="55"/>
  <c r="B48" i="55"/>
  <c r="B40" i="55"/>
  <c r="B35" i="55"/>
  <c r="B27" i="55"/>
  <c r="B16" i="55"/>
  <c r="B52" i="55"/>
  <c r="B44" i="55"/>
  <c r="B39" i="55"/>
  <c r="B31" i="55"/>
  <c r="B23" i="55"/>
  <c r="B12" i="55"/>
  <c r="M11" i="55"/>
  <c r="O11" i="56" s="1"/>
  <c r="M62" i="55"/>
  <c r="M48" i="55"/>
  <c r="M24" i="55"/>
  <c r="M61" i="55"/>
  <c r="O61" i="55" s="1"/>
  <c r="S61" i="55" s="1"/>
  <c r="M40" i="55"/>
  <c r="M20" i="55"/>
  <c r="O20" i="56" s="1"/>
  <c r="S20" i="56" s="1"/>
  <c r="M15" i="55"/>
  <c r="M32" i="55"/>
  <c r="M52" i="55"/>
  <c r="O52" i="55" s="1"/>
  <c r="S52" i="55" s="1"/>
  <c r="K12" i="50"/>
  <c r="K11" i="50"/>
  <c r="B19" i="61"/>
  <c r="B46" i="61"/>
  <c r="M16" i="61"/>
  <c r="M20" i="61"/>
  <c r="M24" i="61"/>
  <c r="M64" i="61"/>
  <c r="M66" i="61"/>
  <c r="M63" i="61"/>
  <c r="M54" i="61"/>
  <c r="M50" i="61"/>
  <c r="M46" i="61"/>
  <c r="M42" i="61"/>
  <c r="M38" i="61"/>
  <c r="M34" i="61"/>
  <c r="M30" i="61"/>
  <c r="M65" i="61"/>
  <c r="M17" i="61"/>
  <c r="M21" i="61"/>
  <c r="M25" i="61"/>
  <c r="M62" i="61"/>
  <c r="M59" i="61"/>
  <c r="O59" i="61" s="1"/>
  <c r="S59" i="61" s="1"/>
  <c r="M53" i="61"/>
  <c r="M49" i="61"/>
  <c r="M45" i="61"/>
  <c r="M41" i="61"/>
  <c r="M37" i="61"/>
  <c r="M33" i="61"/>
  <c r="M29" i="61"/>
  <c r="M57" i="61"/>
  <c r="M69" i="61"/>
  <c r="M29" i="56"/>
  <c r="M23" i="56"/>
  <c r="O23" i="56" s="1"/>
  <c r="M10" i="56"/>
  <c r="M57" i="56"/>
  <c r="O57" i="56" s="1"/>
  <c r="S57" i="56" s="1"/>
  <c r="M56" i="56"/>
  <c r="M52" i="56"/>
  <c r="M48" i="56"/>
  <c r="M45" i="56"/>
  <c r="M41" i="56"/>
  <c r="M62" i="56"/>
  <c r="M37" i="56"/>
  <c r="M33" i="56"/>
  <c r="M68" i="56"/>
  <c r="O68" i="56" s="1"/>
  <c r="S68" i="56" s="1"/>
  <c r="M14" i="56"/>
  <c r="M22" i="56"/>
  <c r="M25" i="56"/>
  <c r="O25" i="56" s="1"/>
  <c r="M13" i="56"/>
  <c r="O13" i="56" s="1"/>
  <c r="S13" i="56" s="1"/>
  <c r="M69" i="56"/>
  <c r="M67" i="56"/>
  <c r="M55" i="56"/>
  <c r="M51" i="56"/>
  <c r="M44" i="56"/>
  <c r="M40" i="56"/>
  <c r="M58" i="56"/>
  <c r="M36" i="56"/>
  <c r="M32" i="56"/>
  <c r="M64" i="56"/>
  <c r="M16" i="56"/>
  <c r="M24" i="56"/>
  <c r="K6" i="50"/>
  <c r="O26" i="56"/>
  <c r="H9" i="55"/>
  <c r="H9" i="56"/>
  <c r="H16" i="59"/>
  <c r="H22" i="59"/>
  <c r="H28" i="59"/>
  <c r="H44" i="59"/>
  <c r="H31" i="59"/>
  <c r="H27" i="59"/>
  <c r="H49" i="59"/>
  <c r="H17" i="59"/>
  <c r="H18" i="59"/>
  <c r="H15" i="59"/>
  <c r="H34" i="59"/>
  <c r="H48" i="59"/>
  <c r="H39" i="59"/>
  <c r="H23" i="59"/>
  <c r="H46" i="59"/>
  <c r="H30" i="59"/>
  <c r="H32" i="59"/>
  <c r="H52" i="59"/>
  <c r="H19" i="59"/>
  <c r="H37" i="59"/>
  <c r="L34" i="59"/>
  <c r="B40" i="58"/>
  <c r="B36" i="58"/>
  <c r="B32" i="58"/>
  <c r="B55" i="58"/>
  <c r="B51" i="58"/>
  <c r="B47" i="58"/>
  <c r="B12" i="58"/>
  <c r="B16" i="58"/>
  <c r="B20" i="58"/>
  <c r="B24" i="58"/>
  <c r="B29" i="58"/>
  <c r="B42" i="58"/>
  <c r="B38" i="58"/>
  <c r="B34" i="58"/>
  <c r="B30" i="58"/>
  <c r="B53" i="58"/>
  <c r="B49" i="58"/>
  <c r="B45" i="58"/>
  <c r="B14" i="58"/>
  <c r="B18" i="58"/>
  <c r="B22" i="58"/>
  <c r="B27" i="58"/>
  <c r="B41" i="58"/>
  <c r="B37" i="58"/>
  <c r="B33" i="58"/>
  <c r="B56" i="58"/>
  <c r="B52" i="58"/>
  <c r="B48" i="58"/>
  <c r="B44" i="58"/>
  <c r="B15" i="58"/>
  <c r="B19" i="58"/>
  <c r="B23" i="58"/>
  <c r="B28" i="58"/>
  <c r="B25" i="58"/>
  <c r="B43" i="58"/>
  <c r="B54" i="58"/>
  <c r="B17" i="58"/>
  <c r="B31" i="58"/>
  <c r="B13" i="58"/>
  <c r="B21" i="58"/>
  <c r="B39" i="58"/>
  <c r="M24" i="60"/>
  <c r="M61" i="60"/>
  <c r="B42" i="56"/>
  <c r="B27" i="56"/>
  <c r="B23" i="56"/>
  <c r="B12" i="56"/>
  <c r="B29" i="56"/>
  <c r="B24" i="56"/>
  <c r="B20" i="56"/>
  <c r="B16" i="56"/>
  <c r="B13" i="56"/>
  <c r="B26" i="56"/>
  <c r="B19" i="56"/>
  <c r="B25" i="56"/>
  <c r="B53" i="56"/>
  <c r="B49" i="56"/>
  <c r="B45" i="56"/>
  <c r="B30" i="56"/>
  <c r="B34" i="56"/>
  <c r="B38" i="56"/>
  <c r="B17" i="56"/>
  <c r="B55" i="56"/>
  <c r="B51" i="56"/>
  <c r="B47" i="56"/>
  <c r="B10" i="56"/>
  <c r="B32" i="56"/>
  <c r="B36" i="56"/>
  <c r="B41" i="56"/>
  <c r="B28" i="56"/>
  <c r="B21" i="56"/>
  <c r="B15" i="56"/>
  <c r="B22" i="56"/>
  <c r="B54" i="56"/>
  <c r="B50" i="56"/>
  <c r="B46" i="56"/>
  <c r="B11" i="56"/>
  <c r="B33" i="56"/>
  <c r="B37" i="56"/>
  <c r="B43" i="56"/>
  <c r="I4" i="4"/>
  <c r="G2" i="53"/>
  <c r="I5" i="4"/>
  <c r="G2" i="54"/>
  <c r="I2" i="4"/>
  <c r="G2" i="1"/>
  <c r="I8" i="4"/>
  <c r="G2" i="57"/>
  <c r="I7" i="4"/>
  <c r="G2" i="56"/>
  <c r="I11" i="4"/>
  <c r="G2" i="60"/>
  <c r="I12" i="4"/>
  <c r="G2" i="61"/>
  <c r="H47" i="61"/>
  <c r="K7" i="50"/>
  <c r="K10" i="50"/>
  <c r="K8" i="50"/>
  <c r="M16" i="60"/>
  <c r="M59" i="60"/>
  <c r="M54" i="60"/>
  <c r="M52" i="60"/>
  <c r="M45" i="60"/>
  <c r="M43" i="60"/>
  <c r="O43" i="61" s="1"/>
  <c r="S43" i="61" s="1"/>
  <c r="M37" i="60"/>
  <c r="M34" i="60"/>
  <c r="M30" i="60"/>
  <c r="M21" i="60"/>
  <c r="O21" i="61"/>
  <c r="S21" i="61" s="1"/>
  <c r="M18" i="60"/>
  <c r="O18" i="61" s="1"/>
  <c r="S18" i="61" s="1"/>
  <c r="M13" i="60"/>
  <c r="M58" i="60"/>
  <c r="O58" i="61" s="1"/>
  <c r="S58" i="61" s="1"/>
  <c r="M60" i="60"/>
  <c r="M63" i="60"/>
  <c r="M55" i="60"/>
  <c r="M50" i="60"/>
  <c r="M48" i="60"/>
  <c r="M57" i="60"/>
  <c r="M35" i="60"/>
  <c r="O35" i="61"/>
  <c r="M32" i="60"/>
  <c r="M27" i="60"/>
  <c r="O27" i="61" s="1"/>
  <c r="S27" i="61" s="1"/>
  <c r="M15" i="60"/>
  <c r="M14" i="60"/>
  <c r="M66" i="60"/>
  <c r="M68" i="60"/>
  <c r="M67" i="60"/>
  <c r="O67" i="61"/>
  <c r="S67" i="61" s="1"/>
  <c r="M53" i="60"/>
  <c r="O53" i="61" s="1"/>
  <c r="S53" i="61" s="1"/>
  <c r="M44" i="60"/>
  <c r="M69" i="60"/>
  <c r="M31" i="60"/>
  <c r="M65" i="60"/>
  <c r="M41" i="60"/>
  <c r="M39" i="60"/>
  <c r="M20" i="60"/>
  <c r="O20" i="60" s="1"/>
  <c r="S20" i="60" s="1"/>
  <c r="M64" i="60"/>
  <c r="M51" i="60"/>
  <c r="O51" i="61" s="1"/>
  <c r="S51" i="61" s="1"/>
  <c r="M46" i="60"/>
  <c r="M38" i="60"/>
  <c r="M29" i="60"/>
  <c r="M23" i="60"/>
  <c r="O23" i="61" s="1"/>
  <c r="S23" i="61" s="1"/>
  <c r="M40" i="60"/>
  <c r="M19" i="60"/>
  <c r="M49" i="60"/>
  <c r="O49" i="61" s="1"/>
  <c r="S49" i="61" s="1"/>
  <c r="M36" i="60"/>
  <c r="O36" i="61" s="1"/>
  <c r="S36" i="61" s="1"/>
  <c r="M28" i="60"/>
  <c r="O28" i="60" s="1"/>
  <c r="S28" i="60" s="1"/>
  <c r="M25" i="60"/>
  <c r="M42" i="60"/>
  <c r="B27" i="61"/>
  <c r="B23" i="61"/>
  <c r="B56" i="61"/>
  <c r="B48" i="61"/>
  <c r="B40" i="61"/>
  <c r="B49" i="61"/>
  <c r="B41" i="61"/>
  <c r="B36" i="61"/>
  <c r="B32" i="61"/>
  <c r="B18" i="61"/>
  <c r="B22" i="61"/>
  <c r="B28" i="61"/>
  <c r="B24" i="61"/>
  <c r="B50" i="61"/>
  <c r="B42" i="61"/>
  <c r="B51" i="61"/>
  <c r="B43" i="61"/>
  <c r="B37" i="61"/>
  <c r="B33" i="61"/>
  <c r="B17" i="61"/>
  <c r="B21" i="61"/>
  <c r="B25" i="61"/>
  <c r="B52" i="61"/>
  <c r="B53" i="61"/>
  <c r="B38" i="61"/>
  <c r="B16" i="61"/>
  <c r="B31" i="61"/>
  <c r="B30" i="61"/>
  <c r="B44" i="61"/>
  <c r="B45" i="61"/>
  <c r="B34" i="61"/>
  <c r="B20" i="61"/>
  <c r="B26" i="61"/>
  <c r="B54" i="61"/>
  <c r="B55" i="61"/>
  <c r="B39" i="61"/>
  <c r="B15" i="61"/>
  <c r="B29" i="61"/>
  <c r="N10" i="50"/>
  <c r="N8" i="50"/>
  <c r="M35" i="1"/>
  <c r="M19" i="1"/>
  <c r="M8" i="1"/>
  <c r="M25" i="59"/>
  <c r="M36" i="59"/>
  <c r="B33" i="1"/>
  <c r="B29" i="1"/>
  <c r="B36" i="1"/>
  <c r="B53" i="1"/>
  <c r="B37" i="1"/>
  <c r="B7" i="1"/>
  <c r="B43" i="1"/>
  <c r="B19" i="1"/>
  <c r="B16" i="1"/>
  <c r="B32" i="1"/>
  <c r="B22" i="1"/>
  <c r="B25" i="1"/>
  <c r="B48" i="1"/>
  <c r="B46" i="1"/>
  <c r="B42" i="1"/>
  <c r="B40" i="1"/>
  <c r="B21" i="1"/>
  <c r="B5" i="1"/>
  <c r="B41" i="1"/>
  <c r="B15" i="1"/>
  <c r="B47" i="1"/>
  <c r="B27" i="1"/>
  <c r="B12" i="1"/>
  <c r="B28" i="1"/>
  <c r="B18" i="1"/>
  <c r="B34" i="1"/>
  <c r="M21" i="56"/>
  <c r="K5" i="50"/>
  <c r="K4" i="50"/>
  <c r="M19" i="56"/>
  <c r="M15" i="56"/>
  <c r="M27" i="56"/>
  <c r="M9" i="56"/>
  <c r="O10" i="56"/>
  <c r="O21" i="56"/>
  <c r="H47" i="60"/>
  <c r="C9" i="55"/>
  <c r="H16" i="58"/>
  <c r="O38" i="54"/>
  <c r="S38" i="54" s="1"/>
  <c r="H19" i="52"/>
  <c r="C40" i="52"/>
  <c r="D40" i="52"/>
  <c r="E40" i="52"/>
  <c r="F40" i="52"/>
  <c r="J40" i="52"/>
  <c r="C19" i="52"/>
  <c r="D19" i="52"/>
  <c r="E19" i="52"/>
  <c r="F19" i="52"/>
  <c r="J19" i="52"/>
  <c r="C24" i="55"/>
  <c r="D24" i="55"/>
  <c r="E24" i="55"/>
  <c r="F24" i="55"/>
  <c r="G24" i="55"/>
  <c r="H7" i="52"/>
  <c r="C39" i="52"/>
  <c r="D39" i="52"/>
  <c r="E39" i="52"/>
  <c r="F39" i="52"/>
  <c r="C50" i="52"/>
  <c r="D50" i="52"/>
  <c r="E50" i="52"/>
  <c r="F50" i="52"/>
  <c r="J50" i="52"/>
  <c r="H24" i="52"/>
  <c r="H38" i="52"/>
  <c r="H21" i="52"/>
  <c r="H27" i="52"/>
  <c r="J27" i="52"/>
  <c r="H8" i="52"/>
  <c r="C45" i="52"/>
  <c r="D45" i="52"/>
  <c r="E45" i="52"/>
  <c r="F45" i="52"/>
  <c r="C12" i="52"/>
  <c r="D12" i="52"/>
  <c r="E12" i="52"/>
  <c r="F12" i="52"/>
  <c r="G51" i="52"/>
  <c r="I51" i="52"/>
  <c r="O14" i="56"/>
  <c r="H20" i="52"/>
  <c r="C52" i="52"/>
  <c r="D52" i="52"/>
  <c r="E52" i="52"/>
  <c r="F52" i="52"/>
  <c r="H29" i="52"/>
  <c r="C13" i="52"/>
  <c r="D13" i="52"/>
  <c r="E13" i="52"/>
  <c r="F13" i="52"/>
  <c r="H31" i="52"/>
  <c r="H48" i="52"/>
  <c r="C30" i="52"/>
  <c r="D30" i="52"/>
  <c r="H54" i="52"/>
  <c r="C42" i="52"/>
  <c r="D42" i="52"/>
  <c r="E42" i="52"/>
  <c r="F42" i="52"/>
  <c r="H28" i="52"/>
  <c r="H46" i="52"/>
  <c r="H36" i="52"/>
  <c r="H53" i="52"/>
  <c r="H34" i="52"/>
  <c r="C27" i="52"/>
  <c r="D27" i="52"/>
  <c r="E27" i="52"/>
  <c r="F27" i="52"/>
  <c r="O38" i="56"/>
  <c r="C44" i="60"/>
  <c r="D44" i="60"/>
  <c r="E44" i="60"/>
  <c r="F44" i="60"/>
  <c r="G44" i="60"/>
  <c r="G41" i="52"/>
  <c r="H18" i="52"/>
  <c r="H55" i="52"/>
  <c r="H52" i="52"/>
  <c r="C6" i="52"/>
  <c r="C44" i="52"/>
  <c r="D44" i="52"/>
  <c r="E44" i="52"/>
  <c r="F44" i="52"/>
  <c r="C56" i="52"/>
  <c r="D56" i="52"/>
  <c r="E56" i="52"/>
  <c r="F56" i="52"/>
  <c r="J56" i="52"/>
  <c r="C46" i="52"/>
  <c r="D46" i="52"/>
  <c r="H30" i="52"/>
  <c r="C49" i="52"/>
  <c r="D49" i="52"/>
  <c r="O39" i="55"/>
  <c r="H45" i="52"/>
  <c r="C35" i="52"/>
  <c r="D35" i="52"/>
  <c r="H35" i="52"/>
  <c r="C26" i="52"/>
  <c r="D26" i="52"/>
  <c r="C8" i="52"/>
  <c r="D8" i="52"/>
  <c r="C25" i="52"/>
  <c r="D25" i="52"/>
  <c r="E25" i="52"/>
  <c r="F25" i="52"/>
  <c r="C29" i="52"/>
  <c r="D29" i="52"/>
  <c r="C17" i="52"/>
  <c r="D17" i="52"/>
  <c r="C48" i="52"/>
  <c r="D48" i="52"/>
  <c r="E48" i="52"/>
  <c r="F48" i="52"/>
  <c r="G48" i="52"/>
  <c r="I48" i="52"/>
  <c r="O34" i="55"/>
  <c r="C36" i="52"/>
  <c r="D36" i="52"/>
  <c r="E36" i="52"/>
  <c r="F36" i="52"/>
  <c r="O60" i="56"/>
  <c r="S60" i="56" s="1"/>
  <c r="O58" i="54"/>
  <c r="S58" i="54"/>
  <c r="C10" i="52"/>
  <c r="D10" i="52"/>
  <c r="C20" i="52"/>
  <c r="D20" i="52"/>
  <c r="E20" i="52"/>
  <c r="F20" i="52"/>
  <c r="C37" i="52"/>
  <c r="D37" i="52"/>
  <c r="E37" i="52"/>
  <c r="F37" i="52"/>
  <c r="C53" i="52"/>
  <c r="D53" i="52"/>
  <c r="E53" i="52"/>
  <c r="F53" i="52"/>
  <c r="G53" i="52"/>
  <c r="C15" i="52"/>
  <c r="D15" i="52"/>
  <c r="E15" i="52"/>
  <c r="F15" i="52"/>
  <c r="J15" i="52"/>
  <c r="C38" i="52"/>
  <c r="D38" i="52"/>
  <c r="E38" i="52"/>
  <c r="F38" i="52"/>
  <c r="H26" i="58"/>
  <c r="E28" i="52"/>
  <c r="F28" i="52"/>
  <c r="H43" i="59"/>
  <c r="H38" i="59"/>
  <c r="H53" i="59"/>
  <c r="H29" i="59"/>
  <c r="H33" i="59"/>
  <c r="H47" i="59"/>
  <c r="H24" i="59"/>
  <c r="G36" i="52"/>
  <c r="I36" i="52"/>
  <c r="O68" i="55"/>
  <c r="S68" i="55" s="1"/>
  <c r="L13" i="55"/>
  <c r="J41" i="52"/>
  <c r="J43" i="52"/>
  <c r="G43" i="52"/>
  <c r="G12" i="52"/>
  <c r="H13" i="52"/>
  <c r="H44" i="52"/>
  <c r="H32" i="52"/>
  <c r="H11" i="52"/>
  <c r="H39" i="52"/>
  <c r="J39" i="52"/>
  <c r="H47" i="52"/>
  <c r="H22" i="52"/>
  <c r="H12" i="52"/>
  <c r="J12" i="52"/>
  <c r="C9" i="52"/>
  <c r="D9" i="52"/>
  <c r="C32" i="52"/>
  <c r="D32" i="52"/>
  <c r="E32" i="52"/>
  <c r="F32" i="52"/>
  <c r="C47" i="52"/>
  <c r="D47" i="52"/>
  <c r="C23" i="52"/>
  <c r="D23" i="52"/>
  <c r="C31" i="52"/>
  <c r="D31" i="52"/>
  <c r="E31" i="52"/>
  <c r="F31" i="52"/>
  <c r="C54" i="52"/>
  <c r="D54" i="52"/>
  <c r="E54" i="52"/>
  <c r="F54" i="52"/>
  <c r="C16" i="52"/>
  <c r="D16" i="52"/>
  <c r="H25" i="52"/>
  <c r="O14" i="55"/>
  <c r="S14" i="55" s="1"/>
  <c r="O47" i="56"/>
  <c r="H35" i="58"/>
  <c r="H50" i="58"/>
  <c r="H46" i="58"/>
  <c r="C11" i="52"/>
  <c r="D11" i="52"/>
  <c r="H42" i="52"/>
  <c r="H33" i="52"/>
  <c r="H10" i="52"/>
  <c r="C7" i="52"/>
  <c r="D7" i="52"/>
  <c r="E7" i="52"/>
  <c r="F7" i="52"/>
  <c r="G7" i="52"/>
  <c r="I7" i="52"/>
  <c r="C22" i="52"/>
  <c r="D22" i="52"/>
  <c r="O55" i="55"/>
  <c r="O59" i="55"/>
  <c r="S59" i="55"/>
  <c r="O67" i="54"/>
  <c r="S67" i="54"/>
  <c r="O67" i="55"/>
  <c r="S67" i="55"/>
  <c r="O42" i="56"/>
  <c r="O34" i="56"/>
  <c r="H14" i="52"/>
  <c r="C35" i="58"/>
  <c r="D35" i="58"/>
  <c r="E35" i="58"/>
  <c r="F35" i="58"/>
  <c r="O60" i="54"/>
  <c r="S60" i="54" s="1"/>
  <c r="J45" i="52"/>
  <c r="C33" i="52"/>
  <c r="D33" i="52"/>
  <c r="C14" i="52"/>
  <c r="D14" i="52"/>
  <c r="H49" i="52"/>
  <c r="O43" i="56"/>
  <c r="S43" i="56" s="1"/>
  <c r="C24" i="52"/>
  <c r="D24" i="52"/>
  <c r="O28" i="56"/>
  <c r="O59" i="56"/>
  <c r="G37" i="52"/>
  <c r="I37" i="52"/>
  <c r="J37" i="52"/>
  <c r="C13" i="55"/>
  <c r="D13" i="55"/>
  <c r="C17" i="55"/>
  <c r="D17" i="55"/>
  <c r="E17" i="55"/>
  <c r="F17" i="55"/>
  <c r="H36" i="55"/>
  <c r="H49" i="55"/>
  <c r="H53" i="55"/>
  <c r="H32" i="55"/>
  <c r="H45" i="55"/>
  <c r="H28" i="55"/>
  <c r="C28" i="55"/>
  <c r="D28" i="55"/>
  <c r="E28" i="55"/>
  <c r="F28" i="55"/>
  <c r="H41" i="55"/>
  <c r="H13" i="55"/>
  <c r="C10" i="55"/>
  <c r="D10" i="55"/>
  <c r="E10" i="55"/>
  <c r="F10" i="55"/>
  <c r="H19" i="61"/>
  <c r="H20" i="55"/>
  <c r="H56" i="55"/>
  <c r="C12" i="55"/>
  <c r="D12" i="55"/>
  <c r="E12" i="55"/>
  <c r="F12" i="55"/>
  <c r="H43" i="55"/>
  <c r="O48" i="55"/>
  <c r="C20" i="55"/>
  <c r="D20" i="55"/>
  <c r="H24" i="55"/>
  <c r="C49" i="55"/>
  <c r="D49" i="55"/>
  <c r="E49" i="55"/>
  <c r="F49" i="55"/>
  <c r="J49" i="55"/>
  <c r="C45" i="55"/>
  <c r="D45" i="55"/>
  <c r="E45" i="55"/>
  <c r="F45" i="55"/>
  <c r="C41" i="55"/>
  <c r="D41" i="55"/>
  <c r="O42" i="55"/>
  <c r="O37" i="56"/>
  <c r="E29" i="52"/>
  <c r="F29" i="52"/>
  <c r="G29" i="52"/>
  <c r="C55" i="60"/>
  <c r="D55" i="60"/>
  <c r="E55" i="60"/>
  <c r="F55" i="60"/>
  <c r="C26" i="55"/>
  <c r="D26" i="55"/>
  <c r="E26" i="55"/>
  <c r="F26" i="55"/>
  <c r="G26" i="55"/>
  <c r="C36" i="55"/>
  <c r="D36" i="55"/>
  <c r="E36" i="55"/>
  <c r="F36" i="55"/>
  <c r="L45" i="55"/>
  <c r="P45" i="55"/>
  <c r="H17" i="55"/>
  <c r="C32" i="55"/>
  <c r="D32" i="55"/>
  <c r="E32" i="55"/>
  <c r="F32" i="55"/>
  <c r="C53" i="55"/>
  <c r="D53" i="55"/>
  <c r="L28" i="55"/>
  <c r="I41" i="52"/>
  <c r="G25" i="52"/>
  <c r="C6" i="53"/>
  <c r="D6" i="53"/>
  <c r="E6" i="53"/>
  <c r="F6" i="53"/>
  <c r="J6" i="53"/>
  <c r="D6" i="52"/>
  <c r="E8" i="52"/>
  <c r="F8" i="52"/>
  <c r="J8" i="52"/>
  <c r="E46" i="52"/>
  <c r="F46" i="52"/>
  <c r="C35" i="55"/>
  <c r="D35" i="55"/>
  <c r="L35" i="55"/>
  <c r="H35" i="55"/>
  <c r="C29" i="55"/>
  <c r="D29" i="55"/>
  <c r="E29" i="55"/>
  <c r="F29" i="55"/>
  <c r="H29" i="55"/>
  <c r="C11" i="55"/>
  <c r="D11" i="55"/>
  <c r="H11" i="55"/>
  <c r="O25" i="55"/>
  <c r="C43" i="60"/>
  <c r="D43" i="60"/>
  <c r="E43" i="60"/>
  <c r="F43" i="60"/>
  <c r="O32" i="55"/>
  <c r="C39" i="55"/>
  <c r="D39" i="55"/>
  <c r="E39" i="55"/>
  <c r="F39" i="55"/>
  <c r="H39" i="55"/>
  <c r="C27" i="55"/>
  <c r="D27" i="55"/>
  <c r="H27" i="55"/>
  <c r="L27" i="55"/>
  <c r="C56" i="55"/>
  <c r="D56" i="55"/>
  <c r="C25" i="55"/>
  <c r="D25" i="55"/>
  <c r="H25" i="55"/>
  <c r="H21" i="55"/>
  <c r="C21" i="55"/>
  <c r="D21" i="55"/>
  <c r="L54" i="55"/>
  <c r="H54" i="55"/>
  <c r="C54" i="55"/>
  <c r="D54" i="55"/>
  <c r="L26" i="55"/>
  <c r="N26" i="56"/>
  <c r="H26" i="55"/>
  <c r="C22" i="55"/>
  <c r="D22" i="55"/>
  <c r="H22" i="55"/>
  <c r="C55" i="55"/>
  <c r="D55" i="55"/>
  <c r="H55" i="55"/>
  <c r="H50" i="59"/>
  <c r="C32" i="59"/>
  <c r="D32" i="59"/>
  <c r="H21" i="59"/>
  <c r="H56" i="59"/>
  <c r="H51" i="59"/>
  <c r="C45" i="59"/>
  <c r="D45" i="59"/>
  <c r="H20" i="59"/>
  <c r="C21" i="59"/>
  <c r="D21" i="59"/>
  <c r="C17" i="59"/>
  <c r="D17" i="59"/>
  <c r="C15" i="59"/>
  <c r="D15" i="59"/>
  <c r="H36" i="59"/>
  <c r="C41" i="59"/>
  <c r="D41" i="59"/>
  <c r="C13" i="59"/>
  <c r="H41" i="59"/>
  <c r="H26" i="59"/>
  <c r="H13" i="59"/>
  <c r="H13" i="60"/>
  <c r="H55" i="59"/>
  <c r="J55" i="59"/>
  <c r="C49" i="59"/>
  <c r="D49" i="59"/>
  <c r="C37" i="59"/>
  <c r="D37" i="59"/>
  <c r="H54" i="59"/>
  <c r="H14" i="59"/>
  <c r="H42" i="59"/>
  <c r="C33" i="59"/>
  <c r="D33" i="59"/>
  <c r="H25" i="59"/>
  <c r="H40" i="59"/>
  <c r="H45" i="59"/>
  <c r="L46" i="59"/>
  <c r="N46" i="60"/>
  <c r="L21" i="59"/>
  <c r="C53" i="59"/>
  <c r="D53" i="59"/>
  <c r="L22" i="59"/>
  <c r="L38" i="59"/>
  <c r="L15" i="59"/>
  <c r="L56" i="59"/>
  <c r="L28" i="59"/>
  <c r="P28" i="59"/>
  <c r="C14" i="59"/>
  <c r="D14" i="59"/>
  <c r="E14" i="59"/>
  <c r="F14" i="59"/>
  <c r="C27" i="59"/>
  <c r="D27" i="59"/>
  <c r="C30" i="59"/>
  <c r="D30" i="59"/>
  <c r="C40" i="59"/>
  <c r="D40" i="59"/>
  <c r="C47" i="59"/>
  <c r="D47" i="59"/>
  <c r="C50" i="59"/>
  <c r="D50" i="59"/>
  <c r="C52" i="59"/>
  <c r="D52" i="59"/>
  <c r="C16" i="59"/>
  <c r="D16" i="59"/>
  <c r="L44" i="59"/>
  <c r="L26" i="59"/>
  <c r="L39" i="59"/>
  <c r="L29" i="59"/>
  <c r="L24" i="59"/>
  <c r="L45" i="59"/>
  <c r="N45" i="60"/>
  <c r="L13" i="59"/>
  <c r="L51" i="59"/>
  <c r="L55" i="59"/>
  <c r="L43" i="59"/>
  <c r="N43" i="60"/>
  <c r="C26" i="59"/>
  <c r="D26" i="59"/>
  <c r="C43" i="59"/>
  <c r="D43" i="59"/>
  <c r="C46" i="59"/>
  <c r="D46" i="59"/>
  <c r="C56" i="59"/>
  <c r="D56" i="59"/>
  <c r="C20" i="59"/>
  <c r="D20" i="59"/>
  <c r="C31" i="59"/>
  <c r="D31" i="59"/>
  <c r="C34" i="59"/>
  <c r="D34" i="59"/>
  <c r="C36" i="59"/>
  <c r="D36" i="59"/>
  <c r="L33" i="59"/>
  <c r="L18" i="59"/>
  <c r="L48" i="59"/>
  <c r="L41" i="59"/>
  <c r="H35" i="59"/>
  <c r="L17" i="59"/>
  <c r="L14" i="59"/>
  <c r="L52" i="59"/>
  <c r="N52" i="59"/>
  <c r="L42" i="59"/>
  <c r="L47" i="59"/>
  <c r="L30" i="59"/>
  <c r="C29" i="59"/>
  <c r="D29" i="59"/>
  <c r="C35" i="59"/>
  <c r="D35" i="59"/>
  <c r="C38" i="59"/>
  <c r="D38" i="59"/>
  <c r="E38" i="59"/>
  <c r="F38" i="59"/>
  <c r="G38" i="59"/>
  <c r="I38" i="59"/>
  <c r="C48" i="59"/>
  <c r="D48" i="59"/>
  <c r="C25" i="59"/>
  <c r="D25" i="59"/>
  <c r="C19" i="59"/>
  <c r="D19" i="59"/>
  <c r="E19" i="59"/>
  <c r="F19" i="59"/>
  <c r="G19" i="59"/>
  <c r="I19" i="59"/>
  <c r="C22" i="59"/>
  <c r="D22" i="59"/>
  <c r="C24" i="59"/>
  <c r="D24" i="59"/>
  <c r="C51" i="59"/>
  <c r="D51" i="59"/>
  <c r="C39" i="59"/>
  <c r="D39" i="59"/>
  <c r="C54" i="59"/>
  <c r="D54" i="59"/>
  <c r="C42" i="59"/>
  <c r="D42" i="59"/>
  <c r="E42" i="59"/>
  <c r="F42" i="59"/>
  <c r="C18" i="59"/>
  <c r="D18" i="59"/>
  <c r="E18" i="59"/>
  <c r="F18" i="59"/>
  <c r="J18" i="59"/>
  <c r="P18" i="59"/>
  <c r="C44" i="59"/>
  <c r="D44" i="59"/>
  <c r="C28" i="59"/>
  <c r="D28" i="59"/>
  <c r="E28" i="59"/>
  <c r="F28" i="59"/>
  <c r="G28" i="59"/>
  <c r="I28" i="59"/>
  <c r="C23" i="59"/>
  <c r="D23" i="59"/>
  <c r="G21" i="52"/>
  <c r="I21" i="52"/>
  <c r="J21" i="52"/>
  <c r="C9" i="56"/>
  <c r="D9" i="56"/>
  <c r="D9" i="55"/>
  <c r="E9" i="55"/>
  <c r="F9" i="55"/>
  <c r="J9" i="55"/>
  <c r="I43" i="52"/>
  <c r="O58" i="56"/>
  <c r="S58" i="56"/>
  <c r="G6" i="53"/>
  <c r="I6" i="53"/>
  <c r="O27" i="54"/>
  <c r="C44" i="55"/>
  <c r="D44" i="55"/>
  <c r="H44" i="55"/>
  <c r="L44" i="55"/>
  <c r="H10" i="55"/>
  <c r="L10" i="55"/>
  <c r="C42" i="55"/>
  <c r="D42" i="55"/>
  <c r="L42" i="55"/>
  <c r="H42" i="55"/>
  <c r="C43" i="55"/>
  <c r="D43" i="55"/>
  <c r="L43" i="55"/>
  <c r="O16" i="61"/>
  <c r="O48" i="54"/>
  <c r="S48" i="54" s="1"/>
  <c r="O55" i="56"/>
  <c r="O48" i="56"/>
  <c r="C23" i="55"/>
  <c r="D23" i="55"/>
  <c r="L23" i="55"/>
  <c r="H23" i="55"/>
  <c r="C52" i="55"/>
  <c r="D52" i="55"/>
  <c r="H52" i="55"/>
  <c r="L52" i="55"/>
  <c r="C40" i="55"/>
  <c r="D40" i="55"/>
  <c r="H40" i="55"/>
  <c r="L40" i="55"/>
  <c r="L14" i="55"/>
  <c r="C14" i="55"/>
  <c r="D14" i="55"/>
  <c r="H14" i="55"/>
  <c r="C33" i="55"/>
  <c r="D33" i="55"/>
  <c r="H33" i="55"/>
  <c r="L33" i="55"/>
  <c r="L46" i="55"/>
  <c r="C46" i="55"/>
  <c r="D46" i="55"/>
  <c r="H46" i="55"/>
  <c r="L15" i="55"/>
  <c r="C15" i="55"/>
  <c r="D15" i="55"/>
  <c r="H15" i="55"/>
  <c r="C34" i="55"/>
  <c r="D34" i="55"/>
  <c r="L34" i="55"/>
  <c r="H34" i="55"/>
  <c r="H47" i="55"/>
  <c r="C47" i="55"/>
  <c r="D47" i="55"/>
  <c r="L47" i="55"/>
  <c r="O13" i="54"/>
  <c r="S13" i="54" s="1"/>
  <c r="O54" i="54"/>
  <c r="O54" i="55"/>
  <c r="O57" i="54"/>
  <c r="S57" i="54"/>
  <c r="O57" i="55"/>
  <c r="S57" i="55" s="1"/>
  <c r="O33" i="61"/>
  <c r="O24" i="55"/>
  <c r="G39" i="52"/>
  <c r="O44" i="55"/>
  <c r="O29" i="56"/>
  <c r="O44" i="56"/>
  <c r="O31" i="54"/>
  <c r="H12" i="55"/>
  <c r="L12" i="55"/>
  <c r="C30" i="55"/>
  <c r="D30" i="55"/>
  <c r="H30" i="55"/>
  <c r="L30" i="55"/>
  <c r="E18" i="52"/>
  <c r="F18" i="52"/>
  <c r="E34" i="52"/>
  <c r="F34" i="52"/>
  <c r="G55" i="59"/>
  <c r="I55" i="59"/>
  <c r="O67" i="56"/>
  <c r="S67" i="56" s="1"/>
  <c r="L31" i="55"/>
  <c r="P31" i="55"/>
  <c r="C31" i="55"/>
  <c r="D31" i="55"/>
  <c r="H31" i="55"/>
  <c r="C16" i="55"/>
  <c r="D16" i="55"/>
  <c r="H16" i="55"/>
  <c r="L16" i="55"/>
  <c r="P16" i="55"/>
  <c r="H48" i="55"/>
  <c r="L48" i="55"/>
  <c r="C48" i="55"/>
  <c r="D48" i="55"/>
  <c r="H18" i="55"/>
  <c r="L18" i="55"/>
  <c r="C37" i="55"/>
  <c r="D37" i="55"/>
  <c r="L37" i="55"/>
  <c r="N37" i="55"/>
  <c r="H37" i="55"/>
  <c r="L50" i="55"/>
  <c r="H50" i="55"/>
  <c r="C50" i="55"/>
  <c r="D50" i="55"/>
  <c r="H19" i="55"/>
  <c r="L19" i="55"/>
  <c r="P19" i="55"/>
  <c r="H38" i="55"/>
  <c r="C38" i="55"/>
  <c r="D38" i="55"/>
  <c r="L38" i="55"/>
  <c r="C51" i="55"/>
  <c r="D51" i="55"/>
  <c r="L51" i="55"/>
  <c r="H51" i="55"/>
  <c r="O63" i="55"/>
  <c r="S63" i="55"/>
  <c r="O15" i="55"/>
  <c r="O40" i="55"/>
  <c r="S40" i="55" s="1"/>
  <c r="C26" i="58"/>
  <c r="D26" i="58"/>
  <c r="C50" i="58"/>
  <c r="D50" i="58"/>
  <c r="L35" i="58"/>
  <c r="N35" i="58"/>
  <c r="L26" i="58"/>
  <c r="O62" i="61"/>
  <c r="S62" i="61" s="1"/>
  <c r="G55" i="52"/>
  <c r="I55" i="52"/>
  <c r="J55" i="52"/>
  <c r="J51" i="52"/>
  <c r="O15" i="54"/>
  <c r="O29" i="54"/>
  <c r="C15" i="1"/>
  <c r="D15" i="1"/>
  <c r="H15" i="1"/>
  <c r="C25" i="1"/>
  <c r="D25" i="1"/>
  <c r="H25" i="1"/>
  <c r="C53" i="1"/>
  <c r="D53" i="1"/>
  <c r="H53" i="1"/>
  <c r="O36" i="60"/>
  <c r="H26" i="61"/>
  <c r="C26" i="61"/>
  <c r="D26" i="61"/>
  <c r="L26" i="61"/>
  <c r="C53" i="61"/>
  <c r="D53" i="61"/>
  <c r="H53" i="61"/>
  <c r="L53" i="61"/>
  <c r="L28" i="61"/>
  <c r="H28" i="61"/>
  <c r="C28" i="61"/>
  <c r="D28" i="61"/>
  <c r="C56" i="61"/>
  <c r="D56" i="61"/>
  <c r="H56" i="61"/>
  <c r="L56" i="61"/>
  <c r="N56" i="61"/>
  <c r="O65" i="61"/>
  <c r="S65" i="61" s="1"/>
  <c r="H35" i="57"/>
  <c r="L24" i="57"/>
  <c r="L27" i="57"/>
  <c r="C43" i="57"/>
  <c r="D43" i="57"/>
  <c r="H13" i="57"/>
  <c r="H14" i="57"/>
  <c r="H22" i="57"/>
  <c r="H18" i="57"/>
  <c r="H55" i="57"/>
  <c r="H46" i="57"/>
  <c r="H39" i="57"/>
  <c r="H12" i="57"/>
  <c r="C50" i="57"/>
  <c r="D50" i="57"/>
  <c r="H34" i="57"/>
  <c r="L19" i="57"/>
  <c r="H28" i="57"/>
  <c r="H23" i="57"/>
  <c r="H29" i="57"/>
  <c r="C45" i="57"/>
  <c r="D45" i="57"/>
  <c r="C33" i="57"/>
  <c r="D33" i="57"/>
  <c r="C25" i="57"/>
  <c r="D25" i="57"/>
  <c r="L34" i="57"/>
  <c r="C14" i="57"/>
  <c r="D14" i="57"/>
  <c r="C18" i="57"/>
  <c r="D18" i="57"/>
  <c r="C22" i="57"/>
  <c r="D22" i="57"/>
  <c r="L18" i="57"/>
  <c r="H20" i="57"/>
  <c r="C48" i="57"/>
  <c r="D48" i="57"/>
  <c r="C24" i="57"/>
  <c r="D24" i="57"/>
  <c r="L33" i="57"/>
  <c r="N33" i="57"/>
  <c r="H21" i="57"/>
  <c r="L56" i="57"/>
  <c r="L36" i="57"/>
  <c r="C41" i="57"/>
  <c r="D41" i="57"/>
  <c r="H16" i="57"/>
  <c r="L52" i="57"/>
  <c r="C23" i="57"/>
  <c r="D23" i="57"/>
  <c r="H52" i="57"/>
  <c r="C27" i="57"/>
  <c r="D27" i="57"/>
  <c r="H15" i="57"/>
  <c r="C31" i="57"/>
  <c r="D31" i="57"/>
  <c r="H19" i="57"/>
  <c r="H51" i="57"/>
  <c r="C42" i="57"/>
  <c r="D42" i="57"/>
  <c r="H49" i="57"/>
  <c r="H37" i="57"/>
  <c r="C49" i="57"/>
  <c r="D49" i="57"/>
  <c r="C37" i="57"/>
  <c r="D37" i="57"/>
  <c r="C29" i="57"/>
  <c r="D29" i="57"/>
  <c r="L46" i="57"/>
  <c r="C12" i="57"/>
  <c r="D12" i="57"/>
  <c r="C16" i="57"/>
  <c r="D16" i="57"/>
  <c r="C20" i="57"/>
  <c r="D20" i="57"/>
  <c r="H32" i="57"/>
  <c r="H44" i="57"/>
  <c r="C13" i="57"/>
  <c r="D13" i="57"/>
  <c r="H36" i="57"/>
  <c r="C36" i="57"/>
  <c r="D36" i="57"/>
  <c r="L45" i="57"/>
  <c r="L22" i="57"/>
  <c r="C39" i="57"/>
  <c r="D39" i="57"/>
  <c r="L35" i="57"/>
  <c r="C35" i="57"/>
  <c r="D35" i="57"/>
  <c r="L32" i="57"/>
  <c r="C54" i="57"/>
  <c r="D54" i="57"/>
  <c r="H47" i="57"/>
  <c r="C34" i="57"/>
  <c r="D34" i="57"/>
  <c r="H53" i="57"/>
  <c r="C28" i="57"/>
  <c r="D28" i="57"/>
  <c r="H25" i="57"/>
  <c r="C44" i="57"/>
  <c r="D44" i="57"/>
  <c r="H48" i="57"/>
  <c r="H45" i="57"/>
  <c r="H31" i="57"/>
  <c r="C46" i="57"/>
  <c r="D46" i="57"/>
  <c r="H27" i="57"/>
  <c r="H26" i="57"/>
  <c r="C26" i="57"/>
  <c r="D26" i="57"/>
  <c r="C52" i="57"/>
  <c r="D52" i="57"/>
  <c r="H42" i="57"/>
  <c r="L53" i="57"/>
  <c r="C11" i="57"/>
  <c r="L16" i="57"/>
  <c r="C19" i="57"/>
  <c r="D19" i="57"/>
  <c r="H43" i="57"/>
  <c r="C21" i="57"/>
  <c r="D21" i="57"/>
  <c r="L31" i="57"/>
  <c r="H54" i="57"/>
  <c r="H11" i="57"/>
  <c r="H11" i="58"/>
  <c r="L43" i="57"/>
  <c r="C40" i="57"/>
  <c r="D40" i="57"/>
  <c r="H33" i="57"/>
  <c r="C56" i="57"/>
  <c r="D56" i="57"/>
  <c r="L12" i="57"/>
  <c r="H50" i="57"/>
  <c r="C15" i="57"/>
  <c r="D15" i="57"/>
  <c r="L21" i="57"/>
  <c r="H40" i="57"/>
  <c r="H38" i="57"/>
  <c r="C32" i="57"/>
  <c r="D32" i="57"/>
  <c r="H41" i="57"/>
  <c r="H24" i="57"/>
  <c r="H56" i="57"/>
  <c r="C30" i="57"/>
  <c r="D30" i="57"/>
  <c r="L48" i="57"/>
  <c r="L40" i="57"/>
  <c r="L25" i="57"/>
  <c r="L26" i="57"/>
  <c r="N26" i="58"/>
  <c r="L47" i="57"/>
  <c r="L17" i="57"/>
  <c r="L11" i="57"/>
  <c r="L20" i="57"/>
  <c r="N20" i="58"/>
  <c r="L14" i="57"/>
  <c r="L37" i="57"/>
  <c r="L41" i="57"/>
  <c r="L51" i="57"/>
  <c r="N51" i="58"/>
  <c r="L38" i="57"/>
  <c r="L55" i="57"/>
  <c r="L30" i="57"/>
  <c r="L54" i="57"/>
  <c r="N54" i="57"/>
  <c r="L50" i="57"/>
  <c r="L44" i="57"/>
  <c r="L28" i="57"/>
  <c r="C53" i="57"/>
  <c r="D53" i="57"/>
  <c r="L13" i="57"/>
  <c r="L39" i="57"/>
  <c r="L29" i="57"/>
  <c r="L23" i="57"/>
  <c r="C55" i="57"/>
  <c r="D55" i="57"/>
  <c r="L42" i="57"/>
  <c r="L15" i="57"/>
  <c r="L49" i="57"/>
  <c r="C17" i="57"/>
  <c r="D17" i="57"/>
  <c r="C51" i="57"/>
  <c r="D51" i="57"/>
  <c r="L15" i="56"/>
  <c r="N15" i="57"/>
  <c r="H15" i="56"/>
  <c r="C15" i="56"/>
  <c r="D15" i="56"/>
  <c r="L53" i="56"/>
  <c r="H53" i="56"/>
  <c r="C53" i="56"/>
  <c r="D53" i="56"/>
  <c r="L42" i="56"/>
  <c r="N42" i="56"/>
  <c r="C42" i="56"/>
  <c r="D42" i="56"/>
  <c r="H42" i="56"/>
  <c r="H17" i="58"/>
  <c r="C17" i="58"/>
  <c r="D17" i="58"/>
  <c r="L17" i="58"/>
  <c r="H15" i="58"/>
  <c r="C15" i="58"/>
  <c r="D15" i="58"/>
  <c r="L15" i="58"/>
  <c r="C14" i="58"/>
  <c r="D14" i="58"/>
  <c r="L14" i="58"/>
  <c r="H14" i="58"/>
  <c r="C12" i="58"/>
  <c r="H12" i="58"/>
  <c r="H12" i="59"/>
  <c r="L12" i="58"/>
  <c r="C38" i="57"/>
  <c r="D38" i="57"/>
  <c r="H12" i="1"/>
  <c r="C12" i="1"/>
  <c r="D12" i="1"/>
  <c r="C41" i="1"/>
  <c r="D41" i="1"/>
  <c r="H41" i="1"/>
  <c r="H42" i="1"/>
  <c r="C42" i="1"/>
  <c r="D42" i="1"/>
  <c r="H22" i="1"/>
  <c r="C22" i="1"/>
  <c r="D22" i="1"/>
  <c r="H43" i="1"/>
  <c r="C43" i="1"/>
  <c r="D43" i="1"/>
  <c r="C36" i="1"/>
  <c r="D36" i="1"/>
  <c r="H36" i="1"/>
  <c r="H39" i="61"/>
  <c r="C39" i="61"/>
  <c r="D39" i="61"/>
  <c r="L39" i="61"/>
  <c r="N39" i="61"/>
  <c r="C34" i="61"/>
  <c r="D34" i="61"/>
  <c r="H34" i="61"/>
  <c r="L34" i="61"/>
  <c r="P34" i="61"/>
  <c r="H31" i="61"/>
  <c r="C31" i="61"/>
  <c r="D31" i="61"/>
  <c r="L31" i="61"/>
  <c r="H52" i="61"/>
  <c r="L52" i="61"/>
  <c r="C52" i="61"/>
  <c r="D52" i="61"/>
  <c r="C33" i="61"/>
  <c r="D33" i="61"/>
  <c r="H33" i="61"/>
  <c r="L33" i="61"/>
  <c r="C42" i="61"/>
  <c r="D42" i="61"/>
  <c r="H42" i="61"/>
  <c r="L42" i="61"/>
  <c r="P42" i="61"/>
  <c r="H18" i="61"/>
  <c r="C18" i="61"/>
  <c r="D18" i="61"/>
  <c r="L18" i="61"/>
  <c r="N18" i="61"/>
  <c r="L49" i="61"/>
  <c r="H49" i="61"/>
  <c r="C49" i="61"/>
  <c r="D49" i="61"/>
  <c r="L23" i="61"/>
  <c r="C23" i="61"/>
  <c r="D23" i="61"/>
  <c r="H23" i="61"/>
  <c r="O20" i="61"/>
  <c r="O57" i="61"/>
  <c r="S57" i="61" s="1"/>
  <c r="O63" i="61"/>
  <c r="S63" i="61"/>
  <c r="O54" i="61"/>
  <c r="S54" i="61" s="1"/>
  <c r="O54" i="60"/>
  <c r="H35" i="61"/>
  <c r="L19" i="61"/>
  <c r="H46" i="61"/>
  <c r="L46" i="61"/>
  <c r="C46" i="61"/>
  <c r="D46" i="61"/>
  <c r="C19" i="61"/>
  <c r="D19" i="61"/>
  <c r="L35" i="61"/>
  <c r="L47" i="61"/>
  <c r="C13" i="1"/>
  <c r="D13" i="1"/>
  <c r="C39" i="1"/>
  <c r="D39" i="1"/>
  <c r="C17" i="1"/>
  <c r="D17" i="1"/>
  <c r="H24" i="1"/>
  <c r="C9" i="1"/>
  <c r="D9" i="1"/>
  <c r="H45" i="1"/>
  <c r="C45" i="1"/>
  <c r="D45" i="1"/>
  <c r="H11" i="1"/>
  <c r="C55" i="1"/>
  <c r="D55" i="1"/>
  <c r="H23" i="1"/>
  <c r="H44" i="1"/>
  <c r="C52" i="1"/>
  <c r="D52" i="1"/>
  <c r="C31" i="1"/>
  <c r="D31" i="1"/>
  <c r="C56" i="1"/>
  <c r="D56" i="1"/>
  <c r="H6" i="1"/>
  <c r="C10" i="1"/>
  <c r="D10" i="1"/>
  <c r="C26" i="1"/>
  <c r="D26" i="1"/>
  <c r="H50" i="1"/>
  <c r="H55" i="1"/>
  <c r="C23" i="1"/>
  <c r="D23" i="1"/>
  <c r="H35" i="1"/>
  <c r="C24" i="1"/>
  <c r="D24" i="1"/>
  <c r="H30" i="1"/>
  <c r="C20" i="1"/>
  <c r="D20" i="1"/>
  <c r="H56" i="1"/>
  <c r="H39" i="1"/>
  <c r="H54" i="1"/>
  <c r="C49" i="1"/>
  <c r="D49" i="1"/>
  <c r="C54" i="1"/>
  <c r="D54" i="1"/>
  <c r="H49" i="1"/>
  <c r="C6" i="1"/>
  <c r="D6" i="1"/>
  <c r="H14" i="1"/>
  <c r="C51" i="1"/>
  <c r="D51" i="1"/>
  <c r="H31" i="1"/>
  <c r="C30" i="1"/>
  <c r="D30" i="1"/>
  <c r="C44" i="1"/>
  <c r="D44" i="1"/>
  <c r="C35" i="1"/>
  <c r="D35" i="1"/>
  <c r="H17" i="1"/>
  <c r="C11" i="1"/>
  <c r="D11" i="1"/>
  <c r="H20" i="1"/>
  <c r="H10" i="1"/>
  <c r="C14" i="1"/>
  <c r="D14" i="1"/>
  <c r="C50" i="1"/>
  <c r="D50" i="1"/>
  <c r="H52" i="1"/>
  <c r="C8" i="1"/>
  <c r="D8" i="1"/>
  <c r="H51" i="1"/>
  <c r="H13" i="1"/>
  <c r="H38" i="1"/>
  <c r="C38" i="1"/>
  <c r="D38" i="1"/>
  <c r="H8" i="1"/>
  <c r="H9" i="1"/>
  <c r="H26" i="1"/>
  <c r="H37" i="56"/>
  <c r="C37" i="56"/>
  <c r="D37" i="56"/>
  <c r="L37" i="56"/>
  <c r="N37" i="57"/>
  <c r="L50" i="56"/>
  <c r="H50" i="56"/>
  <c r="C50" i="56"/>
  <c r="D50" i="56"/>
  <c r="L21" i="56"/>
  <c r="C21" i="56"/>
  <c r="D21" i="56"/>
  <c r="H21" i="56"/>
  <c r="L32" i="56"/>
  <c r="C32" i="56"/>
  <c r="D32" i="56"/>
  <c r="H32" i="56"/>
  <c r="H55" i="56"/>
  <c r="L55" i="56"/>
  <c r="C55" i="56"/>
  <c r="D55" i="56"/>
  <c r="L30" i="56"/>
  <c r="H30" i="56"/>
  <c r="C30" i="56"/>
  <c r="D30" i="56"/>
  <c r="L25" i="56"/>
  <c r="H25" i="56"/>
  <c r="C25" i="56"/>
  <c r="D25" i="56"/>
  <c r="C16" i="56"/>
  <c r="D16" i="56"/>
  <c r="H16" i="56"/>
  <c r="L16" i="56"/>
  <c r="N16" i="56"/>
  <c r="H12" i="56"/>
  <c r="C12" i="56"/>
  <c r="D12" i="56"/>
  <c r="L12" i="56"/>
  <c r="N12" i="57"/>
  <c r="C54" i="58"/>
  <c r="D54" i="58"/>
  <c r="L54" i="58"/>
  <c r="H54" i="58"/>
  <c r="H28" i="58"/>
  <c r="C28" i="58"/>
  <c r="D28" i="58"/>
  <c r="L28" i="58"/>
  <c r="C44" i="58"/>
  <c r="D44" i="58"/>
  <c r="H44" i="58"/>
  <c r="L44" i="58"/>
  <c r="N44" i="58"/>
  <c r="C33" i="58"/>
  <c r="D33" i="58"/>
  <c r="H33" i="58"/>
  <c r="L33" i="58"/>
  <c r="N33" i="59"/>
  <c r="H27" i="58"/>
  <c r="C27" i="58"/>
  <c r="D27" i="58"/>
  <c r="L27" i="58"/>
  <c r="C45" i="58"/>
  <c r="D45" i="58"/>
  <c r="H45" i="58"/>
  <c r="L45" i="58"/>
  <c r="L34" i="58"/>
  <c r="H34" i="58"/>
  <c r="C34" i="58"/>
  <c r="D34" i="58"/>
  <c r="C24" i="58"/>
  <c r="D24" i="58"/>
  <c r="L24" i="58"/>
  <c r="H24" i="58"/>
  <c r="H47" i="58"/>
  <c r="C47" i="58"/>
  <c r="D47" i="58"/>
  <c r="L47" i="58"/>
  <c r="N47" i="58"/>
  <c r="H36" i="58"/>
  <c r="L36" i="58"/>
  <c r="C36" i="58"/>
  <c r="D36" i="58"/>
  <c r="H43" i="60"/>
  <c r="H30" i="57"/>
  <c r="C47" i="61"/>
  <c r="D47" i="61"/>
  <c r="O15" i="56"/>
  <c r="S15" i="56" s="1"/>
  <c r="H20" i="61"/>
  <c r="C20" i="61"/>
  <c r="D20" i="61"/>
  <c r="L20" i="61"/>
  <c r="P20" i="61"/>
  <c r="H17" i="61"/>
  <c r="C17" i="61"/>
  <c r="D17" i="61"/>
  <c r="L17" i="61"/>
  <c r="N17" i="61"/>
  <c r="L22" i="61"/>
  <c r="C22" i="61"/>
  <c r="D22" i="61"/>
  <c r="H22" i="61"/>
  <c r="C46" i="56"/>
  <c r="D46" i="56"/>
  <c r="H46" i="56"/>
  <c r="L46" i="56"/>
  <c r="H51" i="56"/>
  <c r="L51" i="56"/>
  <c r="N51" i="56"/>
  <c r="C51" i="56"/>
  <c r="D51" i="56"/>
  <c r="L13" i="56"/>
  <c r="C13" i="56"/>
  <c r="D13" i="56"/>
  <c r="H13" i="56"/>
  <c r="H21" i="58"/>
  <c r="C21" i="58"/>
  <c r="D21" i="58"/>
  <c r="L21" i="58"/>
  <c r="C29" i="58"/>
  <c r="D29" i="58"/>
  <c r="H29" i="58"/>
  <c r="L29" i="58"/>
  <c r="C27" i="1"/>
  <c r="D27" i="1"/>
  <c r="H27" i="1"/>
  <c r="H46" i="1"/>
  <c r="C46" i="1"/>
  <c r="D46" i="1"/>
  <c r="C7" i="1"/>
  <c r="D7" i="1"/>
  <c r="H7" i="1"/>
  <c r="C45" i="61"/>
  <c r="D45" i="61"/>
  <c r="H45" i="61"/>
  <c r="L45" i="61"/>
  <c r="P45" i="61"/>
  <c r="H16" i="61"/>
  <c r="C16" i="61"/>
  <c r="D16" i="61"/>
  <c r="L16" i="61"/>
  <c r="P16" i="61"/>
  <c r="C25" i="61"/>
  <c r="D25" i="61"/>
  <c r="H25" i="61"/>
  <c r="L25" i="61"/>
  <c r="P25" i="61"/>
  <c r="C37" i="61"/>
  <c r="D37" i="61"/>
  <c r="H37" i="61"/>
  <c r="L37" i="61"/>
  <c r="N37" i="61"/>
  <c r="L50" i="61"/>
  <c r="H50" i="61"/>
  <c r="C50" i="61"/>
  <c r="D50" i="61"/>
  <c r="C32" i="61"/>
  <c r="D32" i="61"/>
  <c r="H32" i="61"/>
  <c r="L32" i="61"/>
  <c r="C40" i="61"/>
  <c r="D40" i="61"/>
  <c r="H40" i="61"/>
  <c r="L40" i="61"/>
  <c r="N40" i="61"/>
  <c r="C27" i="61"/>
  <c r="D27" i="61"/>
  <c r="H27" i="61"/>
  <c r="L27" i="61"/>
  <c r="P27" i="61"/>
  <c r="O28" i="61"/>
  <c r="S28" i="61" s="1"/>
  <c r="O40" i="61"/>
  <c r="O46" i="61"/>
  <c r="O46" i="60"/>
  <c r="S46" i="60" s="1"/>
  <c r="O48" i="61"/>
  <c r="O60" i="61"/>
  <c r="S60" i="61" s="1"/>
  <c r="C26" i="60"/>
  <c r="D26" i="60"/>
  <c r="C50" i="60"/>
  <c r="D50" i="60"/>
  <c r="H18" i="60"/>
  <c r="L24" i="60"/>
  <c r="H51" i="60"/>
  <c r="C48" i="60"/>
  <c r="D48" i="60"/>
  <c r="L45" i="60"/>
  <c r="H56" i="60"/>
  <c r="H37" i="60"/>
  <c r="C32" i="60"/>
  <c r="D32" i="60"/>
  <c r="L48" i="60"/>
  <c r="C30" i="60"/>
  <c r="D30" i="60"/>
  <c r="C51" i="60"/>
  <c r="D51" i="60"/>
  <c r="C19" i="60"/>
  <c r="D19" i="60"/>
  <c r="L42" i="60"/>
  <c r="H14" i="60"/>
  <c r="H14" i="61"/>
  <c r="C53" i="60"/>
  <c r="D53" i="60"/>
  <c r="C41" i="60"/>
  <c r="D41" i="60"/>
  <c r="H54" i="60"/>
  <c r="H46" i="60"/>
  <c r="H34" i="60"/>
  <c r="C40" i="60"/>
  <c r="D40" i="60"/>
  <c r="C54" i="60"/>
  <c r="D54" i="60"/>
  <c r="L56" i="60"/>
  <c r="H27" i="60"/>
  <c r="H20" i="60"/>
  <c r="C20" i="60"/>
  <c r="D20" i="60"/>
  <c r="H22" i="60"/>
  <c r="C34" i="60"/>
  <c r="D34" i="60"/>
  <c r="C31" i="60"/>
  <c r="D31" i="60"/>
  <c r="H40" i="60"/>
  <c r="H28" i="60"/>
  <c r="C45" i="60"/>
  <c r="D45" i="60"/>
  <c r="C38" i="60"/>
  <c r="D38" i="60"/>
  <c r="L22" i="60"/>
  <c r="H50" i="60"/>
  <c r="C56" i="60"/>
  <c r="D56" i="60"/>
  <c r="H31" i="60"/>
  <c r="C28" i="60"/>
  <c r="D28" i="60"/>
  <c r="C18" i="60"/>
  <c r="D18" i="60"/>
  <c r="C29" i="60"/>
  <c r="D29" i="60"/>
  <c r="C36" i="60"/>
  <c r="D36" i="60"/>
  <c r="C23" i="60"/>
  <c r="D23" i="60"/>
  <c r="H45" i="60"/>
  <c r="C46" i="60"/>
  <c r="D46" i="60"/>
  <c r="C15" i="60"/>
  <c r="D15" i="60"/>
  <c r="H53" i="60"/>
  <c r="H25" i="60"/>
  <c r="C47" i="60"/>
  <c r="D47" i="60"/>
  <c r="H42" i="60"/>
  <c r="C37" i="60"/>
  <c r="D37" i="60"/>
  <c r="C42" i="60"/>
  <c r="D42" i="60"/>
  <c r="C17" i="60"/>
  <c r="D17" i="60"/>
  <c r="H30" i="60"/>
  <c r="H26" i="60"/>
  <c r="H49" i="60"/>
  <c r="H48" i="60"/>
  <c r="H39" i="60"/>
  <c r="H52" i="60"/>
  <c r="H33" i="60"/>
  <c r="H24" i="60"/>
  <c r="H15" i="60"/>
  <c r="H41" i="60"/>
  <c r="H29" i="60"/>
  <c r="C25" i="60"/>
  <c r="D25" i="60"/>
  <c r="C33" i="60"/>
  <c r="D33" i="60"/>
  <c r="C24" i="60"/>
  <c r="D24" i="60"/>
  <c r="C49" i="60"/>
  <c r="D49" i="60"/>
  <c r="H21" i="60"/>
  <c r="C21" i="60"/>
  <c r="D21" i="60"/>
  <c r="H32" i="60"/>
  <c r="C39" i="60"/>
  <c r="D39" i="60"/>
  <c r="H16" i="60"/>
  <c r="C22" i="60"/>
  <c r="D22" i="60"/>
  <c r="H23" i="60"/>
  <c r="H17" i="60"/>
  <c r="H35" i="60"/>
  <c r="H36" i="60"/>
  <c r="H55" i="60"/>
  <c r="H38" i="60"/>
  <c r="C16" i="60"/>
  <c r="D16" i="60"/>
  <c r="L39" i="60"/>
  <c r="L49" i="60"/>
  <c r="L55" i="60"/>
  <c r="L16" i="60"/>
  <c r="L25" i="60"/>
  <c r="L43" i="60"/>
  <c r="L50" i="60"/>
  <c r="L33" i="60"/>
  <c r="L54" i="60"/>
  <c r="C14" i="60"/>
  <c r="L31" i="60"/>
  <c r="L37" i="60"/>
  <c r="L20" i="60"/>
  <c r="L19" i="60"/>
  <c r="L41" i="60"/>
  <c r="N41" i="60"/>
  <c r="L35" i="60"/>
  <c r="L26" i="60"/>
  <c r="L46" i="60"/>
  <c r="L40" i="60"/>
  <c r="L28" i="60"/>
  <c r="L17" i="60"/>
  <c r="L29" i="60"/>
  <c r="L38" i="60"/>
  <c r="N38" i="60"/>
  <c r="L27" i="60"/>
  <c r="L21" i="60"/>
  <c r="L44" i="60"/>
  <c r="L14" i="60"/>
  <c r="N14" i="60"/>
  <c r="L51" i="60"/>
  <c r="L52" i="60"/>
  <c r="P52" i="60"/>
  <c r="L32" i="60"/>
  <c r="L30" i="60"/>
  <c r="L18" i="60"/>
  <c r="H19" i="60"/>
  <c r="L47" i="60"/>
  <c r="L36" i="60"/>
  <c r="L15" i="60"/>
  <c r="L53" i="60"/>
  <c r="L23" i="60"/>
  <c r="L34" i="60"/>
  <c r="N34" i="60"/>
  <c r="C8" i="54"/>
  <c r="C18" i="54"/>
  <c r="D18" i="54"/>
  <c r="C20" i="54"/>
  <c r="D20" i="54"/>
  <c r="C11" i="54"/>
  <c r="D11" i="54"/>
  <c r="L14" i="54"/>
  <c r="P14" i="54"/>
  <c r="C19" i="54"/>
  <c r="D19" i="54"/>
  <c r="C21" i="54"/>
  <c r="D21" i="54"/>
  <c r="C16" i="54"/>
  <c r="D16" i="54"/>
  <c r="L22" i="54"/>
  <c r="L53" i="54"/>
  <c r="P53" i="54"/>
  <c r="C13" i="54"/>
  <c r="D13" i="54"/>
  <c r="C51" i="54"/>
  <c r="D51" i="54"/>
  <c r="L30" i="54"/>
  <c r="L21" i="54"/>
  <c r="H41" i="54"/>
  <c r="H16" i="54"/>
  <c r="L15" i="54"/>
  <c r="H14" i="54"/>
  <c r="L25" i="54"/>
  <c r="H44" i="54"/>
  <c r="H23" i="54"/>
  <c r="L49" i="54"/>
  <c r="L32" i="54"/>
  <c r="H43" i="54"/>
  <c r="C53" i="54"/>
  <c r="D53" i="54"/>
  <c r="C38" i="54"/>
  <c r="D38" i="54"/>
  <c r="C44" i="54"/>
  <c r="D44" i="54"/>
  <c r="L27" i="54"/>
  <c r="L8" i="54"/>
  <c r="C29" i="54"/>
  <c r="D29" i="54"/>
  <c r="H46" i="54"/>
  <c r="H40" i="54"/>
  <c r="H13" i="54"/>
  <c r="H47" i="54"/>
  <c r="C15" i="54"/>
  <c r="D15" i="54"/>
  <c r="L18" i="54"/>
  <c r="C17" i="54"/>
  <c r="D17" i="54"/>
  <c r="L55" i="54"/>
  <c r="C12" i="54"/>
  <c r="D12" i="54"/>
  <c r="H34" i="54"/>
  <c r="H28" i="54"/>
  <c r="L26" i="54"/>
  <c r="L13" i="54"/>
  <c r="H49" i="54"/>
  <c r="H31" i="54"/>
  <c r="H8" i="54"/>
  <c r="H8" i="55"/>
  <c r="H37" i="54"/>
  <c r="L48" i="54"/>
  <c r="L29" i="54"/>
  <c r="H52" i="54"/>
  <c r="H30" i="54"/>
  <c r="H15" i="54"/>
  <c r="L23" i="54"/>
  <c r="H22" i="54"/>
  <c r="C45" i="54"/>
  <c r="D45" i="54"/>
  <c r="C52" i="54"/>
  <c r="D52" i="54"/>
  <c r="L52" i="54"/>
  <c r="L16" i="54"/>
  <c r="P16" i="54"/>
  <c r="H54" i="54"/>
  <c r="H36" i="54"/>
  <c r="H21" i="54"/>
  <c r="L41" i="54"/>
  <c r="L36" i="54"/>
  <c r="H18" i="54"/>
  <c r="C28" i="54"/>
  <c r="D28" i="54"/>
  <c r="C10" i="54"/>
  <c r="D10" i="54"/>
  <c r="L43" i="54"/>
  <c r="L33" i="54"/>
  <c r="C22" i="54"/>
  <c r="D22" i="54"/>
  <c r="C40" i="54"/>
  <c r="D40" i="54"/>
  <c r="C50" i="54"/>
  <c r="D50" i="54"/>
  <c r="L38" i="54"/>
  <c r="H45" i="54"/>
  <c r="C30" i="54"/>
  <c r="D30" i="54"/>
  <c r="L24" i="54"/>
  <c r="C36" i="54"/>
  <c r="D36" i="54"/>
  <c r="L40" i="54"/>
  <c r="H48" i="54"/>
  <c r="H11" i="54"/>
  <c r="L28" i="54"/>
  <c r="H39" i="54"/>
  <c r="L31" i="54"/>
  <c r="H50" i="54"/>
  <c r="H17" i="54"/>
  <c r="C54" i="54"/>
  <c r="D54" i="54"/>
  <c r="H10" i="54"/>
  <c r="L39" i="54"/>
  <c r="C34" i="54"/>
  <c r="D34" i="54"/>
  <c r="C24" i="54"/>
  <c r="D24" i="54"/>
  <c r="L10" i="54"/>
  <c r="C37" i="54"/>
  <c r="D37" i="54"/>
  <c r="L50" i="54"/>
  <c r="L17" i="54"/>
  <c r="H20" i="54"/>
  <c r="C35" i="54"/>
  <c r="D35" i="54"/>
  <c r="H26" i="54"/>
  <c r="C48" i="54"/>
  <c r="D48" i="54"/>
  <c r="C31" i="54"/>
  <c r="D31" i="54"/>
  <c r="H27" i="54"/>
  <c r="C39" i="54"/>
  <c r="D39" i="54"/>
  <c r="H55" i="54"/>
  <c r="L44" i="54"/>
  <c r="L20" i="54"/>
  <c r="N20" i="54"/>
  <c r="H32" i="54"/>
  <c r="C27" i="54"/>
  <c r="D27" i="54"/>
  <c r="L19" i="54"/>
  <c r="N19" i="54"/>
  <c r="C14" i="54"/>
  <c r="D14" i="54"/>
  <c r="C26" i="54"/>
  <c r="D26" i="54"/>
  <c r="C23" i="54"/>
  <c r="D23" i="54"/>
  <c r="C33" i="54"/>
  <c r="D33" i="54"/>
  <c r="H53" i="54"/>
  <c r="L54" i="54"/>
  <c r="P54" i="54"/>
  <c r="L56" i="54"/>
  <c r="H19" i="54"/>
  <c r="H33" i="54"/>
  <c r="L35" i="54"/>
  <c r="H25" i="54"/>
  <c r="H29" i="54"/>
  <c r="C43" i="54"/>
  <c r="D43" i="54"/>
  <c r="L42" i="54"/>
  <c r="H12" i="54"/>
  <c r="C49" i="54"/>
  <c r="D49" i="54"/>
  <c r="H56" i="54"/>
  <c r="C46" i="54"/>
  <c r="D46" i="54"/>
  <c r="C47" i="54"/>
  <c r="D47" i="54"/>
  <c r="C41" i="54"/>
  <c r="D41" i="54"/>
  <c r="L34" i="54"/>
  <c r="P34" i="54"/>
  <c r="L51" i="54"/>
  <c r="C25" i="54"/>
  <c r="D25" i="54"/>
  <c r="L9" i="54"/>
  <c r="C55" i="54"/>
  <c r="D55" i="54"/>
  <c r="C56" i="54"/>
  <c r="D56" i="54"/>
  <c r="H38" i="54"/>
  <c r="L11" i="54"/>
  <c r="P11" i="54"/>
  <c r="H42" i="54"/>
  <c r="L46" i="54"/>
  <c r="H35" i="54"/>
  <c r="L45" i="54"/>
  <c r="C9" i="54"/>
  <c r="D9" i="54"/>
  <c r="L37" i="54"/>
  <c r="H9" i="54"/>
  <c r="C42" i="54"/>
  <c r="D42" i="54"/>
  <c r="C32" i="54"/>
  <c r="D32" i="54"/>
  <c r="H51" i="54"/>
  <c r="L12" i="54"/>
  <c r="N12" i="55"/>
  <c r="L47" i="54"/>
  <c r="H33" i="56"/>
  <c r="L33" i="56"/>
  <c r="C33" i="56"/>
  <c r="D33" i="56"/>
  <c r="L54" i="56"/>
  <c r="N54" i="56"/>
  <c r="C54" i="56"/>
  <c r="D54" i="56"/>
  <c r="H54" i="56"/>
  <c r="H28" i="56"/>
  <c r="L28" i="56"/>
  <c r="C28" i="56"/>
  <c r="D28" i="56"/>
  <c r="C10" i="56"/>
  <c r="H10" i="56"/>
  <c r="H10" i="57"/>
  <c r="L10" i="56"/>
  <c r="C17" i="56"/>
  <c r="D17" i="56"/>
  <c r="H17" i="56"/>
  <c r="L17" i="56"/>
  <c r="H45" i="56"/>
  <c r="C45" i="56"/>
  <c r="D45" i="56"/>
  <c r="L45" i="56"/>
  <c r="H19" i="56"/>
  <c r="L19" i="56"/>
  <c r="C19" i="56"/>
  <c r="D19" i="56"/>
  <c r="H20" i="56"/>
  <c r="L20" i="56"/>
  <c r="C20" i="56"/>
  <c r="D20" i="56"/>
  <c r="H23" i="56"/>
  <c r="C23" i="56"/>
  <c r="D23" i="56"/>
  <c r="L23" i="56"/>
  <c r="O61" i="61"/>
  <c r="S61" i="61" s="1"/>
  <c r="H13" i="58"/>
  <c r="L13" i="58"/>
  <c r="C13" i="58"/>
  <c r="D13" i="58"/>
  <c r="L43" i="58"/>
  <c r="H43" i="58"/>
  <c r="C43" i="58"/>
  <c r="D43" i="58"/>
  <c r="C23" i="58"/>
  <c r="D23" i="58"/>
  <c r="H23" i="58"/>
  <c r="L23" i="58"/>
  <c r="C48" i="58"/>
  <c r="D48" i="58"/>
  <c r="H48" i="58"/>
  <c r="L48" i="58"/>
  <c r="H37" i="58"/>
  <c r="L37" i="58"/>
  <c r="N37" i="58"/>
  <c r="C37" i="58"/>
  <c r="D37" i="58"/>
  <c r="H22" i="58"/>
  <c r="C22" i="58"/>
  <c r="D22" i="58"/>
  <c r="L22" i="58"/>
  <c r="H49" i="58"/>
  <c r="C49" i="58"/>
  <c r="D49" i="58"/>
  <c r="L49" i="58"/>
  <c r="C38" i="58"/>
  <c r="D38" i="58"/>
  <c r="H38" i="58"/>
  <c r="L38" i="58"/>
  <c r="C20" i="58"/>
  <c r="D20" i="58"/>
  <c r="H20" i="58"/>
  <c r="L20" i="58"/>
  <c r="C51" i="58"/>
  <c r="D51" i="58"/>
  <c r="L51" i="58"/>
  <c r="H51" i="58"/>
  <c r="C40" i="58"/>
  <c r="D40" i="58"/>
  <c r="H40" i="58"/>
  <c r="L40" i="58"/>
  <c r="C35" i="60"/>
  <c r="D35" i="60"/>
  <c r="C52" i="60"/>
  <c r="D52" i="60"/>
  <c r="H17" i="57"/>
  <c r="E46" i="58"/>
  <c r="F46" i="58"/>
  <c r="C28" i="1"/>
  <c r="D28" i="1"/>
  <c r="H28" i="1"/>
  <c r="H40" i="1"/>
  <c r="C40" i="1"/>
  <c r="D40" i="1"/>
  <c r="C19" i="1"/>
  <c r="D19" i="1"/>
  <c r="H19" i="1"/>
  <c r="H15" i="61"/>
  <c r="C15" i="61"/>
  <c r="D15" i="61"/>
  <c r="L15" i="61"/>
  <c r="C30" i="61"/>
  <c r="D30" i="61"/>
  <c r="H30" i="61"/>
  <c r="L30" i="61"/>
  <c r="H51" i="61"/>
  <c r="C51" i="61"/>
  <c r="D51" i="61"/>
  <c r="L51" i="61"/>
  <c r="H41" i="61"/>
  <c r="C41" i="61"/>
  <c r="D41" i="61"/>
  <c r="L41" i="61"/>
  <c r="O42" i="60"/>
  <c r="O42" i="61"/>
  <c r="S42" i="61" s="1"/>
  <c r="O64" i="61"/>
  <c r="S64" i="61" s="1"/>
  <c r="O34" i="61"/>
  <c r="L43" i="56"/>
  <c r="H43" i="56"/>
  <c r="C43" i="56"/>
  <c r="D43" i="56"/>
  <c r="L36" i="56"/>
  <c r="C36" i="56"/>
  <c r="D36" i="56"/>
  <c r="H36" i="56"/>
  <c r="C34" i="56"/>
  <c r="D34" i="56"/>
  <c r="H34" i="56"/>
  <c r="L34" i="56"/>
  <c r="L29" i="56"/>
  <c r="P29" i="56"/>
  <c r="H29" i="56"/>
  <c r="C29" i="56"/>
  <c r="D29" i="56"/>
  <c r="H56" i="58"/>
  <c r="C56" i="58"/>
  <c r="D56" i="58"/>
  <c r="L56" i="58"/>
  <c r="C30" i="58"/>
  <c r="D30" i="58"/>
  <c r="H30" i="58"/>
  <c r="L30" i="58"/>
  <c r="C32" i="58"/>
  <c r="D32" i="58"/>
  <c r="H32" i="58"/>
  <c r="L32" i="58"/>
  <c r="E18" i="55"/>
  <c r="F18" i="55"/>
  <c r="C34" i="1"/>
  <c r="D34" i="1"/>
  <c r="H34" i="1"/>
  <c r="H5" i="1"/>
  <c r="H5" i="52"/>
  <c r="C5" i="1"/>
  <c r="C32" i="1"/>
  <c r="D32" i="1"/>
  <c r="H32" i="1"/>
  <c r="C29" i="1"/>
  <c r="D29" i="1"/>
  <c r="H29" i="1"/>
  <c r="O29" i="60"/>
  <c r="L55" i="61"/>
  <c r="N55" i="61"/>
  <c r="C55" i="61"/>
  <c r="D55" i="61"/>
  <c r="H55" i="61"/>
  <c r="O27" i="56"/>
  <c r="C18" i="1"/>
  <c r="D18" i="1"/>
  <c r="H18" i="1"/>
  <c r="C47" i="1"/>
  <c r="D47" i="1"/>
  <c r="H47" i="1"/>
  <c r="H21" i="1"/>
  <c r="C21" i="1"/>
  <c r="D21" i="1"/>
  <c r="C48" i="1"/>
  <c r="D48" i="1"/>
  <c r="H48" i="1"/>
  <c r="H16" i="1"/>
  <c r="C16" i="1"/>
  <c r="D16" i="1"/>
  <c r="H37" i="1"/>
  <c r="C37" i="1"/>
  <c r="D37" i="1"/>
  <c r="H33" i="1"/>
  <c r="C33" i="1"/>
  <c r="D33" i="1"/>
  <c r="H29" i="61"/>
  <c r="C29" i="61"/>
  <c r="D29" i="61"/>
  <c r="L29" i="61"/>
  <c r="C54" i="61"/>
  <c r="D54" i="61"/>
  <c r="H54" i="61"/>
  <c r="L54" i="61"/>
  <c r="H44" i="61"/>
  <c r="C44" i="61"/>
  <c r="D44" i="61"/>
  <c r="L44" i="61"/>
  <c r="C38" i="61"/>
  <c r="D38" i="61"/>
  <c r="H38" i="61"/>
  <c r="L38" i="61"/>
  <c r="C21" i="61"/>
  <c r="D21" i="61"/>
  <c r="H21" i="61"/>
  <c r="L21" i="61"/>
  <c r="H43" i="61"/>
  <c r="C43" i="61"/>
  <c r="D43" i="61"/>
  <c r="L43" i="61"/>
  <c r="H24" i="61"/>
  <c r="C24" i="61"/>
  <c r="D24" i="61"/>
  <c r="L24" i="61"/>
  <c r="C36" i="61"/>
  <c r="D36" i="61"/>
  <c r="H36" i="61"/>
  <c r="L36" i="61"/>
  <c r="L48" i="61"/>
  <c r="C48" i="61"/>
  <c r="D48" i="61"/>
  <c r="H48" i="61"/>
  <c r="O23" i="60"/>
  <c r="O41" i="61"/>
  <c r="O44" i="61"/>
  <c r="O66" i="61"/>
  <c r="S66" i="61" s="1"/>
  <c r="O66" i="60"/>
  <c r="S66" i="60"/>
  <c r="O50" i="61"/>
  <c r="S50" i="61" s="1"/>
  <c r="O30" i="61"/>
  <c r="O45" i="61"/>
  <c r="S45" i="61" s="1"/>
  <c r="C35" i="56"/>
  <c r="D35" i="56"/>
  <c r="C39" i="56"/>
  <c r="D39" i="56"/>
  <c r="C56" i="56"/>
  <c r="D56" i="56"/>
  <c r="H35" i="56"/>
  <c r="L52" i="56"/>
  <c r="H31" i="56"/>
  <c r="C14" i="56"/>
  <c r="D14" i="56"/>
  <c r="L14" i="56"/>
  <c r="H40" i="56"/>
  <c r="L31" i="56"/>
  <c r="H56" i="56"/>
  <c r="H44" i="56"/>
  <c r="L48" i="56"/>
  <c r="L35" i="56"/>
  <c r="L56" i="56"/>
  <c r="L18" i="56"/>
  <c r="C40" i="56"/>
  <c r="D40" i="56"/>
  <c r="H48" i="56"/>
  <c r="C52" i="56"/>
  <c r="D52" i="56"/>
  <c r="L44" i="56"/>
  <c r="L39" i="56"/>
  <c r="H14" i="56"/>
  <c r="L40" i="56"/>
  <c r="H52" i="56"/>
  <c r="C48" i="56"/>
  <c r="D48" i="56"/>
  <c r="H18" i="56"/>
  <c r="C31" i="56"/>
  <c r="D31" i="56"/>
  <c r="H39" i="56"/>
  <c r="C44" i="56"/>
  <c r="D44" i="56"/>
  <c r="C40" i="53"/>
  <c r="D40" i="53"/>
  <c r="C54" i="53"/>
  <c r="D54" i="53"/>
  <c r="L40" i="53"/>
  <c r="C22" i="53"/>
  <c r="D22" i="53"/>
  <c r="H52" i="53"/>
  <c r="H48" i="53"/>
  <c r="H51" i="53"/>
  <c r="C32" i="53"/>
  <c r="D32" i="53"/>
  <c r="L26" i="53"/>
  <c r="H38" i="53"/>
  <c r="C30" i="53"/>
  <c r="D30" i="53"/>
  <c r="L22" i="53"/>
  <c r="H31" i="53"/>
  <c r="L39" i="53"/>
  <c r="H26" i="53"/>
  <c r="H13" i="53"/>
  <c r="H37" i="53"/>
  <c r="L8" i="53"/>
  <c r="L45" i="53"/>
  <c r="H28" i="53"/>
  <c r="C35" i="53"/>
  <c r="D35" i="53"/>
  <c r="L36" i="53"/>
  <c r="H56" i="53"/>
  <c r="H17" i="53"/>
  <c r="C11" i="53"/>
  <c r="D11" i="53"/>
  <c r="C13" i="53"/>
  <c r="D13" i="53"/>
  <c r="L33" i="53"/>
  <c r="P33" i="53"/>
  <c r="L17" i="53"/>
  <c r="H49" i="53"/>
  <c r="L10" i="53"/>
  <c r="H24" i="53"/>
  <c r="C43" i="53"/>
  <c r="D43" i="53"/>
  <c r="C23" i="53"/>
  <c r="D23" i="53"/>
  <c r="L12" i="53"/>
  <c r="L35" i="53"/>
  <c r="L48" i="53"/>
  <c r="L31" i="53"/>
  <c r="H39" i="53"/>
  <c r="H54" i="53"/>
  <c r="L38" i="53"/>
  <c r="L49" i="53"/>
  <c r="H42" i="53"/>
  <c r="C24" i="53"/>
  <c r="D24" i="53"/>
  <c r="L34" i="53"/>
  <c r="C52" i="53"/>
  <c r="D52" i="53"/>
  <c r="C46" i="53"/>
  <c r="D46" i="53"/>
  <c r="L55" i="53"/>
  <c r="C36" i="53"/>
  <c r="D36" i="53"/>
  <c r="H40" i="53"/>
  <c r="H27" i="53"/>
  <c r="L53" i="53"/>
  <c r="H8" i="53"/>
  <c r="H35" i="53"/>
  <c r="C47" i="53"/>
  <c r="D47" i="53"/>
  <c r="C27" i="53"/>
  <c r="D27" i="53"/>
  <c r="L43" i="53"/>
  <c r="H25" i="53"/>
  <c r="C9" i="53"/>
  <c r="D9" i="53"/>
  <c r="L41" i="53"/>
  <c r="L37" i="53"/>
  <c r="L25" i="53"/>
  <c r="H14" i="53"/>
  <c r="H20" i="53"/>
  <c r="L24" i="53"/>
  <c r="H15" i="53"/>
  <c r="L11" i="53"/>
  <c r="C56" i="53"/>
  <c r="D56" i="53"/>
  <c r="C31" i="53"/>
  <c r="D31" i="53"/>
  <c r="L56" i="53"/>
  <c r="L44" i="53"/>
  <c r="C55" i="53"/>
  <c r="D55" i="53"/>
  <c r="L30" i="53"/>
  <c r="C38" i="53"/>
  <c r="D38" i="53"/>
  <c r="H36" i="53"/>
  <c r="L50" i="53"/>
  <c r="C16" i="53"/>
  <c r="D16" i="53"/>
  <c r="L47" i="53"/>
  <c r="P47" i="53"/>
  <c r="L19" i="53"/>
  <c r="H34" i="53"/>
  <c r="C28" i="53"/>
  <c r="D28" i="53"/>
  <c r="L52" i="53"/>
  <c r="C49" i="53"/>
  <c r="D49" i="53"/>
  <c r="C33" i="53"/>
  <c r="D33" i="53"/>
  <c r="C21" i="53"/>
  <c r="D21" i="53"/>
  <c r="H45" i="53"/>
  <c r="H21" i="53"/>
  <c r="L9" i="53"/>
  <c r="L21" i="53"/>
  <c r="H9" i="53"/>
  <c r="C19" i="53"/>
  <c r="D19" i="53"/>
  <c r="C10" i="53"/>
  <c r="D10" i="53"/>
  <c r="H53" i="53"/>
  <c r="C50" i="53"/>
  <c r="D50" i="53"/>
  <c r="H46" i="53"/>
  <c r="C18" i="53"/>
  <c r="D18" i="53"/>
  <c r="H18" i="53"/>
  <c r="C26" i="53"/>
  <c r="D26" i="53"/>
  <c r="H43" i="53"/>
  <c r="H10" i="53"/>
  <c r="C41" i="53"/>
  <c r="D41" i="53"/>
  <c r="C29" i="53"/>
  <c r="D29" i="53"/>
  <c r="L14" i="53"/>
  <c r="H55" i="53"/>
  <c r="C39" i="53"/>
  <c r="D39" i="53"/>
  <c r="L16" i="53"/>
  <c r="C15" i="53"/>
  <c r="D15" i="53"/>
  <c r="L28" i="53"/>
  <c r="C44" i="53"/>
  <c r="D44" i="53"/>
  <c r="L51" i="53"/>
  <c r="H32" i="53"/>
  <c r="H44" i="53"/>
  <c r="L42" i="53"/>
  <c r="C53" i="53"/>
  <c r="D53" i="53"/>
  <c r="C25" i="53"/>
  <c r="D25" i="53"/>
  <c r="H41" i="53"/>
  <c r="C8" i="53"/>
  <c r="D8" i="53"/>
  <c r="C20" i="53"/>
  <c r="D20" i="53"/>
  <c r="L54" i="53"/>
  <c r="H23" i="53"/>
  <c r="L46" i="53"/>
  <c r="H12" i="53"/>
  <c r="C37" i="53"/>
  <c r="D37" i="53"/>
  <c r="H11" i="53"/>
  <c r="H29" i="53"/>
  <c r="L29" i="53"/>
  <c r="C12" i="53"/>
  <c r="D12" i="53"/>
  <c r="L15" i="53"/>
  <c r="H50" i="53"/>
  <c r="C34" i="53"/>
  <c r="D34" i="53"/>
  <c r="H30" i="53"/>
  <c r="C48" i="53"/>
  <c r="D48" i="53"/>
  <c r="H33" i="53"/>
  <c r="C14" i="53"/>
  <c r="D14" i="53"/>
  <c r="H16" i="53"/>
  <c r="C7" i="53"/>
  <c r="L13" i="53"/>
  <c r="L32" i="53"/>
  <c r="H7" i="53"/>
  <c r="H7" i="54"/>
  <c r="L23" i="53"/>
  <c r="H47" i="53"/>
  <c r="C42" i="53"/>
  <c r="D42" i="53"/>
  <c r="L20" i="53"/>
  <c r="C45" i="53"/>
  <c r="D45" i="53"/>
  <c r="C51" i="53"/>
  <c r="D51" i="53"/>
  <c r="C17" i="53"/>
  <c r="D17" i="53"/>
  <c r="L7" i="53"/>
  <c r="H22" i="53"/>
  <c r="L27" i="53"/>
  <c r="H19" i="53"/>
  <c r="L11" i="56"/>
  <c r="C11" i="56"/>
  <c r="D11" i="56"/>
  <c r="H11" i="56"/>
  <c r="C22" i="56"/>
  <c r="D22" i="56"/>
  <c r="L22" i="56"/>
  <c r="H22" i="56"/>
  <c r="C41" i="56"/>
  <c r="D41" i="56"/>
  <c r="L41" i="56"/>
  <c r="H41" i="56"/>
  <c r="C47" i="56"/>
  <c r="D47" i="56"/>
  <c r="H47" i="56"/>
  <c r="L47" i="56"/>
  <c r="P47" i="56"/>
  <c r="S47" i="56"/>
  <c r="L38" i="56"/>
  <c r="C38" i="56"/>
  <c r="D38" i="56"/>
  <c r="H38" i="56"/>
  <c r="C49" i="56"/>
  <c r="D49" i="56"/>
  <c r="H49" i="56"/>
  <c r="L49" i="56"/>
  <c r="N49" i="57"/>
  <c r="L26" i="56"/>
  <c r="H26" i="56"/>
  <c r="C26" i="56"/>
  <c r="D26" i="56"/>
  <c r="C24" i="56"/>
  <c r="D24" i="56"/>
  <c r="H24" i="56"/>
  <c r="L24" i="56"/>
  <c r="P24" i="56"/>
  <c r="H27" i="56"/>
  <c r="C27" i="56"/>
  <c r="D27" i="56"/>
  <c r="L27" i="56"/>
  <c r="P27" i="56"/>
  <c r="H39" i="58"/>
  <c r="C39" i="58"/>
  <c r="D39" i="58"/>
  <c r="L39" i="58"/>
  <c r="C31" i="58"/>
  <c r="D31" i="58"/>
  <c r="H31" i="58"/>
  <c r="L31" i="58"/>
  <c r="H25" i="58"/>
  <c r="C25" i="58"/>
  <c r="D25" i="58"/>
  <c r="L25" i="58"/>
  <c r="C19" i="58"/>
  <c r="D19" i="58"/>
  <c r="H19" i="58"/>
  <c r="L19" i="58"/>
  <c r="C52" i="58"/>
  <c r="D52" i="58"/>
  <c r="H52" i="58"/>
  <c r="L52" i="58"/>
  <c r="C41" i="58"/>
  <c r="D41" i="58"/>
  <c r="H41" i="58"/>
  <c r="L41" i="58"/>
  <c r="H18" i="58"/>
  <c r="L18" i="58"/>
  <c r="C18" i="58"/>
  <c r="D18" i="58"/>
  <c r="C53" i="58"/>
  <c r="D53" i="58"/>
  <c r="H53" i="58"/>
  <c r="L53" i="58"/>
  <c r="H42" i="58"/>
  <c r="C42" i="58"/>
  <c r="D42" i="58"/>
  <c r="L42" i="58"/>
  <c r="C16" i="58"/>
  <c r="D16" i="58"/>
  <c r="L16" i="58"/>
  <c r="H55" i="58"/>
  <c r="C55" i="58"/>
  <c r="D55" i="58"/>
  <c r="L55" i="58"/>
  <c r="C35" i="61"/>
  <c r="D35" i="61"/>
  <c r="H24" i="54"/>
  <c r="C27" i="60"/>
  <c r="D27" i="60"/>
  <c r="H44" i="60"/>
  <c r="E19" i="55"/>
  <c r="F19" i="55"/>
  <c r="G19" i="55"/>
  <c r="N34" i="59"/>
  <c r="C47" i="57"/>
  <c r="D47" i="57"/>
  <c r="C18" i="56"/>
  <c r="D18" i="56"/>
  <c r="J13" i="52"/>
  <c r="J25" i="52"/>
  <c r="J28" i="52"/>
  <c r="I53" i="52"/>
  <c r="J52" i="52"/>
  <c r="J18" i="52"/>
  <c r="G45" i="52"/>
  <c r="I45" i="52"/>
  <c r="J38" i="52"/>
  <c r="G40" i="52"/>
  <c r="I40" i="52"/>
  <c r="J54" i="52"/>
  <c r="J31" i="52"/>
  <c r="J42" i="52"/>
  <c r="J19" i="59"/>
  <c r="J10" i="55"/>
  <c r="P10" i="55"/>
  <c r="J34" i="52"/>
  <c r="I39" i="52"/>
  <c r="J46" i="52"/>
  <c r="G27" i="52"/>
  <c r="I27" i="52"/>
  <c r="J7" i="52"/>
  <c r="I29" i="52"/>
  <c r="I26" i="55"/>
  <c r="G56" i="52"/>
  <c r="I56" i="52"/>
  <c r="J36" i="52"/>
  <c r="E30" i="52"/>
  <c r="F30" i="52"/>
  <c r="J30" i="52"/>
  <c r="I25" i="52"/>
  <c r="J32" i="55"/>
  <c r="G31" i="52"/>
  <c r="I31" i="52"/>
  <c r="J53" i="52"/>
  <c r="G38" i="52"/>
  <c r="I38" i="52"/>
  <c r="G28" i="52"/>
  <c r="I28" i="52"/>
  <c r="E10" i="52"/>
  <c r="F10" i="52"/>
  <c r="J10" i="52"/>
  <c r="E49" i="52"/>
  <c r="F49" i="52"/>
  <c r="G49" i="52"/>
  <c r="I49" i="52"/>
  <c r="E17" i="52"/>
  <c r="F17" i="52"/>
  <c r="J17" i="52"/>
  <c r="E26" i="52"/>
  <c r="F26" i="52"/>
  <c r="J26" i="52"/>
  <c r="J17" i="55"/>
  <c r="I24" i="55"/>
  <c r="J44" i="52"/>
  <c r="E35" i="52"/>
  <c r="F35" i="52"/>
  <c r="J35" i="52"/>
  <c r="J46" i="58"/>
  <c r="J12" i="55"/>
  <c r="P12" i="55"/>
  <c r="G44" i="52"/>
  <c r="I44" i="52"/>
  <c r="G20" i="52"/>
  <c r="I20" i="52"/>
  <c r="J20" i="52"/>
  <c r="E47" i="52"/>
  <c r="F47" i="52"/>
  <c r="J47" i="52"/>
  <c r="G18" i="59"/>
  <c r="I18" i="59"/>
  <c r="J35" i="58"/>
  <c r="P35" i="58"/>
  <c r="G34" i="52"/>
  <c r="I34" i="52"/>
  <c r="G8" i="52"/>
  <c r="I8" i="52"/>
  <c r="J55" i="60"/>
  <c r="E24" i="52"/>
  <c r="F24" i="52"/>
  <c r="J24" i="52"/>
  <c r="E14" i="52"/>
  <c r="F14" i="52"/>
  <c r="J14" i="52"/>
  <c r="J49" i="52"/>
  <c r="E23" i="52"/>
  <c r="F23" i="52"/>
  <c r="J23" i="52"/>
  <c r="E9" i="52"/>
  <c r="F9" i="52"/>
  <c r="J9" i="52"/>
  <c r="G9" i="52"/>
  <c r="I9" i="52"/>
  <c r="I12" i="52"/>
  <c r="E16" i="52"/>
  <c r="F16" i="52"/>
  <c r="J16" i="52"/>
  <c r="I19" i="55"/>
  <c r="J36" i="55"/>
  <c r="G19" i="52"/>
  <c r="I19" i="52"/>
  <c r="G46" i="52"/>
  <c r="I46" i="52"/>
  <c r="E11" i="52"/>
  <c r="F11" i="52"/>
  <c r="J11" i="52"/>
  <c r="G32" i="52"/>
  <c r="I32" i="52"/>
  <c r="J32" i="52"/>
  <c r="J24" i="55"/>
  <c r="E33" i="52"/>
  <c r="F33" i="52"/>
  <c r="J33" i="52"/>
  <c r="E22" i="52"/>
  <c r="F22" i="52"/>
  <c r="G22" i="52"/>
  <c r="I22" i="52"/>
  <c r="E13" i="55"/>
  <c r="F13" i="55"/>
  <c r="J13" i="55"/>
  <c r="P13" i="55"/>
  <c r="G36" i="55"/>
  <c r="I36" i="55"/>
  <c r="J45" i="55"/>
  <c r="J48" i="52"/>
  <c r="G54" i="52"/>
  <c r="I54" i="52"/>
  <c r="E41" i="55"/>
  <c r="F41" i="55"/>
  <c r="J41" i="55"/>
  <c r="G28" i="55"/>
  <c r="I28" i="55"/>
  <c r="J28" i="55"/>
  <c r="G15" i="52"/>
  <c r="I15" i="52"/>
  <c r="J19" i="55"/>
  <c r="G9" i="55"/>
  <c r="Q9" i="56"/>
  <c r="G50" i="52"/>
  <c r="I50" i="52"/>
  <c r="P55" i="59"/>
  <c r="E20" i="55"/>
  <c r="F20" i="55"/>
  <c r="J20" i="55"/>
  <c r="E6" i="52"/>
  <c r="F6" i="52"/>
  <c r="J6" i="52"/>
  <c r="J29" i="52"/>
  <c r="G42" i="59"/>
  <c r="I42" i="59"/>
  <c r="E53" i="55"/>
  <c r="F53" i="55"/>
  <c r="G53" i="55"/>
  <c r="I53" i="55"/>
  <c r="E37" i="55"/>
  <c r="F37" i="55"/>
  <c r="J37" i="55"/>
  <c r="E16" i="55"/>
  <c r="F16" i="55"/>
  <c r="J16" i="55"/>
  <c r="E30" i="55"/>
  <c r="F30" i="55"/>
  <c r="J30" i="55"/>
  <c r="P30" i="55"/>
  <c r="E14" i="55"/>
  <c r="F14" i="55"/>
  <c r="J14" i="55"/>
  <c r="E16" i="59"/>
  <c r="F16" i="59"/>
  <c r="J16" i="59"/>
  <c r="E49" i="59"/>
  <c r="F49" i="59"/>
  <c r="J49" i="59"/>
  <c r="E55" i="55"/>
  <c r="F55" i="55"/>
  <c r="J55" i="55"/>
  <c r="G17" i="55"/>
  <c r="I17" i="55"/>
  <c r="G10" i="55"/>
  <c r="I10" i="55"/>
  <c r="G32" i="55"/>
  <c r="I32" i="55"/>
  <c r="G52" i="52"/>
  <c r="I52" i="52"/>
  <c r="E50" i="58"/>
  <c r="F50" i="58"/>
  <c r="J50" i="58"/>
  <c r="E38" i="55"/>
  <c r="F38" i="55"/>
  <c r="E50" i="55"/>
  <c r="F50" i="55"/>
  <c r="J50" i="55"/>
  <c r="P50" i="55"/>
  <c r="E48" i="55"/>
  <c r="F48" i="55"/>
  <c r="G49" i="55"/>
  <c r="I49" i="55"/>
  <c r="E15" i="55"/>
  <c r="F15" i="55"/>
  <c r="J15" i="55"/>
  <c r="E52" i="55"/>
  <c r="F52" i="55"/>
  <c r="J52" i="55"/>
  <c r="P52" i="55"/>
  <c r="J38" i="59"/>
  <c r="P38" i="59"/>
  <c r="E23" i="59"/>
  <c r="F23" i="59"/>
  <c r="J42" i="59"/>
  <c r="P42" i="59"/>
  <c r="E24" i="59"/>
  <c r="F24" i="59"/>
  <c r="J24" i="59"/>
  <c r="P24" i="59"/>
  <c r="E48" i="59"/>
  <c r="F48" i="59"/>
  <c r="J48" i="59"/>
  <c r="P48" i="59"/>
  <c r="E34" i="59"/>
  <c r="F34" i="59"/>
  <c r="J34" i="59"/>
  <c r="P34" i="59"/>
  <c r="E46" i="59"/>
  <c r="F46" i="59"/>
  <c r="J46" i="59"/>
  <c r="E47" i="59"/>
  <c r="F47" i="59"/>
  <c r="J47" i="59"/>
  <c r="P47" i="59"/>
  <c r="G14" i="59"/>
  <c r="I14" i="59"/>
  <c r="J14" i="59"/>
  <c r="P14" i="59"/>
  <c r="E33" i="59"/>
  <c r="F33" i="59"/>
  <c r="J33" i="59"/>
  <c r="P33" i="59"/>
  <c r="E37" i="59"/>
  <c r="F37" i="59"/>
  <c r="J37" i="59"/>
  <c r="E41" i="59"/>
  <c r="F41" i="59"/>
  <c r="J41" i="59"/>
  <c r="E17" i="59"/>
  <c r="F17" i="59"/>
  <c r="J17" i="59"/>
  <c r="P17" i="59"/>
  <c r="E45" i="59"/>
  <c r="F45" i="59"/>
  <c r="E32" i="59"/>
  <c r="F32" i="59"/>
  <c r="J32" i="59"/>
  <c r="E22" i="55"/>
  <c r="F22" i="55"/>
  <c r="J22" i="55"/>
  <c r="E56" i="55"/>
  <c r="F56" i="55"/>
  <c r="J56" i="55"/>
  <c r="E27" i="55"/>
  <c r="F27" i="55"/>
  <c r="J27" i="55"/>
  <c r="P27" i="55"/>
  <c r="G29" i="55"/>
  <c r="I29" i="55"/>
  <c r="J29" i="55"/>
  <c r="E22" i="59"/>
  <c r="F22" i="59"/>
  <c r="E31" i="59"/>
  <c r="F31" i="59"/>
  <c r="J31" i="59"/>
  <c r="E40" i="59"/>
  <c r="F40" i="59"/>
  <c r="E21" i="59"/>
  <c r="F21" i="59"/>
  <c r="J21" i="59"/>
  <c r="P21" i="59"/>
  <c r="J26" i="55"/>
  <c r="P26" i="55"/>
  <c r="G12" i="55"/>
  <c r="I12" i="55"/>
  <c r="E51" i="55"/>
  <c r="F51" i="55"/>
  <c r="J51" i="55"/>
  <c r="P51" i="55"/>
  <c r="G18" i="52"/>
  <c r="I18" i="52"/>
  <c r="G45" i="55"/>
  <c r="I45" i="55"/>
  <c r="E47" i="55"/>
  <c r="F47" i="55"/>
  <c r="J47" i="55"/>
  <c r="P47" i="55"/>
  <c r="E34" i="55"/>
  <c r="F34" i="55"/>
  <c r="J34" i="55"/>
  <c r="P34" i="55"/>
  <c r="E42" i="55"/>
  <c r="F42" i="55"/>
  <c r="J42" i="55"/>
  <c r="P42" i="55"/>
  <c r="G42" i="52"/>
  <c r="I42" i="52"/>
  <c r="G13" i="52"/>
  <c r="I13" i="52"/>
  <c r="E44" i="59"/>
  <c r="F44" i="59"/>
  <c r="J44" i="59"/>
  <c r="P44" i="59"/>
  <c r="E39" i="59"/>
  <c r="F39" i="59"/>
  <c r="J39" i="59"/>
  <c r="P39" i="59"/>
  <c r="E35" i="59"/>
  <c r="F35" i="59"/>
  <c r="J35" i="59"/>
  <c r="E20" i="59"/>
  <c r="F20" i="59"/>
  <c r="J20" i="59"/>
  <c r="E26" i="59"/>
  <c r="F26" i="59"/>
  <c r="J26" i="59"/>
  <c r="L13" i="60"/>
  <c r="N13" i="60"/>
  <c r="S13" i="60"/>
  <c r="E52" i="59"/>
  <c r="F52" i="59"/>
  <c r="J52" i="59"/>
  <c r="P52" i="59"/>
  <c r="E30" i="59"/>
  <c r="F30" i="59"/>
  <c r="J30" i="59"/>
  <c r="P30" i="59"/>
  <c r="E26" i="58"/>
  <c r="F26" i="58"/>
  <c r="J26" i="58"/>
  <c r="P26" i="58"/>
  <c r="E40" i="55"/>
  <c r="F40" i="55"/>
  <c r="E9" i="56"/>
  <c r="F9" i="56"/>
  <c r="J9" i="56"/>
  <c r="E54" i="59"/>
  <c r="F54" i="59"/>
  <c r="E43" i="59"/>
  <c r="F43" i="59"/>
  <c r="J43" i="59"/>
  <c r="P43" i="59"/>
  <c r="J28" i="59"/>
  <c r="E11" i="55"/>
  <c r="F11" i="55"/>
  <c r="J11" i="55"/>
  <c r="E31" i="55"/>
  <c r="F31" i="55"/>
  <c r="J31" i="55"/>
  <c r="E46" i="55"/>
  <c r="F46" i="55"/>
  <c r="J46" i="55"/>
  <c r="E33" i="55"/>
  <c r="F33" i="55"/>
  <c r="E23" i="55"/>
  <c r="F23" i="55"/>
  <c r="J23" i="55"/>
  <c r="P23" i="55"/>
  <c r="E43" i="55"/>
  <c r="F43" i="55"/>
  <c r="E44" i="55"/>
  <c r="F44" i="55"/>
  <c r="J44" i="55"/>
  <c r="E51" i="59"/>
  <c r="F51" i="59"/>
  <c r="E25" i="59"/>
  <c r="F25" i="59"/>
  <c r="J25" i="59"/>
  <c r="E29" i="59"/>
  <c r="F29" i="59"/>
  <c r="J29" i="59"/>
  <c r="P29" i="59"/>
  <c r="E36" i="59"/>
  <c r="F36" i="59"/>
  <c r="J36" i="59"/>
  <c r="E56" i="59"/>
  <c r="F56" i="59"/>
  <c r="J56" i="59"/>
  <c r="P56" i="59"/>
  <c r="E50" i="59"/>
  <c r="F50" i="59"/>
  <c r="J50" i="59"/>
  <c r="E27" i="59"/>
  <c r="F27" i="59"/>
  <c r="J27" i="59"/>
  <c r="E53" i="59"/>
  <c r="F53" i="59"/>
  <c r="J53" i="59"/>
  <c r="C13" i="60"/>
  <c r="D13" i="60"/>
  <c r="D13" i="59"/>
  <c r="E15" i="59"/>
  <c r="F15" i="59"/>
  <c r="J15" i="59"/>
  <c r="P15" i="59"/>
  <c r="E54" i="55"/>
  <c r="F54" i="55"/>
  <c r="E21" i="55"/>
  <c r="F21" i="55"/>
  <c r="J21" i="55"/>
  <c r="E25" i="55"/>
  <c r="F25" i="55"/>
  <c r="G39" i="55"/>
  <c r="I39" i="55"/>
  <c r="J39" i="55"/>
  <c r="E35" i="55"/>
  <c r="F35" i="55"/>
  <c r="J35" i="55"/>
  <c r="P35" i="55"/>
  <c r="E42" i="58"/>
  <c r="F42" i="58"/>
  <c r="J42" i="58"/>
  <c r="P42" i="58"/>
  <c r="E19" i="58"/>
  <c r="F19" i="58"/>
  <c r="E27" i="56"/>
  <c r="F27" i="56"/>
  <c r="J27" i="56"/>
  <c r="N23" i="56"/>
  <c r="S23" i="56"/>
  <c r="E33" i="56"/>
  <c r="F33" i="56"/>
  <c r="J33" i="56"/>
  <c r="E25" i="54"/>
  <c r="F25" i="54"/>
  <c r="J25" i="54"/>
  <c r="P25" i="54"/>
  <c r="N56" i="54"/>
  <c r="E27" i="54"/>
  <c r="F27" i="54"/>
  <c r="J27" i="54"/>
  <c r="E54" i="54"/>
  <c r="F54" i="54"/>
  <c r="J54" i="54"/>
  <c r="E28" i="54"/>
  <c r="F28" i="54"/>
  <c r="J28" i="54"/>
  <c r="N23" i="54"/>
  <c r="N23" i="55"/>
  <c r="E17" i="54"/>
  <c r="F17" i="54"/>
  <c r="J17" i="54"/>
  <c r="L8" i="55"/>
  <c r="N8" i="55"/>
  <c r="S8" i="55"/>
  <c r="N30" i="54"/>
  <c r="N30" i="55"/>
  <c r="N15" i="60"/>
  <c r="N51" i="60"/>
  <c r="N28" i="60"/>
  <c r="N33" i="60"/>
  <c r="E25" i="60"/>
  <c r="F25" i="60"/>
  <c r="J25" i="60"/>
  <c r="E47" i="60"/>
  <c r="F47" i="60"/>
  <c r="J47" i="60"/>
  <c r="P47" i="60"/>
  <c r="E29" i="60"/>
  <c r="F29" i="60"/>
  <c r="J29" i="60"/>
  <c r="P29" i="60"/>
  <c r="E45" i="60"/>
  <c r="F45" i="60"/>
  <c r="E53" i="60"/>
  <c r="F53" i="60"/>
  <c r="J53" i="60"/>
  <c r="E26" i="60"/>
  <c r="F26" i="60"/>
  <c r="E7" i="1"/>
  <c r="F7" i="1"/>
  <c r="J7" i="1"/>
  <c r="J43" i="60"/>
  <c r="P43" i="60"/>
  <c r="G43" i="60"/>
  <c r="I43" i="60"/>
  <c r="E35" i="61"/>
  <c r="F35" i="61"/>
  <c r="J35" i="61"/>
  <c r="P35" i="61"/>
  <c r="E52" i="58"/>
  <c r="F52" i="58"/>
  <c r="J52" i="58"/>
  <c r="P52" i="58"/>
  <c r="N31" i="58"/>
  <c r="E26" i="56"/>
  <c r="F26" i="56"/>
  <c r="J26" i="56"/>
  <c r="P26" i="56"/>
  <c r="L7" i="54"/>
  <c r="N7" i="54"/>
  <c r="E12" i="53"/>
  <c r="F12" i="53"/>
  <c r="J12" i="53"/>
  <c r="P12" i="53"/>
  <c r="E37" i="53"/>
  <c r="F37" i="53"/>
  <c r="J37" i="53"/>
  <c r="P37" i="53"/>
  <c r="E25" i="53"/>
  <c r="F25" i="53"/>
  <c r="J25" i="53"/>
  <c r="E15" i="53"/>
  <c r="F15" i="53"/>
  <c r="J15" i="53"/>
  <c r="P15" i="53"/>
  <c r="E19" i="53"/>
  <c r="F19" i="53"/>
  <c r="J19" i="53"/>
  <c r="P19" i="53"/>
  <c r="E49" i="53"/>
  <c r="F49" i="53"/>
  <c r="J49" i="53"/>
  <c r="E9" i="53"/>
  <c r="F9" i="53"/>
  <c r="J9" i="53"/>
  <c r="P9" i="53"/>
  <c r="E52" i="60"/>
  <c r="F52" i="60"/>
  <c r="J52" i="60"/>
  <c r="E51" i="58"/>
  <c r="F51" i="58"/>
  <c r="J51" i="58"/>
  <c r="P51" i="58"/>
  <c r="N38" i="58"/>
  <c r="N38" i="59"/>
  <c r="E49" i="58"/>
  <c r="F49" i="58"/>
  <c r="J49" i="58"/>
  <c r="P49" i="58"/>
  <c r="N48" i="58"/>
  <c r="N48" i="59"/>
  <c r="N43" i="58"/>
  <c r="N43" i="59"/>
  <c r="N30" i="56"/>
  <c r="E21" i="56"/>
  <c r="F21" i="56"/>
  <c r="J21" i="56"/>
  <c r="N50" i="56"/>
  <c r="E14" i="1"/>
  <c r="F14" i="1"/>
  <c r="J14" i="1"/>
  <c r="E51" i="1"/>
  <c r="F51" i="1"/>
  <c r="E54" i="1"/>
  <c r="F54" i="1"/>
  <c r="J54" i="1"/>
  <c r="E10" i="1"/>
  <c r="F10" i="1"/>
  <c r="E55" i="1"/>
  <c r="F55" i="1"/>
  <c r="J55" i="1"/>
  <c r="E39" i="1"/>
  <c r="F39" i="1"/>
  <c r="J39" i="1"/>
  <c r="E19" i="61"/>
  <c r="F19" i="61"/>
  <c r="N19" i="61"/>
  <c r="J18" i="55"/>
  <c r="P18" i="55"/>
  <c r="G18" i="55"/>
  <c r="I18" i="55"/>
  <c r="E47" i="54"/>
  <c r="F47" i="54"/>
  <c r="J47" i="54"/>
  <c r="P47" i="54"/>
  <c r="E23" i="54"/>
  <c r="F23" i="54"/>
  <c r="J23" i="54"/>
  <c r="P23" i="54"/>
  <c r="E48" i="54"/>
  <c r="F48" i="54"/>
  <c r="J48" i="54"/>
  <c r="E24" i="54"/>
  <c r="F24" i="54"/>
  <c r="J24" i="54"/>
  <c r="P24" i="54"/>
  <c r="E22" i="54"/>
  <c r="F22" i="54"/>
  <c r="N52" i="54"/>
  <c r="N52" i="55"/>
  <c r="N29" i="54"/>
  <c r="E53" i="54"/>
  <c r="F53" i="54"/>
  <c r="J53" i="54"/>
  <c r="N15" i="54"/>
  <c r="N22" i="54"/>
  <c r="C8" i="55"/>
  <c r="D8" i="55"/>
  <c r="D8" i="54"/>
  <c r="N18" i="60"/>
  <c r="E16" i="60"/>
  <c r="F16" i="60"/>
  <c r="J16" i="60"/>
  <c r="P16" i="60"/>
  <c r="E17" i="60"/>
  <c r="F17" i="60"/>
  <c r="J17" i="60"/>
  <c r="E46" i="60"/>
  <c r="F46" i="60"/>
  <c r="J46" i="60"/>
  <c r="P46" i="60"/>
  <c r="E56" i="60"/>
  <c r="F56" i="60"/>
  <c r="J56" i="60"/>
  <c r="P56" i="60"/>
  <c r="E34" i="60"/>
  <c r="F34" i="60"/>
  <c r="J34" i="60"/>
  <c r="E51" i="60"/>
  <c r="F51" i="60"/>
  <c r="J51" i="60"/>
  <c r="P51" i="60"/>
  <c r="E16" i="61"/>
  <c r="F16" i="61"/>
  <c r="J16" i="61"/>
  <c r="E45" i="61"/>
  <c r="F45" i="61"/>
  <c r="J45" i="61"/>
  <c r="N23" i="61"/>
  <c r="E33" i="61"/>
  <c r="F33" i="61"/>
  <c r="J33" i="61"/>
  <c r="E15" i="58"/>
  <c r="F15" i="58"/>
  <c r="J15" i="58"/>
  <c r="N16" i="58"/>
  <c r="E18" i="58"/>
  <c r="F18" i="58"/>
  <c r="J18" i="58"/>
  <c r="E18" i="56"/>
  <c r="F18" i="56"/>
  <c r="J18" i="56"/>
  <c r="N55" i="58"/>
  <c r="N55" i="59"/>
  <c r="E16" i="58"/>
  <c r="F16" i="58"/>
  <c r="E29" i="1"/>
  <c r="F29" i="1"/>
  <c r="E32" i="1"/>
  <c r="F32" i="1"/>
  <c r="J32" i="1"/>
  <c r="E40" i="1"/>
  <c r="F40" i="1"/>
  <c r="E28" i="1"/>
  <c r="F28" i="1"/>
  <c r="J28" i="1"/>
  <c r="E22" i="61"/>
  <c r="F22" i="61"/>
  <c r="E53" i="58"/>
  <c r="F53" i="58"/>
  <c r="J53" i="58"/>
  <c r="P53" i="58"/>
  <c r="E47" i="57"/>
  <c r="F47" i="57"/>
  <c r="J47" i="57"/>
  <c r="P47" i="57"/>
  <c r="E27" i="60"/>
  <c r="F27" i="60"/>
  <c r="E55" i="58"/>
  <c r="F55" i="58"/>
  <c r="J55" i="58"/>
  <c r="P55" i="58"/>
  <c r="N42" i="59"/>
  <c r="E31" i="58"/>
  <c r="F31" i="58"/>
  <c r="J31" i="58"/>
  <c r="P31" i="58"/>
  <c r="E39" i="58"/>
  <c r="F39" i="58"/>
  <c r="E41" i="56"/>
  <c r="F41" i="56"/>
  <c r="J41" i="56"/>
  <c r="P41" i="56"/>
  <c r="E51" i="53"/>
  <c r="F51" i="53"/>
  <c r="J51" i="53"/>
  <c r="P51" i="53"/>
  <c r="E8" i="53"/>
  <c r="F8" i="53"/>
  <c r="E44" i="53"/>
  <c r="F44" i="53"/>
  <c r="E39" i="53"/>
  <c r="F39" i="53"/>
  <c r="J39" i="53"/>
  <c r="E41" i="53"/>
  <c r="F41" i="53"/>
  <c r="E21" i="53"/>
  <c r="F21" i="53"/>
  <c r="E28" i="53"/>
  <c r="F28" i="53"/>
  <c r="J28" i="53"/>
  <c r="P28" i="53"/>
  <c r="E16" i="53"/>
  <c r="F16" i="53"/>
  <c r="E31" i="53"/>
  <c r="F31" i="53"/>
  <c r="E36" i="53"/>
  <c r="F36" i="53"/>
  <c r="E43" i="53"/>
  <c r="F43" i="53"/>
  <c r="E32" i="53"/>
  <c r="F32" i="53"/>
  <c r="J32" i="53"/>
  <c r="P32" i="53"/>
  <c r="E22" i="53"/>
  <c r="F22" i="53"/>
  <c r="E44" i="56"/>
  <c r="F44" i="56"/>
  <c r="J44" i="56"/>
  <c r="P44" i="56"/>
  <c r="E48" i="56"/>
  <c r="F48" i="56"/>
  <c r="E40" i="56"/>
  <c r="F40" i="56"/>
  <c r="N52" i="56"/>
  <c r="E35" i="56"/>
  <c r="F35" i="56"/>
  <c r="J35" i="56"/>
  <c r="P35" i="56"/>
  <c r="E48" i="61"/>
  <c r="F48" i="61"/>
  <c r="E36" i="61"/>
  <c r="F36" i="61"/>
  <c r="J36" i="61"/>
  <c r="P36" i="61"/>
  <c r="N43" i="61"/>
  <c r="E38" i="61"/>
  <c r="F38" i="61"/>
  <c r="J38" i="61"/>
  <c r="P38" i="61"/>
  <c r="N54" i="61"/>
  <c r="E29" i="61"/>
  <c r="F29" i="61"/>
  <c r="J29" i="61"/>
  <c r="E33" i="1"/>
  <c r="F33" i="1"/>
  <c r="J33" i="1"/>
  <c r="E37" i="1"/>
  <c r="F37" i="1"/>
  <c r="J37" i="1"/>
  <c r="E21" i="1"/>
  <c r="F21" i="1"/>
  <c r="E30" i="58"/>
  <c r="F30" i="58"/>
  <c r="J30" i="58"/>
  <c r="P30" i="58"/>
  <c r="N34" i="56"/>
  <c r="E36" i="56"/>
  <c r="F36" i="56"/>
  <c r="J36" i="56"/>
  <c r="E41" i="61"/>
  <c r="F41" i="61"/>
  <c r="J41" i="61"/>
  <c r="P41" i="61"/>
  <c r="N15" i="61"/>
  <c r="E51" i="56"/>
  <c r="F51" i="56"/>
  <c r="J51" i="56"/>
  <c r="N36" i="58"/>
  <c r="E34" i="58"/>
  <c r="F34" i="58"/>
  <c r="J34" i="58"/>
  <c r="P34" i="58"/>
  <c r="N44" i="59"/>
  <c r="E28" i="58"/>
  <c r="F28" i="58"/>
  <c r="E54" i="58"/>
  <c r="F54" i="58"/>
  <c r="J54" i="58"/>
  <c r="P54" i="58"/>
  <c r="E43" i="1"/>
  <c r="F43" i="1"/>
  <c r="E15" i="56"/>
  <c r="F15" i="56"/>
  <c r="E51" i="57"/>
  <c r="F51" i="57"/>
  <c r="J51" i="57"/>
  <c r="N39" i="57"/>
  <c r="N44" i="57"/>
  <c r="N55" i="57"/>
  <c r="N17" i="57"/>
  <c r="E21" i="57"/>
  <c r="F21" i="57"/>
  <c r="J21" i="57"/>
  <c r="P21" i="57"/>
  <c r="D11" i="57"/>
  <c r="C11" i="58"/>
  <c r="D11" i="58"/>
  <c r="E26" i="57"/>
  <c r="F26" i="57"/>
  <c r="N35" i="57"/>
  <c r="E36" i="57"/>
  <c r="F36" i="57"/>
  <c r="E41" i="57"/>
  <c r="F41" i="57"/>
  <c r="J41" i="57"/>
  <c r="P41" i="57"/>
  <c r="N18" i="57"/>
  <c r="N34" i="57"/>
  <c r="E53" i="61"/>
  <c r="F53" i="61"/>
  <c r="J53" i="61"/>
  <c r="E53" i="1"/>
  <c r="F53" i="1"/>
  <c r="E24" i="56"/>
  <c r="F24" i="56"/>
  <c r="J24" i="56"/>
  <c r="E38" i="56"/>
  <c r="F38" i="56"/>
  <c r="J38" i="56"/>
  <c r="P38" i="56"/>
  <c r="E47" i="56"/>
  <c r="F47" i="56"/>
  <c r="E11" i="56"/>
  <c r="F11" i="56"/>
  <c r="J11" i="56"/>
  <c r="P11" i="56"/>
  <c r="E45" i="53"/>
  <c r="F45" i="53"/>
  <c r="J45" i="53"/>
  <c r="P45" i="53"/>
  <c r="D7" i="53"/>
  <c r="C7" i="54"/>
  <c r="D7" i="54"/>
  <c r="E48" i="53"/>
  <c r="F48" i="53"/>
  <c r="J48" i="53"/>
  <c r="P48" i="53"/>
  <c r="E18" i="53"/>
  <c r="F18" i="53"/>
  <c r="E10" i="53"/>
  <c r="F10" i="53"/>
  <c r="J10" i="53"/>
  <c r="E33" i="53"/>
  <c r="F33" i="53"/>
  <c r="J33" i="53"/>
  <c r="E55" i="53"/>
  <c r="F55" i="53"/>
  <c r="J55" i="53"/>
  <c r="P55" i="53"/>
  <c r="E56" i="53"/>
  <c r="F56" i="53"/>
  <c r="E27" i="53"/>
  <c r="F27" i="53"/>
  <c r="J27" i="53"/>
  <c r="P27" i="53"/>
  <c r="E24" i="53"/>
  <c r="F24" i="53"/>
  <c r="J24" i="53"/>
  <c r="P24" i="53"/>
  <c r="E30" i="53"/>
  <c r="F30" i="53"/>
  <c r="J30" i="53"/>
  <c r="P30" i="53"/>
  <c r="N18" i="56"/>
  <c r="P18" i="56"/>
  <c r="N24" i="61"/>
  <c r="E43" i="61"/>
  <c r="F43" i="61"/>
  <c r="J43" i="61"/>
  <c r="P43" i="61"/>
  <c r="E21" i="61"/>
  <c r="F21" i="61"/>
  <c r="N44" i="61"/>
  <c r="E47" i="1"/>
  <c r="F47" i="1"/>
  <c r="J47" i="1"/>
  <c r="D5" i="1"/>
  <c r="C5" i="52"/>
  <c r="D5" i="52"/>
  <c r="E34" i="1"/>
  <c r="F34" i="1"/>
  <c r="J34" i="1"/>
  <c r="G55" i="60"/>
  <c r="I55" i="60"/>
  <c r="E32" i="58"/>
  <c r="F32" i="58"/>
  <c r="J32" i="58"/>
  <c r="N56" i="58"/>
  <c r="N56" i="59"/>
  <c r="E29" i="56"/>
  <c r="F29" i="56"/>
  <c r="J29" i="56"/>
  <c r="E15" i="61"/>
  <c r="F15" i="61"/>
  <c r="J15" i="61"/>
  <c r="P15" i="61"/>
  <c r="E19" i="1"/>
  <c r="F19" i="1"/>
  <c r="E35" i="60"/>
  <c r="F35" i="60"/>
  <c r="J35" i="60"/>
  <c r="P35" i="60"/>
  <c r="E40" i="58"/>
  <c r="F40" i="58"/>
  <c r="E37" i="58"/>
  <c r="F37" i="58"/>
  <c r="J37" i="58"/>
  <c r="E23" i="58"/>
  <c r="F23" i="58"/>
  <c r="J23" i="58"/>
  <c r="E23" i="56"/>
  <c r="F23" i="56"/>
  <c r="C10" i="57"/>
  <c r="D10" i="57"/>
  <c r="D10" i="56"/>
  <c r="N33" i="56"/>
  <c r="P33" i="56"/>
  <c r="N37" i="54"/>
  <c r="N46" i="54"/>
  <c r="E56" i="54"/>
  <c r="F56" i="54"/>
  <c r="J56" i="54"/>
  <c r="P56" i="54"/>
  <c r="N51" i="54"/>
  <c r="N51" i="55"/>
  <c r="E46" i="54"/>
  <c r="F46" i="54"/>
  <c r="N42" i="55"/>
  <c r="N42" i="54"/>
  <c r="N35" i="54"/>
  <c r="N35" i="55"/>
  <c r="N54" i="54"/>
  <c r="E26" i="54"/>
  <c r="F26" i="54"/>
  <c r="J26" i="54"/>
  <c r="P26" i="54"/>
  <c r="E39" i="54"/>
  <c r="F39" i="54"/>
  <c r="N50" i="54"/>
  <c r="N50" i="55"/>
  <c r="E34" i="54"/>
  <c r="F34" i="54"/>
  <c r="J34" i="54"/>
  <c r="N28" i="54"/>
  <c r="P28" i="54"/>
  <c r="S28" i="54"/>
  <c r="E36" i="54"/>
  <c r="F36" i="54"/>
  <c r="J36" i="54"/>
  <c r="P36" i="54"/>
  <c r="N38" i="54"/>
  <c r="N38" i="55"/>
  <c r="N33" i="55"/>
  <c r="E52" i="54"/>
  <c r="F52" i="54"/>
  <c r="N48" i="54"/>
  <c r="N18" i="55"/>
  <c r="N18" i="54"/>
  <c r="N27" i="55"/>
  <c r="N27" i="54"/>
  <c r="P27" i="54"/>
  <c r="E51" i="54"/>
  <c r="F51" i="54"/>
  <c r="J51" i="54"/>
  <c r="P51" i="54"/>
  <c r="E16" i="54"/>
  <c r="F16" i="54"/>
  <c r="J16" i="54"/>
  <c r="E11" i="54"/>
  <c r="F11" i="54"/>
  <c r="J11" i="54"/>
  <c r="P34" i="60"/>
  <c r="L14" i="61"/>
  <c r="N14" i="61"/>
  <c r="S14" i="61"/>
  <c r="E39" i="60"/>
  <c r="F39" i="60"/>
  <c r="E49" i="60"/>
  <c r="F49" i="60"/>
  <c r="J49" i="60"/>
  <c r="E42" i="60"/>
  <c r="F42" i="60"/>
  <c r="E18" i="60"/>
  <c r="F18" i="60"/>
  <c r="J18" i="60"/>
  <c r="P18" i="60"/>
  <c r="N56" i="60"/>
  <c r="E30" i="60"/>
  <c r="F30" i="60"/>
  <c r="J30" i="60"/>
  <c r="N24" i="60"/>
  <c r="N27" i="61"/>
  <c r="E32" i="61"/>
  <c r="F32" i="61"/>
  <c r="J32" i="61"/>
  <c r="P32" i="61"/>
  <c r="N29" i="59"/>
  <c r="E46" i="56"/>
  <c r="F46" i="56"/>
  <c r="J46" i="56"/>
  <c r="N22" i="61"/>
  <c r="N20" i="61"/>
  <c r="E47" i="61"/>
  <c r="F47" i="61"/>
  <c r="G35" i="58"/>
  <c r="I35" i="58"/>
  <c r="E45" i="58"/>
  <c r="F45" i="58"/>
  <c r="J45" i="58"/>
  <c r="N33" i="58"/>
  <c r="N12" i="56"/>
  <c r="E55" i="56"/>
  <c r="F55" i="56"/>
  <c r="J55" i="56"/>
  <c r="P55" i="56"/>
  <c r="E32" i="56"/>
  <c r="F32" i="56"/>
  <c r="P21" i="56"/>
  <c r="N37" i="56"/>
  <c r="E35" i="1"/>
  <c r="F35" i="1"/>
  <c r="J35" i="1"/>
  <c r="E49" i="1"/>
  <c r="F49" i="1"/>
  <c r="J49" i="1"/>
  <c r="E20" i="1"/>
  <c r="F20" i="1"/>
  <c r="E23" i="1"/>
  <c r="F23" i="1"/>
  <c r="J23" i="1"/>
  <c r="E26" i="1"/>
  <c r="F26" i="1"/>
  <c r="E9" i="1"/>
  <c r="F9" i="1"/>
  <c r="J9" i="1"/>
  <c r="E13" i="1"/>
  <c r="F13" i="1"/>
  <c r="J13" i="1"/>
  <c r="E46" i="61"/>
  <c r="F46" i="61"/>
  <c r="E49" i="61"/>
  <c r="F49" i="61"/>
  <c r="J49" i="61"/>
  <c r="P49" i="61"/>
  <c r="E18" i="61"/>
  <c r="F18" i="61"/>
  <c r="E42" i="61"/>
  <c r="F42" i="61"/>
  <c r="J42" i="61"/>
  <c r="E52" i="61"/>
  <c r="F52" i="61"/>
  <c r="E31" i="61"/>
  <c r="F31" i="61"/>
  <c r="J31" i="61"/>
  <c r="E34" i="61"/>
  <c r="F34" i="61"/>
  <c r="E42" i="1"/>
  <c r="F42" i="1"/>
  <c r="J42" i="1"/>
  <c r="E41" i="1"/>
  <c r="F41" i="1"/>
  <c r="E38" i="57"/>
  <c r="F38" i="57"/>
  <c r="J38" i="57"/>
  <c r="P38" i="57"/>
  <c r="N12" i="58"/>
  <c r="L12" i="59"/>
  <c r="N12" i="59"/>
  <c r="S12" i="59"/>
  <c r="N14" i="58"/>
  <c r="N14" i="59"/>
  <c r="E53" i="56"/>
  <c r="F53" i="56"/>
  <c r="J53" i="56"/>
  <c r="E17" i="57"/>
  <c r="F17" i="57"/>
  <c r="J17" i="57"/>
  <c r="P17" i="57"/>
  <c r="E55" i="57"/>
  <c r="F55" i="57"/>
  <c r="N13" i="57"/>
  <c r="N50" i="57"/>
  <c r="N38" i="57"/>
  <c r="N14" i="57"/>
  <c r="N47" i="57"/>
  <c r="N21" i="57"/>
  <c r="E56" i="57"/>
  <c r="F56" i="57"/>
  <c r="E28" i="57"/>
  <c r="F28" i="57"/>
  <c r="J28" i="57"/>
  <c r="P28" i="57"/>
  <c r="E54" i="57"/>
  <c r="F54" i="57"/>
  <c r="J54" i="57"/>
  <c r="E39" i="57"/>
  <c r="F39" i="57"/>
  <c r="J39" i="57"/>
  <c r="P39" i="57"/>
  <c r="E20" i="57"/>
  <c r="F20" i="57"/>
  <c r="J20" i="57"/>
  <c r="P20" i="57"/>
  <c r="E29" i="57"/>
  <c r="F29" i="57"/>
  <c r="J29" i="57"/>
  <c r="P29" i="57"/>
  <c r="E31" i="57"/>
  <c r="F31" i="57"/>
  <c r="J31" i="57"/>
  <c r="E23" i="57"/>
  <c r="F23" i="57"/>
  <c r="E24" i="57"/>
  <c r="F24" i="57"/>
  <c r="J24" i="57"/>
  <c r="P24" i="57"/>
  <c r="E22" i="57"/>
  <c r="F22" i="57"/>
  <c r="J22" i="57"/>
  <c r="E25" i="57"/>
  <c r="F25" i="57"/>
  <c r="J25" i="57"/>
  <c r="E50" i="57"/>
  <c r="F50" i="57"/>
  <c r="J50" i="57"/>
  <c r="P50" i="57"/>
  <c r="N28" i="61"/>
  <c r="E15" i="1"/>
  <c r="F15" i="1"/>
  <c r="E47" i="53"/>
  <c r="F47" i="53"/>
  <c r="E46" i="53"/>
  <c r="F46" i="53"/>
  <c r="J46" i="53"/>
  <c r="P46" i="53"/>
  <c r="P10" i="53"/>
  <c r="E13" i="53"/>
  <c r="F13" i="53"/>
  <c r="P39" i="53"/>
  <c r="E54" i="53"/>
  <c r="F54" i="53"/>
  <c r="J54" i="53"/>
  <c r="P54" i="53"/>
  <c r="E31" i="56"/>
  <c r="F31" i="56"/>
  <c r="E52" i="56"/>
  <c r="F52" i="56"/>
  <c r="J52" i="56"/>
  <c r="P52" i="56"/>
  <c r="E14" i="56"/>
  <c r="F14" i="56"/>
  <c r="J14" i="56"/>
  <c r="P14" i="56"/>
  <c r="E56" i="56"/>
  <c r="F56" i="56"/>
  <c r="J56" i="56"/>
  <c r="P56" i="56"/>
  <c r="E24" i="61"/>
  <c r="F24" i="61"/>
  <c r="J24" i="61"/>
  <c r="P24" i="61"/>
  <c r="N38" i="61"/>
  <c r="E44" i="61"/>
  <c r="F44" i="61"/>
  <c r="J44" i="61"/>
  <c r="P44" i="61"/>
  <c r="E54" i="61"/>
  <c r="F54" i="61"/>
  <c r="J54" i="61"/>
  <c r="P54" i="61"/>
  <c r="E16" i="1"/>
  <c r="F16" i="1"/>
  <c r="J16" i="1"/>
  <c r="N30" i="58"/>
  <c r="N30" i="59"/>
  <c r="E56" i="58"/>
  <c r="F56" i="58"/>
  <c r="J56" i="58"/>
  <c r="P56" i="58"/>
  <c r="E34" i="56"/>
  <c r="F34" i="56"/>
  <c r="E43" i="56"/>
  <c r="F43" i="56"/>
  <c r="J43" i="56"/>
  <c r="N51" i="61"/>
  <c r="E38" i="58"/>
  <c r="F38" i="58"/>
  <c r="J38" i="58"/>
  <c r="P38" i="58"/>
  <c r="N22" i="58"/>
  <c r="E48" i="58"/>
  <c r="F48" i="58"/>
  <c r="J48" i="58"/>
  <c r="P48" i="58"/>
  <c r="E43" i="58"/>
  <c r="F43" i="58"/>
  <c r="E13" i="58"/>
  <c r="F13" i="58"/>
  <c r="J13" i="58"/>
  <c r="E19" i="56"/>
  <c r="F19" i="56"/>
  <c r="J19" i="56"/>
  <c r="P19" i="56"/>
  <c r="E45" i="56"/>
  <c r="F45" i="56"/>
  <c r="E17" i="56"/>
  <c r="F17" i="56"/>
  <c r="J17" i="56"/>
  <c r="P17" i="56"/>
  <c r="E28" i="56"/>
  <c r="F28" i="56"/>
  <c r="J28" i="56"/>
  <c r="P28" i="56"/>
  <c r="E54" i="56"/>
  <c r="F54" i="56"/>
  <c r="J54" i="56"/>
  <c r="P54" i="56"/>
  <c r="E32" i="54"/>
  <c r="F32" i="54"/>
  <c r="J32" i="54"/>
  <c r="E9" i="54"/>
  <c r="F9" i="54"/>
  <c r="E55" i="54"/>
  <c r="F55" i="54"/>
  <c r="N34" i="54"/>
  <c r="E43" i="54"/>
  <c r="F43" i="54"/>
  <c r="E14" i="54"/>
  <c r="F14" i="54"/>
  <c r="J14" i="54"/>
  <c r="E35" i="54"/>
  <c r="F35" i="54"/>
  <c r="E37" i="54"/>
  <c r="F37" i="54"/>
  <c r="N39" i="54"/>
  <c r="N24" i="54"/>
  <c r="E50" i="54"/>
  <c r="F50" i="54"/>
  <c r="N43" i="54"/>
  <c r="N43" i="55"/>
  <c r="N36" i="54"/>
  <c r="E45" i="54"/>
  <c r="F45" i="54"/>
  <c r="J45" i="54"/>
  <c r="G45" i="54"/>
  <c r="I45" i="54"/>
  <c r="N13" i="55"/>
  <c r="N13" i="54"/>
  <c r="E12" i="54"/>
  <c r="F12" i="54"/>
  <c r="J12" i="54"/>
  <c r="P12" i="54"/>
  <c r="E15" i="54"/>
  <c r="F15" i="54"/>
  <c r="E44" i="54"/>
  <c r="F44" i="54"/>
  <c r="J44" i="54"/>
  <c r="N32" i="54"/>
  <c r="P32" i="54"/>
  <c r="N25" i="54"/>
  <c r="E13" i="54"/>
  <c r="F13" i="54"/>
  <c r="E21" i="54"/>
  <c r="F21" i="54"/>
  <c r="J21" i="54"/>
  <c r="P21" i="54"/>
  <c r="E20" i="54"/>
  <c r="F20" i="54"/>
  <c r="N47" i="60"/>
  <c r="N44" i="60"/>
  <c r="N29" i="60"/>
  <c r="C14" i="61"/>
  <c r="D14" i="61"/>
  <c r="D14" i="60"/>
  <c r="P49" i="60"/>
  <c r="E24" i="60"/>
  <c r="F24" i="60"/>
  <c r="E37" i="60"/>
  <c r="F37" i="60"/>
  <c r="J37" i="60"/>
  <c r="P37" i="60"/>
  <c r="E23" i="60"/>
  <c r="F23" i="60"/>
  <c r="E28" i="60"/>
  <c r="F28" i="60"/>
  <c r="J28" i="60"/>
  <c r="P28" i="60"/>
  <c r="E20" i="60"/>
  <c r="F20" i="60"/>
  <c r="J20" i="60"/>
  <c r="E54" i="60"/>
  <c r="F54" i="60"/>
  <c r="J54" i="60"/>
  <c r="P54" i="60"/>
  <c r="N42" i="60"/>
  <c r="N48" i="60"/>
  <c r="E40" i="61"/>
  <c r="F40" i="61"/>
  <c r="J40" i="61"/>
  <c r="E50" i="61"/>
  <c r="F50" i="61"/>
  <c r="J50" i="61"/>
  <c r="P50" i="61"/>
  <c r="E25" i="61"/>
  <c r="F25" i="61"/>
  <c r="J25" i="61"/>
  <c r="N45" i="61"/>
  <c r="I44" i="60"/>
  <c r="N21" i="58"/>
  <c r="E13" i="56"/>
  <c r="F13" i="56"/>
  <c r="J13" i="56"/>
  <c r="P13" i="56"/>
  <c r="E20" i="61"/>
  <c r="F20" i="61"/>
  <c r="J20" i="61"/>
  <c r="N47" i="59"/>
  <c r="N24" i="58"/>
  <c r="N24" i="59"/>
  <c r="N34" i="58"/>
  <c r="N27" i="58"/>
  <c r="E44" i="58"/>
  <c r="F44" i="58"/>
  <c r="J44" i="58"/>
  <c r="P44" i="58"/>
  <c r="E12" i="56"/>
  <c r="F12" i="56"/>
  <c r="J12" i="56"/>
  <c r="P12" i="56"/>
  <c r="E16" i="56"/>
  <c r="F16" i="56"/>
  <c r="J16" i="56"/>
  <c r="P16" i="56"/>
  <c r="E30" i="56"/>
  <c r="F30" i="56"/>
  <c r="J30" i="56"/>
  <c r="P30" i="56"/>
  <c r="E50" i="56"/>
  <c r="F50" i="56"/>
  <c r="E37" i="56"/>
  <c r="F37" i="56"/>
  <c r="J37" i="56"/>
  <c r="P37" i="56"/>
  <c r="E8" i="1"/>
  <c r="F8" i="1"/>
  <c r="E50" i="1"/>
  <c r="F50" i="1"/>
  <c r="J50" i="1"/>
  <c r="E44" i="1"/>
  <c r="F44" i="1"/>
  <c r="E6" i="1"/>
  <c r="F6" i="1"/>
  <c r="E24" i="1"/>
  <c r="F24" i="1"/>
  <c r="E56" i="1"/>
  <c r="F56" i="1"/>
  <c r="J56" i="1"/>
  <c r="E52" i="1"/>
  <c r="F52" i="1"/>
  <c r="J52" i="1"/>
  <c r="E45" i="1"/>
  <c r="F45" i="1"/>
  <c r="N47" i="61"/>
  <c r="N46" i="61"/>
  <c r="E36" i="1"/>
  <c r="F36" i="1"/>
  <c r="J36" i="1"/>
  <c r="E14" i="58"/>
  <c r="F14" i="58"/>
  <c r="J14" i="58"/>
  <c r="P14" i="58"/>
  <c r="N17" i="58"/>
  <c r="N17" i="59"/>
  <c r="N15" i="56"/>
  <c r="N23" i="57"/>
  <c r="E53" i="57"/>
  <c r="F53" i="57"/>
  <c r="J53" i="57"/>
  <c r="P53" i="57"/>
  <c r="P54" i="57"/>
  <c r="P51" i="57"/>
  <c r="N20" i="57"/>
  <c r="N26" i="57"/>
  <c r="E30" i="57"/>
  <c r="F30" i="57"/>
  <c r="E32" i="57"/>
  <c r="F32" i="57"/>
  <c r="J32" i="57"/>
  <c r="P32" i="57"/>
  <c r="E15" i="57"/>
  <c r="F15" i="57"/>
  <c r="E19" i="57"/>
  <c r="F19" i="57"/>
  <c r="J19" i="57"/>
  <c r="P19" i="57"/>
  <c r="N32" i="57"/>
  <c r="N22" i="57"/>
  <c r="P22" i="57"/>
  <c r="E13" i="57"/>
  <c r="F13" i="57"/>
  <c r="E16" i="57"/>
  <c r="F16" i="57"/>
  <c r="J16" i="57"/>
  <c r="P16" i="57"/>
  <c r="E37" i="57"/>
  <c r="F37" i="57"/>
  <c r="E42" i="57"/>
  <c r="F42" i="57"/>
  <c r="J42" i="57"/>
  <c r="P42" i="57"/>
  <c r="N52" i="57"/>
  <c r="N56" i="57"/>
  <c r="E48" i="57"/>
  <c r="F48" i="57"/>
  <c r="E18" i="57"/>
  <c r="F18" i="57"/>
  <c r="J18" i="57"/>
  <c r="P18" i="57"/>
  <c r="E33" i="57"/>
  <c r="F33" i="57"/>
  <c r="E43" i="57"/>
  <c r="F43" i="57"/>
  <c r="J43" i="57"/>
  <c r="P43" i="57"/>
  <c r="E56" i="61"/>
  <c r="F56" i="61"/>
  <c r="E26" i="61"/>
  <c r="F26" i="61"/>
  <c r="E25" i="1"/>
  <c r="F25" i="1"/>
  <c r="J25" i="1"/>
  <c r="N53" i="58"/>
  <c r="E41" i="58"/>
  <c r="F41" i="58"/>
  <c r="J41" i="58"/>
  <c r="P41" i="58"/>
  <c r="N19" i="58"/>
  <c r="E25" i="58"/>
  <c r="F25" i="58"/>
  <c r="J25" i="58"/>
  <c r="P25" i="58"/>
  <c r="N39" i="58"/>
  <c r="N39" i="59"/>
  <c r="E49" i="56"/>
  <c r="F49" i="56"/>
  <c r="J49" i="56"/>
  <c r="P49" i="56"/>
  <c r="N47" i="56"/>
  <c r="E22" i="56"/>
  <c r="F22" i="56"/>
  <c r="E17" i="53"/>
  <c r="F17" i="53"/>
  <c r="J17" i="53"/>
  <c r="P17" i="53"/>
  <c r="E42" i="53"/>
  <c r="F42" i="53"/>
  <c r="E14" i="53"/>
  <c r="F14" i="53"/>
  <c r="E34" i="53"/>
  <c r="F34" i="53"/>
  <c r="J34" i="53"/>
  <c r="P34" i="53"/>
  <c r="E20" i="53"/>
  <c r="F20" i="53"/>
  <c r="J20" i="53"/>
  <c r="P20" i="53"/>
  <c r="E53" i="53"/>
  <c r="F53" i="53"/>
  <c r="J53" i="53"/>
  <c r="P53" i="53"/>
  <c r="E29" i="53"/>
  <c r="F29" i="53"/>
  <c r="J29" i="53"/>
  <c r="P29" i="53"/>
  <c r="E26" i="53"/>
  <c r="F26" i="53"/>
  <c r="E50" i="53"/>
  <c r="F50" i="53"/>
  <c r="J50" i="53"/>
  <c r="P50" i="53"/>
  <c r="E38" i="53"/>
  <c r="F38" i="53"/>
  <c r="P25" i="53"/>
  <c r="E52" i="53"/>
  <c r="F52" i="53"/>
  <c r="J52" i="53"/>
  <c r="P52" i="53"/>
  <c r="P49" i="53"/>
  <c r="E23" i="53"/>
  <c r="F23" i="53"/>
  <c r="E11" i="53"/>
  <c r="F11" i="53"/>
  <c r="J11" i="53"/>
  <c r="P11" i="53"/>
  <c r="E35" i="53"/>
  <c r="F35" i="53"/>
  <c r="E40" i="53"/>
  <c r="F40" i="53"/>
  <c r="J40" i="53"/>
  <c r="P40" i="53"/>
  <c r="N35" i="56"/>
  <c r="N31" i="56"/>
  <c r="E39" i="56"/>
  <c r="F39" i="56"/>
  <c r="J39" i="56"/>
  <c r="P39" i="56"/>
  <c r="N21" i="61"/>
  <c r="N29" i="61"/>
  <c r="P29" i="61"/>
  <c r="E48" i="1"/>
  <c r="F48" i="1"/>
  <c r="J48" i="1"/>
  <c r="E18" i="1"/>
  <c r="F18" i="1"/>
  <c r="J18" i="1"/>
  <c r="E55" i="61"/>
  <c r="F55" i="61"/>
  <c r="J55" i="61"/>
  <c r="P55" i="61"/>
  <c r="P32" i="58"/>
  <c r="N32" i="58"/>
  <c r="N41" i="61"/>
  <c r="E51" i="61"/>
  <c r="F51" i="61"/>
  <c r="E30" i="61"/>
  <c r="F30" i="61"/>
  <c r="J30" i="61"/>
  <c r="P30" i="61"/>
  <c r="G46" i="58"/>
  <c r="I46" i="58"/>
  <c r="N40" i="58"/>
  <c r="N51" i="59"/>
  <c r="E20" i="58"/>
  <c r="F20" i="58"/>
  <c r="J20" i="58"/>
  <c r="P20" i="58"/>
  <c r="N49" i="58"/>
  <c r="E22" i="58"/>
  <c r="F22" i="58"/>
  <c r="J22" i="58"/>
  <c r="P22" i="58"/>
  <c r="P23" i="58"/>
  <c r="N23" i="58"/>
  <c r="N13" i="58"/>
  <c r="E20" i="56"/>
  <c r="F20" i="56"/>
  <c r="J20" i="56"/>
  <c r="P20" i="56"/>
  <c r="N19" i="56"/>
  <c r="L10" i="57"/>
  <c r="N10" i="57"/>
  <c r="S10" i="57"/>
  <c r="N10" i="56"/>
  <c r="N47" i="54"/>
  <c r="N47" i="55"/>
  <c r="E42" i="54"/>
  <c r="F42" i="54"/>
  <c r="N45" i="55"/>
  <c r="N45" i="54"/>
  <c r="P45" i="54"/>
  <c r="N9" i="54"/>
  <c r="E41" i="54"/>
  <c r="F41" i="54"/>
  <c r="J41" i="54"/>
  <c r="P41" i="54"/>
  <c r="E49" i="54"/>
  <c r="F49" i="54"/>
  <c r="J49" i="54"/>
  <c r="P49" i="54"/>
  <c r="E33" i="54"/>
  <c r="F33" i="54"/>
  <c r="J33" i="54"/>
  <c r="P33" i="54"/>
  <c r="N19" i="55"/>
  <c r="P44" i="54"/>
  <c r="N44" i="55"/>
  <c r="N44" i="54"/>
  <c r="E31" i="54"/>
  <c r="F31" i="54"/>
  <c r="J31" i="54"/>
  <c r="P31" i="54"/>
  <c r="N10" i="55"/>
  <c r="N10" i="54"/>
  <c r="N31" i="54"/>
  <c r="E30" i="54"/>
  <c r="F30" i="54"/>
  <c r="E40" i="54"/>
  <c r="F40" i="54"/>
  <c r="J40" i="54"/>
  <c r="P40" i="54"/>
  <c r="E10" i="54"/>
  <c r="F10" i="54"/>
  <c r="J10" i="54"/>
  <c r="P10" i="54"/>
  <c r="N41" i="54"/>
  <c r="N16" i="54"/>
  <c r="N26" i="54"/>
  <c r="N26" i="55"/>
  <c r="N55" i="54"/>
  <c r="E29" i="54"/>
  <c r="F29" i="54"/>
  <c r="J29" i="54"/>
  <c r="P29" i="54"/>
  <c r="E38" i="54"/>
  <c r="F38" i="54"/>
  <c r="J38" i="54"/>
  <c r="P38" i="54"/>
  <c r="N49" i="54"/>
  <c r="N21" i="54"/>
  <c r="N53" i="54"/>
  <c r="E19" i="54"/>
  <c r="F19" i="54"/>
  <c r="J19" i="54"/>
  <c r="P19" i="54"/>
  <c r="E18" i="54"/>
  <c r="F18" i="54"/>
  <c r="J18" i="54"/>
  <c r="P18" i="54"/>
  <c r="P53" i="60"/>
  <c r="N52" i="60"/>
  <c r="N21" i="60"/>
  <c r="P17" i="60"/>
  <c r="N17" i="60"/>
  <c r="N26" i="60"/>
  <c r="P20" i="60"/>
  <c r="P25" i="60"/>
  <c r="N39" i="60"/>
  <c r="E22" i="60"/>
  <c r="F22" i="60"/>
  <c r="E21" i="60"/>
  <c r="F21" i="60"/>
  <c r="J21" i="60"/>
  <c r="P21" i="60"/>
  <c r="E33" i="60"/>
  <c r="F33" i="60"/>
  <c r="J33" i="60"/>
  <c r="P33" i="60"/>
  <c r="E15" i="60"/>
  <c r="F15" i="60"/>
  <c r="J15" i="60"/>
  <c r="P15" i="60"/>
  <c r="E36" i="60"/>
  <c r="F36" i="60"/>
  <c r="E38" i="60"/>
  <c r="F38" i="60"/>
  <c r="J38" i="60"/>
  <c r="E31" i="60"/>
  <c r="F31" i="60"/>
  <c r="E40" i="60"/>
  <c r="F40" i="60"/>
  <c r="J40" i="60"/>
  <c r="P40" i="60"/>
  <c r="E41" i="60"/>
  <c r="F41" i="60"/>
  <c r="J41" i="60"/>
  <c r="P41" i="60"/>
  <c r="E19" i="60"/>
  <c r="F19" i="60"/>
  <c r="J19" i="60"/>
  <c r="P19" i="60"/>
  <c r="E32" i="60"/>
  <c r="F32" i="60"/>
  <c r="E48" i="60"/>
  <c r="F48" i="60"/>
  <c r="J48" i="60"/>
  <c r="P48" i="60"/>
  <c r="E50" i="60"/>
  <c r="F50" i="60"/>
  <c r="E27" i="61"/>
  <c r="F27" i="61"/>
  <c r="N32" i="61"/>
  <c r="E37" i="61"/>
  <c r="F37" i="61"/>
  <c r="E46" i="1"/>
  <c r="F46" i="1"/>
  <c r="E27" i="1"/>
  <c r="F27" i="1"/>
  <c r="J27" i="1"/>
  <c r="J44" i="60"/>
  <c r="P44" i="60"/>
  <c r="E29" i="58"/>
  <c r="F29" i="58"/>
  <c r="J29" i="58"/>
  <c r="E21" i="58"/>
  <c r="F21" i="58"/>
  <c r="J21" i="58"/>
  <c r="N13" i="56"/>
  <c r="E17" i="61"/>
  <c r="F17" i="61"/>
  <c r="J17" i="61"/>
  <c r="P17" i="61"/>
  <c r="E36" i="58"/>
  <c r="F36" i="58"/>
  <c r="E47" i="58"/>
  <c r="F47" i="58"/>
  <c r="J47" i="58"/>
  <c r="P47" i="58"/>
  <c r="E24" i="58"/>
  <c r="F24" i="58"/>
  <c r="N45" i="59"/>
  <c r="N45" i="58"/>
  <c r="P45" i="58"/>
  <c r="E27" i="58"/>
  <c r="F27" i="58"/>
  <c r="J27" i="58"/>
  <c r="P27" i="58"/>
  <c r="E33" i="58"/>
  <c r="F33" i="58"/>
  <c r="J33" i="58"/>
  <c r="P33" i="58"/>
  <c r="N28" i="58"/>
  <c r="N28" i="59"/>
  <c r="N54" i="58"/>
  <c r="E25" i="56"/>
  <c r="F25" i="56"/>
  <c r="J25" i="56"/>
  <c r="P25" i="56"/>
  <c r="E38" i="1"/>
  <c r="F38" i="1"/>
  <c r="E11" i="1"/>
  <c r="F11" i="1"/>
  <c r="J11" i="1"/>
  <c r="E30" i="1"/>
  <c r="F30" i="1"/>
  <c r="J30" i="1"/>
  <c r="E31" i="1"/>
  <c r="F31" i="1"/>
  <c r="J31" i="1"/>
  <c r="E17" i="1"/>
  <c r="F17" i="1"/>
  <c r="J17" i="1"/>
  <c r="N35" i="61"/>
  <c r="E23" i="61"/>
  <c r="F23" i="61"/>
  <c r="J23" i="61"/>
  <c r="P23" i="61"/>
  <c r="N49" i="61"/>
  <c r="E39" i="61"/>
  <c r="F39" i="61"/>
  <c r="J39" i="61"/>
  <c r="E22" i="1"/>
  <c r="F22" i="1"/>
  <c r="J22" i="1"/>
  <c r="E12" i="1"/>
  <c r="F12" i="1"/>
  <c r="J12" i="1"/>
  <c r="C12" i="59"/>
  <c r="D12" i="59"/>
  <c r="D12" i="58"/>
  <c r="N15" i="58"/>
  <c r="P15" i="58"/>
  <c r="N15" i="59"/>
  <c r="E17" i="58"/>
  <c r="F17" i="58"/>
  <c r="J17" i="58"/>
  <c r="P17" i="58"/>
  <c r="E42" i="56"/>
  <c r="F42" i="56"/>
  <c r="J42" i="56"/>
  <c r="N29" i="57"/>
  <c r="N28" i="57"/>
  <c r="N30" i="57"/>
  <c r="N41" i="57"/>
  <c r="L11" i="58"/>
  <c r="N11" i="58"/>
  <c r="S11" i="58"/>
  <c r="N11" i="57"/>
  <c r="P25" i="57"/>
  <c r="N25" i="57"/>
  <c r="E40" i="57"/>
  <c r="F40" i="57"/>
  <c r="N31" i="57"/>
  <c r="P31" i="57"/>
  <c r="N16" i="57"/>
  <c r="E52" i="57"/>
  <c r="F52" i="57"/>
  <c r="J52" i="57"/>
  <c r="P52" i="57"/>
  <c r="E46" i="57"/>
  <c r="F46" i="57"/>
  <c r="E44" i="57"/>
  <c r="F44" i="57"/>
  <c r="J44" i="57"/>
  <c r="P44" i="57"/>
  <c r="E34" i="57"/>
  <c r="F34" i="57"/>
  <c r="E35" i="57"/>
  <c r="F35" i="57"/>
  <c r="J35" i="57"/>
  <c r="P35" i="57"/>
  <c r="N45" i="57"/>
  <c r="E12" i="57"/>
  <c r="F12" i="57"/>
  <c r="J12" i="57"/>
  <c r="P12" i="57"/>
  <c r="E49" i="57"/>
  <c r="F49" i="57"/>
  <c r="E27" i="57"/>
  <c r="F27" i="57"/>
  <c r="J27" i="57"/>
  <c r="P27" i="57"/>
  <c r="E14" i="57"/>
  <c r="F14" i="57"/>
  <c r="E45" i="57"/>
  <c r="F45" i="57"/>
  <c r="J45" i="57"/>
  <c r="P45" i="57"/>
  <c r="N19" i="57"/>
  <c r="N27" i="57"/>
  <c r="E28" i="61"/>
  <c r="F28" i="61"/>
  <c r="I9" i="55"/>
  <c r="G35" i="52"/>
  <c r="I35" i="52"/>
  <c r="G44" i="58"/>
  <c r="I44" i="58"/>
  <c r="G18" i="56"/>
  <c r="I18" i="56"/>
  <c r="G51" i="60"/>
  <c r="I51" i="60"/>
  <c r="G29" i="59"/>
  <c r="I29" i="59"/>
  <c r="G17" i="58"/>
  <c r="I17" i="58"/>
  <c r="G29" i="58"/>
  <c r="I29" i="58"/>
  <c r="G28" i="54"/>
  <c r="I28" i="54"/>
  <c r="G25" i="54"/>
  <c r="I25" i="54"/>
  <c r="G27" i="56"/>
  <c r="I27" i="56"/>
  <c r="G23" i="52"/>
  <c r="I23" i="52"/>
  <c r="G26" i="52"/>
  <c r="I26" i="52"/>
  <c r="G30" i="55"/>
  <c r="I30" i="55"/>
  <c r="G10" i="52"/>
  <c r="I10" i="52"/>
  <c r="G30" i="52"/>
  <c r="I30" i="52"/>
  <c r="G28" i="57"/>
  <c r="I28" i="57"/>
  <c r="G38" i="57"/>
  <c r="I38" i="57"/>
  <c r="G49" i="1"/>
  <c r="I49" i="1"/>
  <c r="G51" i="57"/>
  <c r="I51" i="57"/>
  <c r="G31" i="59"/>
  <c r="I31" i="59"/>
  <c r="G41" i="55"/>
  <c r="I41" i="55"/>
  <c r="G17" i="52"/>
  <c r="I17" i="52"/>
  <c r="G12" i="1"/>
  <c r="I12" i="1"/>
  <c r="S41" i="61"/>
  <c r="G30" i="60"/>
  <c r="I30" i="60"/>
  <c r="G27" i="1"/>
  <c r="I27" i="1"/>
  <c r="G13" i="58"/>
  <c r="I13" i="58"/>
  <c r="G50" i="59"/>
  <c r="I50" i="59"/>
  <c r="G12" i="57"/>
  <c r="I12" i="57"/>
  <c r="G29" i="54"/>
  <c r="I29" i="54"/>
  <c r="G40" i="61"/>
  <c r="I40" i="61"/>
  <c r="G54" i="53"/>
  <c r="I54" i="53"/>
  <c r="G29" i="57"/>
  <c r="I29" i="57"/>
  <c r="G16" i="54"/>
  <c r="I16" i="54"/>
  <c r="G34" i="54"/>
  <c r="I34" i="54"/>
  <c r="G21" i="56"/>
  <c r="I21" i="56"/>
  <c r="G19" i="53"/>
  <c r="I19" i="53"/>
  <c r="G25" i="53"/>
  <c r="I25" i="53"/>
  <c r="G27" i="59"/>
  <c r="I27" i="59"/>
  <c r="G35" i="59"/>
  <c r="I35" i="59"/>
  <c r="J22" i="52"/>
  <c r="G33" i="52"/>
  <c r="I33" i="52"/>
  <c r="G24" i="52"/>
  <c r="I24" i="52"/>
  <c r="G47" i="52"/>
  <c r="I47" i="52"/>
  <c r="G41" i="60"/>
  <c r="I41" i="60"/>
  <c r="G18" i="1"/>
  <c r="I18" i="1"/>
  <c r="G37" i="56"/>
  <c r="I37" i="56"/>
  <c r="G20" i="60"/>
  <c r="I20" i="60"/>
  <c r="G14" i="56"/>
  <c r="I14" i="56"/>
  <c r="G46" i="53"/>
  <c r="I46" i="53"/>
  <c r="G22" i="57"/>
  <c r="I22" i="57"/>
  <c r="G15" i="61"/>
  <c r="I15" i="61"/>
  <c r="G28" i="1"/>
  <c r="I28" i="1"/>
  <c r="G29" i="60"/>
  <c r="I29" i="60"/>
  <c r="G23" i="55"/>
  <c r="I23" i="55"/>
  <c r="G9" i="56"/>
  <c r="I9" i="56"/>
  <c r="G34" i="59"/>
  <c r="I34" i="59"/>
  <c r="G11" i="52"/>
  <c r="I11" i="52"/>
  <c r="G16" i="52"/>
  <c r="I16" i="52"/>
  <c r="G14" i="52"/>
  <c r="I14" i="52"/>
  <c r="G35" i="57"/>
  <c r="I35" i="57"/>
  <c r="G23" i="61"/>
  <c r="I23" i="61"/>
  <c r="G11" i="1"/>
  <c r="I11" i="1"/>
  <c r="G33" i="58"/>
  <c r="I33" i="58"/>
  <c r="G33" i="60"/>
  <c r="I33" i="60"/>
  <c r="G49" i="54"/>
  <c r="I49" i="54"/>
  <c r="G48" i="1"/>
  <c r="I48" i="1"/>
  <c r="G56" i="1"/>
  <c r="I56" i="1"/>
  <c r="G25" i="61"/>
  <c r="I25" i="61"/>
  <c r="G28" i="60"/>
  <c r="I28" i="60"/>
  <c r="G48" i="58"/>
  <c r="I48" i="58"/>
  <c r="G39" i="57"/>
  <c r="I39" i="57"/>
  <c r="G45" i="58"/>
  <c r="I45" i="58"/>
  <c r="G46" i="56"/>
  <c r="I46" i="56"/>
  <c r="G34" i="1"/>
  <c r="I34" i="1"/>
  <c r="G43" i="61"/>
  <c r="I43" i="61"/>
  <c r="G21" i="57"/>
  <c r="I21" i="57"/>
  <c r="G34" i="58"/>
  <c r="I34" i="58"/>
  <c r="G33" i="1"/>
  <c r="I33" i="1"/>
  <c r="S26" i="56"/>
  <c r="G32" i="1"/>
  <c r="I32" i="1"/>
  <c r="G51" i="58"/>
  <c r="I51" i="58"/>
  <c r="G37" i="53"/>
  <c r="I37" i="53"/>
  <c r="G26" i="56"/>
  <c r="I26" i="56"/>
  <c r="G53" i="60"/>
  <c r="I53" i="60"/>
  <c r="G26" i="59"/>
  <c r="I26" i="59"/>
  <c r="G21" i="59"/>
  <c r="I21" i="59"/>
  <c r="G22" i="55"/>
  <c r="I22" i="55"/>
  <c r="G33" i="59"/>
  <c r="I33" i="59"/>
  <c r="G47" i="59"/>
  <c r="I47" i="59"/>
  <c r="G52" i="55"/>
  <c r="I52" i="55"/>
  <c r="G16" i="59"/>
  <c r="I16" i="59"/>
  <c r="G6" i="52"/>
  <c r="J53" i="55"/>
  <c r="G13" i="55"/>
  <c r="I13" i="55"/>
  <c r="S42" i="55"/>
  <c r="G17" i="60"/>
  <c r="I17" i="60"/>
  <c r="G36" i="59"/>
  <c r="I36" i="59"/>
  <c r="G31" i="55"/>
  <c r="I31" i="55"/>
  <c r="G11" i="55"/>
  <c r="I11" i="55"/>
  <c r="G52" i="59"/>
  <c r="I52" i="59"/>
  <c r="G34" i="55"/>
  <c r="I34" i="55"/>
  <c r="G27" i="55"/>
  <c r="I27" i="55"/>
  <c r="G41" i="59"/>
  <c r="I41" i="59"/>
  <c r="G15" i="55"/>
  <c r="I15" i="55"/>
  <c r="G55" i="55"/>
  <c r="I55" i="55"/>
  <c r="G20" i="55"/>
  <c r="I20" i="55"/>
  <c r="G17" i="61"/>
  <c r="I17" i="61"/>
  <c r="G18" i="54"/>
  <c r="I18" i="54"/>
  <c r="G41" i="54"/>
  <c r="I41" i="54"/>
  <c r="G53" i="57"/>
  <c r="I53" i="57"/>
  <c r="G16" i="56"/>
  <c r="I16" i="56"/>
  <c r="G28" i="56"/>
  <c r="I28" i="56"/>
  <c r="G19" i="56"/>
  <c r="I19" i="56"/>
  <c r="G37" i="58"/>
  <c r="I37" i="58"/>
  <c r="G35" i="60"/>
  <c r="I35" i="60"/>
  <c r="G29" i="56"/>
  <c r="I29" i="56"/>
  <c r="G33" i="53"/>
  <c r="I33" i="53"/>
  <c r="G45" i="53"/>
  <c r="I45" i="53"/>
  <c r="G30" i="58"/>
  <c r="I30" i="58"/>
  <c r="G56" i="60"/>
  <c r="I56" i="60"/>
  <c r="G54" i="1"/>
  <c r="I54" i="1"/>
  <c r="G25" i="60"/>
  <c r="I25" i="60"/>
  <c r="G25" i="59"/>
  <c r="I25" i="59"/>
  <c r="G46" i="55"/>
  <c r="I46" i="55"/>
  <c r="G44" i="59"/>
  <c r="I44" i="59"/>
  <c r="G42" i="55"/>
  <c r="I42" i="55"/>
  <c r="G24" i="59"/>
  <c r="I24" i="59"/>
  <c r="G37" i="55"/>
  <c r="I37" i="55"/>
  <c r="J40" i="58"/>
  <c r="P40" i="58"/>
  <c r="G40" i="58"/>
  <c r="I40" i="58"/>
  <c r="J40" i="1"/>
  <c r="G40" i="1"/>
  <c r="I40" i="1"/>
  <c r="J43" i="55"/>
  <c r="P43" i="55"/>
  <c r="G43" i="55"/>
  <c r="I43" i="55"/>
  <c r="G45" i="57"/>
  <c r="I45" i="57"/>
  <c r="G44" i="57"/>
  <c r="I44" i="57"/>
  <c r="G27" i="58"/>
  <c r="I27" i="58"/>
  <c r="G31" i="54"/>
  <c r="I31" i="54"/>
  <c r="G55" i="61"/>
  <c r="I55" i="61"/>
  <c r="G25" i="58"/>
  <c r="I25" i="58"/>
  <c r="G41" i="58"/>
  <c r="I41" i="58"/>
  <c r="J50" i="56"/>
  <c r="P50" i="56"/>
  <c r="G50" i="56"/>
  <c r="I50" i="56"/>
  <c r="G30" i="56"/>
  <c r="I30" i="56"/>
  <c r="G12" i="56"/>
  <c r="I12" i="56"/>
  <c r="G50" i="61"/>
  <c r="I50" i="61"/>
  <c r="G54" i="60"/>
  <c r="I54" i="60"/>
  <c r="G37" i="60"/>
  <c r="I37" i="60"/>
  <c r="G21" i="54"/>
  <c r="I21" i="54"/>
  <c r="J50" i="54"/>
  <c r="P50" i="54"/>
  <c r="G50" i="54"/>
  <c r="I50" i="54"/>
  <c r="G54" i="61"/>
  <c r="I54" i="61"/>
  <c r="G52" i="56"/>
  <c r="I52" i="56"/>
  <c r="J47" i="53"/>
  <c r="G47" i="53"/>
  <c r="I47" i="53"/>
  <c r="J46" i="61"/>
  <c r="P46" i="61"/>
  <c r="G46" i="61"/>
  <c r="I46" i="61"/>
  <c r="J52" i="54"/>
  <c r="P52" i="54"/>
  <c r="G52" i="54"/>
  <c r="I52" i="54"/>
  <c r="J43" i="1"/>
  <c r="G43" i="1"/>
  <c r="I43" i="1"/>
  <c r="J29" i="1"/>
  <c r="G29" i="1"/>
  <c r="I29" i="1"/>
  <c r="J22" i="54"/>
  <c r="P22" i="54"/>
  <c r="G22" i="54"/>
  <c r="I22" i="54"/>
  <c r="J10" i="1"/>
  <c r="G10" i="1"/>
  <c r="I10" i="1"/>
  <c r="J19" i="58"/>
  <c r="P19" i="58"/>
  <c r="G19" i="58"/>
  <c r="I19" i="58"/>
  <c r="J54" i="55"/>
  <c r="P54" i="55"/>
  <c r="G54" i="55"/>
  <c r="I54" i="55"/>
  <c r="J33" i="55"/>
  <c r="P33" i="55"/>
  <c r="G33" i="55"/>
  <c r="I33" i="55"/>
  <c r="J40" i="55"/>
  <c r="P40" i="55"/>
  <c r="G40" i="55"/>
  <c r="I40" i="55"/>
  <c r="J22" i="59"/>
  <c r="P22" i="59"/>
  <c r="G22" i="59"/>
  <c r="I22" i="59"/>
  <c r="J23" i="59"/>
  <c r="G23" i="59"/>
  <c r="I23" i="59"/>
  <c r="J56" i="57"/>
  <c r="P56" i="57"/>
  <c r="G56" i="57"/>
  <c r="I56" i="57"/>
  <c r="J39" i="54"/>
  <c r="P39" i="54"/>
  <c r="G39" i="54"/>
  <c r="I39" i="54"/>
  <c r="J45" i="60"/>
  <c r="P45" i="60"/>
  <c r="G45" i="60"/>
  <c r="I45" i="60"/>
  <c r="J40" i="59"/>
  <c r="G40" i="59"/>
  <c r="I40" i="59"/>
  <c r="G10" i="54"/>
  <c r="I10" i="54"/>
  <c r="G53" i="53"/>
  <c r="I53" i="53"/>
  <c r="G43" i="57"/>
  <c r="I43" i="57"/>
  <c r="G14" i="58"/>
  <c r="I14" i="58"/>
  <c r="J24" i="60"/>
  <c r="P24" i="60"/>
  <c r="G24" i="60"/>
  <c r="I24" i="60"/>
  <c r="J13" i="54"/>
  <c r="P13" i="54"/>
  <c r="G13" i="54"/>
  <c r="I13" i="54"/>
  <c r="J9" i="54"/>
  <c r="P9" i="54"/>
  <c r="G9" i="54"/>
  <c r="I9" i="54"/>
  <c r="J13" i="53"/>
  <c r="P13" i="53"/>
  <c r="G13" i="53"/>
  <c r="I13" i="53"/>
  <c r="J47" i="61"/>
  <c r="P47" i="61"/>
  <c r="G47" i="61"/>
  <c r="I47" i="61"/>
  <c r="J15" i="56"/>
  <c r="G15" i="56"/>
  <c r="I15" i="56"/>
  <c r="J26" i="60"/>
  <c r="P26" i="60"/>
  <c r="G26" i="60"/>
  <c r="I26" i="60"/>
  <c r="J25" i="55"/>
  <c r="G25" i="55"/>
  <c r="I25" i="55"/>
  <c r="J45" i="59"/>
  <c r="P45" i="59"/>
  <c r="G45" i="59"/>
  <c r="I45" i="59"/>
  <c r="J15" i="1"/>
  <c r="G15" i="1"/>
  <c r="I15" i="1"/>
  <c r="J19" i="61"/>
  <c r="P19" i="61"/>
  <c r="G19" i="61"/>
  <c r="I19" i="61"/>
  <c r="J54" i="59"/>
  <c r="G54" i="59"/>
  <c r="I54" i="59"/>
  <c r="J38" i="55"/>
  <c r="P38" i="55"/>
  <c r="G38" i="55"/>
  <c r="I38" i="55"/>
  <c r="G27" i="57"/>
  <c r="I27" i="57"/>
  <c r="G52" i="57"/>
  <c r="I52" i="57"/>
  <c r="G39" i="61"/>
  <c r="I39" i="61"/>
  <c r="G21" i="58"/>
  <c r="I21" i="58"/>
  <c r="G38" i="54"/>
  <c r="I38" i="54"/>
  <c r="G33" i="54"/>
  <c r="I33" i="54"/>
  <c r="G40" i="53"/>
  <c r="I40" i="53"/>
  <c r="G36" i="1"/>
  <c r="I36" i="1"/>
  <c r="J23" i="60"/>
  <c r="P23" i="60"/>
  <c r="G23" i="60"/>
  <c r="I23" i="60"/>
  <c r="J20" i="54"/>
  <c r="P20" i="54"/>
  <c r="G20" i="54"/>
  <c r="I20" i="54"/>
  <c r="J37" i="54"/>
  <c r="P37" i="54"/>
  <c r="G37" i="54"/>
  <c r="I37" i="54"/>
  <c r="G32" i="54"/>
  <c r="I32" i="54"/>
  <c r="J31" i="56"/>
  <c r="P31" i="56"/>
  <c r="G31" i="56"/>
  <c r="I31" i="56"/>
  <c r="J55" i="57"/>
  <c r="P55" i="57"/>
  <c r="G55" i="57"/>
  <c r="I55" i="57"/>
  <c r="J51" i="1"/>
  <c r="G51" i="1"/>
  <c r="I51" i="1"/>
  <c r="E13" i="60"/>
  <c r="F13" i="60"/>
  <c r="J13" i="60"/>
  <c r="J51" i="59"/>
  <c r="P51" i="59"/>
  <c r="G51" i="59"/>
  <c r="I51" i="59"/>
  <c r="J48" i="55"/>
  <c r="P48" i="55"/>
  <c r="G48" i="55"/>
  <c r="I48" i="55"/>
  <c r="G50" i="55"/>
  <c r="I50" i="55"/>
  <c r="G50" i="58"/>
  <c r="I50" i="58"/>
  <c r="G54" i="56"/>
  <c r="I54" i="56"/>
  <c r="G17" i="56"/>
  <c r="I17" i="56"/>
  <c r="G16" i="1"/>
  <c r="I16" i="1"/>
  <c r="G44" i="61"/>
  <c r="I44" i="61"/>
  <c r="G24" i="61"/>
  <c r="I24" i="61"/>
  <c r="G56" i="56"/>
  <c r="I56" i="56"/>
  <c r="G25" i="57"/>
  <c r="I25" i="57"/>
  <c r="G24" i="57"/>
  <c r="I24" i="57"/>
  <c r="G31" i="57"/>
  <c r="I31" i="57"/>
  <c r="G20" i="57"/>
  <c r="I20" i="57"/>
  <c r="G54" i="57"/>
  <c r="I54" i="57"/>
  <c r="G53" i="56"/>
  <c r="I53" i="56"/>
  <c r="G31" i="61"/>
  <c r="I31" i="61"/>
  <c r="G9" i="1"/>
  <c r="I9" i="1"/>
  <c r="G23" i="1"/>
  <c r="I23" i="1"/>
  <c r="G35" i="1"/>
  <c r="I35" i="1"/>
  <c r="G11" i="54"/>
  <c r="I11" i="54"/>
  <c r="G51" i="54"/>
  <c r="I51" i="54"/>
  <c r="G27" i="53"/>
  <c r="I27" i="53"/>
  <c r="G41" i="57"/>
  <c r="I41" i="57"/>
  <c r="G36" i="56"/>
  <c r="I36" i="56"/>
  <c r="G37" i="1"/>
  <c r="I37" i="1"/>
  <c r="G36" i="61"/>
  <c r="I36" i="61"/>
  <c r="G32" i="53"/>
  <c r="I32" i="53"/>
  <c r="G46" i="60"/>
  <c r="I46" i="60"/>
  <c r="G16" i="60"/>
  <c r="I16" i="60"/>
  <c r="G49" i="58"/>
  <c r="I49" i="58"/>
  <c r="G33" i="56"/>
  <c r="I33" i="56"/>
  <c r="G35" i="55"/>
  <c r="I35" i="55"/>
  <c r="G21" i="55"/>
  <c r="I21" i="55"/>
  <c r="G15" i="59"/>
  <c r="I15" i="59"/>
  <c r="G53" i="59"/>
  <c r="I53" i="59"/>
  <c r="G56" i="59"/>
  <c r="I56" i="59"/>
  <c r="G44" i="55"/>
  <c r="I44" i="55"/>
  <c r="G43" i="59"/>
  <c r="I43" i="59"/>
  <c r="G26" i="58"/>
  <c r="I26" i="58"/>
  <c r="G30" i="59"/>
  <c r="I30" i="59"/>
  <c r="G20" i="59"/>
  <c r="I20" i="59"/>
  <c r="G39" i="59"/>
  <c r="I39" i="59"/>
  <c r="G47" i="55"/>
  <c r="I47" i="55"/>
  <c r="G51" i="55"/>
  <c r="I51" i="55"/>
  <c r="G56" i="55"/>
  <c r="I56" i="55"/>
  <c r="G32" i="59"/>
  <c r="I32" i="59"/>
  <c r="G17" i="59"/>
  <c r="I17" i="59"/>
  <c r="G37" i="59"/>
  <c r="I37" i="59"/>
  <c r="G46" i="59"/>
  <c r="I46" i="59"/>
  <c r="G48" i="59"/>
  <c r="I48" i="59"/>
  <c r="G49" i="59"/>
  <c r="I49" i="59"/>
  <c r="G14" i="55"/>
  <c r="I14" i="55"/>
  <c r="G16" i="55"/>
  <c r="I16" i="55"/>
  <c r="E13" i="59"/>
  <c r="F13" i="59"/>
  <c r="J13" i="59"/>
  <c r="P13" i="59"/>
  <c r="J46" i="57"/>
  <c r="P46" i="57"/>
  <c r="G46" i="57"/>
  <c r="I46" i="57"/>
  <c r="J37" i="61"/>
  <c r="G37" i="61"/>
  <c r="I37" i="61"/>
  <c r="J14" i="53"/>
  <c r="P14" i="53"/>
  <c r="G14" i="53"/>
  <c r="I14" i="53"/>
  <c r="J30" i="57"/>
  <c r="P30" i="57"/>
  <c r="G30" i="57"/>
  <c r="I30" i="57"/>
  <c r="J24" i="1"/>
  <c r="G24" i="1"/>
  <c r="I24" i="1"/>
  <c r="J19" i="1"/>
  <c r="G19" i="1"/>
  <c r="I19" i="1"/>
  <c r="J36" i="57"/>
  <c r="P36" i="57"/>
  <c r="G36" i="57"/>
  <c r="I36" i="57"/>
  <c r="J36" i="53"/>
  <c r="P36" i="53"/>
  <c r="G36" i="53"/>
  <c r="I36" i="53"/>
  <c r="J34" i="57"/>
  <c r="P34" i="57"/>
  <c r="G34" i="57"/>
  <c r="I34" i="57"/>
  <c r="J24" i="58"/>
  <c r="P24" i="58"/>
  <c r="G24" i="58"/>
  <c r="I24" i="58"/>
  <c r="J38" i="53"/>
  <c r="P38" i="53"/>
  <c r="G38" i="53"/>
  <c r="I38" i="53"/>
  <c r="J26" i="61"/>
  <c r="P26" i="61"/>
  <c r="G26" i="61"/>
  <c r="I26" i="61"/>
  <c r="J34" i="56"/>
  <c r="P34" i="56"/>
  <c r="G34" i="56"/>
  <c r="I34" i="56"/>
  <c r="E7" i="53"/>
  <c r="F7" i="53"/>
  <c r="J7" i="53"/>
  <c r="P7" i="53"/>
  <c r="J48" i="56"/>
  <c r="P48" i="56"/>
  <c r="G48" i="56"/>
  <c r="I48" i="56"/>
  <c r="J21" i="53"/>
  <c r="P21" i="53"/>
  <c r="G21" i="53"/>
  <c r="I21" i="53"/>
  <c r="J39" i="58"/>
  <c r="P39" i="58"/>
  <c r="G39" i="58"/>
  <c r="I39" i="58"/>
  <c r="J46" i="1"/>
  <c r="G46" i="1"/>
  <c r="I46" i="1"/>
  <c r="J22" i="60"/>
  <c r="P22" i="60"/>
  <c r="G22" i="60"/>
  <c r="I22" i="60"/>
  <c r="J26" i="53"/>
  <c r="P26" i="53"/>
  <c r="G26" i="53"/>
  <c r="I26" i="53"/>
  <c r="J37" i="57"/>
  <c r="P37" i="57"/>
  <c r="G37" i="57"/>
  <c r="I37" i="57"/>
  <c r="J44" i="1"/>
  <c r="G44" i="1"/>
  <c r="I44" i="1"/>
  <c r="J43" i="54"/>
  <c r="P43" i="54"/>
  <c r="G43" i="54"/>
  <c r="I43" i="54"/>
  <c r="J20" i="1"/>
  <c r="G20" i="1"/>
  <c r="I20" i="1"/>
  <c r="J46" i="54"/>
  <c r="P46" i="54"/>
  <c r="G46" i="54"/>
  <c r="I46" i="54"/>
  <c r="J14" i="57"/>
  <c r="P14" i="57"/>
  <c r="G14" i="57"/>
  <c r="I14" i="57"/>
  <c r="J38" i="1"/>
  <c r="G38" i="1"/>
  <c r="I38" i="1"/>
  <c r="J50" i="60"/>
  <c r="P50" i="60"/>
  <c r="G50" i="60"/>
  <c r="I50" i="60"/>
  <c r="J51" i="61"/>
  <c r="P51" i="61"/>
  <c r="G51" i="61"/>
  <c r="I51" i="61"/>
  <c r="J56" i="61"/>
  <c r="P56" i="61"/>
  <c r="G56" i="61"/>
  <c r="I56" i="61"/>
  <c r="J13" i="57"/>
  <c r="P13" i="57"/>
  <c r="G13" i="57"/>
  <c r="I13" i="57"/>
  <c r="J45" i="1"/>
  <c r="G45" i="1"/>
  <c r="I45" i="1"/>
  <c r="J8" i="1"/>
  <c r="G8" i="1"/>
  <c r="I8" i="1"/>
  <c r="J18" i="61"/>
  <c r="P18" i="61"/>
  <c r="G18" i="61"/>
  <c r="I18" i="61"/>
  <c r="E10" i="57"/>
  <c r="F10" i="57"/>
  <c r="J10" i="57"/>
  <c r="J56" i="53"/>
  <c r="P56" i="53"/>
  <c r="G56" i="53"/>
  <c r="I56" i="53"/>
  <c r="J43" i="53"/>
  <c r="P43" i="53"/>
  <c r="G43" i="53"/>
  <c r="I43" i="53"/>
  <c r="J28" i="61"/>
  <c r="P28" i="61"/>
  <c r="G28" i="61"/>
  <c r="I28" i="61"/>
  <c r="J36" i="60"/>
  <c r="P36" i="60"/>
  <c r="G36" i="60"/>
  <c r="I36" i="60"/>
  <c r="J23" i="53"/>
  <c r="P23" i="53"/>
  <c r="G23" i="53"/>
  <c r="I23" i="53"/>
  <c r="J22" i="56"/>
  <c r="P22" i="56"/>
  <c r="G22" i="56"/>
  <c r="I22" i="56"/>
  <c r="J48" i="57"/>
  <c r="P48" i="57"/>
  <c r="G48" i="57"/>
  <c r="I48" i="57"/>
  <c r="J6" i="1"/>
  <c r="G6" i="1"/>
  <c r="I6" i="1"/>
  <c r="J35" i="54"/>
  <c r="P35" i="54"/>
  <c r="G35" i="54"/>
  <c r="I35" i="54"/>
  <c r="J45" i="56"/>
  <c r="P45" i="56"/>
  <c r="G45" i="56"/>
  <c r="I45" i="56"/>
  <c r="J41" i="1"/>
  <c r="G41" i="1"/>
  <c r="I41" i="1"/>
  <c r="J39" i="60"/>
  <c r="P39" i="60"/>
  <c r="G39" i="60"/>
  <c r="I39" i="60"/>
  <c r="J21" i="61"/>
  <c r="P21" i="61"/>
  <c r="G21" i="61"/>
  <c r="I21" i="61"/>
  <c r="J28" i="58"/>
  <c r="P28" i="58"/>
  <c r="G28" i="58"/>
  <c r="I28" i="58"/>
  <c r="J31" i="53"/>
  <c r="P31" i="53"/>
  <c r="G31" i="53"/>
  <c r="I31" i="53"/>
  <c r="J44" i="53"/>
  <c r="P44" i="53"/>
  <c r="G44" i="53"/>
  <c r="I44" i="53"/>
  <c r="J16" i="58"/>
  <c r="P16" i="58"/>
  <c r="G16" i="58"/>
  <c r="I16" i="58"/>
  <c r="J32" i="60"/>
  <c r="P32" i="60"/>
  <c r="G32" i="60"/>
  <c r="I32" i="60"/>
  <c r="J30" i="54"/>
  <c r="P30" i="54"/>
  <c r="G30" i="54"/>
  <c r="I30" i="54"/>
  <c r="J15" i="57"/>
  <c r="P15" i="57"/>
  <c r="G15" i="57"/>
  <c r="I15" i="57"/>
  <c r="J15" i="54"/>
  <c r="P15" i="54"/>
  <c r="S15" i="54"/>
  <c r="G15" i="54"/>
  <c r="I15" i="54"/>
  <c r="J55" i="54"/>
  <c r="P55" i="54"/>
  <c r="G55" i="54"/>
  <c r="I55" i="54"/>
  <c r="J52" i="61"/>
  <c r="P52" i="61"/>
  <c r="G52" i="61"/>
  <c r="I52" i="61"/>
  <c r="J32" i="56"/>
  <c r="P32" i="56"/>
  <c r="G32" i="56"/>
  <c r="I32" i="56"/>
  <c r="J23" i="56"/>
  <c r="P23" i="56"/>
  <c r="G23" i="56"/>
  <c r="I23" i="56"/>
  <c r="J47" i="56"/>
  <c r="G47" i="56"/>
  <c r="I47" i="56"/>
  <c r="J48" i="61"/>
  <c r="P48" i="61"/>
  <c r="G48" i="61"/>
  <c r="I48" i="61"/>
  <c r="J27" i="60"/>
  <c r="P27" i="60"/>
  <c r="G27" i="60"/>
  <c r="I27" i="60"/>
  <c r="J49" i="57"/>
  <c r="P49" i="57"/>
  <c r="G49" i="57"/>
  <c r="I49" i="57"/>
  <c r="J40" i="57"/>
  <c r="P40" i="57"/>
  <c r="G40" i="57"/>
  <c r="I40" i="57"/>
  <c r="J36" i="58"/>
  <c r="P36" i="58"/>
  <c r="G36" i="58"/>
  <c r="I36" i="58"/>
  <c r="J27" i="61"/>
  <c r="G27" i="61"/>
  <c r="I27" i="61"/>
  <c r="J31" i="60"/>
  <c r="P31" i="60"/>
  <c r="G31" i="60"/>
  <c r="I31" i="60"/>
  <c r="J42" i="54"/>
  <c r="P42" i="54"/>
  <c r="G42" i="54"/>
  <c r="I42" i="54"/>
  <c r="J35" i="53"/>
  <c r="P35" i="53"/>
  <c r="G35" i="53"/>
  <c r="I35" i="53"/>
  <c r="J42" i="53"/>
  <c r="P42" i="53"/>
  <c r="G42" i="53"/>
  <c r="I42" i="53"/>
  <c r="J33" i="57"/>
  <c r="P33" i="57"/>
  <c r="G33" i="57"/>
  <c r="I33" i="57"/>
  <c r="J43" i="58"/>
  <c r="P43" i="58"/>
  <c r="G43" i="58"/>
  <c r="I43" i="58"/>
  <c r="J23" i="57"/>
  <c r="P23" i="57"/>
  <c r="G23" i="57"/>
  <c r="I23" i="57"/>
  <c r="J34" i="61"/>
  <c r="G34" i="61"/>
  <c r="I34" i="61"/>
  <c r="J26" i="1"/>
  <c r="G26" i="1"/>
  <c r="I26" i="1"/>
  <c r="J42" i="60"/>
  <c r="P42" i="60"/>
  <c r="S42" i="60"/>
  <c r="G42" i="60"/>
  <c r="I42" i="60"/>
  <c r="S18" i="54"/>
  <c r="J18" i="53"/>
  <c r="P18" i="53"/>
  <c r="G18" i="53"/>
  <c r="I18" i="53"/>
  <c r="J53" i="1"/>
  <c r="G53" i="1"/>
  <c r="I53" i="1"/>
  <c r="J26" i="57"/>
  <c r="P26" i="57"/>
  <c r="G26" i="57"/>
  <c r="I26" i="57"/>
  <c r="J21" i="1"/>
  <c r="G21" i="1"/>
  <c r="I21" i="1"/>
  <c r="J40" i="56"/>
  <c r="P40" i="56"/>
  <c r="G40" i="56"/>
  <c r="I40" i="56"/>
  <c r="J22" i="53"/>
  <c r="P22" i="53"/>
  <c r="G22" i="53"/>
  <c r="I22" i="53"/>
  <c r="J16" i="53"/>
  <c r="P16" i="53"/>
  <c r="G16" i="53"/>
  <c r="I16" i="53"/>
  <c r="J41" i="53"/>
  <c r="P41" i="53"/>
  <c r="G41" i="53"/>
  <c r="I41" i="53"/>
  <c r="J8" i="53"/>
  <c r="P8" i="53"/>
  <c r="G8" i="53"/>
  <c r="I8" i="53"/>
  <c r="J22" i="61"/>
  <c r="P22" i="61"/>
  <c r="G22" i="61"/>
  <c r="I22" i="61"/>
  <c r="G17" i="1"/>
  <c r="I17" i="1"/>
  <c r="G31" i="1"/>
  <c r="I31" i="1"/>
  <c r="G30" i="1"/>
  <c r="I30" i="1"/>
  <c r="G25" i="56"/>
  <c r="I25" i="56"/>
  <c r="G47" i="58"/>
  <c r="I47" i="58"/>
  <c r="G48" i="60"/>
  <c r="I48" i="60"/>
  <c r="G19" i="60"/>
  <c r="I19" i="60"/>
  <c r="G40" i="60"/>
  <c r="I40" i="60"/>
  <c r="G38" i="60"/>
  <c r="I38" i="60"/>
  <c r="G15" i="60"/>
  <c r="I15" i="60"/>
  <c r="G21" i="60"/>
  <c r="I21" i="60"/>
  <c r="G19" i="54"/>
  <c r="I19" i="54"/>
  <c r="G20" i="56"/>
  <c r="I20" i="56"/>
  <c r="G30" i="61"/>
  <c r="I30" i="61"/>
  <c r="G39" i="56"/>
  <c r="I39" i="56"/>
  <c r="G11" i="53"/>
  <c r="I11" i="53"/>
  <c r="G52" i="53"/>
  <c r="I52" i="53"/>
  <c r="G50" i="53"/>
  <c r="I50" i="53"/>
  <c r="G29" i="53"/>
  <c r="I29" i="53"/>
  <c r="G20" i="53"/>
  <c r="I20" i="53"/>
  <c r="G34" i="53"/>
  <c r="I34" i="53"/>
  <c r="G17" i="53"/>
  <c r="I17" i="53"/>
  <c r="G49" i="56"/>
  <c r="I49" i="56"/>
  <c r="G25" i="1"/>
  <c r="I25" i="1"/>
  <c r="G18" i="57"/>
  <c r="I18" i="57"/>
  <c r="G42" i="57"/>
  <c r="I42" i="57"/>
  <c r="G16" i="57"/>
  <c r="I16" i="57"/>
  <c r="G19" i="57"/>
  <c r="I19" i="57"/>
  <c r="G32" i="57"/>
  <c r="I32" i="57"/>
  <c r="G50" i="1"/>
  <c r="I50" i="1"/>
  <c r="G20" i="61"/>
  <c r="I20" i="61"/>
  <c r="G13" i="56"/>
  <c r="I13" i="56"/>
  <c r="S29" i="60"/>
  <c r="G44" i="54"/>
  <c r="I44" i="54"/>
  <c r="G12" i="54"/>
  <c r="I12" i="54"/>
  <c r="G14" i="54"/>
  <c r="I14" i="54"/>
  <c r="G38" i="58"/>
  <c r="I38" i="58"/>
  <c r="G43" i="56"/>
  <c r="I43" i="56"/>
  <c r="G56" i="58"/>
  <c r="I56" i="58"/>
  <c r="G42" i="1"/>
  <c r="I42" i="1"/>
  <c r="G42" i="61"/>
  <c r="I42" i="61"/>
  <c r="G49" i="61"/>
  <c r="I49" i="61"/>
  <c r="G55" i="56"/>
  <c r="I55" i="56"/>
  <c r="G32" i="61"/>
  <c r="I32" i="61"/>
  <c r="G18" i="60"/>
  <c r="I18" i="60"/>
  <c r="G49" i="60"/>
  <c r="I49" i="60"/>
  <c r="S27" i="54"/>
  <c r="G36" i="54"/>
  <c r="I36" i="54"/>
  <c r="G26" i="54"/>
  <c r="I26" i="54"/>
  <c r="S54" i="54"/>
  <c r="G56" i="54"/>
  <c r="I56" i="54"/>
  <c r="G23" i="58"/>
  <c r="I23" i="58"/>
  <c r="G32" i="58"/>
  <c r="I32" i="58"/>
  <c r="G47" i="1"/>
  <c r="I47" i="1"/>
  <c r="G30" i="53"/>
  <c r="I30" i="53"/>
  <c r="G24" i="53"/>
  <c r="I24" i="53"/>
  <c r="G55" i="53"/>
  <c r="I55" i="53"/>
  <c r="G10" i="53"/>
  <c r="I10" i="53"/>
  <c r="G48" i="53"/>
  <c r="I48" i="53"/>
  <c r="G11" i="56"/>
  <c r="I11" i="56"/>
  <c r="G38" i="56"/>
  <c r="I38" i="56"/>
  <c r="G24" i="56"/>
  <c r="I24" i="56"/>
  <c r="G53" i="61"/>
  <c r="I53" i="61"/>
  <c r="G54" i="58"/>
  <c r="I54" i="58"/>
  <c r="G51" i="56"/>
  <c r="I51" i="56"/>
  <c r="G41" i="61"/>
  <c r="I41" i="61"/>
  <c r="G29" i="61"/>
  <c r="I29" i="61"/>
  <c r="G38" i="61"/>
  <c r="I38" i="61"/>
  <c r="G35" i="56"/>
  <c r="I35" i="56"/>
  <c r="G44" i="56"/>
  <c r="I44" i="56"/>
  <c r="G28" i="53"/>
  <c r="I28" i="53"/>
  <c r="G39" i="53"/>
  <c r="I39" i="53"/>
  <c r="G51" i="53"/>
  <c r="I51" i="53"/>
  <c r="G41" i="56"/>
  <c r="I41" i="56"/>
  <c r="G31" i="58"/>
  <c r="I31" i="58"/>
  <c r="G55" i="58"/>
  <c r="I55" i="58"/>
  <c r="G53" i="58"/>
  <c r="I53" i="58"/>
  <c r="G18" i="58"/>
  <c r="I18" i="58"/>
  <c r="G15" i="58"/>
  <c r="I15" i="58"/>
  <c r="G33" i="61"/>
  <c r="I33" i="61"/>
  <c r="G45" i="61"/>
  <c r="I45" i="61"/>
  <c r="G34" i="60"/>
  <c r="I34" i="60"/>
  <c r="E8" i="55"/>
  <c r="F8" i="55"/>
  <c r="J8" i="55"/>
  <c r="G53" i="54"/>
  <c r="I53" i="54"/>
  <c r="G24" i="54"/>
  <c r="I24" i="54"/>
  <c r="G23" i="54"/>
  <c r="I23" i="54"/>
  <c r="G55" i="1"/>
  <c r="I55" i="1"/>
  <c r="G14" i="1"/>
  <c r="I14" i="1"/>
  <c r="G52" i="60"/>
  <c r="I52" i="60"/>
  <c r="G15" i="53"/>
  <c r="I15" i="53"/>
  <c r="G12" i="53"/>
  <c r="I12" i="53"/>
  <c r="G35" i="61"/>
  <c r="I35" i="61"/>
  <c r="G7" i="1"/>
  <c r="I7" i="1"/>
  <c r="E8" i="54"/>
  <c r="F8" i="54"/>
  <c r="J8" i="54"/>
  <c r="P8" i="54"/>
  <c r="S29" i="54"/>
  <c r="E12" i="58"/>
  <c r="F12" i="58"/>
  <c r="J12" i="58"/>
  <c r="P12" i="58"/>
  <c r="E14" i="60"/>
  <c r="F14" i="60"/>
  <c r="J14" i="60"/>
  <c r="P14" i="60"/>
  <c r="E5" i="52"/>
  <c r="F5" i="52"/>
  <c r="J5" i="52"/>
  <c r="E11" i="58"/>
  <c r="F11" i="58"/>
  <c r="J11" i="58"/>
  <c r="E12" i="59"/>
  <c r="F12" i="59"/>
  <c r="J12" i="59"/>
  <c r="G22" i="1"/>
  <c r="I22" i="1"/>
  <c r="G42" i="56"/>
  <c r="I42" i="56"/>
  <c r="S53" i="54"/>
  <c r="G40" i="54"/>
  <c r="I40" i="54"/>
  <c r="G22" i="58"/>
  <c r="I22" i="58"/>
  <c r="G20" i="58"/>
  <c r="I20" i="58"/>
  <c r="G52" i="1"/>
  <c r="I52" i="1"/>
  <c r="E14" i="61"/>
  <c r="F14" i="61"/>
  <c r="J14" i="61"/>
  <c r="G50" i="57"/>
  <c r="I50" i="57"/>
  <c r="G17" i="57"/>
  <c r="I17" i="57"/>
  <c r="G13" i="1"/>
  <c r="I13" i="1"/>
  <c r="S37" i="56"/>
  <c r="E10" i="56"/>
  <c r="F10" i="56"/>
  <c r="J10" i="56"/>
  <c r="P10" i="56"/>
  <c r="S10" i="56"/>
  <c r="E5" i="1"/>
  <c r="F5" i="1"/>
  <c r="J5" i="1"/>
  <c r="E7" i="54"/>
  <c r="F7" i="54"/>
  <c r="J7" i="54"/>
  <c r="E11" i="57"/>
  <c r="F11" i="57"/>
  <c r="J11" i="57"/>
  <c r="P11" i="57"/>
  <c r="G47" i="57"/>
  <c r="I47" i="57"/>
  <c r="G16" i="61"/>
  <c r="I16" i="61"/>
  <c r="G48" i="54"/>
  <c r="I48" i="54"/>
  <c r="G47" i="54"/>
  <c r="I47" i="54"/>
  <c r="G39" i="1"/>
  <c r="I39" i="1"/>
  <c r="G9" i="53"/>
  <c r="I9" i="53"/>
  <c r="G49" i="53"/>
  <c r="I49" i="53"/>
  <c r="G52" i="58"/>
  <c r="I52" i="58"/>
  <c r="G47" i="60"/>
  <c r="I47" i="60"/>
  <c r="G17" i="54"/>
  <c r="I17" i="54"/>
  <c r="G54" i="54"/>
  <c r="I54" i="54"/>
  <c r="G27" i="54"/>
  <c r="I27" i="54"/>
  <c r="G42" i="58"/>
  <c r="I42" i="58"/>
  <c r="G7" i="53"/>
  <c r="Q6" i="53"/>
  <c r="I6" i="52"/>
  <c r="G13" i="60"/>
  <c r="I13" i="60"/>
  <c r="G7" i="54"/>
  <c r="I7" i="54"/>
  <c r="G14" i="61"/>
  <c r="I14" i="61"/>
  <c r="G13" i="59"/>
  <c r="Q7" i="54"/>
  <c r="S7" i="54"/>
  <c r="I7" i="53"/>
  <c r="G12" i="58"/>
  <c r="G8" i="55"/>
  <c r="I8" i="55"/>
  <c r="G10" i="57"/>
  <c r="I10" i="57"/>
  <c r="G5" i="1"/>
  <c r="G10" i="56"/>
  <c r="G11" i="57"/>
  <c r="G12" i="59"/>
  <c r="I12" i="59"/>
  <c r="G11" i="58"/>
  <c r="I11" i="58"/>
  <c r="G5" i="52"/>
  <c r="I5" i="52"/>
  <c r="G14" i="60"/>
  <c r="G8" i="54"/>
  <c r="Q13" i="60"/>
  <c r="I13" i="59"/>
  <c r="Q12" i="59"/>
  <c r="I12" i="58"/>
  <c r="Q5" i="52"/>
  <c r="I5" i="1"/>
  <c r="Q8" i="55"/>
  <c r="I8" i="54"/>
  <c r="I14" i="60"/>
  <c r="Q14" i="61"/>
  <c r="Q11" i="58"/>
  <c r="I11" i="57"/>
  <c r="I10" i="56"/>
  <c r="Q10" i="57"/>
  <c r="P18" i="58"/>
  <c r="N18" i="58"/>
  <c r="P33" i="61"/>
  <c r="N33" i="61"/>
  <c r="S33" i="61"/>
  <c r="N31" i="61"/>
  <c r="P31" i="61"/>
  <c r="P53" i="56"/>
  <c r="N53" i="57"/>
  <c r="N15" i="55"/>
  <c r="P15" i="55"/>
  <c r="P46" i="55"/>
  <c r="N46" i="55"/>
  <c r="P14" i="55"/>
  <c r="N14" i="55"/>
  <c r="P28" i="55"/>
  <c r="N28" i="55"/>
  <c r="O25" i="60"/>
  <c r="O25" i="61"/>
  <c r="O9" i="54"/>
  <c r="S9" i="54" s="1"/>
  <c r="O9" i="55"/>
  <c r="S46" i="61"/>
  <c r="P42" i="56"/>
  <c r="S42" i="56"/>
  <c r="P39" i="61"/>
  <c r="N34" i="61"/>
  <c r="S34" i="61"/>
  <c r="N16" i="61"/>
  <c r="S16" i="61"/>
  <c r="P38" i="60"/>
  <c r="N16" i="55"/>
  <c r="N11" i="54"/>
  <c r="P40" i="61"/>
  <c r="S40" i="61"/>
  <c r="P51" i="56"/>
  <c r="P37" i="55"/>
  <c r="P53" i="61"/>
  <c r="N53" i="61"/>
  <c r="P44" i="55"/>
  <c r="S44" i="55"/>
  <c r="N44" i="56"/>
  <c r="O41" i="54"/>
  <c r="S41" i="54" s="1"/>
  <c r="O30" i="56"/>
  <c r="S30" i="56" s="1"/>
  <c r="O30" i="55"/>
  <c r="S30" i="55" s="1"/>
  <c r="N42" i="61"/>
  <c r="N46" i="56"/>
  <c r="N31" i="55"/>
  <c r="S31" i="54"/>
  <c r="N28" i="56"/>
  <c r="S44" i="61"/>
  <c r="N45" i="56"/>
  <c r="N24" i="57"/>
  <c r="N36" i="57"/>
  <c r="P36" i="56"/>
  <c r="N43" i="56"/>
  <c r="P43" i="56"/>
  <c r="P41" i="59"/>
  <c r="N41" i="59"/>
  <c r="P26" i="59"/>
  <c r="N26" i="59"/>
  <c r="N22" i="59"/>
  <c r="N22" i="60"/>
  <c r="P46" i="59"/>
  <c r="P37" i="61"/>
  <c r="P15" i="56"/>
  <c r="N18" i="59"/>
  <c r="S28" i="56"/>
  <c r="N14" i="56"/>
  <c r="S14" i="56"/>
  <c r="N40" i="56"/>
  <c r="N40" i="57"/>
  <c r="N48" i="56"/>
  <c r="S48" i="56"/>
  <c r="N48" i="57"/>
  <c r="N33" i="54"/>
  <c r="P48" i="54"/>
  <c r="N48" i="55"/>
  <c r="S48" i="55"/>
  <c r="N8" i="54"/>
  <c r="N36" i="61"/>
  <c r="N30" i="60"/>
  <c r="P30" i="60"/>
  <c r="N30" i="61"/>
  <c r="N50" i="61"/>
  <c r="P55" i="60"/>
  <c r="N55" i="60"/>
  <c r="N42" i="57"/>
  <c r="N42" i="58"/>
  <c r="N51" i="57"/>
  <c r="O50" i="52"/>
  <c r="O32" i="61"/>
  <c r="S32" i="61" s="1"/>
  <c r="O21" i="54"/>
  <c r="S21" i="54"/>
  <c r="O21" i="55"/>
  <c r="O10" i="54"/>
  <c r="S10" i="54" s="1"/>
  <c r="O10" i="55"/>
  <c r="S10" i="55"/>
  <c r="O12" i="56"/>
  <c r="S12" i="56" s="1"/>
  <c r="O56" i="54"/>
  <c r="S56" i="54"/>
  <c r="M62" i="1"/>
  <c r="M46" i="1"/>
  <c r="M30" i="1"/>
  <c r="M14" i="1"/>
  <c r="M61" i="1"/>
  <c r="M45" i="1"/>
  <c r="M29" i="1"/>
  <c r="M13" i="1"/>
  <c r="O13" i="52" s="1"/>
  <c r="S13" i="52" s="1"/>
  <c r="M68" i="1"/>
  <c r="M52" i="1"/>
  <c r="M36" i="1"/>
  <c r="M20" i="1"/>
  <c r="M51" i="1"/>
  <c r="M31" i="1"/>
  <c r="M43" i="1"/>
  <c r="M58" i="1"/>
  <c r="M42" i="1"/>
  <c r="M26" i="1"/>
  <c r="O26" i="52"/>
  <c r="M10" i="1"/>
  <c r="M57" i="1"/>
  <c r="M41" i="1"/>
  <c r="M25" i="1"/>
  <c r="M9" i="1"/>
  <c r="M64" i="1"/>
  <c r="O64" i="52" s="1"/>
  <c r="S64" i="52" s="1"/>
  <c r="M48" i="1"/>
  <c r="M32" i="1"/>
  <c r="M16" i="1"/>
  <c r="M11" i="1"/>
  <c r="M63" i="1"/>
  <c r="M47" i="1"/>
  <c r="M15" i="1"/>
  <c r="M67" i="1"/>
  <c r="M54" i="1"/>
  <c r="M38" i="1"/>
  <c r="M22" i="1"/>
  <c r="M6" i="1"/>
  <c r="M53" i="1"/>
  <c r="M37" i="1"/>
  <c r="M21" i="1"/>
  <c r="M69" i="1"/>
  <c r="M60" i="1"/>
  <c r="M44" i="1"/>
  <c r="M28" i="1"/>
  <c r="M12" i="1"/>
  <c r="M27" i="1"/>
  <c r="M23" i="1"/>
  <c r="M7" i="1"/>
  <c r="M59" i="1"/>
  <c r="M39" i="1"/>
  <c r="M69" i="52"/>
  <c r="O69" i="53" s="1"/>
  <c r="S69" i="53" s="1"/>
  <c r="M60" i="52"/>
  <c r="M38" i="52"/>
  <c r="O38" i="53" s="1"/>
  <c r="S38" i="53" s="1"/>
  <c r="M51" i="52"/>
  <c r="M14" i="52"/>
  <c r="M42" i="52"/>
  <c r="M48" i="52"/>
  <c r="M57" i="52"/>
  <c r="O57" i="53"/>
  <c r="S57" i="53" s="1"/>
  <c r="M30" i="52"/>
  <c r="M37" i="52"/>
  <c r="O37" i="53" s="1"/>
  <c r="S37" i="53" s="1"/>
  <c r="M16" i="52"/>
  <c r="O16" i="53" s="1"/>
  <c r="M39" i="52"/>
  <c r="O39" i="53" s="1"/>
  <c r="M35" i="52"/>
  <c r="M46" i="52"/>
  <c r="O46" i="53" s="1"/>
  <c r="S46" i="53" s="1"/>
  <c r="M6" i="52"/>
  <c r="M43" i="52"/>
  <c r="O43" i="53" s="1"/>
  <c r="S43" i="53" s="1"/>
  <c r="M58" i="52"/>
  <c r="O58" i="53"/>
  <c r="S58" i="53" s="1"/>
  <c r="M11" i="52"/>
  <c r="O11" i="53" s="1"/>
  <c r="M7" i="52"/>
  <c r="O7" i="53" s="1"/>
  <c r="M17" i="52"/>
  <c r="M54" i="52"/>
  <c r="O54" i="53" s="1"/>
  <c r="S54" i="53" s="1"/>
  <c r="M59" i="52"/>
  <c r="M19" i="52"/>
  <c r="O19" i="53" s="1"/>
  <c r="S19" i="53" s="1"/>
  <c r="M20" i="52"/>
  <c r="M32" i="52"/>
  <c r="O32" i="53" s="1"/>
  <c r="S32" i="53" s="1"/>
  <c r="M27" i="52"/>
  <c r="O27" i="53"/>
  <c r="M24" i="52"/>
  <c r="L20" i="55"/>
  <c r="L36" i="55"/>
  <c r="L53" i="55"/>
  <c r="L56" i="55"/>
  <c r="L22" i="55"/>
  <c r="L55" i="55"/>
  <c r="L32" i="55"/>
  <c r="L41" i="55"/>
  <c r="L25" i="55"/>
  <c r="L17" i="55"/>
  <c r="N17" i="55"/>
  <c r="L49" i="55"/>
  <c r="L29" i="55"/>
  <c r="L11" i="55"/>
  <c r="L39" i="55"/>
  <c r="L21" i="55"/>
  <c r="O18" i="56"/>
  <c r="S18" i="56" s="1"/>
  <c r="O18" i="55"/>
  <c r="S59" i="56"/>
  <c r="L50" i="58"/>
  <c r="L46" i="58"/>
  <c r="N46" i="59"/>
  <c r="M41" i="58"/>
  <c r="M44" i="58"/>
  <c r="M35" i="58"/>
  <c r="M29" i="58"/>
  <c r="O29" i="59"/>
  <c r="S29" i="59" s="1"/>
  <c r="M57" i="58"/>
  <c r="M63" i="58"/>
  <c r="O63" i="59"/>
  <c r="S63" i="59" s="1"/>
  <c r="M12" i="58"/>
  <c r="M28" i="58"/>
  <c r="O28" i="59" s="1"/>
  <c r="S28" i="59" s="1"/>
  <c r="M42" i="58"/>
  <c r="O42" i="59" s="1"/>
  <c r="S42" i="59" s="1"/>
  <c r="M20" i="58"/>
  <c r="O20" i="58" s="1"/>
  <c r="L54" i="59"/>
  <c r="L36" i="59"/>
  <c r="N36" i="60"/>
  <c r="S36" i="60"/>
  <c r="L40" i="59"/>
  <c r="N40" i="60"/>
  <c r="L31" i="59"/>
  <c r="L16" i="59"/>
  <c r="L49" i="59"/>
  <c r="L50" i="59"/>
  <c r="L35" i="59"/>
  <c r="L23" i="59"/>
  <c r="L27" i="59"/>
  <c r="L37" i="59"/>
  <c r="L25" i="59"/>
  <c r="L19" i="59"/>
  <c r="L32" i="59"/>
  <c r="L53" i="59"/>
  <c r="L20" i="59"/>
  <c r="M60" i="59"/>
  <c r="O60" i="60" s="1"/>
  <c r="S60" i="60" s="1"/>
  <c r="M34" i="59"/>
  <c r="O34" i="60" s="1"/>
  <c r="S34" i="60"/>
  <c r="M30" i="59"/>
  <c r="O30" i="60" s="1"/>
  <c r="M62" i="59"/>
  <c r="O62" i="60" s="1"/>
  <c r="S62" i="60" s="1"/>
  <c r="M59" i="59"/>
  <c r="O59" i="60"/>
  <c r="S59" i="60" s="1"/>
  <c r="M53" i="59"/>
  <c r="M49" i="59"/>
  <c r="O49" i="60" s="1"/>
  <c r="M45" i="59"/>
  <c r="O45" i="60" s="1"/>
  <c r="S45" i="60" s="1"/>
  <c r="M41" i="59"/>
  <c r="O41" i="60" s="1"/>
  <c r="S41" i="60" s="1"/>
  <c r="M65" i="59"/>
  <c r="O65" i="60" s="1"/>
  <c r="S65" i="60"/>
  <c r="M19" i="59"/>
  <c r="O19" i="60" s="1"/>
  <c r="S19" i="60" s="1"/>
  <c r="M38" i="59"/>
  <c r="O38" i="60"/>
  <c r="S38" i="60" s="1"/>
  <c r="M18" i="59"/>
  <c r="O18" i="60" s="1"/>
  <c r="S18" i="60" s="1"/>
  <c r="M14" i="59"/>
  <c r="O14" i="60"/>
  <c r="S14" i="60" s="1"/>
  <c r="M58" i="59"/>
  <c r="O58" i="60" s="1"/>
  <c r="S58" i="60" s="1"/>
  <c r="M56" i="59"/>
  <c r="M52" i="59"/>
  <c r="O52" i="60" s="1"/>
  <c r="S52" i="60" s="1"/>
  <c r="M48" i="59"/>
  <c r="O48" i="60"/>
  <c r="S48" i="60" s="1"/>
  <c r="M44" i="59"/>
  <c r="O44" i="60" s="1"/>
  <c r="S44" i="60" s="1"/>
  <c r="M40" i="59"/>
  <c r="O40" i="60"/>
  <c r="S40" i="60" s="1"/>
  <c r="M61" i="59"/>
  <c r="O61" i="60" s="1"/>
  <c r="S61" i="60" s="1"/>
  <c r="M24" i="59"/>
  <c r="O24" i="60" s="1"/>
  <c r="S24" i="60" s="1"/>
  <c r="M33" i="59"/>
  <c r="O33" i="60" s="1"/>
  <c r="S33" i="60" s="1"/>
  <c r="M21" i="59"/>
  <c r="O21" i="60" s="1"/>
  <c r="S21" i="60" s="1"/>
  <c r="M15" i="59"/>
  <c r="O15" i="59" s="1"/>
  <c r="S15" i="59" s="1"/>
  <c r="M16" i="59"/>
  <c r="O16" i="60"/>
  <c r="M27" i="59"/>
  <c r="O27" i="60" s="1"/>
  <c r="S27" i="60" s="1"/>
  <c r="M31" i="59"/>
  <c r="O31" i="60"/>
  <c r="M22" i="59"/>
  <c r="O22" i="60" s="1"/>
  <c r="S22" i="60" s="1"/>
  <c r="M67" i="59"/>
  <c r="O67" i="60" s="1"/>
  <c r="S67" i="60" s="1"/>
  <c r="M55" i="59"/>
  <c r="O55" i="60" s="1"/>
  <c r="S55" i="60" s="1"/>
  <c r="M51" i="59"/>
  <c r="M47" i="59"/>
  <c r="O47" i="60"/>
  <c r="S47" i="60" s="1"/>
  <c r="M43" i="59"/>
  <c r="O43" i="60" s="1"/>
  <c r="S43" i="60" s="1"/>
  <c r="M39" i="59"/>
  <c r="M57" i="59"/>
  <c r="O57" i="60" s="1"/>
  <c r="S57" i="60" s="1"/>
  <c r="M35" i="59"/>
  <c r="O35" i="60" s="1"/>
  <c r="S35" i="60" s="1"/>
  <c r="M64" i="59"/>
  <c r="O64" i="60"/>
  <c r="S64" i="60" s="1"/>
  <c r="M32" i="59"/>
  <c r="O32" i="60" s="1"/>
  <c r="M12" i="59"/>
  <c r="M17" i="59"/>
  <c r="S34" i="56"/>
  <c r="S44" i="56"/>
  <c r="N54" i="59"/>
  <c r="N41" i="58"/>
  <c r="N25" i="58"/>
  <c r="N52" i="58"/>
  <c r="N38" i="56"/>
  <c r="S38" i="56"/>
  <c r="O62" i="56"/>
  <c r="S62" i="56" s="1"/>
  <c r="O62" i="55"/>
  <c r="S62" i="55"/>
  <c r="O52" i="52"/>
  <c r="O52" i="53"/>
  <c r="S52" i="53" s="1"/>
  <c r="O26" i="55"/>
  <c r="S26" i="55"/>
  <c r="O26" i="54"/>
  <c r="S26" i="54" s="1"/>
  <c r="O30" i="59"/>
  <c r="S30" i="59"/>
  <c r="O49" i="52"/>
  <c r="S18" i="55"/>
  <c r="N40" i="54"/>
  <c r="N26" i="61"/>
  <c r="S26" i="61"/>
  <c r="N25" i="61"/>
  <c r="S25" i="61"/>
  <c r="N48" i="61"/>
  <c r="S20" i="61"/>
  <c r="N52" i="61"/>
  <c r="O69" i="54"/>
  <c r="S69" i="54" s="1"/>
  <c r="O69" i="55"/>
  <c r="S69" i="55" s="1"/>
  <c r="O58" i="59"/>
  <c r="S58" i="59" s="1"/>
  <c r="O45" i="54"/>
  <c r="S45" i="54" s="1"/>
  <c r="S35" i="61"/>
  <c r="O55" i="61"/>
  <c r="S55" i="61" s="1"/>
  <c r="O40" i="56"/>
  <c r="O38" i="61"/>
  <c r="S38" i="61"/>
  <c r="O32" i="56"/>
  <c r="O25" i="54"/>
  <c r="S25" i="54" s="1"/>
  <c r="O29" i="61"/>
  <c r="S29" i="61" s="1"/>
  <c r="O22" i="61"/>
  <c r="S22" i="61"/>
  <c r="O56" i="60"/>
  <c r="S56" i="60" s="1"/>
  <c r="O16" i="54"/>
  <c r="S16" i="54" s="1"/>
  <c r="O20" i="57"/>
  <c r="S20" i="58"/>
  <c r="L15" i="1"/>
  <c r="L53" i="1"/>
  <c r="L43" i="1"/>
  <c r="L39" i="1"/>
  <c r="L11" i="1"/>
  <c r="L49" i="1"/>
  <c r="L38" i="1"/>
  <c r="L14" i="1"/>
  <c r="L24" i="1"/>
  <c r="L27" i="1"/>
  <c r="L46" i="1"/>
  <c r="L21" i="1"/>
  <c r="L37" i="1"/>
  <c r="L25" i="1"/>
  <c r="L42" i="1"/>
  <c r="L36" i="1"/>
  <c r="L13" i="1"/>
  <c r="L8" i="1"/>
  <c r="L30" i="1"/>
  <c r="L35" i="1"/>
  <c r="L56" i="1"/>
  <c r="L54" i="1"/>
  <c r="L7" i="1"/>
  <c r="L28" i="1"/>
  <c r="L40" i="1"/>
  <c r="L32" i="1"/>
  <c r="L47" i="1"/>
  <c r="L48" i="1"/>
  <c r="L16" i="1"/>
  <c r="L12" i="1"/>
  <c r="L41" i="1"/>
  <c r="L22" i="1"/>
  <c r="L55" i="1"/>
  <c r="L9" i="1"/>
  <c r="L45" i="1"/>
  <c r="L17" i="1"/>
  <c r="L50" i="1"/>
  <c r="L34" i="1"/>
  <c r="L29" i="1"/>
  <c r="L33" i="1"/>
  <c r="L6" i="1"/>
  <c r="L44" i="1"/>
  <c r="L20" i="1"/>
  <c r="L51" i="1"/>
  <c r="L5" i="1"/>
  <c r="L5" i="52"/>
  <c r="N5" i="52"/>
  <c r="S5" i="52"/>
  <c r="L18" i="1"/>
  <c r="L52" i="1"/>
  <c r="L31" i="1"/>
  <c r="L19" i="1"/>
  <c r="S30" i="61"/>
  <c r="M30" i="57"/>
  <c r="M16" i="57"/>
  <c r="M32" i="57"/>
  <c r="M62" i="57"/>
  <c r="M60" i="57"/>
  <c r="M56" i="57"/>
  <c r="M52" i="57"/>
  <c r="M48" i="57"/>
  <c r="M44" i="57"/>
  <c r="M40" i="57"/>
  <c r="O40" i="57" s="1"/>
  <c r="S40" i="57" s="1"/>
  <c r="M69" i="57"/>
  <c r="M38" i="57"/>
  <c r="M29" i="57"/>
  <c r="M37" i="57"/>
  <c r="M24" i="57"/>
  <c r="M68" i="57"/>
  <c r="M63" i="57"/>
  <c r="O63" i="58" s="1"/>
  <c r="S63" i="58" s="1"/>
  <c r="M54" i="57"/>
  <c r="M50" i="57"/>
  <c r="M46" i="57"/>
  <c r="M42" i="57"/>
  <c r="O42" i="58"/>
  <c r="S42" i="58" s="1"/>
  <c r="M65" i="57"/>
  <c r="M27" i="57"/>
  <c r="M12" i="57"/>
  <c r="M28" i="57"/>
  <c r="O28" i="58"/>
  <c r="S28" i="58" s="1"/>
  <c r="M66" i="57"/>
  <c r="M64" i="57"/>
  <c r="O64" i="57"/>
  <c r="S64" i="57" s="1"/>
  <c r="M59" i="57"/>
  <c r="M53" i="57"/>
  <c r="O53" i="58" s="1"/>
  <c r="S53" i="58" s="1"/>
  <c r="M49" i="57"/>
  <c r="O49" i="57" s="1"/>
  <c r="S49" i="57" s="1"/>
  <c r="M45" i="57"/>
  <c r="M41" i="57"/>
  <c r="M61" i="57"/>
  <c r="M33" i="57"/>
  <c r="M11" i="57"/>
  <c r="M18" i="57"/>
  <c r="M10" i="57"/>
  <c r="M51" i="57"/>
  <c r="M39" i="57"/>
  <c r="M19" i="57"/>
  <c r="M15" i="57"/>
  <c r="M31" i="57"/>
  <c r="M26" i="57"/>
  <c r="M58" i="57"/>
  <c r="M47" i="57"/>
  <c r="M14" i="57"/>
  <c r="M25" i="57"/>
  <c r="M17" i="57"/>
  <c r="M13" i="57"/>
  <c r="M55" i="57"/>
  <c r="M57" i="57"/>
  <c r="M35" i="57"/>
  <c r="M21" i="57"/>
  <c r="M34" i="57"/>
  <c r="M67" i="57"/>
  <c r="M23" i="57"/>
  <c r="M36" i="57"/>
  <c r="M43" i="57"/>
  <c r="M22" i="57"/>
  <c r="L43" i="52"/>
  <c r="L7" i="52"/>
  <c r="L55" i="52"/>
  <c r="L48" i="52"/>
  <c r="L34" i="52"/>
  <c r="L47" i="52"/>
  <c r="L8" i="52"/>
  <c r="L37" i="52"/>
  <c r="L24" i="52"/>
  <c r="L23" i="52"/>
  <c r="L52" i="52"/>
  <c r="L20" i="52"/>
  <c r="L50" i="52"/>
  <c r="L26" i="52"/>
  <c r="L42" i="52"/>
  <c r="L19" i="52"/>
  <c r="L38" i="52"/>
  <c r="L35" i="52"/>
  <c r="L31" i="52"/>
  <c r="L22" i="52"/>
  <c r="L18" i="52"/>
  <c r="N18" i="53"/>
  <c r="L17" i="52"/>
  <c r="L54" i="52"/>
  <c r="L21" i="52"/>
  <c r="L13" i="52"/>
  <c r="L11" i="52"/>
  <c r="L46" i="52"/>
  <c r="L25" i="52"/>
  <c r="L28" i="52"/>
  <c r="L16" i="52"/>
  <c r="L49" i="52"/>
  <c r="L32" i="52"/>
  <c r="L51" i="52"/>
  <c r="L9" i="52"/>
  <c r="L15" i="52"/>
  <c r="L45" i="52"/>
  <c r="L6" i="52"/>
  <c r="L29" i="52"/>
  <c r="L33" i="52"/>
  <c r="L12" i="52"/>
  <c r="L39" i="52"/>
  <c r="L36" i="52"/>
  <c r="L56" i="52"/>
  <c r="L30" i="52"/>
  <c r="L14" i="52"/>
  <c r="L53" i="52"/>
  <c r="L41" i="52"/>
  <c r="L10" i="52"/>
  <c r="L40" i="52"/>
  <c r="L44" i="52"/>
  <c r="L27" i="52"/>
  <c r="S20" i="57"/>
  <c r="L10" i="1"/>
  <c r="L23" i="1"/>
  <c r="L26" i="1"/>
  <c r="S54" i="56"/>
  <c r="P37" i="58"/>
  <c r="N37" i="59"/>
  <c r="P13" i="58"/>
  <c r="N13" i="59"/>
  <c r="S48" i="61"/>
  <c r="P29" i="58"/>
  <c r="N29" i="58"/>
  <c r="P21" i="58"/>
  <c r="N21" i="59"/>
  <c r="N46" i="57"/>
  <c r="P46" i="56"/>
  <c r="S38" i="55"/>
  <c r="O15" i="60"/>
  <c r="S15" i="60"/>
  <c r="O15" i="61"/>
  <c r="S15" i="61" s="1"/>
  <c r="P32" i="59"/>
  <c r="N32" i="59"/>
  <c r="N32" i="60"/>
  <c r="S32" i="60"/>
  <c r="P19" i="59"/>
  <c r="N19" i="59"/>
  <c r="N19" i="60"/>
  <c r="O64" i="56"/>
  <c r="S64" i="56"/>
  <c r="N29" i="56"/>
  <c r="S29" i="56"/>
  <c r="N34" i="55"/>
  <c r="S34" i="55"/>
  <c r="N54" i="55"/>
  <c r="S54" i="55"/>
  <c r="N43" i="57"/>
  <c r="N27" i="56"/>
  <c r="S27" i="56"/>
  <c r="N40" i="55"/>
  <c r="N12" i="54"/>
  <c r="O55" i="57"/>
  <c r="S55" i="57" s="1"/>
  <c r="O33" i="56"/>
  <c r="S33" i="56" s="1"/>
  <c r="O33" i="57"/>
  <c r="S33" i="57" s="1"/>
  <c r="N14" i="54"/>
  <c r="N14" i="53"/>
  <c r="N11" i="53"/>
  <c r="S11" i="53"/>
  <c r="N17" i="54"/>
  <c r="P17" i="54"/>
  <c r="O30" i="53"/>
  <c r="S30" i="53" s="1"/>
  <c r="O30" i="52"/>
  <c r="O14" i="53"/>
  <c r="O14" i="52"/>
  <c r="O52" i="56"/>
  <c r="S52" i="56" s="1"/>
  <c r="O52" i="57"/>
  <c r="S52" i="57" s="1"/>
  <c r="O31" i="61"/>
  <c r="S31" i="61" s="1"/>
  <c r="O45" i="57"/>
  <c r="S45" i="57" s="1"/>
  <c r="O33" i="54"/>
  <c r="S33" i="54" s="1"/>
  <c r="O33" i="55"/>
  <c r="S33" i="55" s="1"/>
  <c r="O49" i="56"/>
  <c r="S49" i="56" s="1"/>
  <c r="O36" i="54"/>
  <c r="S36" i="54" s="1"/>
  <c r="O43" i="55"/>
  <c r="S43" i="55" s="1"/>
  <c r="O43" i="54"/>
  <c r="S43" i="54" s="1"/>
  <c r="O24" i="57"/>
  <c r="S24" i="57" s="1"/>
  <c r="O69" i="57"/>
  <c r="S69" i="57" s="1"/>
  <c r="O69" i="56"/>
  <c r="S69" i="56" s="1"/>
  <c r="O20" i="52"/>
  <c r="O20" i="53"/>
  <c r="O60" i="52"/>
  <c r="S60" i="52" s="1"/>
  <c r="O28" i="57"/>
  <c r="S28" i="57" s="1"/>
  <c r="O65" i="57"/>
  <c r="S65" i="57" s="1"/>
  <c r="O42" i="57"/>
  <c r="S42" i="57" s="1"/>
  <c r="O35" i="59"/>
  <c r="O20" i="54"/>
  <c r="S20" i="54" s="1"/>
  <c r="M55" i="52"/>
  <c r="M44" i="52"/>
  <c r="O44" i="53" s="1"/>
  <c r="S44" i="53" s="1"/>
  <c r="M47" i="52"/>
  <c r="O47" i="53" s="1"/>
  <c r="M53" i="52"/>
  <c r="O53" i="53" s="1"/>
  <c r="M63" i="52"/>
  <c r="O63" i="53" s="1"/>
  <c r="S63" i="53" s="1"/>
  <c r="M28" i="52"/>
  <c r="M12" i="52"/>
  <c r="O12" i="53" s="1"/>
  <c r="S12" i="53" s="1"/>
  <c r="M8" i="52"/>
  <c r="M40" i="52"/>
  <c r="M67" i="52"/>
  <c r="M34" i="52"/>
  <c r="M23" i="52"/>
  <c r="O23" i="53" s="1"/>
  <c r="S23" i="53" s="1"/>
  <c r="M29" i="52"/>
  <c r="M10" i="52"/>
  <c r="M36" i="52"/>
  <c r="M15" i="52"/>
  <c r="M25" i="52"/>
  <c r="M31" i="52"/>
  <c r="O31" i="53" s="1"/>
  <c r="M45" i="52"/>
  <c r="M56" i="52"/>
  <c r="M65" i="52"/>
  <c r="M18" i="52"/>
  <c r="M9" i="52"/>
  <c r="M68" i="52"/>
  <c r="M66" i="52"/>
  <c r="M33" i="52"/>
  <c r="M62" i="52"/>
  <c r="M61" i="52"/>
  <c r="M22" i="52"/>
  <c r="O22" i="53" s="1"/>
  <c r="M21" i="52"/>
  <c r="O21" i="53"/>
  <c r="L24" i="55"/>
  <c r="L9" i="55"/>
  <c r="M59" i="58"/>
  <c r="O59" i="59"/>
  <c r="S59" i="59" s="1"/>
  <c r="M33" i="58"/>
  <c r="O33" i="59" s="1"/>
  <c r="S33" i="59" s="1"/>
  <c r="M23" i="58"/>
  <c r="O23" i="59" s="1"/>
  <c r="S23" i="59" s="1"/>
  <c r="M48" i="58"/>
  <c r="O48" i="59" s="1"/>
  <c r="S48" i="59" s="1"/>
  <c r="M13" i="58"/>
  <c r="O13" i="59" s="1"/>
  <c r="M67" i="58"/>
  <c r="O67" i="59" s="1"/>
  <c r="S67" i="59" s="1"/>
  <c r="M51" i="58"/>
  <c r="M43" i="58"/>
  <c r="O43" i="59" s="1"/>
  <c r="S43" i="59" s="1"/>
  <c r="M27" i="58"/>
  <c r="O27" i="59" s="1"/>
  <c r="S27" i="59" s="1"/>
  <c r="M68" i="58"/>
  <c r="M54" i="58"/>
  <c r="O54" i="59" s="1"/>
  <c r="S54" i="59" s="1"/>
  <c r="M46" i="58"/>
  <c r="M18" i="58"/>
  <c r="O18" i="59"/>
  <c r="S18" i="59" s="1"/>
  <c r="M17" i="58"/>
  <c r="O17" i="59" s="1"/>
  <c r="S17" i="59" s="1"/>
  <c r="M66" i="58"/>
  <c r="O66" i="59" s="1"/>
  <c r="S66" i="59" s="1"/>
  <c r="M49" i="58"/>
  <c r="O49" i="59" s="1"/>
  <c r="S49" i="59" s="1"/>
  <c r="M61" i="58"/>
  <c r="O61" i="59" s="1"/>
  <c r="S61" i="59" s="1"/>
  <c r="M25" i="58"/>
  <c r="O25" i="59" s="1"/>
  <c r="S25" i="59" s="1"/>
  <c r="M22" i="58"/>
  <c r="O22" i="59"/>
  <c r="S22" i="59" s="1"/>
  <c r="M62" i="58"/>
  <c r="O62" i="59" s="1"/>
  <c r="S62" i="59" s="1"/>
  <c r="M56" i="58"/>
  <c r="O56" i="59" s="1"/>
  <c r="S56" i="59" s="1"/>
  <c r="M36" i="58"/>
  <c r="O36" i="59" s="1"/>
  <c r="S36" i="59" s="1"/>
  <c r="M47" i="58"/>
  <c r="O47" i="59" s="1"/>
  <c r="S47" i="59" s="1"/>
  <c r="M69" i="58"/>
  <c r="M19" i="58"/>
  <c r="O19" i="59" s="1"/>
  <c r="S19" i="59" s="1"/>
  <c r="M50" i="58"/>
  <c r="O50" i="59" s="1"/>
  <c r="S50" i="59" s="1"/>
  <c r="M38" i="58"/>
  <c r="O38" i="59" s="1"/>
  <c r="S38" i="59" s="1"/>
  <c r="M24" i="58"/>
  <c r="O24" i="59" s="1"/>
  <c r="S24" i="59" s="1"/>
  <c r="M14" i="58"/>
  <c r="O14" i="59" s="1"/>
  <c r="S14" i="59" s="1"/>
  <c r="M64" i="58"/>
  <c r="O64" i="59" s="1"/>
  <c r="S64" i="59" s="1"/>
  <c r="M45" i="58"/>
  <c r="O45" i="59" s="1"/>
  <c r="S45" i="59" s="1"/>
  <c r="M37" i="58"/>
  <c r="O37" i="59" s="1"/>
  <c r="M60" i="58"/>
  <c r="M52" i="58"/>
  <c r="O52" i="59" s="1"/>
  <c r="S52" i="59" s="1"/>
  <c r="M40" i="58"/>
  <c r="O40" i="59" s="1"/>
  <c r="S40" i="59" s="1"/>
  <c r="M32" i="58"/>
  <c r="O32" i="59" s="1"/>
  <c r="M21" i="58"/>
  <c r="O21" i="59"/>
  <c r="S21" i="59" s="1"/>
  <c r="M55" i="58"/>
  <c r="O55" i="59" s="1"/>
  <c r="S55" i="59"/>
  <c r="M39" i="58"/>
  <c r="O39" i="59"/>
  <c r="S39" i="59" s="1"/>
  <c r="M31" i="58"/>
  <c r="O31" i="59"/>
  <c r="S31" i="59" s="1"/>
  <c r="M11" i="58"/>
  <c r="M65" i="58"/>
  <c r="O65" i="59" s="1"/>
  <c r="S65" i="59" s="1"/>
  <c r="M34" i="58"/>
  <c r="O34" i="59" s="1"/>
  <c r="S34" i="59"/>
  <c r="M26" i="58"/>
  <c r="O26" i="59"/>
  <c r="S26" i="59" s="1"/>
  <c r="M16" i="58"/>
  <c r="O16" i="59"/>
  <c r="S16" i="59" s="1"/>
  <c r="O60" i="57"/>
  <c r="S60" i="57" s="1"/>
  <c r="O59" i="57"/>
  <c r="S59" i="57" s="1"/>
  <c r="O63" i="57"/>
  <c r="S63" i="57" s="1"/>
  <c r="O57" i="59"/>
  <c r="S57" i="59" s="1"/>
  <c r="O11" i="57"/>
  <c r="S11" i="57" s="1"/>
  <c r="O61" i="57"/>
  <c r="S61" i="57" s="1"/>
  <c r="M68" i="59"/>
  <c r="O68" i="60" s="1"/>
  <c r="S68" i="60" s="1"/>
  <c r="P20" i="59"/>
  <c r="N20" i="59"/>
  <c r="N20" i="60"/>
  <c r="N25" i="59"/>
  <c r="N25" i="60"/>
  <c r="S25" i="60"/>
  <c r="P25" i="59"/>
  <c r="P35" i="59"/>
  <c r="N35" i="59"/>
  <c r="N35" i="60"/>
  <c r="N31" i="59"/>
  <c r="P31" i="59"/>
  <c r="O44" i="59"/>
  <c r="S44" i="59" s="1"/>
  <c r="P29" i="55"/>
  <c r="N29" i="55"/>
  <c r="P41" i="55"/>
  <c r="N41" i="55"/>
  <c r="N41" i="56"/>
  <c r="P56" i="55"/>
  <c r="N56" i="56"/>
  <c r="N56" i="55"/>
  <c r="O24" i="53"/>
  <c r="O24" i="52"/>
  <c r="O59" i="52"/>
  <c r="S59" i="52" s="1"/>
  <c r="O69" i="52"/>
  <c r="S69" i="52" s="1"/>
  <c r="O6" i="52"/>
  <c r="O11" i="52"/>
  <c r="O57" i="52"/>
  <c r="S57" i="52" s="1"/>
  <c r="O58" i="52"/>
  <c r="S58" i="52" s="1"/>
  <c r="S15" i="55"/>
  <c r="P53" i="59"/>
  <c r="N53" i="59"/>
  <c r="N53" i="60"/>
  <c r="P37" i="59"/>
  <c r="N37" i="60"/>
  <c r="P50" i="59"/>
  <c r="N50" i="59"/>
  <c r="N40" i="59"/>
  <c r="P40" i="59"/>
  <c r="O41" i="59"/>
  <c r="S41" i="59" s="1"/>
  <c r="P21" i="55"/>
  <c r="N21" i="56"/>
  <c r="S21" i="56"/>
  <c r="N21" i="55"/>
  <c r="P49" i="55"/>
  <c r="N49" i="55"/>
  <c r="P32" i="55"/>
  <c r="N32" i="56"/>
  <c r="S32" i="56"/>
  <c r="N32" i="55"/>
  <c r="S32" i="55"/>
  <c r="N53" i="55"/>
  <c r="P53" i="55"/>
  <c r="N53" i="56"/>
  <c r="O7" i="52"/>
  <c r="O16" i="52"/>
  <c r="O43" i="52"/>
  <c r="S43" i="52" s="1"/>
  <c r="N50" i="60"/>
  <c r="S40" i="56"/>
  <c r="S28" i="55"/>
  <c r="N31" i="60"/>
  <c r="S31" i="60"/>
  <c r="S35" i="59"/>
  <c r="P27" i="59"/>
  <c r="N27" i="60"/>
  <c r="N27" i="59"/>
  <c r="P49" i="59"/>
  <c r="N49" i="59"/>
  <c r="N49" i="60"/>
  <c r="S49" i="60"/>
  <c r="N36" i="59"/>
  <c r="P36" i="59"/>
  <c r="P46" i="58"/>
  <c r="N46" i="58"/>
  <c r="P39" i="55"/>
  <c r="N39" i="56"/>
  <c r="S39" i="56"/>
  <c r="N39" i="55"/>
  <c r="S39" i="55"/>
  <c r="P17" i="55"/>
  <c r="N17" i="56"/>
  <c r="S17" i="56"/>
  <c r="P55" i="55"/>
  <c r="N55" i="56"/>
  <c r="S55" i="56"/>
  <c r="N55" i="55"/>
  <c r="S55" i="55"/>
  <c r="N36" i="55"/>
  <c r="N36" i="56"/>
  <c r="P36" i="55"/>
  <c r="O32" i="52"/>
  <c r="N49" i="56"/>
  <c r="P23" i="59"/>
  <c r="N23" i="60"/>
  <c r="S23" i="60"/>
  <c r="N23" i="59"/>
  <c r="N16" i="59"/>
  <c r="P16" i="59"/>
  <c r="N16" i="60"/>
  <c r="S16" i="60"/>
  <c r="P54" i="59"/>
  <c r="N54" i="60"/>
  <c r="S54" i="60"/>
  <c r="N50" i="58"/>
  <c r="P50" i="58"/>
  <c r="P11" i="55"/>
  <c r="N11" i="56"/>
  <c r="S11" i="56"/>
  <c r="N11" i="55"/>
  <c r="N25" i="56"/>
  <c r="S25" i="56"/>
  <c r="N25" i="55"/>
  <c r="S25" i="55"/>
  <c r="P25" i="55"/>
  <c r="N22" i="56"/>
  <c r="P22" i="55"/>
  <c r="N22" i="55"/>
  <c r="P20" i="55"/>
  <c r="N20" i="56"/>
  <c r="N20" i="55"/>
  <c r="O17" i="52"/>
  <c r="O17" i="53"/>
  <c r="S17" i="53" s="1"/>
  <c r="O39" i="52"/>
  <c r="O54" i="52"/>
  <c r="O51" i="52"/>
  <c r="S30" i="60"/>
  <c r="O66" i="52"/>
  <c r="S66" i="52" s="1"/>
  <c r="O66" i="53"/>
  <c r="S66" i="53" s="1"/>
  <c r="O65" i="53"/>
  <c r="S65" i="53" s="1"/>
  <c r="O65" i="52"/>
  <c r="S65" i="52" s="1"/>
  <c r="O25" i="52"/>
  <c r="S25" i="52" s="1"/>
  <c r="O25" i="53"/>
  <c r="O29" i="52"/>
  <c r="O29" i="53"/>
  <c r="O40" i="52"/>
  <c r="S40" i="52" s="1"/>
  <c r="O40" i="53"/>
  <c r="O55" i="52"/>
  <c r="O55" i="53"/>
  <c r="S55" i="53" s="1"/>
  <c r="O21" i="52"/>
  <c r="S21" i="52" s="1"/>
  <c r="S13" i="59"/>
  <c r="P10" i="52"/>
  <c r="N10" i="52"/>
  <c r="N10" i="53"/>
  <c r="P30" i="52"/>
  <c r="N30" i="52"/>
  <c r="N30" i="53"/>
  <c r="N12" i="52"/>
  <c r="P12" i="52"/>
  <c r="N12" i="53"/>
  <c r="P45" i="52"/>
  <c r="N45" i="52"/>
  <c r="N45" i="53"/>
  <c r="P32" i="52"/>
  <c r="N32" i="53"/>
  <c r="N32" i="52"/>
  <c r="S32" i="52"/>
  <c r="P25" i="52"/>
  <c r="N25" i="52"/>
  <c r="N25" i="53"/>
  <c r="P21" i="52"/>
  <c r="N21" i="52"/>
  <c r="N21" i="53"/>
  <c r="S21" i="53"/>
  <c r="N22" i="52"/>
  <c r="N22" i="53"/>
  <c r="S22" i="53"/>
  <c r="P22" i="52"/>
  <c r="N19" i="52"/>
  <c r="P19" i="52"/>
  <c r="N19" i="53"/>
  <c r="N20" i="52"/>
  <c r="S20" i="52"/>
  <c r="P20" i="52"/>
  <c r="N20" i="53"/>
  <c r="S20" i="53"/>
  <c r="P37" i="52"/>
  <c r="N37" i="52"/>
  <c r="N37" i="53"/>
  <c r="P48" i="52"/>
  <c r="N48" i="53"/>
  <c r="N48" i="52"/>
  <c r="O36" i="58"/>
  <c r="S36" i="58" s="1"/>
  <c r="O36" i="57"/>
  <c r="S36" i="57" s="1"/>
  <c r="O21" i="58"/>
  <c r="S21" i="58" s="1"/>
  <c r="O21" i="57"/>
  <c r="S21" i="57" s="1"/>
  <c r="O13" i="58"/>
  <c r="S13" i="58" s="1"/>
  <c r="O13" i="57"/>
  <c r="S13" i="57" s="1"/>
  <c r="O47" i="58"/>
  <c r="S47" i="58" s="1"/>
  <c r="O47" i="57"/>
  <c r="S47" i="57" s="1"/>
  <c r="O15" i="58"/>
  <c r="S15" i="58" s="1"/>
  <c r="O15" i="57"/>
  <c r="S15" i="57" s="1"/>
  <c r="O61" i="58"/>
  <c r="S61" i="58" s="1"/>
  <c r="O29" i="58"/>
  <c r="S29" i="58" s="1"/>
  <c r="O29" i="57"/>
  <c r="S29" i="57" s="1"/>
  <c r="O44" i="58"/>
  <c r="S44" i="58" s="1"/>
  <c r="O44" i="57"/>
  <c r="S44" i="57" s="1"/>
  <c r="O30" i="58"/>
  <c r="S30" i="58" s="1"/>
  <c r="O30" i="57"/>
  <c r="S30" i="57" s="1"/>
  <c r="L9" i="56"/>
  <c r="N9" i="56"/>
  <c r="S9" i="56"/>
  <c r="P9" i="55"/>
  <c r="N9" i="55"/>
  <c r="O61" i="53"/>
  <c r="S61" i="53" s="1"/>
  <c r="O61" i="52"/>
  <c r="S61" i="52" s="1"/>
  <c r="O68" i="52"/>
  <c r="S68" i="52" s="1"/>
  <c r="O68" i="53"/>
  <c r="S68" i="53" s="1"/>
  <c r="O56" i="53"/>
  <c r="S56" i="53" s="1"/>
  <c r="O56" i="52"/>
  <c r="O23" i="52"/>
  <c r="S23" i="52" s="1"/>
  <c r="O31" i="52"/>
  <c r="O47" i="52"/>
  <c r="S32" i="59"/>
  <c r="P27" i="52"/>
  <c r="N27" i="52"/>
  <c r="N27" i="53"/>
  <c r="S27" i="53"/>
  <c r="P41" i="52"/>
  <c r="N41" i="52"/>
  <c r="N41" i="53"/>
  <c r="P56" i="52"/>
  <c r="N56" i="53"/>
  <c r="N56" i="52"/>
  <c r="P33" i="52"/>
  <c r="N33" i="53"/>
  <c r="N33" i="52"/>
  <c r="P15" i="52"/>
  <c r="N15" i="52"/>
  <c r="N15" i="53"/>
  <c r="N49" i="52"/>
  <c r="P49" i="52"/>
  <c r="N49" i="53"/>
  <c r="S49" i="53"/>
  <c r="P46" i="52"/>
  <c r="N46" i="52"/>
  <c r="N46" i="53"/>
  <c r="N54" i="52"/>
  <c r="P54" i="52"/>
  <c r="N54" i="53"/>
  <c r="P31" i="52"/>
  <c r="N31" i="53"/>
  <c r="S31" i="53"/>
  <c r="N31" i="52"/>
  <c r="S31" i="52"/>
  <c r="N42" i="52"/>
  <c r="N42" i="53"/>
  <c r="P42" i="52"/>
  <c r="P52" i="52"/>
  <c r="N52" i="52"/>
  <c r="N52" i="53"/>
  <c r="P8" i="52"/>
  <c r="N8" i="52"/>
  <c r="N8" i="53"/>
  <c r="P55" i="52"/>
  <c r="N55" i="52"/>
  <c r="N55" i="53"/>
  <c r="O59" i="58"/>
  <c r="S59" i="58" s="1"/>
  <c r="O46" i="57"/>
  <c r="S46" i="57" s="1"/>
  <c r="O68" i="57"/>
  <c r="S68" i="57" s="1"/>
  <c r="O68" i="58"/>
  <c r="S68" i="58" s="1"/>
  <c r="O38" i="57"/>
  <c r="S38" i="57" s="1"/>
  <c r="O38" i="58"/>
  <c r="S38" i="58" s="1"/>
  <c r="O48" i="57"/>
  <c r="S48" i="57" s="1"/>
  <c r="O48" i="58"/>
  <c r="S48" i="58" s="1"/>
  <c r="O62" i="58"/>
  <c r="S62" i="58" s="1"/>
  <c r="O62" i="57"/>
  <c r="S62" i="57" s="1"/>
  <c r="P24" i="55"/>
  <c r="N24" i="56"/>
  <c r="N24" i="55"/>
  <c r="O62" i="52"/>
  <c r="S62" i="52"/>
  <c r="O62" i="53"/>
  <c r="S62" i="53"/>
  <c r="O9" i="52"/>
  <c r="O9" i="53"/>
  <c r="S9" i="53" s="1"/>
  <c r="O45" i="53"/>
  <c r="O45" i="52"/>
  <c r="S45" i="52" s="1"/>
  <c r="O36" i="53"/>
  <c r="O36" i="52"/>
  <c r="S36" i="52" s="1"/>
  <c r="O34" i="53"/>
  <c r="O34" i="52"/>
  <c r="O22" i="52"/>
  <c r="O44" i="52"/>
  <c r="S14" i="53"/>
  <c r="S37" i="59"/>
  <c r="P44" i="52"/>
  <c r="N44" i="53"/>
  <c r="N44" i="52"/>
  <c r="P53" i="52"/>
  <c r="N53" i="52"/>
  <c r="N53" i="53"/>
  <c r="S53" i="53"/>
  <c r="P36" i="52"/>
  <c r="N36" i="53"/>
  <c r="S36" i="53"/>
  <c r="N36" i="52"/>
  <c r="N29" i="52"/>
  <c r="P29" i="52"/>
  <c r="N29" i="53"/>
  <c r="S29" i="53"/>
  <c r="N9" i="52"/>
  <c r="P9" i="52"/>
  <c r="N9" i="53"/>
  <c r="P16" i="52"/>
  <c r="N16" i="53"/>
  <c r="S16" i="53"/>
  <c r="N16" i="52"/>
  <c r="N11" i="52"/>
  <c r="P11" i="52"/>
  <c r="N17" i="52"/>
  <c r="P17" i="52"/>
  <c r="N17" i="53"/>
  <c r="N35" i="52"/>
  <c r="P35" i="52"/>
  <c r="N35" i="53"/>
  <c r="N26" i="52"/>
  <c r="S26" i="52"/>
  <c r="N26" i="53"/>
  <c r="S26" i="53"/>
  <c r="P26" i="52"/>
  <c r="N23" i="52"/>
  <c r="P23" i="52"/>
  <c r="N23" i="53"/>
  <c r="P47" i="52"/>
  <c r="N47" i="52"/>
  <c r="N47" i="53"/>
  <c r="S47" i="53"/>
  <c r="P7" i="52"/>
  <c r="N7" i="53"/>
  <c r="S7" i="53"/>
  <c r="N7" i="52"/>
  <c r="O22" i="58"/>
  <c r="S22" i="58" s="1"/>
  <c r="O22" i="57"/>
  <c r="S22" i="57" s="1"/>
  <c r="O67" i="58"/>
  <c r="S67" i="58" s="1"/>
  <c r="O67" i="57"/>
  <c r="S67" i="57" s="1"/>
  <c r="O57" i="58"/>
  <c r="S57" i="58" s="1"/>
  <c r="O57" i="57"/>
  <c r="S57" i="57" s="1"/>
  <c r="O25" i="58"/>
  <c r="S25" i="58" s="1"/>
  <c r="O25" i="57"/>
  <c r="S25" i="57" s="1"/>
  <c r="O26" i="58"/>
  <c r="S26" i="58" s="1"/>
  <c r="O26" i="57"/>
  <c r="S26" i="57" s="1"/>
  <c r="O39" i="58"/>
  <c r="S39" i="58" s="1"/>
  <c r="O39" i="57"/>
  <c r="S39" i="57" s="1"/>
  <c r="O45" i="58"/>
  <c r="S45" i="58" s="1"/>
  <c r="O64" i="58"/>
  <c r="S64" i="58" s="1"/>
  <c r="O27" i="58"/>
  <c r="S27" i="58" s="1"/>
  <c r="O27" i="57"/>
  <c r="S27" i="57" s="1"/>
  <c r="O50" i="57"/>
  <c r="S50" i="57" s="1"/>
  <c r="O50" i="58"/>
  <c r="S50" i="58" s="1"/>
  <c r="O52" i="58"/>
  <c r="S52" i="58" s="1"/>
  <c r="O32" i="58"/>
  <c r="S32" i="58" s="1"/>
  <c r="O32" i="57"/>
  <c r="S32" i="57" s="1"/>
  <c r="O68" i="59"/>
  <c r="S68" i="59" s="1"/>
  <c r="O33" i="52"/>
  <c r="O33" i="53"/>
  <c r="S33" i="53" s="1"/>
  <c r="O18" i="53"/>
  <c r="S18" i="53" s="1"/>
  <c r="O18" i="52"/>
  <c r="O10" i="53"/>
  <c r="S10" i="53" s="1"/>
  <c r="O10" i="52"/>
  <c r="O67" i="53"/>
  <c r="S67" i="53" s="1"/>
  <c r="O67" i="52"/>
  <c r="S67" i="52" s="1"/>
  <c r="O28" i="53"/>
  <c r="S28" i="53" s="1"/>
  <c r="O28" i="52"/>
  <c r="O53" i="52"/>
  <c r="S53" i="52" s="1"/>
  <c r="P40" i="52"/>
  <c r="N40" i="52"/>
  <c r="N40" i="53"/>
  <c r="S40" i="53"/>
  <c r="N14" i="52"/>
  <c r="P14" i="52"/>
  <c r="P39" i="52"/>
  <c r="N39" i="52"/>
  <c r="S39" i="52"/>
  <c r="N39" i="53"/>
  <c r="S39" i="53"/>
  <c r="L6" i="53"/>
  <c r="N6" i="53"/>
  <c r="S6" i="53"/>
  <c r="N6" i="52"/>
  <c r="P6" i="52"/>
  <c r="N51" i="52"/>
  <c r="P51" i="52"/>
  <c r="N51" i="53"/>
  <c r="N28" i="52"/>
  <c r="S28" i="52"/>
  <c r="P28" i="52"/>
  <c r="N28" i="53"/>
  <c r="N13" i="53"/>
  <c r="S13" i="53"/>
  <c r="P13" i="52"/>
  <c r="N13" i="52"/>
  <c r="P18" i="52"/>
  <c r="N18" i="52"/>
  <c r="N38" i="52"/>
  <c r="P38" i="52"/>
  <c r="N38" i="53"/>
  <c r="P50" i="52"/>
  <c r="N50" i="52"/>
  <c r="S50" i="52"/>
  <c r="N50" i="53"/>
  <c r="S50" i="53"/>
  <c r="N24" i="52"/>
  <c r="P24" i="52"/>
  <c r="N24" i="53"/>
  <c r="S24" i="53"/>
  <c r="N34" i="52"/>
  <c r="P34" i="52"/>
  <c r="N34" i="53"/>
  <c r="S34" i="53"/>
  <c r="N43" i="52"/>
  <c r="P43" i="52"/>
  <c r="N43" i="53"/>
  <c r="O43" i="57"/>
  <c r="S43" i="57"/>
  <c r="O43" i="58"/>
  <c r="S43" i="58"/>
  <c r="O34" i="57"/>
  <c r="S34" i="57"/>
  <c r="O34" i="58"/>
  <c r="S34" i="58"/>
  <c r="O55" i="58"/>
  <c r="S55" i="58"/>
  <c r="O14" i="58"/>
  <c r="S14" i="58"/>
  <c r="O14" i="57"/>
  <c r="S14" i="57"/>
  <c r="O31" i="58"/>
  <c r="S31" i="58"/>
  <c r="O31" i="57"/>
  <c r="S31" i="57"/>
  <c r="O51" i="57"/>
  <c r="S51" i="57"/>
  <c r="O51" i="58"/>
  <c r="S51" i="58"/>
  <c r="O33" i="58"/>
  <c r="S33" i="58"/>
  <c r="O49" i="58"/>
  <c r="S49" i="58"/>
  <c r="O65" i="58"/>
  <c r="S65" i="58"/>
  <c r="O54" i="57"/>
  <c r="S54" i="57"/>
  <c r="O54" i="58"/>
  <c r="S54" i="58"/>
  <c r="S29" i="52"/>
  <c r="S21" i="55"/>
  <c r="S29" i="55"/>
  <c r="S18" i="52"/>
  <c r="S45" i="53"/>
  <c r="S22" i="55"/>
  <c r="S53" i="55"/>
  <c r="S44" i="52"/>
  <c r="S11" i="52"/>
  <c r="S55" i="52"/>
  <c r="S54" i="52"/>
  <c r="S24" i="52"/>
  <c r="S47" i="52"/>
  <c r="S16" i="52"/>
  <c r="S24" i="55"/>
  <c r="S56" i="52"/>
  <c r="S22" i="52"/>
  <c r="S25" i="53"/>
  <c r="S10" i="52"/>
  <c r="S6" i="52"/>
  <c r="S7" i="52"/>
  <c r="S34" i="52"/>
  <c r="S51" i="52"/>
  <c r="S14" i="52"/>
  <c r="S17" i="52"/>
  <c r="S9" i="52"/>
  <c r="S52" i="52"/>
  <c r="S49" i="52"/>
  <c r="S33" i="52"/>
  <c r="S9" i="55"/>
  <c r="S30" i="52"/>
  <c r="O20" i="55" l="1"/>
  <c r="S20" i="55" s="1"/>
  <c r="O56" i="55"/>
  <c r="S56" i="55" s="1"/>
  <c r="O60" i="53"/>
  <c r="S60" i="53" s="1"/>
  <c r="O63" i="60"/>
  <c r="S63" i="60" s="1"/>
  <c r="O26" i="60"/>
  <c r="S26" i="60" s="1"/>
  <c r="O27" i="52"/>
  <c r="S27" i="52" s="1"/>
  <c r="O50" i="56"/>
  <c r="S50" i="56" s="1"/>
  <c r="O64" i="55"/>
  <c r="S64" i="55" s="1"/>
  <c r="O63" i="54"/>
  <c r="S63" i="54" s="1"/>
  <c r="O14" i="54"/>
  <c r="S14" i="54" s="1"/>
  <c r="O52" i="54"/>
  <c r="S52" i="54" s="1"/>
  <c r="O12" i="52"/>
  <c r="S12" i="52" s="1"/>
  <c r="O37" i="52"/>
  <c r="S37" i="52" s="1"/>
  <c r="O37" i="54"/>
  <c r="S37" i="54" s="1"/>
  <c r="O19" i="54"/>
  <c r="S19" i="54" s="1"/>
  <c r="O20" i="59"/>
  <c r="S20" i="59" s="1"/>
  <c r="O38" i="52"/>
  <c r="S38" i="52" s="1"/>
  <c r="O61" i="56"/>
  <c r="S61" i="56" s="1"/>
  <c r="O56" i="61"/>
  <c r="S56" i="61" s="1"/>
  <c r="O68" i="61"/>
  <c r="S68" i="61" s="1"/>
  <c r="O30" i="54"/>
  <c r="S30" i="54" s="1"/>
  <c r="O53" i="57"/>
  <c r="S53" i="57" s="1"/>
  <c r="O53" i="56"/>
  <c r="S53" i="56" s="1"/>
  <c r="O17" i="61"/>
  <c r="S17" i="61" s="1"/>
  <c r="O17" i="60"/>
  <c r="S17" i="60" s="1"/>
  <c r="O24" i="58"/>
  <c r="S24" i="58" s="1"/>
  <c r="O63" i="52"/>
  <c r="S63" i="52" s="1"/>
  <c r="O69" i="59"/>
  <c r="S69" i="59" s="1"/>
  <c r="O69" i="58"/>
  <c r="S69" i="58" s="1"/>
  <c r="O46" i="59"/>
  <c r="S46" i="59" s="1"/>
  <c r="O46" i="58"/>
  <c r="S46" i="58" s="1"/>
  <c r="O60" i="59"/>
  <c r="S60" i="59" s="1"/>
  <c r="O60" i="58"/>
  <c r="S60" i="58" s="1"/>
  <c r="O12" i="58"/>
  <c r="S12" i="58" s="1"/>
  <c r="O12" i="57"/>
  <c r="S12" i="57" s="1"/>
  <c r="O37" i="58"/>
  <c r="S37" i="58" s="1"/>
  <c r="O37" i="57"/>
  <c r="S37" i="57" s="1"/>
  <c r="O40" i="58"/>
  <c r="S40" i="58" s="1"/>
  <c r="O56" i="57"/>
  <c r="S56" i="57" s="1"/>
  <c r="O56" i="58"/>
  <c r="S56" i="58" s="1"/>
  <c r="O16" i="57"/>
  <c r="S16" i="57" s="1"/>
  <c r="O16" i="58"/>
  <c r="S16" i="58" s="1"/>
  <c r="O51" i="60"/>
  <c r="S51" i="60" s="1"/>
  <c r="O51" i="59"/>
  <c r="S51" i="59" s="1"/>
  <c r="O15" i="53"/>
  <c r="S15" i="53" s="1"/>
  <c r="O15" i="52"/>
  <c r="S15" i="52" s="1"/>
  <c r="O8" i="52"/>
  <c r="S8" i="52" s="1"/>
  <c r="O8" i="53"/>
  <c r="S8" i="53" s="1"/>
  <c r="O23" i="57"/>
  <c r="S23" i="57" s="1"/>
  <c r="O23" i="58"/>
  <c r="S23" i="58" s="1"/>
  <c r="O35" i="57"/>
  <c r="S35" i="57" s="1"/>
  <c r="O35" i="58"/>
  <c r="S35" i="58" s="1"/>
  <c r="O17" i="57"/>
  <c r="S17" i="57" s="1"/>
  <c r="O17" i="58"/>
  <c r="S17" i="58" s="1"/>
  <c r="O58" i="58"/>
  <c r="S58" i="58" s="1"/>
  <c r="O58" i="57"/>
  <c r="S58" i="57" s="1"/>
  <c r="O19" i="57"/>
  <c r="S19" i="57" s="1"/>
  <c r="O19" i="58"/>
  <c r="S19" i="58" s="1"/>
  <c r="O18" i="58"/>
  <c r="S18" i="58" s="1"/>
  <c r="O18" i="57"/>
  <c r="S18" i="57" s="1"/>
  <c r="O41" i="57"/>
  <c r="S41" i="57" s="1"/>
  <c r="O41" i="58"/>
  <c r="S41" i="58" s="1"/>
  <c r="O66" i="57"/>
  <c r="S66" i="57" s="1"/>
  <c r="O66" i="58"/>
  <c r="S66" i="58" s="1"/>
  <c r="O53" i="60"/>
  <c r="S53" i="60" s="1"/>
  <c r="O53" i="59"/>
  <c r="S53" i="59" s="1"/>
  <c r="O35" i="53"/>
  <c r="S35" i="53" s="1"/>
  <c r="O35" i="52"/>
  <c r="S35" i="52" s="1"/>
  <c r="O41" i="53"/>
  <c r="S41" i="53" s="1"/>
  <c r="O41" i="52"/>
  <c r="S41" i="52" s="1"/>
  <c r="O36" i="56"/>
  <c r="S36" i="56" s="1"/>
  <c r="O36" i="55"/>
  <c r="S36" i="55" s="1"/>
  <c r="O49" i="54"/>
  <c r="S49" i="54" s="1"/>
  <c r="O49" i="55"/>
  <c r="S49" i="55" s="1"/>
  <c r="O51" i="56"/>
  <c r="S51" i="56" s="1"/>
  <c r="O51" i="55"/>
  <c r="S51" i="55" s="1"/>
  <c r="O45" i="55"/>
  <c r="S45" i="55" s="1"/>
  <c r="O45" i="56"/>
  <c r="S45" i="56" s="1"/>
  <c r="O64" i="54"/>
  <c r="S64" i="54" s="1"/>
  <c r="O64" i="53"/>
  <c r="S64" i="53" s="1"/>
  <c r="O59" i="54"/>
  <c r="S59" i="54" s="1"/>
  <c r="O59" i="53"/>
  <c r="S59" i="53" s="1"/>
  <c r="O51" i="54"/>
  <c r="S51" i="54" s="1"/>
  <c r="O51" i="53"/>
  <c r="S51" i="53" s="1"/>
  <c r="O42" i="52"/>
  <c r="S42" i="52" s="1"/>
  <c r="O42" i="53"/>
  <c r="S42" i="53" s="1"/>
  <c r="O19" i="52"/>
  <c r="S19" i="52" s="1"/>
  <c r="O39" i="61"/>
  <c r="S39" i="61" s="1"/>
  <c r="O39" i="60"/>
  <c r="S39" i="60" s="1"/>
  <c r="O69" i="61"/>
  <c r="S69" i="61" s="1"/>
  <c r="O69" i="60"/>
  <c r="S69" i="60" s="1"/>
  <c r="O65" i="54"/>
  <c r="S65" i="54" s="1"/>
  <c r="O65" i="55"/>
  <c r="S65" i="55" s="1"/>
  <c r="O23" i="54"/>
  <c r="S23" i="54" s="1"/>
  <c r="O23" i="55"/>
  <c r="S23" i="55" s="1"/>
  <c r="O46" i="52"/>
  <c r="S46" i="52" s="1"/>
  <c r="O22" i="56"/>
  <c r="S22" i="56" s="1"/>
  <c r="O52" i="61"/>
  <c r="S52" i="61" s="1"/>
  <c r="O24" i="61"/>
  <c r="S24" i="61" s="1"/>
  <c r="O17" i="55"/>
  <c r="S17" i="55" s="1"/>
  <c r="O17" i="54"/>
  <c r="S17" i="54" s="1"/>
  <c r="O11" i="54"/>
  <c r="S11" i="54" s="1"/>
  <c r="O11" i="55"/>
  <c r="S11" i="55" s="1"/>
  <c r="O35" i="54"/>
  <c r="S35" i="54" s="1"/>
  <c r="O35" i="55"/>
  <c r="S35" i="55" s="1"/>
  <c r="O48" i="53"/>
  <c r="S48" i="53" s="1"/>
  <c r="O48" i="52"/>
  <c r="S48" i="52" s="1"/>
  <c r="O37" i="61"/>
  <c r="S37" i="61" s="1"/>
  <c r="O37" i="60"/>
  <c r="S37" i="60" s="1"/>
  <c r="O16" i="55"/>
  <c r="S16" i="55" s="1"/>
  <c r="O16" i="56"/>
  <c r="S16" i="56" s="1"/>
  <c r="O46" i="56"/>
  <c r="S46" i="56" s="1"/>
  <c r="O46" i="55"/>
  <c r="S46" i="55" s="1"/>
  <c r="O41" i="55"/>
  <c r="S41" i="55" s="1"/>
  <c r="O41" i="56"/>
  <c r="S41" i="56" s="1"/>
  <c r="O12" i="54"/>
  <c r="S12" i="54" s="1"/>
  <c r="O19" i="56"/>
  <c r="S19" i="56" s="1"/>
  <c r="O19" i="55"/>
  <c r="S19" i="55" s="1"/>
  <c r="O50" i="60"/>
  <c r="S50" i="60" s="1"/>
  <c r="O19" i="61"/>
  <c r="S19" i="61" s="1"/>
  <c r="T2" i="61" s="1"/>
  <c r="O24" i="56"/>
  <c r="S24" i="56" s="1"/>
  <c r="O50" i="55"/>
  <c r="S50" i="55" s="1"/>
  <c r="O56" i="56"/>
  <c r="S56" i="56" s="1"/>
  <c r="O47" i="54"/>
  <c r="S47" i="54" s="1"/>
  <c r="O47" i="55"/>
  <c r="S47" i="55" s="1"/>
  <c r="O31" i="55"/>
  <c r="S31" i="55" s="1"/>
  <c r="O31" i="56"/>
  <c r="S31" i="56" s="1"/>
  <c r="O66" i="54"/>
  <c r="S66" i="54" s="1"/>
  <c r="T2" i="59" l="1"/>
  <c r="T25" i="59" s="1"/>
  <c r="T2" i="56"/>
  <c r="T58" i="56" s="1"/>
  <c r="T2" i="55"/>
  <c r="T26" i="55" s="1"/>
  <c r="T10" i="55"/>
  <c r="T39" i="55"/>
  <c r="T33" i="55"/>
  <c r="T68" i="55"/>
  <c r="T32" i="55"/>
  <c r="T64" i="55"/>
  <c r="T18" i="55"/>
  <c r="T54" i="55"/>
  <c r="T61" i="55"/>
  <c r="T34" i="55"/>
  <c r="T9" i="55"/>
  <c r="T44" i="55"/>
  <c r="T12" i="55"/>
  <c r="T43" i="55"/>
  <c r="T62" i="55"/>
  <c r="D6" i="50"/>
  <c r="T27" i="55"/>
  <c r="T59" i="55"/>
  <c r="T67" i="55"/>
  <c r="T22" i="55"/>
  <c r="T13" i="55"/>
  <c r="T24" i="55"/>
  <c r="T29" i="59"/>
  <c r="T57" i="59"/>
  <c r="D10" i="50"/>
  <c r="T65" i="59"/>
  <c r="T26" i="59"/>
  <c r="T12" i="59"/>
  <c r="T24" i="59"/>
  <c r="T66" i="59"/>
  <c r="T52" i="59"/>
  <c r="T22" i="59"/>
  <c r="T38" i="59"/>
  <c r="T55" i="59"/>
  <c r="T48" i="59"/>
  <c r="T39" i="59"/>
  <c r="T32" i="59"/>
  <c r="T18" i="59"/>
  <c r="T56" i="59"/>
  <c r="T19" i="59"/>
  <c r="T59" i="59"/>
  <c r="T35" i="59"/>
  <c r="T43" i="59"/>
  <c r="T13" i="59"/>
  <c r="T50" i="59"/>
  <c r="T62" i="59"/>
  <c r="T58" i="59"/>
  <c r="T20" i="59"/>
  <c r="T40" i="59"/>
  <c r="T36" i="59"/>
  <c r="T42" i="59"/>
  <c r="T54" i="59"/>
  <c r="T41" i="59"/>
  <c r="T63" i="59"/>
  <c r="T14" i="59"/>
  <c r="T67" i="59"/>
  <c r="T44" i="59"/>
  <c r="T27" i="59"/>
  <c r="T21" i="59"/>
  <c r="T31" i="59"/>
  <c r="T64" i="59"/>
  <c r="T47" i="59"/>
  <c r="T59" i="56"/>
  <c r="T43" i="56"/>
  <c r="T26" i="56"/>
  <c r="T35" i="56"/>
  <c r="T37" i="56"/>
  <c r="T18" i="56"/>
  <c r="T60" i="56"/>
  <c r="T66" i="56"/>
  <c r="T34" i="56"/>
  <c r="T44" i="56"/>
  <c r="T47" i="56"/>
  <c r="T11" i="56"/>
  <c r="T29" i="56"/>
  <c r="T33" i="56"/>
  <c r="T65" i="56"/>
  <c r="T14" i="56"/>
  <c r="T13" i="56"/>
  <c r="T28" i="56"/>
  <c r="T9" i="56"/>
  <c r="T39" i="56"/>
  <c r="T21" i="56"/>
  <c r="T23" i="56"/>
  <c r="T20" i="56"/>
  <c r="T52" i="56"/>
  <c r="T61" i="56"/>
  <c r="T57" i="61"/>
  <c r="T29" i="61"/>
  <c r="T68" i="61"/>
  <c r="T42" i="61"/>
  <c r="T58" i="61"/>
  <c r="T56" i="61"/>
  <c r="T51" i="61"/>
  <c r="T27" i="61"/>
  <c r="T50" i="61"/>
  <c r="T44" i="61"/>
  <c r="T31" i="61"/>
  <c r="T30" i="61"/>
  <c r="T62" i="61"/>
  <c r="T32" i="61"/>
  <c r="T59" i="61"/>
  <c r="T23" i="61"/>
  <c r="T36" i="61"/>
  <c r="T49" i="61"/>
  <c r="T53" i="61"/>
  <c r="T61" i="61"/>
  <c r="T45" i="61"/>
  <c r="T14" i="61"/>
  <c r="T21" i="61"/>
  <c r="T28" i="61"/>
  <c r="T67" i="61"/>
  <c r="T35" i="61"/>
  <c r="T60" i="61"/>
  <c r="T66" i="61"/>
  <c r="T38" i="61"/>
  <c r="T16" i="61"/>
  <c r="T64" i="61"/>
  <c r="T63" i="61"/>
  <c r="T34" i="61"/>
  <c r="T22" i="61"/>
  <c r="T33" i="61"/>
  <c r="T54" i="61"/>
  <c r="T41" i="61"/>
  <c r="T47" i="61"/>
  <c r="D12" i="50"/>
  <c r="T65" i="61"/>
  <c r="T55" i="61"/>
  <c r="T18" i="61"/>
  <c r="T48" i="61"/>
  <c r="T46" i="61"/>
  <c r="T40" i="61"/>
  <c r="T43" i="61"/>
  <c r="T25" i="61"/>
  <c r="T26" i="61"/>
  <c r="T15" i="61"/>
  <c r="T20" i="61"/>
  <c r="T46" i="56"/>
  <c r="T47" i="55"/>
  <c r="T24" i="56"/>
  <c r="T35" i="55"/>
  <c r="T22" i="56"/>
  <c r="T45" i="55"/>
  <c r="T2" i="53"/>
  <c r="T35" i="53" s="1"/>
  <c r="T2" i="57"/>
  <c r="T19" i="57" s="1"/>
  <c r="T53" i="56"/>
  <c r="T17" i="55"/>
  <c r="T39" i="61"/>
  <c r="T36" i="55"/>
  <c r="T2" i="52"/>
  <c r="T46" i="52" s="1"/>
  <c r="T2" i="58"/>
  <c r="T46" i="59"/>
  <c r="T37" i="61"/>
  <c r="T41" i="56"/>
  <c r="T24" i="61"/>
  <c r="T51" i="56"/>
  <c r="T51" i="59"/>
  <c r="T2" i="60"/>
  <c r="T69" i="60" s="1"/>
  <c r="T19" i="61"/>
  <c r="T56" i="56"/>
  <c r="T16" i="56"/>
  <c r="T11" i="55"/>
  <c r="T23" i="55"/>
  <c r="T31" i="55"/>
  <c r="T50" i="55"/>
  <c r="T19" i="55"/>
  <c r="T41" i="55"/>
  <c r="T16" i="55"/>
  <c r="T2" i="54"/>
  <c r="T66" i="54" s="1"/>
  <c r="T52" i="61"/>
  <c r="T69" i="61"/>
  <c r="T59" i="53"/>
  <c r="T45" i="56"/>
  <c r="T49" i="55"/>
  <c r="T53" i="59"/>
  <c r="T56" i="57"/>
  <c r="T69" i="59"/>
  <c r="T17" i="61"/>
  <c r="T42" i="53" l="1"/>
  <c r="T35" i="57"/>
  <c r="T58" i="57"/>
  <c r="T36" i="56"/>
  <c r="T31" i="56"/>
  <c r="T16" i="57"/>
  <c r="T51" i="55"/>
  <c r="T60" i="59"/>
  <c r="T65" i="55"/>
  <c r="T19" i="56"/>
  <c r="T49" i="56"/>
  <c r="T32" i="56"/>
  <c r="T30" i="56"/>
  <c r="T27" i="56"/>
  <c r="T54" i="56"/>
  <c r="T63" i="56"/>
  <c r="T10" i="56"/>
  <c r="T64" i="56"/>
  <c r="T12" i="56"/>
  <c r="T57" i="56"/>
  <c r="T38" i="56"/>
  <c r="T68" i="56"/>
  <c r="T23" i="59"/>
  <c r="T15" i="59"/>
  <c r="T68" i="59"/>
  <c r="T45" i="59"/>
  <c r="T33" i="59"/>
  <c r="T49" i="59"/>
  <c r="T28" i="59"/>
  <c r="T37" i="59"/>
  <c r="T61" i="59"/>
  <c r="T16" i="59"/>
  <c r="T30" i="59"/>
  <c r="T34" i="59"/>
  <c r="T17" i="59"/>
  <c r="T69" i="55"/>
  <c r="T30" i="55"/>
  <c r="T40" i="55"/>
  <c r="T56" i="55"/>
  <c r="T37" i="55"/>
  <c r="T60" i="55"/>
  <c r="T28" i="55"/>
  <c r="T52" i="55"/>
  <c r="T29" i="55"/>
  <c r="T38" i="55"/>
  <c r="T42" i="55"/>
  <c r="T63" i="55"/>
  <c r="T15" i="55"/>
  <c r="T46" i="55"/>
  <c r="T48" i="56"/>
  <c r="T40" i="56"/>
  <c r="T25" i="56"/>
  <c r="T67" i="56"/>
  <c r="T62" i="56"/>
  <c r="D7" i="50"/>
  <c r="T17" i="56"/>
  <c r="T55" i="56"/>
  <c r="T15" i="56"/>
  <c r="T50" i="56"/>
  <c r="T69" i="56"/>
  <c r="T42" i="56"/>
  <c r="T25" i="55"/>
  <c r="T57" i="55"/>
  <c r="T20" i="55"/>
  <c r="T66" i="55"/>
  <c r="T48" i="55"/>
  <c r="T58" i="55"/>
  <c r="T53" i="55"/>
  <c r="T8" i="55"/>
  <c r="T14" i="55"/>
  <c r="T21" i="55"/>
  <c r="T55" i="55"/>
  <c r="T59" i="58"/>
  <c r="T26" i="58"/>
  <c r="D9" i="50"/>
  <c r="T25" i="58"/>
  <c r="T21" i="58"/>
  <c r="T62" i="58"/>
  <c r="T48" i="58"/>
  <c r="T22" i="58"/>
  <c r="T11" i="58"/>
  <c r="T42" i="58"/>
  <c r="T31" i="58"/>
  <c r="T68" i="58"/>
  <c r="T38" i="58"/>
  <c r="T15" i="58"/>
  <c r="T27" i="58"/>
  <c r="T14" i="58"/>
  <c r="T32" i="58"/>
  <c r="T30" i="58"/>
  <c r="T51" i="58"/>
  <c r="T50" i="58"/>
  <c r="T49" i="58"/>
  <c r="T29" i="58"/>
  <c r="T65" i="58"/>
  <c r="T34" i="58"/>
  <c r="T28" i="58"/>
  <c r="T36" i="58"/>
  <c r="T53" i="58"/>
  <c r="T13" i="58"/>
  <c r="T64" i="58"/>
  <c r="T47" i="58"/>
  <c r="T67" i="58"/>
  <c r="T39" i="58"/>
  <c r="T61" i="58"/>
  <c r="T43" i="58"/>
  <c r="T63" i="58"/>
  <c r="T57" i="58"/>
  <c r="T55" i="58"/>
  <c r="T33" i="58"/>
  <c r="T44" i="58"/>
  <c r="T20" i="58"/>
  <c r="T52" i="58"/>
  <c r="T45" i="58"/>
  <c r="T54" i="58"/>
  <c r="T17" i="58"/>
  <c r="T41" i="52"/>
  <c r="T11" i="54"/>
  <c r="T64" i="54"/>
  <c r="T63" i="52"/>
  <c r="T51" i="60"/>
  <c r="T19" i="58"/>
  <c r="D4" i="50"/>
  <c r="T38" i="53"/>
  <c r="T47" i="53"/>
  <c r="T7" i="53"/>
  <c r="T66" i="53"/>
  <c r="T61" i="53"/>
  <c r="T55" i="53"/>
  <c r="T54" i="53"/>
  <c r="T16" i="53"/>
  <c r="T17" i="53"/>
  <c r="T32" i="53"/>
  <c r="T31" i="53"/>
  <c r="T52" i="53"/>
  <c r="T68" i="53"/>
  <c r="T11" i="53"/>
  <c r="T22" i="53"/>
  <c r="T34" i="53"/>
  <c r="T63" i="53"/>
  <c r="T67" i="53"/>
  <c r="T13" i="53"/>
  <c r="T43" i="53"/>
  <c r="T27" i="53"/>
  <c r="T10" i="53"/>
  <c r="T58" i="53"/>
  <c r="T45" i="53"/>
  <c r="T36" i="53"/>
  <c r="T62" i="53"/>
  <c r="T50" i="53"/>
  <c r="T24" i="53"/>
  <c r="T18" i="53"/>
  <c r="T14" i="53"/>
  <c r="T69" i="53"/>
  <c r="T37" i="53"/>
  <c r="T46" i="53"/>
  <c r="T6" i="53"/>
  <c r="T40" i="53"/>
  <c r="T26" i="53"/>
  <c r="T20" i="53"/>
  <c r="T25" i="53"/>
  <c r="T60" i="53"/>
  <c r="T44" i="53"/>
  <c r="T29" i="53"/>
  <c r="T12" i="53"/>
  <c r="T23" i="53"/>
  <c r="T56" i="53"/>
  <c r="T49" i="53"/>
  <c r="T21" i="53"/>
  <c r="T30" i="53"/>
  <c r="T39" i="53"/>
  <c r="T28" i="53"/>
  <c r="T65" i="53"/>
  <c r="T57" i="53"/>
  <c r="T53" i="53"/>
  <c r="T33" i="53"/>
  <c r="T19" i="53"/>
  <c r="T9" i="53"/>
  <c r="T41" i="57"/>
  <c r="T37" i="60"/>
  <c r="T50" i="60"/>
  <c r="T15" i="53"/>
  <c r="T41" i="58"/>
  <c r="T23" i="54"/>
  <c r="T48" i="53"/>
  <c r="T69" i="58"/>
  <c r="T15" i="52"/>
  <c r="T66" i="57"/>
  <c r="T19" i="52"/>
  <c r="T12" i="58"/>
  <c r="T8" i="52"/>
  <c r="T18" i="57"/>
  <c r="T65" i="54"/>
  <c r="T46" i="58"/>
  <c r="T40" i="58"/>
  <c r="T23" i="57"/>
  <c r="T53" i="60"/>
  <c r="T59" i="54"/>
  <c r="T51" i="54"/>
  <c r="T17" i="60"/>
  <c r="T37" i="58"/>
  <c r="T47" i="54"/>
  <c r="T45" i="52"/>
  <c r="D3" i="50"/>
  <c r="T5" i="52"/>
  <c r="T68" i="52"/>
  <c r="T26" i="52"/>
  <c r="T20" i="52"/>
  <c r="T21" i="52"/>
  <c r="T56" i="52"/>
  <c r="T13" i="52"/>
  <c r="T47" i="52"/>
  <c r="T49" i="52"/>
  <c r="T64" i="52"/>
  <c r="T50" i="52"/>
  <c r="T27" i="52"/>
  <c r="T23" i="52"/>
  <c r="T38" i="52"/>
  <c r="T55" i="52"/>
  <c r="T14" i="52"/>
  <c r="T6" i="52"/>
  <c r="T30" i="52"/>
  <c r="T52" i="52"/>
  <c r="T54" i="52"/>
  <c r="T57" i="52"/>
  <c r="T39" i="52"/>
  <c r="T66" i="52"/>
  <c r="T10" i="52"/>
  <c r="T59" i="52"/>
  <c r="T12" i="52"/>
  <c r="T11" i="52"/>
  <c r="T28" i="52"/>
  <c r="T16" i="52"/>
  <c r="T36" i="52"/>
  <c r="T69" i="52"/>
  <c r="T40" i="52"/>
  <c r="T32" i="52"/>
  <c r="T44" i="52"/>
  <c r="T61" i="52"/>
  <c r="T34" i="52"/>
  <c r="T22" i="52"/>
  <c r="T17" i="52"/>
  <c r="T25" i="52"/>
  <c r="T58" i="52"/>
  <c r="T31" i="52"/>
  <c r="T18" i="52"/>
  <c r="T43" i="52"/>
  <c r="T9" i="52"/>
  <c r="T60" i="52"/>
  <c r="T67" i="52"/>
  <c r="T65" i="52"/>
  <c r="T51" i="52"/>
  <c r="T29" i="52"/>
  <c r="T7" i="52"/>
  <c r="T33" i="52"/>
  <c r="T53" i="52"/>
  <c r="T24" i="52"/>
  <c r="T37" i="52"/>
  <c r="T62" i="52"/>
  <c r="T66" i="58"/>
  <c r="T64" i="53"/>
  <c r="T16" i="58"/>
  <c r="T17" i="57"/>
  <c r="T41" i="53"/>
  <c r="T42" i="52"/>
  <c r="T17" i="54"/>
  <c r="S70" i="56"/>
  <c r="S70" i="59"/>
  <c r="F10" i="50"/>
  <c r="U10" i="50"/>
  <c r="V10" i="50" s="1"/>
  <c r="G10" i="50" s="1"/>
  <c r="U6" i="50"/>
  <c r="V6" i="50" s="1"/>
  <c r="G6" i="50" s="1"/>
  <c r="F6" i="50"/>
  <c r="T60" i="58"/>
  <c r="T23" i="58"/>
  <c r="T40" i="60"/>
  <c r="T61" i="60"/>
  <c r="T21" i="60"/>
  <c r="T28" i="60"/>
  <c r="T25" i="60"/>
  <c r="T46" i="60"/>
  <c r="T31" i="60"/>
  <c r="T22" i="60"/>
  <c r="T64" i="60"/>
  <c r="T45" i="60"/>
  <c r="T42" i="60"/>
  <c r="T23" i="60"/>
  <c r="T13" i="60"/>
  <c r="T56" i="60"/>
  <c r="T65" i="60"/>
  <c r="T57" i="60"/>
  <c r="T36" i="60"/>
  <c r="T49" i="60"/>
  <c r="T15" i="60"/>
  <c r="T60" i="60"/>
  <c r="D11" i="50"/>
  <c r="T59" i="60"/>
  <c r="T29" i="60"/>
  <c r="T47" i="60"/>
  <c r="T43" i="60"/>
  <c r="T32" i="60"/>
  <c r="T41" i="60"/>
  <c r="T63" i="60"/>
  <c r="T33" i="60"/>
  <c r="T14" i="60"/>
  <c r="T16" i="60"/>
  <c r="T24" i="60"/>
  <c r="T62" i="60"/>
  <c r="T52" i="60"/>
  <c r="T55" i="60"/>
  <c r="T48" i="60"/>
  <c r="T30" i="60"/>
  <c r="T66" i="60"/>
  <c r="T67" i="60"/>
  <c r="T44" i="60"/>
  <c r="T38" i="60"/>
  <c r="T34" i="60"/>
  <c r="T58" i="60"/>
  <c r="T54" i="60"/>
  <c r="T20" i="60"/>
  <c r="T19" i="60"/>
  <c r="T26" i="60"/>
  <c r="T68" i="60"/>
  <c r="T27" i="60"/>
  <c r="T18" i="60"/>
  <c r="T35" i="60"/>
  <c r="T56" i="58"/>
  <c r="T58" i="58"/>
  <c r="T53" i="57"/>
  <c r="T37" i="57"/>
  <c r="T35" i="58"/>
  <c r="T35" i="52"/>
  <c r="T51" i="53"/>
  <c r="T12" i="54"/>
  <c r="T12" i="57"/>
  <c r="T8" i="53"/>
  <c r="T49" i="54"/>
  <c r="T39" i="60"/>
  <c r="T48" i="52"/>
  <c r="O12" i="50"/>
  <c r="P12" i="50" s="1"/>
  <c r="G12" i="50" s="1"/>
  <c r="F12" i="50"/>
  <c r="F7" i="50"/>
  <c r="L7" i="50"/>
  <c r="M7" i="50" s="1"/>
  <c r="S70" i="55"/>
  <c r="T58" i="54"/>
  <c r="T19" i="54"/>
  <c r="T67" i="54"/>
  <c r="T21" i="54"/>
  <c r="T15" i="54"/>
  <c r="T61" i="54"/>
  <c r="T9" i="54"/>
  <c r="T48" i="54"/>
  <c r="T31" i="54"/>
  <c r="T50" i="54"/>
  <c r="T62" i="54"/>
  <c r="T45" i="54"/>
  <c r="T36" i="54"/>
  <c r="T63" i="54"/>
  <c r="T13" i="54"/>
  <c r="T22" i="54"/>
  <c r="T52" i="54"/>
  <c r="T53" i="54"/>
  <c r="T69" i="54"/>
  <c r="T38" i="54"/>
  <c r="T16" i="54"/>
  <c r="T41" i="54"/>
  <c r="T56" i="54"/>
  <c r="T27" i="54"/>
  <c r="T14" i="54"/>
  <c r="T39" i="54"/>
  <c r="D5" i="50"/>
  <c r="T24" i="54"/>
  <c r="T25" i="54"/>
  <c r="T44" i="54"/>
  <c r="T7" i="54"/>
  <c r="T29" i="54"/>
  <c r="T55" i="54"/>
  <c r="T32" i="54"/>
  <c r="T28" i="54"/>
  <c r="T18" i="54"/>
  <c r="T30" i="54"/>
  <c r="T33" i="54"/>
  <c r="T46" i="54"/>
  <c r="T68" i="54"/>
  <c r="T8" i="54"/>
  <c r="T60" i="54"/>
  <c r="T37" i="54"/>
  <c r="T43" i="54"/>
  <c r="T10" i="54"/>
  <c r="T34" i="54"/>
  <c r="T42" i="54"/>
  <c r="T40" i="54"/>
  <c r="T54" i="54"/>
  <c r="T57" i="54"/>
  <c r="T26" i="54"/>
  <c r="T20" i="54"/>
  <c r="T35" i="54"/>
  <c r="T24" i="58"/>
  <c r="T18" i="58"/>
  <c r="T48" i="57"/>
  <c r="T29" i="57"/>
  <c r="T50" i="57"/>
  <c r="T15" i="57"/>
  <c r="T39" i="57"/>
  <c r="T10" i="57"/>
  <c r="T59" i="57"/>
  <c r="T69" i="57"/>
  <c r="T42" i="57"/>
  <c r="T30" i="57"/>
  <c r="T38" i="57"/>
  <c r="T22" i="57"/>
  <c r="T52" i="57"/>
  <c r="T28" i="57"/>
  <c r="T60" i="57"/>
  <c r="T64" i="57"/>
  <c r="T54" i="57"/>
  <c r="T67" i="57"/>
  <c r="T20" i="57"/>
  <c r="T63" i="57"/>
  <c r="T55" i="57"/>
  <c r="T65" i="57"/>
  <c r="T57" i="57"/>
  <c r="T14" i="57"/>
  <c r="T62" i="57"/>
  <c r="T24" i="57"/>
  <c r="T27" i="57"/>
  <c r="T49" i="57"/>
  <c r="T33" i="57"/>
  <c r="T46" i="57"/>
  <c r="T43" i="57"/>
  <c r="D8" i="50"/>
  <c r="L10" i="50" s="1"/>
  <c r="M10" i="50" s="1"/>
  <c r="T61" i="57"/>
  <c r="T45" i="57"/>
  <c r="T47" i="57"/>
  <c r="T68" i="57"/>
  <c r="T13" i="57"/>
  <c r="T11" i="57"/>
  <c r="T31" i="57"/>
  <c r="T32" i="57"/>
  <c r="T40" i="57"/>
  <c r="T26" i="57"/>
  <c r="T21" i="57"/>
  <c r="T34" i="57"/>
  <c r="T25" i="57"/>
  <c r="T44" i="57"/>
  <c r="T51" i="57"/>
  <c r="T36" i="57"/>
  <c r="S70" i="61"/>
  <c r="S70" i="54" l="1"/>
  <c r="L8" i="50"/>
  <c r="M8" i="50" s="1"/>
  <c r="F3" i="50"/>
  <c r="L4" i="50"/>
  <c r="M4" i="50" s="1"/>
  <c r="L5" i="50"/>
  <c r="M5" i="50" s="1"/>
  <c r="L6" i="50"/>
  <c r="M6" i="50" s="1"/>
  <c r="L3" i="50"/>
  <c r="M3" i="50" s="1"/>
  <c r="L9" i="50"/>
  <c r="M9" i="50" s="1"/>
  <c r="L11" i="50"/>
  <c r="M11" i="50" s="1"/>
  <c r="G11" i="50" s="1"/>
  <c r="F11" i="50"/>
  <c r="L12" i="50"/>
  <c r="M12" i="50" s="1"/>
  <c r="S70" i="60"/>
  <c r="O5" i="50"/>
  <c r="P5" i="50" s="1"/>
  <c r="F4" i="50"/>
  <c r="O6" i="50"/>
  <c r="P6" i="50" s="1"/>
  <c r="O4" i="50"/>
  <c r="P4" i="50" s="1"/>
  <c r="R10" i="50"/>
  <c r="S10" i="50" s="1"/>
  <c r="F9" i="50"/>
  <c r="R9" i="50"/>
  <c r="S9" i="50" s="1"/>
  <c r="S70" i="57"/>
  <c r="O10" i="50"/>
  <c r="P10" i="50" s="1"/>
  <c r="O8" i="50"/>
  <c r="P8" i="50" s="1"/>
  <c r="O9" i="50"/>
  <c r="P9" i="50" s="1"/>
  <c r="F8" i="50"/>
  <c r="F5" i="50"/>
  <c r="R5" i="50"/>
  <c r="S5" i="50" s="1"/>
  <c r="G5" i="50" s="1"/>
  <c r="R6" i="50"/>
  <c r="S6" i="50" s="1"/>
  <c r="S70" i="52"/>
  <c r="S70" i="53"/>
  <c r="S70" i="58"/>
  <c r="G8" i="50" l="1"/>
  <c r="G7" i="50"/>
  <c r="G4" i="50"/>
  <c r="G9" i="50"/>
  <c r="G3" i="50"/>
</calcChain>
</file>

<file path=xl/sharedStrings.xml><?xml version="1.0" encoding="utf-8"?>
<sst xmlns="http://schemas.openxmlformats.org/spreadsheetml/2006/main" count="416" uniqueCount="61">
  <si>
    <t>Age</t>
  </si>
  <si>
    <t>Experience Adjustment</t>
  </si>
  <si>
    <t>Expected Pretax Income</t>
  </si>
  <si>
    <t>Experience Premium</t>
  </si>
  <si>
    <t>Experience Normalization</t>
  </si>
  <si>
    <t>Years of Education</t>
  </si>
  <si>
    <t>Expected Compensation</t>
  </si>
  <si>
    <t>Tuition</t>
  </si>
  <si>
    <t>Completion Probability</t>
  </si>
  <si>
    <t>Unemployment Probability</t>
  </si>
  <si>
    <t>2011 Tax Table, standard deduction 5800, personal exemption 3700, 10% state taxes &amp; local taxes, FICA, $300/week unemployment benefit</t>
  </si>
  <si>
    <t>Start Age</t>
  </si>
  <si>
    <t xml:space="preserve">Taxable Income </t>
  </si>
  <si>
    <t>Return to Education</t>
  </si>
  <si>
    <t>Expected Value</t>
  </si>
  <si>
    <t>Expected Present Value</t>
  </si>
  <si>
    <t>Years of Experience</t>
  </si>
  <si>
    <t>School Happiness</t>
  </si>
  <si>
    <t xml:space="preserve">Expected After-Tax Income </t>
  </si>
  <si>
    <t xml:space="preserve">Expected Taxes </t>
  </si>
  <si>
    <t>Initial Unemployment</t>
  </si>
  <si>
    <t>Return Rate</t>
  </si>
  <si>
    <t>Year 1 Probability Distribution</t>
  </si>
  <si>
    <t>Year 2 Probability Distribution</t>
  </si>
  <si>
    <t>Year 3 Probability Distribution</t>
  </si>
  <si>
    <t>Year 4 Probability Distribution</t>
  </si>
  <si>
    <t>Year 1 Stopping Return</t>
  </si>
  <si>
    <t>Year 2 Stopping Return</t>
  </si>
  <si>
    <t>Year 3 Stopping Return</t>
  </si>
  <si>
    <t>Year 4 Stopping Return</t>
  </si>
  <si>
    <t>Year 1 Stopping Rate</t>
  </si>
  <si>
    <t>Year 2 Stopping Rate</t>
  </si>
  <si>
    <t>Year 3 Stopping Rate</t>
  </si>
  <si>
    <t>Year 4 Stopping Rate</t>
  </si>
  <si>
    <t>Degree Return</t>
  </si>
  <si>
    <t xml:space="preserve"> Pretax Income</t>
  </si>
  <si>
    <t>Benefits</t>
  </si>
  <si>
    <t xml:space="preserve"> Pretax Income if Employed (including student earnings)</t>
  </si>
  <si>
    <t xml:space="preserve"> Benefits if Employed</t>
  </si>
  <si>
    <t>High School Tuition</t>
  </si>
  <si>
    <t>College Tuition</t>
  </si>
  <si>
    <t>School Feelings</t>
  </si>
  <si>
    <t>Participation Rate</t>
  </si>
  <si>
    <t>Social Income</t>
  </si>
  <si>
    <t>Social Benefits</t>
  </si>
  <si>
    <t>Social Unemployment</t>
  </si>
  <si>
    <t>Social Participation</t>
  </si>
  <si>
    <t>Average Net Tax Rate</t>
  </si>
  <si>
    <t>Expected Productivity if Participating</t>
  </si>
  <si>
    <t>Participation</t>
  </si>
  <si>
    <t>Nonparticipation Transfers</t>
  </si>
  <si>
    <t>Crime Risk Factor</t>
  </si>
  <si>
    <t>Crime Risk Factor from crimeworksheet.xls</t>
  </si>
  <si>
    <t>Social Crime Cost</t>
  </si>
  <si>
    <t>Expected Crime Costs</t>
  </si>
  <si>
    <t>Enhanced Participation Benefit</t>
  </si>
  <si>
    <t>Initial Social Participation</t>
  </si>
  <si>
    <t>Social Return to Education</t>
  </si>
  <si>
    <t>Crime Reduction Benefit</t>
  </si>
  <si>
    <t>Expected Productivity Benefit</t>
  </si>
  <si>
    <t>All other variables from metasocial.xls and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</si>
</sst>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"/>
    <numFmt numFmtId="166" formatCode="0.0000"/>
    <numFmt numFmtId="167" formatCode="0.0"/>
    <numFmt numFmtId="168" formatCode="0.0%"/>
  </numFmts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Alignment="0"/>
    <xf numFmtId="3" fontId="3" fillId="0" borderId="0"/>
    <xf numFmtId="1" fontId="3" fillId="0" borderId="0"/>
    <xf numFmtId="168" fontId="3" fillId="0" borderId="0"/>
    <xf numFmtId="164" fontId="6" fillId="0" borderId="0"/>
  </cellStyleXfs>
  <cellXfs count="3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Border="1" applyAlignment="1">
      <alignment vertical="top" wrapText="1"/>
    </xf>
    <xf numFmtId="164" fontId="5" fillId="0" borderId="0" xfId="0" applyNumberFormat="1" applyFont="1"/>
    <xf numFmtId="2" fontId="0" fillId="0" borderId="0" xfId="0" applyNumberFormat="1"/>
    <xf numFmtId="0" fontId="3" fillId="0" borderId="0" xfId="0" applyNumberFormat="1" applyFont="1"/>
    <xf numFmtId="167" fontId="1" fillId="0" borderId="0" xfId="0" applyNumberFormat="1" applyFont="1"/>
    <xf numFmtId="0" fontId="3" fillId="0" borderId="0" xfId="0" applyNumberFormat="1" applyFont="1" applyBorder="1"/>
    <xf numFmtId="0" fontId="4" fillId="0" borderId="0" xfId="0" applyNumberFormat="1" applyFont="1" applyBorder="1" applyAlignment="1">
      <alignment vertical="top" wrapText="1"/>
    </xf>
    <xf numFmtId="1" fontId="1" fillId="0" borderId="0" xfId="0" applyNumberFormat="1" applyFont="1"/>
    <xf numFmtId="3" fontId="0" fillId="0" borderId="0" xfId="0" applyNumberFormat="1" applyAlignment="1">
      <alignment horizontal="right" vertical="center"/>
    </xf>
    <xf numFmtId="164" fontId="0" fillId="0" borderId="0" xfId="0" applyNumberFormat="1" applyFont="1"/>
    <xf numFmtId="3" fontId="3" fillId="0" borderId="0" xfId="2"/>
    <xf numFmtId="1" fontId="3" fillId="0" borderId="0" xfId="3"/>
    <xf numFmtId="0" fontId="0" fillId="0" borderId="0" xfId="0" applyAlignment="1">
      <alignment horizontal="right" vertical="center"/>
    </xf>
    <xf numFmtId="164" fontId="0" fillId="0" borderId="0" xfId="1" applyFont="1" applyAlignment="1">
      <alignment horizontal="right" vertical="center"/>
    </xf>
    <xf numFmtId="3" fontId="0" fillId="0" borderId="0" xfId="0" applyNumberFormat="1" applyFont="1"/>
    <xf numFmtId="164" fontId="3" fillId="0" borderId="0" xfId="1"/>
    <xf numFmtId="1" fontId="0" fillId="0" borderId="0" xfId="0" applyNumberFormat="1" applyFont="1"/>
    <xf numFmtId="0" fontId="0" fillId="0" borderId="0" xfId="0" applyNumberFormat="1" applyFont="1" applyBorder="1"/>
    <xf numFmtId="164" fontId="0" fillId="0" borderId="0" xfId="1" applyFont="1"/>
    <xf numFmtId="49" fontId="1" fillId="0" borderId="0" xfId="0" applyNumberFormat="1" applyFont="1"/>
    <xf numFmtId="0" fontId="7" fillId="0" borderId="0" xfId="0" applyFont="1" applyAlignment="1">
      <alignment horizontal="right" vertical="center"/>
    </xf>
  </cellXfs>
  <cellStyles count="6">
    <cellStyle name="3Decimals" xfId="1"/>
    <cellStyle name="NoDecimals" xfId="2"/>
    <cellStyle name="NoDecimalsNoComma" xfId="3"/>
    <cellStyle name="Normal" xfId="0" builtinId="0" customBuiltin="1"/>
    <cellStyle name="PercentOneDecimal" xfId="4"/>
    <cellStyle name="Style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C1" workbookViewId="0">
      <selection activeCell="R6" sqref="R6"/>
    </sheetView>
  </sheetViews>
  <sheetFormatPr defaultRowHeight="12.75" x14ac:dyDescent="0.2"/>
  <cols>
    <col min="1" max="1" width="9.140625" style="18"/>
    <col min="2" max="3" width="12.42578125" style="8" customWidth="1"/>
    <col min="4" max="7" width="9.140625" style="8"/>
    <col min="8" max="8" width="9.5703125" style="8" customWidth="1"/>
    <col min="9" max="10" width="9.140625" style="8"/>
    <col min="11" max="11" width="9.5703125" style="8" customWidth="1"/>
    <col min="12" max="12" width="9.140625" style="9"/>
    <col min="13" max="16384" width="9.140625" style="8"/>
  </cols>
  <sheetData>
    <row r="1" spans="1:24" x14ac:dyDescent="0.2">
      <c r="A1" s="18" t="s">
        <v>5</v>
      </c>
      <c r="B1" s="20" t="s">
        <v>35</v>
      </c>
      <c r="C1" s="20" t="s">
        <v>36</v>
      </c>
      <c r="D1" s="8" t="s">
        <v>9</v>
      </c>
      <c r="E1" s="8" t="s">
        <v>8</v>
      </c>
      <c r="F1" s="20" t="s">
        <v>42</v>
      </c>
      <c r="H1" s="8" t="s">
        <v>3</v>
      </c>
      <c r="I1" s="8" t="s">
        <v>4</v>
      </c>
      <c r="L1" s="9" t="s">
        <v>16</v>
      </c>
      <c r="M1" s="8" t="s">
        <v>1</v>
      </c>
      <c r="N1" s="20" t="s">
        <v>0</v>
      </c>
      <c r="O1" s="20" t="s">
        <v>51</v>
      </c>
      <c r="P1" s="8" t="s">
        <v>39</v>
      </c>
      <c r="Q1" s="8" t="s">
        <v>40</v>
      </c>
      <c r="R1" s="8" t="s">
        <v>41</v>
      </c>
      <c r="S1" s="20" t="s">
        <v>50</v>
      </c>
      <c r="T1" s="20" t="s">
        <v>43</v>
      </c>
      <c r="U1" s="20" t="s">
        <v>44</v>
      </c>
      <c r="V1" s="20" t="s">
        <v>45</v>
      </c>
      <c r="W1" s="20" t="s">
        <v>53</v>
      </c>
      <c r="X1" s="20" t="s">
        <v>46</v>
      </c>
    </row>
    <row r="2" spans="1:24" x14ac:dyDescent="0.2">
      <c r="A2" s="18">
        <v>8</v>
      </c>
      <c r="B2" s="19">
        <v>42033</v>
      </c>
      <c r="C2" s="19">
        <v>18568</v>
      </c>
      <c r="D2" s="24">
        <v>5.7000000000000002E-2</v>
      </c>
      <c r="E2" s="24">
        <v>1</v>
      </c>
      <c r="F2" s="24">
        <v>0.60199999999999998</v>
      </c>
      <c r="H2" s="8">
        <v>2.5000000000000001E-2</v>
      </c>
      <c r="I2" s="10">
        <f>AVERAGE(M2:M53)</f>
        <v>2.0085479604911836</v>
      </c>
      <c r="J2" s="13"/>
      <c r="K2" s="18"/>
      <c r="L2" s="9">
        <v>0</v>
      </c>
      <c r="M2" s="8">
        <f t="shared" ref="M2:M33" si="0">(1+experiencepremium)^L2</f>
        <v>1</v>
      </c>
      <c r="N2" s="22">
        <v>14</v>
      </c>
      <c r="O2" s="31">
        <v>1.0940000000000001</v>
      </c>
      <c r="P2" s="25">
        <v>11298</v>
      </c>
      <c r="Q2" s="25">
        <v>8279</v>
      </c>
      <c r="R2" s="8">
        <v>0.28000000000000003</v>
      </c>
      <c r="S2" s="22">
        <f>4362+2192</f>
        <v>6554</v>
      </c>
      <c r="T2" s="19">
        <v>74565</v>
      </c>
      <c r="U2" s="19">
        <v>31134</v>
      </c>
      <c r="V2" s="24">
        <v>3.2000000000000001E-2</v>
      </c>
      <c r="W2" s="19">
        <v>1113</v>
      </c>
      <c r="X2" s="24">
        <v>0.72799999999999998</v>
      </c>
    </row>
    <row r="3" spans="1:24" x14ac:dyDescent="0.2">
      <c r="A3" s="18">
        <v>9</v>
      </c>
      <c r="B3" s="19">
        <v>43791</v>
      </c>
      <c r="C3" s="19">
        <v>19345</v>
      </c>
      <c r="D3" s="24">
        <v>5.3999999999999999E-2</v>
      </c>
      <c r="E3" s="24">
        <v>0.98599999999999999</v>
      </c>
      <c r="F3" s="24">
        <v>0.61799999999999999</v>
      </c>
      <c r="I3" s="10">
        <f>AVERAGE(M2:M52)</f>
        <v>1.978852107996969</v>
      </c>
      <c r="J3" s="13"/>
      <c r="K3" s="18"/>
      <c r="L3" s="9">
        <v>1</v>
      </c>
      <c r="M3" s="8">
        <f t="shared" si="0"/>
        <v>1.0249999999999999</v>
      </c>
      <c r="N3" s="22">
        <v>15</v>
      </c>
      <c r="O3" s="31">
        <v>1.8560000000000001</v>
      </c>
      <c r="Q3" s="15"/>
      <c r="R3" s="15"/>
      <c r="T3" s="19">
        <v>75969</v>
      </c>
      <c r="U3" s="19">
        <v>31720</v>
      </c>
      <c r="V3" s="24">
        <v>3.1E-2</v>
      </c>
      <c r="W3" s="19">
        <v>1090</v>
      </c>
      <c r="X3" s="24">
        <v>0.73599999999999999</v>
      </c>
    </row>
    <row r="4" spans="1:24" x14ac:dyDescent="0.2">
      <c r="A4" s="18">
        <v>10</v>
      </c>
      <c r="B4" s="19">
        <v>45623</v>
      </c>
      <c r="C4" s="19">
        <v>20154</v>
      </c>
      <c r="D4" s="24">
        <v>5.0999999999999997E-2</v>
      </c>
      <c r="E4" s="24">
        <v>0.98599999999999999</v>
      </c>
      <c r="F4" s="24">
        <v>0.63400000000000001</v>
      </c>
      <c r="I4" s="10">
        <f>AVERAGE(M2:M51)</f>
        <v>1.9496869757628374</v>
      </c>
      <c r="J4" s="13"/>
      <c r="K4" s="18"/>
      <c r="L4" s="9">
        <v>2</v>
      </c>
      <c r="M4" s="8">
        <f t="shared" si="0"/>
        <v>1.0506249999999999</v>
      </c>
      <c r="N4" s="22">
        <v>16</v>
      </c>
      <c r="O4" s="31">
        <v>2.3479999999999999</v>
      </c>
      <c r="Q4" s="15"/>
      <c r="R4" s="15"/>
      <c r="T4" s="19">
        <v>77399</v>
      </c>
      <c r="U4" s="19">
        <v>32318</v>
      </c>
      <c r="V4" s="24">
        <v>0.03</v>
      </c>
      <c r="W4" s="19">
        <v>1068</v>
      </c>
      <c r="X4" s="24">
        <v>0.745</v>
      </c>
    </row>
    <row r="5" spans="1:24" x14ac:dyDescent="0.2">
      <c r="A5" s="18">
        <v>11</v>
      </c>
      <c r="B5" s="19">
        <v>47531</v>
      </c>
      <c r="C5" s="19">
        <v>20997</v>
      </c>
      <c r="D5" s="24">
        <v>4.9000000000000002E-2</v>
      </c>
      <c r="E5" s="24">
        <v>0.98599999999999999</v>
      </c>
      <c r="F5" s="24">
        <v>0.65100000000000002</v>
      </c>
      <c r="I5" s="10">
        <f>AVERAGE(M2:M50)</f>
        <v>1.9210422854781857</v>
      </c>
      <c r="J5" s="13"/>
      <c r="K5" s="18"/>
      <c r="L5" s="9">
        <v>3</v>
      </c>
      <c r="M5" s="8">
        <f t="shared" si="0"/>
        <v>1.0768906249999999</v>
      </c>
      <c r="N5" s="22">
        <v>17</v>
      </c>
      <c r="O5" s="31">
        <v>2.7120000000000002</v>
      </c>
      <c r="Q5" s="15"/>
      <c r="R5" s="15"/>
      <c r="T5" s="19">
        <v>78856</v>
      </c>
      <c r="U5" s="19">
        <v>32926</v>
      </c>
      <c r="V5" s="24">
        <v>0.03</v>
      </c>
      <c r="W5" s="19">
        <v>1046</v>
      </c>
      <c r="X5" s="24">
        <v>0.754</v>
      </c>
    </row>
    <row r="6" spans="1:24" x14ac:dyDescent="0.2">
      <c r="A6" s="18">
        <v>12</v>
      </c>
      <c r="B6" s="19">
        <v>54292</v>
      </c>
      <c r="C6" s="19">
        <v>23984</v>
      </c>
      <c r="D6" s="24">
        <v>4.1000000000000002E-2</v>
      </c>
      <c r="E6" s="24">
        <v>0.98599999999999999</v>
      </c>
      <c r="F6" s="24">
        <v>0.70899999999999996</v>
      </c>
      <c r="I6" s="10">
        <f>AVERAGE(M2:M49)</f>
        <v>1.8929079672445346</v>
      </c>
      <c r="J6" s="13"/>
      <c r="K6" s="18"/>
      <c r="L6" s="9">
        <v>4</v>
      </c>
      <c r="M6" s="8">
        <f t="shared" si="0"/>
        <v>1.1038128906249998</v>
      </c>
      <c r="N6" s="22">
        <v>18</v>
      </c>
      <c r="O6" s="31">
        <v>3.2959999999999998</v>
      </c>
      <c r="Q6" s="15"/>
      <c r="R6" s="15"/>
      <c r="T6" s="19">
        <v>80340</v>
      </c>
      <c r="U6" s="19">
        <v>33546</v>
      </c>
      <c r="V6" s="24">
        <v>2.9000000000000001E-2</v>
      </c>
      <c r="W6" s="19">
        <v>1025</v>
      </c>
      <c r="X6" s="24">
        <v>0.76200000000000001</v>
      </c>
    </row>
    <row r="7" spans="1:24" x14ac:dyDescent="0.2">
      <c r="A7" s="18">
        <v>13</v>
      </c>
      <c r="B7" s="19">
        <v>56457</v>
      </c>
      <c r="C7" s="19">
        <v>24807</v>
      </c>
      <c r="D7" s="24">
        <v>0.04</v>
      </c>
      <c r="E7" s="24">
        <v>0.90300000000000002</v>
      </c>
      <c r="F7" s="24">
        <v>0.71599999999999997</v>
      </c>
      <c r="I7" s="10">
        <f>AVERAGE(M2:M48)</f>
        <v>1.8652741552202943</v>
      </c>
      <c r="J7" s="13"/>
      <c r="K7" s="18"/>
      <c r="L7" s="9">
        <v>5</v>
      </c>
      <c r="M7" s="8">
        <f t="shared" si="0"/>
        <v>1.1314082128906247</v>
      </c>
      <c r="N7" s="22">
        <v>19</v>
      </c>
      <c r="O7" s="31">
        <v>3.5230000000000001</v>
      </c>
      <c r="Q7" s="15"/>
      <c r="R7" s="15"/>
      <c r="T7" s="19">
        <v>81994</v>
      </c>
      <c r="U7" s="19">
        <v>34136</v>
      </c>
      <c r="V7" s="24">
        <v>2.9000000000000001E-2</v>
      </c>
      <c r="W7" s="19">
        <v>1017</v>
      </c>
      <c r="X7" s="24">
        <v>0.76600000000000001</v>
      </c>
    </row>
    <row r="8" spans="1:24" x14ac:dyDescent="0.2">
      <c r="A8" s="18">
        <v>14</v>
      </c>
      <c r="B8" s="19">
        <v>58707</v>
      </c>
      <c r="C8" s="19">
        <v>25659</v>
      </c>
      <c r="D8" s="24">
        <v>3.7999999999999999E-2</v>
      </c>
      <c r="E8" s="24">
        <v>0.90300000000000002</v>
      </c>
      <c r="F8" s="24">
        <v>0.72299999999999998</v>
      </c>
      <c r="I8" s="10">
        <f>AVERAGE(M2:M47)</f>
        <v>1.8381311833585117</v>
      </c>
      <c r="J8" s="13"/>
      <c r="K8" s="18"/>
      <c r="L8" s="9">
        <v>6</v>
      </c>
      <c r="M8" s="8">
        <f t="shared" si="0"/>
        <v>1.1596934182128902</v>
      </c>
      <c r="N8" s="22">
        <v>20</v>
      </c>
      <c r="O8" s="31">
        <v>3.3740000000000001</v>
      </c>
      <c r="Q8" s="15"/>
      <c r="R8" s="15"/>
      <c r="T8" s="19">
        <v>83682</v>
      </c>
      <c r="U8" s="19">
        <v>34736</v>
      </c>
      <c r="V8" s="24">
        <v>2.8000000000000001E-2</v>
      </c>
      <c r="W8" s="19">
        <v>1009</v>
      </c>
      <c r="X8" s="24">
        <v>0.77</v>
      </c>
    </row>
    <row r="9" spans="1:24" x14ac:dyDescent="0.2">
      <c r="A9" s="18">
        <v>15</v>
      </c>
      <c r="B9" s="19">
        <v>61047</v>
      </c>
      <c r="C9" s="19">
        <v>26540</v>
      </c>
      <c r="D9" s="24">
        <v>3.6999999999999998E-2</v>
      </c>
      <c r="E9" s="24">
        <v>0.90300000000000002</v>
      </c>
      <c r="F9" s="24">
        <v>0.73</v>
      </c>
      <c r="I9" s="10">
        <f>AVERAGE(M2:M46)</f>
        <v>1.8114695812355892</v>
      </c>
      <c r="J9" s="13"/>
      <c r="K9" s="18"/>
      <c r="L9" s="9">
        <v>7</v>
      </c>
      <c r="M9" s="8">
        <f t="shared" si="0"/>
        <v>1.1886857536682125</v>
      </c>
      <c r="N9" s="22">
        <v>21</v>
      </c>
      <c r="O9" s="31">
        <v>3.0640000000000001</v>
      </c>
      <c r="Q9" s="15"/>
      <c r="R9" s="15"/>
      <c r="T9" s="19">
        <v>85405</v>
      </c>
      <c r="U9" s="19">
        <v>35347</v>
      </c>
      <c r="V9" s="24">
        <v>2.8000000000000001E-2</v>
      </c>
      <c r="W9" s="19">
        <v>1001</v>
      </c>
      <c r="X9" s="24">
        <v>0.77300000000000002</v>
      </c>
    </row>
    <row r="10" spans="1:24" x14ac:dyDescent="0.2">
      <c r="A10" s="18">
        <v>16</v>
      </c>
      <c r="B10" s="19">
        <v>77353</v>
      </c>
      <c r="C10" s="19">
        <v>32646</v>
      </c>
      <c r="D10" s="24">
        <v>0.03</v>
      </c>
      <c r="E10" s="24">
        <v>0.90300000000000002</v>
      </c>
      <c r="F10" s="24">
        <v>0.77700000000000002</v>
      </c>
      <c r="I10" s="10">
        <f>AVERAGE(M2:M45)</f>
        <v>1.7852800699689915</v>
      </c>
      <c r="J10" s="13"/>
      <c r="K10" s="18"/>
      <c r="L10" s="9">
        <v>8</v>
      </c>
      <c r="M10" s="8">
        <f t="shared" si="0"/>
        <v>1.2184028975099177</v>
      </c>
      <c r="N10" s="22">
        <v>22</v>
      </c>
      <c r="O10" s="31">
        <v>2.8079999999999998</v>
      </c>
      <c r="Q10" s="15"/>
      <c r="R10" s="15"/>
      <c r="T10" s="19">
        <v>87164</v>
      </c>
      <c r="U10" s="19">
        <v>35968</v>
      </c>
      <c r="V10" s="24">
        <v>2.8000000000000001E-2</v>
      </c>
      <c r="W10" s="23">
        <v>994</v>
      </c>
      <c r="X10" s="24">
        <v>0.77700000000000002</v>
      </c>
    </row>
    <row r="11" spans="1:24" x14ac:dyDescent="0.2">
      <c r="A11" s="18">
        <v>17</v>
      </c>
      <c r="B11" s="19">
        <v>78968</v>
      </c>
      <c r="C11" s="19">
        <v>33191</v>
      </c>
      <c r="D11" s="24">
        <v>0.03</v>
      </c>
      <c r="E11" s="24">
        <v>0.70699999999999996</v>
      </c>
      <c r="F11" s="24">
        <v>0.77700000000000002</v>
      </c>
      <c r="I11" s="10">
        <f>AVERAGE(M2:M44)</f>
        <v>1.7595535582220223</v>
      </c>
      <c r="J11" s="13"/>
      <c r="K11" s="18"/>
      <c r="L11" s="9">
        <v>9</v>
      </c>
      <c r="M11" s="8">
        <f t="shared" si="0"/>
        <v>1.2488629699476654</v>
      </c>
      <c r="N11" s="22">
        <v>23</v>
      </c>
      <c r="O11" s="31">
        <v>2.6240000000000001</v>
      </c>
      <c r="Q11" s="15"/>
      <c r="R11" s="15"/>
      <c r="T11" s="19">
        <v>88579</v>
      </c>
      <c r="U11" s="19">
        <v>36435</v>
      </c>
      <c r="V11" s="24">
        <v>2.7E-2</v>
      </c>
      <c r="W11" s="23">
        <v>994</v>
      </c>
      <c r="X11" s="24">
        <v>0.77700000000000002</v>
      </c>
    </row>
    <row r="12" spans="1:24" x14ac:dyDescent="0.2">
      <c r="A12" s="18">
        <v>18</v>
      </c>
      <c r="B12" s="19">
        <v>90018</v>
      </c>
      <c r="C12" s="19">
        <v>36907</v>
      </c>
      <c r="D12" s="24">
        <v>2.7E-2</v>
      </c>
      <c r="E12" s="24">
        <v>0.70699999999999996</v>
      </c>
      <c r="F12" s="24">
        <v>0.77700000000000002</v>
      </c>
      <c r="I12" s="10">
        <f>AVERAGE(M2:M43)</f>
        <v>1.7342811382937739</v>
      </c>
      <c r="J12" s="13"/>
      <c r="K12" s="18"/>
      <c r="L12" s="9">
        <v>10</v>
      </c>
      <c r="M12" s="8">
        <f t="shared" si="0"/>
        <v>1.2800845441963571</v>
      </c>
      <c r="N12" s="22">
        <v>24</v>
      </c>
      <c r="O12" s="31">
        <v>2.5070000000000001</v>
      </c>
      <c r="Q12" s="15"/>
      <c r="R12" s="15"/>
      <c r="T12" s="19">
        <v>90018</v>
      </c>
      <c r="U12" s="19">
        <v>36907</v>
      </c>
      <c r="V12" s="24">
        <v>2.7E-2</v>
      </c>
      <c r="W12" s="23">
        <v>994</v>
      </c>
      <c r="X12" s="24">
        <v>0.77700000000000002</v>
      </c>
    </row>
    <row r="13" spans="1:24" x14ac:dyDescent="0.2">
      <c r="B13"/>
      <c r="C13"/>
      <c r="F13" s="2"/>
      <c r="L13" s="9">
        <v>11</v>
      </c>
      <c r="M13" s="8">
        <f t="shared" si="0"/>
        <v>1.312086657801266</v>
      </c>
      <c r="N13" s="22">
        <v>25</v>
      </c>
      <c r="O13" s="31">
        <v>2.105</v>
      </c>
    </row>
    <row r="14" spans="1:24" x14ac:dyDescent="0.2">
      <c r="B14" s="14"/>
      <c r="C14" s="14"/>
      <c r="D14" s="16"/>
      <c r="E14" s="16"/>
      <c r="F14" s="16"/>
      <c r="L14" s="9">
        <v>12</v>
      </c>
      <c r="M14" s="8">
        <f t="shared" si="0"/>
        <v>1.3448888242462975</v>
      </c>
      <c r="N14" s="22">
        <v>26</v>
      </c>
      <c r="O14" s="31">
        <v>2.105</v>
      </c>
    </row>
    <row r="15" spans="1:24" ht="14.25" x14ac:dyDescent="0.2">
      <c r="B15" s="14"/>
      <c r="C15" s="14"/>
      <c r="D15" s="17"/>
      <c r="E15" s="17"/>
      <c r="F15" s="28"/>
      <c r="L15" s="9">
        <v>13</v>
      </c>
      <c r="M15" s="8">
        <f t="shared" si="0"/>
        <v>1.3785110448524549</v>
      </c>
      <c r="N15" s="22">
        <v>27</v>
      </c>
      <c r="O15" s="31">
        <v>2.105</v>
      </c>
    </row>
    <row r="16" spans="1:24" ht="14.25" x14ac:dyDescent="0.2">
      <c r="B16" s="14"/>
      <c r="C16" s="14"/>
      <c r="D16" s="17"/>
      <c r="E16" s="17"/>
      <c r="F16" s="16" t="s">
        <v>52</v>
      </c>
      <c r="L16" s="9">
        <v>14</v>
      </c>
      <c r="M16" s="8">
        <f t="shared" si="0"/>
        <v>1.4129738209737661</v>
      </c>
      <c r="N16" s="22">
        <v>28</v>
      </c>
      <c r="O16" s="31">
        <v>2.105</v>
      </c>
    </row>
    <row r="17" spans="2:15" ht="14.25" x14ac:dyDescent="0.2">
      <c r="B17" s="14"/>
      <c r="C17" s="14"/>
      <c r="D17" s="17"/>
      <c r="E17" s="17"/>
      <c r="F17" s="28" t="s">
        <v>60</v>
      </c>
      <c r="L17" s="9">
        <v>15</v>
      </c>
      <c r="M17" s="8">
        <f t="shared" si="0"/>
        <v>1.4482981664981105</v>
      </c>
      <c r="N17" s="22">
        <v>29</v>
      </c>
      <c r="O17" s="31">
        <v>2.105</v>
      </c>
    </row>
    <row r="18" spans="2:15" ht="14.25" x14ac:dyDescent="0.2">
      <c r="B18" s="14"/>
      <c r="C18" s="14"/>
      <c r="D18" s="17"/>
      <c r="E18" s="17"/>
      <c r="F18" s="16"/>
      <c r="L18" s="9">
        <v>16</v>
      </c>
      <c r="M18" s="8">
        <f t="shared" si="0"/>
        <v>1.4845056206605631</v>
      </c>
      <c r="N18" s="22">
        <v>30</v>
      </c>
      <c r="O18" s="31">
        <v>1.6970000000000001</v>
      </c>
    </row>
    <row r="19" spans="2:15" ht="14.25" x14ac:dyDescent="0.2">
      <c r="B19" s="14"/>
      <c r="C19" s="14"/>
      <c r="D19" s="17"/>
      <c r="E19" s="17"/>
      <c r="F19" s="16"/>
      <c r="L19" s="9">
        <v>17</v>
      </c>
      <c r="M19" s="8">
        <f t="shared" si="0"/>
        <v>1.521618261177077</v>
      </c>
      <c r="N19" s="22">
        <v>31</v>
      </c>
      <c r="O19" s="31">
        <v>1.6970000000000001</v>
      </c>
    </row>
    <row r="20" spans="2:15" ht="14.25" x14ac:dyDescent="0.2">
      <c r="B20" s="14"/>
      <c r="C20" s="14"/>
      <c r="D20" s="17"/>
      <c r="E20" s="17"/>
      <c r="F20" s="16"/>
      <c r="L20" s="9">
        <v>18</v>
      </c>
      <c r="M20" s="8">
        <f t="shared" si="0"/>
        <v>1.559658717706504</v>
      </c>
      <c r="N20" s="22">
        <v>32</v>
      </c>
      <c r="O20" s="31">
        <v>1.6970000000000001</v>
      </c>
    </row>
    <row r="21" spans="2:15" ht="14.25" x14ac:dyDescent="0.2">
      <c r="B21" s="14"/>
      <c r="C21" s="14"/>
      <c r="D21" s="17"/>
      <c r="E21" s="17"/>
      <c r="F21" s="16"/>
      <c r="L21" s="9">
        <v>19</v>
      </c>
      <c r="M21" s="8">
        <f t="shared" si="0"/>
        <v>1.5986501856491666</v>
      </c>
      <c r="N21" s="22">
        <v>33</v>
      </c>
      <c r="O21" s="31">
        <v>1.6970000000000001</v>
      </c>
    </row>
    <row r="22" spans="2:15" ht="14.25" x14ac:dyDescent="0.2">
      <c r="B22" s="14"/>
      <c r="C22" s="14"/>
      <c r="D22" s="17"/>
      <c r="E22" s="17"/>
      <c r="F22" s="16"/>
      <c r="L22" s="9">
        <v>20</v>
      </c>
      <c r="M22" s="8">
        <f t="shared" si="0"/>
        <v>1.6386164402903955</v>
      </c>
      <c r="N22" s="22">
        <v>34</v>
      </c>
      <c r="O22" s="31">
        <v>1.6970000000000001</v>
      </c>
    </row>
    <row r="23" spans="2:15" ht="14.25" x14ac:dyDescent="0.2">
      <c r="B23" s="14"/>
      <c r="C23" s="14"/>
      <c r="D23" s="17"/>
      <c r="E23" s="17"/>
      <c r="F23" s="16"/>
      <c r="L23" s="9">
        <v>21</v>
      </c>
      <c r="M23" s="8">
        <f t="shared" si="0"/>
        <v>1.6795818512976552</v>
      </c>
      <c r="N23" s="22">
        <v>35</v>
      </c>
      <c r="O23" s="31">
        <v>1.3169999999999999</v>
      </c>
    </row>
    <row r="24" spans="2:15" ht="14.25" x14ac:dyDescent="0.2">
      <c r="B24" s="14"/>
      <c r="C24" s="14"/>
      <c r="D24" s="17"/>
      <c r="E24" s="17"/>
      <c r="F24" s="16"/>
      <c r="L24" s="9">
        <v>22</v>
      </c>
      <c r="M24" s="8">
        <f t="shared" si="0"/>
        <v>1.7215713975800966</v>
      </c>
      <c r="N24" s="22">
        <v>36</v>
      </c>
      <c r="O24" s="31">
        <v>1.3169999999999999</v>
      </c>
    </row>
    <row r="25" spans="2:15" ht="14.25" x14ac:dyDescent="0.2">
      <c r="B25" s="14"/>
      <c r="C25" s="14"/>
      <c r="D25" s="17"/>
      <c r="E25" s="17"/>
      <c r="F25" s="16"/>
      <c r="L25" s="9">
        <v>23</v>
      </c>
      <c r="M25" s="8">
        <f t="shared" si="0"/>
        <v>1.7646106825195991</v>
      </c>
      <c r="N25" s="22">
        <v>37</v>
      </c>
      <c r="O25" s="31">
        <v>1.3169999999999999</v>
      </c>
    </row>
    <row r="26" spans="2:15" x14ac:dyDescent="0.2">
      <c r="B26" s="14"/>
      <c r="C26" s="14"/>
      <c r="D26" s="16"/>
      <c r="E26" s="16"/>
      <c r="F26" s="16"/>
      <c r="L26" s="9">
        <v>24</v>
      </c>
      <c r="M26" s="8">
        <f t="shared" si="0"/>
        <v>1.8087259495825889</v>
      </c>
      <c r="N26" s="22">
        <v>38</v>
      </c>
      <c r="O26" s="31">
        <v>1.3169999999999999</v>
      </c>
    </row>
    <row r="27" spans="2:15" x14ac:dyDescent="0.2">
      <c r="B27" s="2"/>
      <c r="C27" s="2"/>
      <c r="D27" s="2"/>
      <c r="E27" s="2"/>
      <c r="F27" s="2"/>
      <c r="L27" s="9">
        <v>25</v>
      </c>
      <c r="M27" s="8">
        <f t="shared" si="0"/>
        <v>1.8539440983221533</v>
      </c>
      <c r="N27" s="22">
        <v>39</v>
      </c>
      <c r="O27" s="31">
        <v>1.3169999999999999</v>
      </c>
    </row>
    <row r="28" spans="2:15" x14ac:dyDescent="0.2">
      <c r="B28" s="2"/>
      <c r="C28" s="2"/>
      <c r="D28" s="2"/>
      <c r="E28" s="2"/>
      <c r="F28" s="2"/>
      <c r="L28" s="9">
        <v>26</v>
      </c>
      <c r="M28" s="8">
        <f t="shared" si="0"/>
        <v>1.9002927007802071</v>
      </c>
      <c r="N28" s="22">
        <v>40</v>
      </c>
      <c r="O28" s="31">
        <v>1.1519999999999999</v>
      </c>
    </row>
    <row r="29" spans="2:15" x14ac:dyDescent="0.2">
      <c r="L29" s="9">
        <v>27</v>
      </c>
      <c r="M29" s="8">
        <f t="shared" si="0"/>
        <v>1.9478000182997122</v>
      </c>
      <c r="N29" s="22">
        <v>41</v>
      </c>
      <c r="O29" s="31">
        <v>1.1519999999999999</v>
      </c>
    </row>
    <row r="30" spans="2:15" x14ac:dyDescent="0.2">
      <c r="L30" s="9">
        <v>28</v>
      </c>
      <c r="M30" s="8">
        <f t="shared" si="0"/>
        <v>1.9964950187572048</v>
      </c>
      <c r="N30" s="22">
        <v>42</v>
      </c>
      <c r="O30" s="31">
        <v>1.1519999999999999</v>
      </c>
    </row>
    <row r="31" spans="2:15" x14ac:dyDescent="0.2">
      <c r="L31" s="9">
        <v>29</v>
      </c>
      <c r="M31" s="8">
        <f t="shared" si="0"/>
        <v>2.0464073942261352</v>
      </c>
      <c r="N31" s="22">
        <v>43</v>
      </c>
      <c r="O31" s="31">
        <v>1.1519999999999999</v>
      </c>
    </row>
    <row r="32" spans="2:15" x14ac:dyDescent="0.2">
      <c r="L32" s="9">
        <v>30</v>
      </c>
      <c r="M32" s="8">
        <f t="shared" si="0"/>
        <v>2.097567579081788</v>
      </c>
      <c r="N32" s="22">
        <v>44</v>
      </c>
      <c r="O32" s="31">
        <v>1.1519999999999999</v>
      </c>
    </row>
    <row r="33" spans="12:15" x14ac:dyDescent="0.2">
      <c r="L33" s="9">
        <v>31</v>
      </c>
      <c r="M33" s="8">
        <f t="shared" si="0"/>
        <v>2.1500067685588333</v>
      </c>
      <c r="N33" s="22">
        <v>45</v>
      </c>
      <c r="O33" s="31">
        <v>0.93100000000000005</v>
      </c>
    </row>
    <row r="34" spans="12:15" x14ac:dyDescent="0.2">
      <c r="L34" s="9">
        <v>32</v>
      </c>
      <c r="M34" s="8">
        <f t="shared" ref="M34:M53" si="1">(1+experiencepremium)^L34</f>
        <v>2.2037569377728037</v>
      </c>
      <c r="N34" s="22">
        <v>46</v>
      </c>
      <c r="O34" s="31">
        <v>0.93100000000000005</v>
      </c>
    </row>
    <row r="35" spans="12:15" x14ac:dyDescent="0.2">
      <c r="L35" s="9">
        <v>33</v>
      </c>
      <c r="M35" s="8">
        <f t="shared" si="1"/>
        <v>2.2588508612171236</v>
      </c>
      <c r="N35" s="22">
        <v>47</v>
      </c>
      <c r="O35" s="31">
        <v>0.93100000000000005</v>
      </c>
    </row>
    <row r="36" spans="12:15" x14ac:dyDescent="0.2">
      <c r="L36" s="9">
        <v>34</v>
      </c>
      <c r="M36" s="8">
        <f t="shared" si="1"/>
        <v>2.3153221327475517</v>
      </c>
      <c r="N36" s="22">
        <v>48</v>
      </c>
      <c r="O36" s="31">
        <v>0.93100000000000005</v>
      </c>
    </row>
    <row r="37" spans="12:15" x14ac:dyDescent="0.2">
      <c r="L37" s="9">
        <v>35</v>
      </c>
      <c r="M37" s="8">
        <f t="shared" si="1"/>
        <v>2.3732051860662402</v>
      </c>
      <c r="N37" s="22">
        <v>49</v>
      </c>
      <c r="O37" s="31">
        <v>0.93100000000000005</v>
      </c>
    </row>
    <row r="38" spans="12:15" x14ac:dyDescent="0.2">
      <c r="L38" s="9">
        <v>36</v>
      </c>
      <c r="M38" s="8">
        <f t="shared" si="1"/>
        <v>2.4325353157178964</v>
      </c>
      <c r="N38" s="22">
        <v>50</v>
      </c>
      <c r="O38" s="31">
        <v>0.622</v>
      </c>
    </row>
    <row r="39" spans="12:15" x14ac:dyDescent="0.2">
      <c r="L39" s="9">
        <v>37</v>
      </c>
      <c r="M39" s="8">
        <f t="shared" si="1"/>
        <v>2.4933486986108435</v>
      </c>
      <c r="N39" s="22">
        <v>51</v>
      </c>
      <c r="O39" s="31">
        <v>0.622</v>
      </c>
    </row>
    <row r="40" spans="12:15" x14ac:dyDescent="0.2">
      <c r="L40" s="9">
        <v>38</v>
      </c>
      <c r="M40" s="8">
        <f t="shared" si="1"/>
        <v>2.555682416076114</v>
      </c>
      <c r="N40" s="22">
        <v>52</v>
      </c>
      <c r="O40" s="31">
        <v>0.622</v>
      </c>
    </row>
    <row r="41" spans="12:15" x14ac:dyDescent="0.2">
      <c r="L41" s="9">
        <v>39</v>
      </c>
      <c r="M41" s="8">
        <f t="shared" si="1"/>
        <v>2.6195744764780171</v>
      </c>
      <c r="N41" s="22">
        <v>53</v>
      </c>
      <c r="O41" s="31">
        <v>0.622</v>
      </c>
    </row>
    <row r="42" spans="12:15" x14ac:dyDescent="0.2">
      <c r="L42" s="9">
        <v>40</v>
      </c>
      <c r="M42" s="8">
        <f t="shared" si="1"/>
        <v>2.6850638383899672</v>
      </c>
      <c r="N42" s="22">
        <v>54</v>
      </c>
      <c r="O42" s="31">
        <v>0.622</v>
      </c>
    </row>
    <row r="43" spans="12:15" x14ac:dyDescent="0.2">
      <c r="L43" s="9">
        <v>41</v>
      </c>
      <c r="M43" s="8">
        <f t="shared" si="1"/>
        <v>2.7521904343497163</v>
      </c>
      <c r="N43" s="22">
        <v>55</v>
      </c>
      <c r="O43" s="31">
        <v>0.34499999999999997</v>
      </c>
    </row>
    <row r="44" spans="12:15" x14ac:dyDescent="0.2">
      <c r="L44" s="9">
        <v>42</v>
      </c>
      <c r="M44" s="8">
        <f t="shared" si="1"/>
        <v>2.8209951952084591</v>
      </c>
      <c r="N44" s="22">
        <v>56</v>
      </c>
      <c r="O44" s="31">
        <v>0.34499999999999997</v>
      </c>
    </row>
    <row r="45" spans="12:15" x14ac:dyDescent="0.2">
      <c r="L45" s="9">
        <v>43</v>
      </c>
      <c r="M45" s="8">
        <f t="shared" si="1"/>
        <v>2.8915200750886707</v>
      </c>
      <c r="N45" s="22">
        <v>57</v>
      </c>
      <c r="O45" s="31">
        <v>0.34499999999999997</v>
      </c>
    </row>
    <row r="46" spans="12:15" x14ac:dyDescent="0.2">
      <c r="L46" s="9">
        <v>44</v>
      </c>
      <c r="M46" s="8">
        <f t="shared" si="1"/>
        <v>2.9638080769658868</v>
      </c>
      <c r="N46" s="22">
        <v>58</v>
      </c>
      <c r="O46" s="31">
        <v>0.34499999999999997</v>
      </c>
    </row>
    <row r="47" spans="12:15" x14ac:dyDescent="0.2">
      <c r="L47" s="9">
        <v>45</v>
      </c>
      <c r="M47" s="8">
        <f t="shared" si="1"/>
        <v>3.0379032788900342</v>
      </c>
      <c r="N47" s="22">
        <v>59</v>
      </c>
      <c r="O47" s="31">
        <v>0.34499999999999997</v>
      </c>
    </row>
    <row r="48" spans="12:15" x14ac:dyDescent="0.2">
      <c r="L48" s="9">
        <v>46</v>
      </c>
      <c r="M48" s="8">
        <f t="shared" si="1"/>
        <v>3.1138508608622844</v>
      </c>
      <c r="N48" s="22">
        <v>60</v>
      </c>
      <c r="O48" s="31">
        <v>0.182</v>
      </c>
    </row>
    <row r="49" spans="12:15" x14ac:dyDescent="0.2">
      <c r="L49" s="9">
        <v>47</v>
      </c>
      <c r="M49" s="8">
        <f t="shared" si="1"/>
        <v>3.1916971323838421</v>
      </c>
      <c r="N49" s="22">
        <v>61</v>
      </c>
      <c r="O49" s="31">
        <v>0.182</v>
      </c>
    </row>
    <row r="50" spans="12:15" x14ac:dyDescent="0.2">
      <c r="L50" s="9">
        <v>48</v>
      </c>
      <c r="M50" s="8">
        <f t="shared" si="1"/>
        <v>3.2714895606934378</v>
      </c>
      <c r="N50" s="22">
        <v>62</v>
      </c>
      <c r="O50" s="31">
        <v>0.182</v>
      </c>
    </row>
    <row r="51" spans="12:15" x14ac:dyDescent="0.2">
      <c r="L51" s="9">
        <v>49</v>
      </c>
      <c r="M51" s="8">
        <f t="shared" si="1"/>
        <v>3.3532767997107733</v>
      </c>
      <c r="N51" s="22">
        <v>63</v>
      </c>
      <c r="O51" s="31">
        <v>0.182</v>
      </c>
    </row>
    <row r="52" spans="12:15" x14ac:dyDescent="0.2">
      <c r="L52" s="9">
        <v>50</v>
      </c>
      <c r="M52" s="8">
        <f t="shared" si="1"/>
        <v>3.4371087197035428</v>
      </c>
      <c r="N52" s="22">
        <v>64</v>
      </c>
      <c r="O52" s="31">
        <v>0.182</v>
      </c>
    </row>
    <row r="53" spans="12:15" x14ac:dyDescent="0.2">
      <c r="L53" s="9">
        <v>51</v>
      </c>
      <c r="M53" s="8">
        <f t="shared" si="1"/>
        <v>3.5230364376961316</v>
      </c>
      <c r="N53" s="22">
        <v>65</v>
      </c>
      <c r="O53" s="31">
        <v>5.5E-2</v>
      </c>
    </row>
    <row r="54" spans="12:15" x14ac:dyDescent="0.2">
      <c r="N54" s="22">
        <v>66</v>
      </c>
      <c r="O54" s="31">
        <v>5.5E-2</v>
      </c>
    </row>
    <row r="55" spans="12:15" x14ac:dyDescent="0.2">
      <c r="N55" s="22">
        <v>67</v>
      </c>
      <c r="O55" s="31">
        <v>5.5E-2</v>
      </c>
    </row>
    <row r="56" spans="12:15" x14ac:dyDescent="0.2">
      <c r="N56" s="22">
        <v>68</v>
      </c>
      <c r="O56" s="31">
        <v>5.5E-2</v>
      </c>
    </row>
    <row r="57" spans="12:15" x14ac:dyDescent="0.2">
      <c r="N57" s="22">
        <v>69</v>
      </c>
      <c r="O57" s="31">
        <v>5.5E-2</v>
      </c>
    </row>
    <row r="58" spans="12:15" x14ac:dyDescent="0.2">
      <c r="N58" s="22">
        <v>70</v>
      </c>
      <c r="O58" s="31">
        <v>5.5E-2</v>
      </c>
    </row>
    <row r="59" spans="12:15" x14ac:dyDescent="0.2">
      <c r="N59" s="22">
        <v>71</v>
      </c>
      <c r="O59" s="31">
        <v>5.5E-2</v>
      </c>
    </row>
    <row r="60" spans="12:15" x14ac:dyDescent="0.2">
      <c r="N60" s="22">
        <v>72</v>
      </c>
      <c r="O60" s="31">
        <v>5.5E-2</v>
      </c>
    </row>
    <row r="61" spans="12:15" x14ac:dyDescent="0.2">
      <c r="N61" s="22">
        <v>73</v>
      </c>
      <c r="O61" s="31">
        <v>5.5E-2</v>
      </c>
    </row>
    <row r="62" spans="12:15" x14ac:dyDescent="0.2">
      <c r="N62" s="22">
        <v>74</v>
      </c>
      <c r="O62" s="31">
        <v>5.5E-2</v>
      </c>
    </row>
    <row r="63" spans="12:15" x14ac:dyDescent="0.2">
      <c r="N63" s="22">
        <v>75</v>
      </c>
      <c r="O63" s="31">
        <v>5.5E-2</v>
      </c>
    </row>
    <row r="64" spans="12:15" x14ac:dyDescent="0.2">
      <c r="N64" s="22">
        <v>76</v>
      </c>
      <c r="O64" s="31">
        <v>5.5E-2</v>
      </c>
    </row>
    <row r="65" spans="14:15" x14ac:dyDescent="0.2">
      <c r="N65" s="22">
        <v>77</v>
      </c>
      <c r="O65" s="31">
        <v>5.5E-2</v>
      </c>
    </row>
    <row r="66" spans="14:15" x14ac:dyDescent="0.2">
      <c r="N66" s="22">
        <v>78</v>
      </c>
      <c r="O66" s="31">
        <v>5.5E-2</v>
      </c>
    </row>
    <row r="67" spans="14:15" x14ac:dyDescent="0.2">
      <c r="N67" s="22">
        <v>79</v>
      </c>
      <c r="O67" s="31">
        <v>5.5E-2</v>
      </c>
    </row>
    <row r="68" spans="14:15" x14ac:dyDescent="0.2">
      <c r="N68" s="22">
        <v>80</v>
      </c>
      <c r="O68" s="31">
        <v>5.5E-2</v>
      </c>
    </row>
    <row r="69" spans="14:15" x14ac:dyDescent="0.2">
      <c r="N69" s="22">
        <v>81</v>
      </c>
      <c r="O69" s="31">
        <v>5.5E-2</v>
      </c>
    </row>
    <row r="70" spans="14:15" x14ac:dyDescent="0.2">
      <c r="N70" s="22">
        <v>82</v>
      </c>
      <c r="O70" s="31">
        <v>5.5E-2</v>
      </c>
    </row>
    <row r="71" spans="14:15" x14ac:dyDescent="0.2">
      <c r="N71" s="22">
        <v>83</v>
      </c>
      <c r="O71" s="31">
        <v>5.5E-2</v>
      </c>
    </row>
    <row r="72" spans="14:15" x14ac:dyDescent="0.2">
      <c r="N72" s="22">
        <v>84</v>
      </c>
      <c r="O72" s="31">
        <v>5.5E-2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Q2" sqref="Q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Meta!A9+6</f>
        <v>21</v>
      </c>
      <c r="C2" s="7">
        <f>Meta!B9</f>
        <v>61047</v>
      </c>
      <c r="D2" s="7">
        <f>Meta!C9</f>
        <v>26540</v>
      </c>
      <c r="E2" s="1">
        <f>Meta!D9</f>
        <v>3.6999999999999998E-2</v>
      </c>
      <c r="F2" s="1">
        <f>Meta!F9</f>
        <v>0.73</v>
      </c>
      <c r="G2" s="1">
        <f>Meta!I9</f>
        <v>1.8114695812355892</v>
      </c>
      <c r="H2" s="1">
        <f>Meta!E9</f>
        <v>0.90300000000000002</v>
      </c>
      <c r="I2" s="13"/>
      <c r="J2" s="1">
        <f>Meta!X8</f>
        <v>0.77</v>
      </c>
      <c r="K2" s="1">
        <f>Meta!D8</f>
        <v>3.7999999999999999E-2</v>
      </c>
      <c r="L2" s="29"/>
      <c r="N2" s="22">
        <f>Meta!T9</f>
        <v>85405</v>
      </c>
      <c r="O2" s="22">
        <f>Meta!U9</f>
        <v>35347</v>
      </c>
      <c r="P2" s="1">
        <f>Meta!V9</f>
        <v>2.8000000000000001E-2</v>
      </c>
      <c r="Q2" s="1">
        <f>Meta!X9</f>
        <v>0.77300000000000002</v>
      </c>
      <c r="R2" s="22">
        <f>Meta!W9</f>
        <v>1001</v>
      </c>
      <c r="T2" s="12">
        <f>IRR(S5:S69)+1</f>
        <v>0.98202839289086152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B11" s="1">
        <v>1</v>
      </c>
      <c r="C11" s="5">
        <f>0.1*Grade14!C11</f>
        <v>3193.841687225743</v>
      </c>
      <c r="D11" s="5">
        <f t="shared" ref="D11:D36" si="0">IF(A11&lt;startage,1,0)*(C11*(1-initialunempprob))+IF(A11=startage,1,0)*(C11*(1-unempprob))+IF(A11&gt;startage,1,0)*(C11*(1-unempprob)+unempprob*300*52)</f>
        <v>3072.4757031111649</v>
      </c>
      <c r="E11" s="5">
        <f t="shared" ref="E11:E56" si="1">IF(D11-9500&gt;0,1,0)*(D11-9500)</f>
        <v>0</v>
      </c>
      <c r="F11" s="5">
        <f t="shared" ref="F11:F56" si="2">IF(E11&lt;=8500,1,0)*(0.1*E11+0.1*E11+0.0765*D11)+IF(AND(E11&gt;8500,E11&lt;=34500),1,0)*(850+0.15*(E11-8500)+0.1*E11+0.0765*D11)+IF(AND(E11&gt;34500,E11&lt;=83600),1,0)*(4750+0.25*(E11-34500)+0.1*E11+0.0765*D11)+IF(AND(E11&gt;83600,E11&lt;=174400,D11&lt;=106800),1,0)*(17025+0.28*(E11-83600)+0.1*E11+0.0765*D11)+IF(AND(E11&gt;83600,E11&lt;=174400,D11&gt;106800),1,0)*(17025+0.28*(E11-83600)+0.1*E11+8170.2+0.0145*(D11-106800))+IF(AND(E11&gt;174400,E11&lt;=379150),1,0)*(42449+0.33*(E11-174400)+0.1*E11+8170.2+0.0145*(D11-106800))+IF(E11&gt;379150,1,0)*(110016.5+0.35*(E11-379150)+0.1*E11+8170.2+0.0145*(D11-106800))</f>
        <v>235.04439128800411</v>
      </c>
      <c r="G11" s="5">
        <f t="shared" ref="G11:G56" si="3">D11-F11</f>
        <v>2837.4313118231607</v>
      </c>
      <c r="H11" s="22">
        <f>0.1*Grade14!H11</f>
        <v>1395.9286601687249</v>
      </c>
      <c r="I11" s="5">
        <f t="shared" ref="I11:I36" si="4">G11+IF(A11&lt;startage,1,0)*(H11*(1-initialunempprob))+IF(A11&gt;=startage,1,0)*(H11*(1-unempprob))</f>
        <v>4180.314682905474</v>
      </c>
      <c r="J11" s="26">
        <f t="shared" ref="J11:J56" si="5">(F11-(IF(A11&gt;startage,1,0)*(unempprob*300*52)))/(IF(A11&lt;startage,1,0)*((C11+H11)*(1-initialunempprob))+IF(A11&gt;=startage,1,0)*((C11+H11)*(1-unempprob)))</f>
        <v>5.3233358224877327E-2</v>
      </c>
      <c r="L11" s="22">
        <f>0.1*Grade14!L11</f>
        <v>6261.9195540599394</v>
      </c>
      <c r="M11" s="5">
        <f>scrimecost*Meta!O8</f>
        <v>3377.3740000000003</v>
      </c>
      <c r="N11" s="5">
        <f>L11-Grade14!L11</f>
        <v>-56357.275986539455</v>
      </c>
      <c r="O11" s="5"/>
      <c r="P11" s="22"/>
      <c r="Q11" s="22">
        <f>0.05*feel*Grade14!G11</f>
        <v>328.90373404635176</v>
      </c>
      <c r="R11" s="22">
        <f>coltuition</f>
        <v>8279</v>
      </c>
      <c r="S11" s="22">
        <f t="shared" ref="S11:S42" si="6">IF(A11&lt;startage,1,0)*(N11-Q11-R11)+IF(A11&gt;=startage,1,0)*completionprob*(N11*spart+O11+P11)</f>
        <v>-64965.179720585809</v>
      </c>
      <c r="T11" s="22">
        <f t="shared" ref="T11:T42" si="7">S11/sreturn^(A11-startage+1)</f>
        <v>-64965.179720585809</v>
      </c>
    </row>
    <row r="12" spans="1:20" x14ac:dyDescent="0.2">
      <c r="A12" s="5">
        <v>21</v>
      </c>
      <c r="B12" s="1">
        <f t="shared" ref="B12:B36" si="8">(1+experiencepremium)^(A12-startage)</f>
        <v>1</v>
      </c>
      <c r="C12" s="5">
        <f t="shared" ref="C12:C36" si="9">pretaxincome*B12/expnorm</f>
        <v>33700.262280065625</v>
      </c>
      <c r="D12" s="5">
        <f t="shared" si="0"/>
        <v>32453.352575703197</v>
      </c>
      <c r="E12" s="5">
        <f t="shared" si="1"/>
        <v>22953.352575703197</v>
      </c>
      <c r="F12" s="5">
        <f t="shared" si="2"/>
        <v>7796.0196159670941</v>
      </c>
      <c r="G12" s="5">
        <f t="shared" si="3"/>
        <v>24657.332959736101</v>
      </c>
      <c r="H12" s="22">
        <f t="shared" ref="H12:H36" si="10">benefits*B12/expnorm</f>
        <v>14651.087865299551</v>
      </c>
      <c r="I12" s="5">
        <f t="shared" si="4"/>
        <v>38766.330574019565</v>
      </c>
      <c r="J12" s="26">
        <f t="shared" si="5"/>
        <v>0.16743183246028776</v>
      </c>
      <c r="L12" s="22">
        <f t="shared" ref="L12:L36" si="11">(sincome+sbenefits)*(1-sunemp)*B12/expnorm</f>
        <v>64793.218288513686</v>
      </c>
      <c r="M12" s="5">
        <f>scrimecost*Meta!O9</f>
        <v>3067.0639999999999</v>
      </c>
      <c r="N12" s="5">
        <f>L12-Grade14!L12</f>
        <v>608.54285939931287</v>
      </c>
      <c r="O12" s="5">
        <f>Grade14!M12-M12</f>
        <v>24.512000000000171</v>
      </c>
      <c r="P12" s="22">
        <f t="shared" ref="P12:P56" si="12">(spart-initialspart)*(L12*J12+nptrans)</f>
        <v>52.207341807135869</v>
      </c>
      <c r="Q12" s="22"/>
      <c r="R12" s="22"/>
      <c r="S12" s="22">
        <f t="shared" si="6"/>
        <v>494.05204382689283</v>
      </c>
      <c r="T12" s="22">
        <f t="shared" si="7"/>
        <v>503.09344149665503</v>
      </c>
    </row>
    <row r="13" spans="1:20" x14ac:dyDescent="0.2">
      <c r="A13" s="5">
        <v>22</v>
      </c>
      <c r="B13" s="1">
        <f t="shared" si="8"/>
        <v>1.0249999999999999</v>
      </c>
      <c r="C13" s="5">
        <f t="shared" si="9"/>
        <v>34542.768837067262</v>
      </c>
      <c r="D13" s="5">
        <f t="shared" si="0"/>
        <v>33841.886390095773</v>
      </c>
      <c r="E13" s="5">
        <f t="shared" si="1"/>
        <v>24341.886390095773</v>
      </c>
      <c r="F13" s="5">
        <f t="shared" si="2"/>
        <v>8249.3759063662692</v>
      </c>
      <c r="G13" s="5">
        <f t="shared" si="3"/>
        <v>25592.510483729504</v>
      </c>
      <c r="H13" s="22">
        <f t="shared" si="10"/>
        <v>15017.365061932038</v>
      </c>
      <c r="I13" s="5">
        <f t="shared" si="4"/>
        <v>40054.233038370054</v>
      </c>
      <c r="J13" s="26">
        <f t="shared" si="5"/>
        <v>0.16075326168474324</v>
      </c>
      <c r="L13" s="22">
        <f t="shared" si="11"/>
        <v>66413.048745726512</v>
      </c>
      <c r="M13" s="5">
        <f>scrimecost*Meta!O10</f>
        <v>2810.808</v>
      </c>
      <c r="N13" s="5">
        <f>L13-Grade14!L13</f>
        <v>623.75643088427023</v>
      </c>
      <c r="O13" s="5">
        <f>Grade14!M13-M13</f>
        <v>22.463999999999942</v>
      </c>
      <c r="P13" s="22">
        <f t="shared" si="12"/>
        <v>51.690342612910193</v>
      </c>
      <c r="Q13" s="22"/>
      <c r="R13" s="22"/>
      <c r="S13" s="22">
        <f t="shared" si="6"/>
        <v>502.35521150886535</v>
      </c>
      <c r="T13" s="22">
        <f t="shared" si="7"/>
        <v>520.9101538941884</v>
      </c>
    </row>
    <row r="14" spans="1:20" x14ac:dyDescent="0.2">
      <c r="A14" s="5">
        <v>23</v>
      </c>
      <c r="B14" s="1">
        <f t="shared" si="8"/>
        <v>1.0506249999999999</v>
      </c>
      <c r="C14" s="5">
        <f t="shared" si="9"/>
        <v>35406.338057993948</v>
      </c>
      <c r="D14" s="5">
        <f t="shared" si="0"/>
        <v>34673.503549848167</v>
      </c>
      <c r="E14" s="5">
        <f t="shared" si="1"/>
        <v>25173.503549848167</v>
      </c>
      <c r="F14" s="5">
        <f t="shared" si="2"/>
        <v>8520.8989090254254</v>
      </c>
      <c r="G14" s="5">
        <f t="shared" si="3"/>
        <v>26152.604640822741</v>
      </c>
      <c r="H14" s="22">
        <f t="shared" si="10"/>
        <v>15392.79918848034</v>
      </c>
      <c r="I14" s="5">
        <f t="shared" si="4"/>
        <v>40975.870259329306</v>
      </c>
      <c r="J14" s="26">
        <f t="shared" si="5"/>
        <v>0.16238284686619997</v>
      </c>
      <c r="L14" s="22">
        <f t="shared" si="11"/>
        <v>68073.374964369679</v>
      </c>
      <c r="M14" s="5">
        <f>scrimecost*Meta!O11</f>
        <v>2626.6240000000003</v>
      </c>
      <c r="N14" s="5">
        <f>L14-Grade14!L14</f>
        <v>639.35034165639081</v>
      </c>
      <c r="O14" s="5">
        <f>Grade14!M14-M14</f>
        <v>20.991999999999734</v>
      </c>
      <c r="P14" s="22">
        <f t="shared" si="12"/>
        <v>52.82384526751401</v>
      </c>
      <c r="Q14" s="22"/>
      <c r="R14" s="22"/>
      <c r="S14" s="22">
        <f t="shared" si="6"/>
        <v>512.93439440921725</v>
      </c>
      <c r="T14" s="22">
        <f t="shared" si="7"/>
        <v>541.61375811307244</v>
      </c>
    </row>
    <row r="15" spans="1:20" x14ac:dyDescent="0.2">
      <c r="A15" s="5">
        <v>24</v>
      </c>
      <c r="B15" s="1">
        <f t="shared" si="8"/>
        <v>1.0768906249999999</v>
      </c>
      <c r="C15" s="5">
        <f t="shared" si="9"/>
        <v>36291.496509443794</v>
      </c>
      <c r="D15" s="5">
        <f t="shared" si="0"/>
        <v>35525.911138594369</v>
      </c>
      <c r="E15" s="5">
        <f t="shared" si="1"/>
        <v>26025.911138594369</v>
      </c>
      <c r="F15" s="5">
        <f t="shared" si="2"/>
        <v>8799.2099867510624</v>
      </c>
      <c r="G15" s="5">
        <f t="shared" si="3"/>
        <v>26726.701151843306</v>
      </c>
      <c r="H15" s="22">
        <f t="shared" si="10"/>
        <v>15777.619168192348</v>
      </c>
      <c r="I15" s="5">
        <f t="shared" si="4"/>
        <v>41920.548410812538</v>
      </c>
      <c r="J15" s="26">
        <f t="shared" si="5"/>
        <v>0.16397268606762125</v>
      </c>
      <c r="L15" s="22">
        <f t="shared" si="11"/>
        <v>69775.209338478933</v>
      </c>
      <c r="M15" s="5">
        <f>scrimecost*Meta!O12</f>
        <v>2509.5070000000001</v>
      </c>
      <c r="N15" s="5">
        <f>L15-Grade14!L15</f>
        <v>655.33410019782605</v>
      </c>
      <c r="O15" s="5">
        <f>Grade14!M15-M15</f>
        <v>20.05600000000004</v>
      </c>
      <c r="P15" s="22">
        <f t="shared" si="12"/>
        <v>53.985685488482936</v>
      </c>
      <c r="Q15" s="22"/>
      <c r="R15" s="22"/>
      <c r="S15" s="22">
        <f t="shared" si="6"/>
        <v>524.29529528208639</v>
      </c>
      <c r="T15" s="22">
        <f t="shared" si="7"/>
        <v>563.74120909129738</v>
      </c>
    </row>
    <row r="16" spans="1:20" x14ac:dyDescent="0.2">
      <c r="A16" s="5">
        <v>25</v>
      </c>
      <c r="B16" s="1">
        <f t="shared" si="8"/>
        <v>1.1038128906249998</v>
      </c>
      <c r="C16" s="5">
        <f t="shared" si="9"/>
        <v>37198.783922179879</v>
      </c>
      <c r="D16" s="5">
        <f t="shared" si="0"/>
        <v>36399.628917059221</v>
      </c>
      <c r="E16" s="5">
        <f t="shared" si="1"/>
        <v>26899.628917059221</v>
      </c>
      <c r="F16" s="5">
        <f t="shared" si="2"/>
        <v>9084.4788414198356</v>
      </c>
      <c r="G16" s="5">
        <f t="shared" si="3"/>
        <v>27315.150075639387</v>
      </c>
      <c r="H16" s="22">
        <f t="shared" si="10"/>
        <v>16172.059647397155</v>
      </c>
      <c r="I16" s="5">
        <f t="shared" si="4"/>
        <v>42888.843516082845</v>
      </c>
      <c r="J16" s="26">
        <f t="shared" si="5"/>
        <v>0.16552374870315412</v>
      </c>
      <c r="L16" s="22">
        <f t="shared" si="11"/>
        <v>71519.589571940887</v>
      </c>
      <c r="M16" s="5">
        <f>scrimecost*Meta!O13</f>
        <v>2107.105</v>
      </c>
      <c r="N16" s="5">
        <f>L16-Grade14!L16</f>
        <v>671.71745270275278</v>
      </c>
      <c r="O16" s="5">
        <f>Grade14!M16-M16</f>
        <v>16.840000000000146</v>
      </c>
      <c r="P16" s="22">
        <f t="shared" si="12"/>
        <v>55.176571714976035</v>
      </c>
      <c r="Q16" s="22"/>
      <c r="R16" s="22"/>
      <c r="S16" s="22">
        <f t="shared" si="6"/>
        <v>533.90250887674631</v>
      </c>
      <c r="T16" s="22">
        <f t="shared" si="7"/>
        <v>584.57702014321558</v>
      </c>
    </row>
    <row r="17" spans="1:20" x14ac:dyDescent="0.2">
      <c r="A17" s="5">
        <v>26</v>
      </c>
      <c r="B17" s="1">
        <f t="shared" si="8"/>
        <v>1.1314082128906247</v>
      </c>
      <c r="C17" s="5">
        <f t="shared" si="9"/>
        <v>38128.753520234372</v>
      </c>
      <c r="D17" s="5">
        <f t="shared" si="0"/>
        <v>37295.189639985692</v>
      </c>
      <c r="E17" s="5">
        <f t="shared" si="1"/>
        <v>27795.189639985692</v>
      </c>
      <c r="F17" s="5">
        <f t="shared" si="2"/>
        <v>9376.8794174553295</v>
      </c>
      <c r="G17" s="5">
        <f t="shared" si="3"/>
        <v>27918.310222530363</v>
      </c>
      <c r="H17" s="22">
        <f t="shared" si="10"/>
        <v>16576.36113858208</v>
      </c>
      <c r="I17" s="5">
        <f t="shared" si="4"/>
        <v>43881.345998984907</v>
      </c>
      <c r="J17" s="26">
        <f t="shared" si="5"/>
        <v>0.16703698054269839</v>
      </c>
      <c r="L17" s="22">
        <f t="shared" si="11"/>
        <v>73307.579311239402</v>
      </c>
      <c r="M17" s="5">
        <f>scrimecost*Meta!O14</f>
        <v>2107.105</v>
      </c>
      <c r="N17" s="5">
        <f>L17-Grade14!L17</f>
        <v>688.51038902031723</v>
      </c>
      <c r="O17" s="5">
        <f>Grade14!M17-M17</f>
        <v>16.840000000000146</v>
      </c>
      <c r="P17" s="22">
        <f t="shared" si="12"/>
        <v>56.397230097131491</v>
      </c>
      <c r="Q17" s="22"/>
      <c r="R17" s="22"/>
      <c r="S17" s="22">
        <f t="shared" si="6"/>
        <v>546.72655201128271</v>
      </c>
      <c r="T17" s="22">
        <f t="shared" si="7"/>
        <v>609.57324794297358</v>
      </c>
    </row>
    <row r="18" spans="1:20" x14ac:dyDescent="0.2">
      <c r="A18" s="5">
        <v>27</v>
      </c>
      <c r="B18" s="1">
        <f t="shared" si="8"/>
        <v>1.1596934182128902</v>
      </c>
      <c r="C18" s="5">
        <f t="shared" si="9"/>
        <v>39081.972358240237</v>
      </c>
      <c r="D18" s="5">
        <f t="shared" si="0"/>
        <v>38213.139380985347</v>
      </c>
      <c r="E18" s="5">
        <f t="shared" si="1"/>
        <v>28713.139380985347</v>
      </c>
      <c r="F18" s="5">
        <f t="shared" si="2"/>
        <v>9676.5900078917148</v>
      </c>
      <c r="G18" s="5">
        <f t="shared" si="3"/>
        <v>28536.549373093632</v>
      </c>
      <c r="H18" s="22">
        <f t="shared" si="10"/>
        <v>16990.77016704663</v>
      </c>
      <c r="I18" s="5">
        <f t="shared" si="4"/>
        <v>44898.661043959539</v>
      </c>
      <c r="J18" s="26">
        <f t="shared" si="5"/>
        <v>0.16851330428859532</v>
      </c>
      <c r="L18" s="22">
        <f t="shared" si="11"/>
        <v>75140.26879402039</v>
      </c>
      <c r="M18" s="5">
        <f>scrimecost*Meta!O15</f>
        <v>2107.105</v>
      </c>
      <c r="N18" s="5">
        <f>L18-Grade14!L18</f>
        <v>705.72314874581934</v>
      </c>
      <c r="O18" s="5">
        <f>Grade14!M18-M18</f>
        <v>16.840000000000146</v>
      </c>
      <c r="P18" s="22">
        <f t="shared" si="12"/>
        <v>57.648404938840855</v>
      </c>
      <c r="Q18" s="22"/>
      <c r="R18" s="22"/>
      <c r="S18" s="22">
        <f t="shared" si="6"/>
        <v>559.87119622418152</v>
      </c>
      <c r="T18" s="22">
        <f t="shared" si="7"/>
        <v>635.65257892549937</v>
      </c>
    </row>
    <row r="19" spans="1:20" x14ac:dyDescent="0.2">
      <c r="A19" s="5">
        <v>28</v>
      </c>
      <c r="B19" s="1">
        <f t="shared" si="8"/>
        <v>1.1886857536682125</v>
      </c>
      <c r="C19" s="5">
        <f t="shared" si="9"/>
        <v>40059.021667196241</v>
      </c>
      <c r="D19" s="5">
        <f t="shared" si="0"/>
        <v>39154.037865509978</v>
      </c>
      <c r="E19" s="5">
        <f t="shared" si="1"/>
        <v>29654.037865509978</v>
      </c>
      <c r="F19" s="5">
        <f t="shared" si="2"/>
        <v>9983.7933630890075</v>
      </c>
      <c r="G19" s="5">
        <f t="shared" si="3"/>
        <v>29170.24450242097</v>
      </c>
      <c r="H19" s="22">
        <f t="shared" si="10"/>
        <v>17415.539421222798</v>
      </c>
      <c r="I19" s="5">
        <f t="shared" si="4"/>
        <v>45941.408965058523</v>
      </c>
      <c r="J19" s="26">
        <f t="shared" si="5"/>
        <v>0.1699536201382508</v>
      </c>
      <c r="L19" s="22">
        <f t="shared" si="11"/>
        <v>77018.775513870904</v>
      </c>
      <c r="M19" s="5">
        <f>scrimecost*Meta!O16</f>
        <v>2107.105</v>
      </c>
      <c r="N19" s="5">
        <f>L19-Grade14!L19</f>
        <v>723.36622746448847</v>
      </c>
      <c r="O19" s="5">
        <f>Grade14!M19-M19</f>
        <v>16.840000000000146</v>
      </c>
      <c r="P19" s="22">
        <f t="shared" si="12"/>
        <v>58.930859151592934</v>
      </c>
      <c r="Q19" s="22"/>
      <c r="R19" s="22"/>
      <c r="S19" s="22">
        <f t="shared" si="6"/>
        <v>573.34445654242336</v>
      </c>
      <c r="T19" s="22">
        <f t="shared" si="7"/>
        <v>662.86221204403989</v>
      </c>
    </row>
    <row r="20" spans="1:20" x14ac:dyDescent="0.2">
      <c r="A20" s="5">
        <v>29</v>
      </c>
      <c r="B20" s="1">
        <f t="shared" si="8"/>
        <v>1.2184028975099177</v>
      </c>
      <c r="C20" s="5">
        <f t="shared" si="9"/>
        <v>41060.49720887615</v>
      </c>
      <c r="D20" s="5">
        <f t="shared" si="0"/>
        <v>40118.458812147728</v>
      </c>
      <c r="E20" s="5">
        <f t="shared" si="1"/>
        <v>30618.458812147728</v>
      </c>
      <c r="F20" s="5">
        <f t="shared" si="2"/>
        <v>10298.676802166234</v>
      </c>
      <c r="G20" s="5">
        <f t="shared" si="3"/>
        <v>29819.782009981493</v>
      </c>
      <c r="H20" s="22">
        <f t="shared" si="10"/>
        <v>17850.927906753368</v>
      </c>
      <c r="I20" s="5">
        <f t="shared" si="4"/>
        <v>47010.225584184984</v>
      </c>
      <c r="J20" s="26">
        <f t="shared" si="5"/>
        <v>0.17135880633303663</v>
      </c>
      <c r="L20" s="22">
        <f t="shared" si="11"/>
        <v>78944.24490171767</v>
      </c>
      <c r="M20" s="5">
        <f>scrimecost*Meta!O17</f>
        <v>2107.105</v>
      </c>
      <c r="N20" s="5">
        <f>L20-Grade14!L20</f>
        <v>741.45038315109559</v>
      </c>
      <c r="O20" s="5">
        <f>Grade14!M20-M20</f>
        <v>16.840000000000146</v>
      </c>
      <c r="P20" s="22">
        <f t="shared" si="12"/>
        <v>60.245374719663815</v>
      </c>
      <c r="Q20" s="22"/>
      <c r="R20" s="22"/>
      <c r="S20" s="22">
        <f t="shared" si="6"/>
        <v>587.15454836860124</v>
      </c>
      <c r="T20" s="22">
        <f t="shared" si="7"/>
        <v>691.25140800650342</v>
      </c>
    </row>
    <row r="21" spans="1:20" x14ac:dyDescent="0.2">
      <c r="A21" s="5">
        <v>30</v>
      </c>
      <c r="B21" s="1">
        <f t="shared" si="8"/>
        <v>1.2488629699476654</v>
      </c>
      <c r="C21" s="5">
        <f t="shared" si="9"/>
        <v>42087.009639098032</v>
      </c>
      <c r="D21" s="5">
        <f t="shared" si="0"/>
        <v>41106.990282451399</v>
      </c>
      <c r="E21" s="5">
        <f t="shared" si="1"/>
        <v>31606.990282451399</v>
      </c>
      <c r="F21" s="5">
        <f t="shared" si="2"/>
        <v>10621.432327220382</v>
      </c>
      <c r="G21" s="5">
        <f t="shared" si="3"/>
        <v>30485.557955231016</v>
      </c>
      <c r="H21" s="22">
        <f t="shared" si="10"/>
        <v>18297.201104422198</v>
      </c>
      <c r="I21" s="5">
        <f t="shared" si="4"/>
        <v>48105.762618789595</v>
      </c>
      <c r="J21" s="26">
        <f t="shared" si="5"/>
        <v>0.17272971969380327</v>
      </c>
      <c r="L21" s="22">
        <f t="shared" si="11"/>
        <v>80917.851024260599</v>
      </c>
      <c r="M21" s="5">
        <f>scrimecost*Meta!O18</f>
        <v>1698.6970000000001</v>
      </c>
      <c r="N21" s="5">
        <f>L21-Grade14!L21</f>
        <v>759.98664272985479</v>
      </c>
      <c r="O21" s="5">
        <f>Grade14!M21-M21</f>
        <v>13.576000000000022</v>
      </c>
      <c r="P21" s="22">
        <f t="shared" si="12"/>
        <v>61.592753176936448</v>
      </c>
      <c r="Q21" s="22"/>
      <c r="R21" s="22"/>
      <c r="S21" s="22">
        <f t="shared" si="6"/>
        <v>598.36250049042405</v>
      </c>
      <c r="T21" s="22">
        <f t="shared" si="7"/>
        <v>717.33814159082317</v>
      </c>
    </row>
    <row r="22" spans="1:20" x14ac:dyDescent="0.2">
      <c r="A22" s="5">
        <v>31</v>
      </c>
      <c r="B22" s="1">
        <f t="shared" si="8"/>
        <v>1.2800845441963571</v>
      </c>
      <c r="C22" s="5">
        <f t="shared" si="9"/>
        <v>43139.184880075489</v>
      </c>
      <c r="D22" s="5">
        <f t="shared" si="0"/>
        <v>42120.235039512692</v>
      </c>
      <c r="E22" s="5">
        <f t="shared" si="1"/>
        <v>32620.235039512692</v>
      </c>
      <c r="F22" s="5">
        <f t="shared" si="2"/>
        <v>10952.256740400895</v>
      </c>
      <c r="G22" s="5">
        <f t="shared" si="3"/>
        <v>31167.978299111797</v>
      </c>
      <c r="H22" s="22">
        <f t="shared" si="10"/>
        <v>18754.631132032755</v>
      </c>
      <c r="I22" s="5">
        <f t="shared" si="4"/>
        <v>49228.688079259344</v>
      </c>
      <c r="J22" s="26">
        <f t="shared" si="5"/>
        <v>0.17406719614333177</v>
      </c>
      <c r="L22" s="22">
        <f t="shared" si="11"/>
        <v>82940.797299867103</v>
      </c>
      <c r="M22" s="5">
        <f>scrimecost*Meta!O19</f>
        <v>1698.6970000000001</v>
      </c>
      <c r="N22" s="5">
        <f>L22-Grade14!L22</f>
        <v>778.98630879809207</v>
      </c>
      <c r="O22" s="5">
        <f>Grade14!M22-M22</f>
        <v>13.576000000000022</v>
      </c>
      <c r="P22" s="22">
        <f t="shared" si="12"/>
        <v>62.973816095640927</v>
      </c>
      <c r="Q22" s="22"/>
      <c r="R22" s="22"/>
      <c r="S22" s="22">
        <f t="shared" si="6"/>
        <v>612.8717282152993</v>
      </c>
      <c r="T22" s="22">
        <f t="shared" si="7"/>
        <v>748.17828342516441</v>
      </c>
    </row>
    <row r="23" spans="1:20" x14ac:dyDescent="0.2">
      <c r="A23" s="5">
        <v>32</v>
      </c>
      <c r="B23" s="1">
        <f t="shared" si="8"/>
        <v>1.312086657801266</v>
      </c>
      <c r="C23" s="5">
        <f t="shared" si="9"/>
        <v>44217.664502077379</v>
      </c>
      <c r="D23" s="5">
        <f t="shared" si="0"/>
        <v>43158.810915500515</v>
      </c>
      <c r="E23" s="5">
        <f t="shared" si="1"/>
        <v>33658.810915500515</v>
      </c>
      <c r="F23" s="5">
        <f t="shared" si="2"/>
        <v>11291.351763910918</v>
      </c>
      <c r="G23" s="5">
        <f t="shared" si="3"/>
        <v>31867.459151589595</v>
      </c>
      <c r="H23" s="22">
        <f t="shared" si="10"/>
        <v>19223.496910333572</v>
      </c>
      <c r="I23" s="5">
        <f t="shared" si="4"/>
        <v>50379.686676240824</v>
      </c>
      <c r="J23" s="26">
        <f t="shared" si="5"/>
        <v>0.17537205121604249</v>
      </c>
      <c r="L23" s="22">
        <f t="shared" si="11"/>
        <v>85014.317232363785</v>
      </c>
      <c r="M23" s="5">
        <f>scrimecost*Meta!O20</f>
        <v>1698.6970000000001</v>
      </c>
      <c r="N23" s="5">
        <f>L23-Grade14!L23</f>
        <v>798.46096651806147</v>
      </c>
      <c r="O23" s="5">
        <f>Grade14!M23-M23</f>
        <v>13.576000000000022</v>
      </c>
      <c r="P23" s="22">
        <f t="shared" si="12"/>
        <v>64.389405587313007</v>
      </c>
      <c r="Q23" s="22"/>
      <c r="R23" s="22"/>
      <c r="S23" s="22">
        <f t="shared" si="6"/>
        <v>627.7436866333145</v>
      </c>
      <c r="T23" s="22">
        <f t="shared" si="7"/>
        <v>780.35787879774534</v>
      </c>
    </row>
    <row r="24" spans="1:20" x14ac:dyDescent="0.2">
      <c r="A24" s="5">
        <v>33</v>
      </c>
      <c r="B24" s="1">
        <f t="shared" si="8"/>
        <v>1.3448888242462975</v>
      </c>
      <c r="C24" s="5">
        <f t="shared" si="9"/>
        <v>45323.106114629307</v>
      </c>
      <c r="D24" s="5">
        <f t="shared" si="0"/>
        <v>44223.35118838802</v>
      </c>
      <c r="E24" s="5">
        <f t="shared" si="1"/>
        <v>34723.35118838802</v>
      </c>
      <c r="F24" s="5">
        <f t="shared" si="2"/>
        <v>11661.259281847491</v>
      </c>
      <c r="G24" s="5">
        <f t="shared" si="3"/>
        <v>32562.091906540529</v>
      </c>
      <c r="H24" s="22">
        <f t="shared" si="10"/>
        <v>19704.084333091909</v>
      </c>
      <c r="I24" s="5">
        <f t="shared" si="4"/>
        <v>51537.125119308039</v>
      </c>
      <c r="J24" s="26">
        <f t="shared" si="5"/>
        <v>0.17700175089059733</v>
      </c>
      <c r="L24" s="22">
        <f t="shared" si="11"/>
        <v>87139.675163172884</v>
      </c>
      <c r="M24" s="5">
        <f>scrimecost*Meta!O21</f>
        <v>1698.6970000000001</v>
      </c>
      <c r="N24" s="5">
        <f>L24-Grade14!L24</f>
        <v>818.42249068102683</v>
      </c>
      <c r="O24" s="5">
        <f>Grade14!M24-M24</f>
        <v>13.576000000000022</v>
      </c>
      <c r="P24" s="22">
        <f t="shared" si="12"/>
        <v>65.933625227758554</v>
      </c>
      <c r="Q24" s="22"/>
      <c r="R24" s="22"/>
      <c r="S24" s="22">
        <f t="shared" si="6"/>
        <v>643.07164010334566</v>
      </c>
      <c r="T24" s="22">
        <f t="shared" si="7"/>
        <v>814.04193650716479</v>
      </c>
    </row>
    <row r="25" spans="1:20" x14ac:dyDescent="0.2">
      <c r="A25" s="5">
        <v>34</v>
      </c>
      <c r="B25" s="1">
        <f t="shared" si="8"/>
        <v>1.3785110448524549</v>
      </c>
      <c r="C25" s="5">
        <f t="shared" si="9"/>
        <v>46456.183767495044</v>
      </c>
      <c r="D25" s="5">
        <f t="shared" si="0"/>
        <v>45314.504968097724</v>
      </c>
      <c r="E25" s="5">
        <f t="shared" si="1"/>
        <v>35814.504968097724</v>
      </c>
      <c r="F25" s="5">
        <f t="shared" si="2"/>
        <v>12126.636368893678</v>
      </c>
      <c r="G25" s="5">
        <f t="shared" si="3"/>
        <v>33187.868599204048</v>
      </c>
      <c r="H25" s="22">
        <f t="shared" si="10"/>
        <v>20196.686441419206</v>
      </c>
      <c r="I25" s="5">
        <f t="shared" si="4"/>
        <v>52637.277642290748</v>
      </c>
      <c r="J25" s="26">
        <f t="shared" si="5"/>
        <v>0.17993499973968458</v>
      </c>
      <c r="L25" s="22">
        <f t="shared" si="11"/>
        <v>89318.167042252186</v>
      </c>
      <c r="M25" s="5">
        <f>scrimecost*Meta!O22</f>
        <v>1698.6970000000001</v>
      </c>
      <c r="N25" s="5">
        <f>L25-Grade14!L25</f>
        <v>838.88305294804741</v>
      </c>
      <c r="O25" s="5">
        <f>Grade14!M25-M25</f>
        <v>13.576000000000022</v>
      </c>
      <c r="P25" s="22">
        <f t="shared" si="12"/>
        <v>67.876393090490311</v>
      </c>
      <c r="Q25" s="22"/>
      <c r="R25" s="22"/>
      <c r="S25" s="22">
        <f t="shared" si="6"/>
        <v>659.10782069645586</v>
      </c>
      <c r="T25" s="22">
        <f t="shared" si="7"/>
        <v>849.61044269228148</v>
      </c>
    </row>
    <row r="26" spans="1:20" x14ac:dyDescent="0.2">
      <c r="A26" s="5">
        <v>35</v>
      </c>
      <c r="B26" s="1">
        <f t="shared" si="8"/>
        <v>1.4129738209737661</v>
      </c>
      <c r="C26" s="5">
        <f t="shared" si="9"/>
        <v>47617.588361682407</v>
      </c>
      <c r="D26" s="5">
        <f t="shared" si="0"/>
        <v>46432.93759230015</v>
      </c>
      <c r="E26" s="5">
        <f t="shared" si="1"/>
        <v>36932.93759230015</v>
      </c>
      <c r="F26" s="5">
        <f t="shared" si="2"/>
        <v>12603.647883116013</v>
      </c>
      <c r="G26" s="5">
        <f t="shared" si="3"/>
        <v>33829.289709184137</v>
      </c>
      <c r="H26" s="22">
        <f t="shared" si="10"/>
        <v>20701.603602454685</v>
      </c>
      <c r="I26" s="5">
        <f t="shared" si="4"/>
        <v>53764.933978347995</v>
      </c>
      <c r="J26" s="26">
        <f t="shared" si="5"/>
        <v>0.18279670593391598</v>
      </c>
      <c r="L26" s="22">
        <f t="shared" si="11"/>
        <v>91551.121218308486</v>
      </c>
      <c r="M26" s="5">
        <f>scrimecost*Meta!O23</f>
        <v>1318.317</v>
      </c>
      <c r="N26" s="5">
        <f>L26-Grade14!L26</f>
        <v>859.85512927171658</v>
      </c>
      <c r="O26" s="5">
        <f>Grade14!M26-M26</f>
        <v>10.535999999999831</v>
      </c>
      <c r="P26" s="22">
        <f t="shared" si="12"/>
        <v>69.867730149790347</v>
      </c>
      <c r="Q26" s="22"/>
      <c r="R26" s="22"/>
      <c r="S26" s="22">
        <f t="shared" si="6"/>
        <v>672.79978580437478</v>
      </c>
      <c r="T26" s="22">
        <f t="shared" si="7"/>
        <v>883.13109586020823</v>
      </c>
    </row>
    <row r="27" spans="1:20" x14ac:dyDescent="0.2">
      <c r="A27" s="5">
        <v>36</v>
      </c>
      <c r="B27" s="1">
        <f t="shared" si="8"/>
        <v>1.4482981664981105</v>
      </c>
      <c r="C27" s="5">
        <f t="shared" si="9"/>
        <v>48808.028070724475</v>
      </c>
      <c r="D27" s="5">
        <f t="shared" si="0"/>
        <v>47579.331032107664</v>
      </c>
      <c r="E27" s="5">
        <f t="shared" si="1"/>
        <v>38079.331032107664</v>
      </c>
      <c r="F27" s="5">
        <f t="shared" si="2"/>
        <v>13092.58468519392</v>
      </c>
      <c r="G27" s="5">
        <f t="shared" si="3"/>
        <v>34486.746346913744</v>
      </c>
      <c r="H27" s="22">
        <f t="shared" si="10"/>
        <v>21219.143692516056</v>
      </c>
      <c r="I27" s="5">
        <f t="shared" si="4"/>
        <v>54920.7817228067</v>
      </c>
      <c r="J27" s="26">
        <f t="shared" si="5"/>
        <v>0.18558861441609312</v>
      </c>
      <c r="L27" s="22">
        <f t="shared" si="11"/>
        <v>93839.899248766204</v>
      </c>
      <c r="M27" s="5">
        <f>scrimecost*Meta!O24</f>
        <v>1318.317</v>
      </c>
      <c r="N27" s="5">
        <f>L27-Grade14!L27</f>
        <v>881.35150750352477</v>
      </c>
      <c r="O27" s="5">
        <f>Grade14!M27-M27</f>
        <v>10.535999999999831</v>
      </c>
      <c r="P27" s="22">
        <f t="shared" si="12"/>
        <v>71.908850635572946</v>
      </c>
      <c r="Q27" s="22"/>
      <c r="R27" s="22"/>
      <c r="S27" s="22">
        <f t="shared" si="6"/>
        <v>689.64779804002501</v>
      </c>
      <c r="T27" s="22">
        <f t="shared" si="7"/>
        <v>921.81260367459504</v>
      </c>
    </row>
    <row r="28" spans="1:20" x14ac:dyDescent="0.2">
      <c r="A28" s="5">
        <v>37</v>
      </c>
      <c r="B28" s="1">
        <f t="shared" si="8"/>
        <v>1.4845056206605631</v>
      </c>
      <c r="C28" s="5">
        <f t="shared" si="9"/>
        <v>50028.228772492585</v>
      </c>
      <c r="D28" s="5">
        <f t="shared" si="0"/>
        <v>48754.384307910354</v>
      </c>
      <c r="E28" s="5">
        <f t="shared" si="1"/>
        <v>39254.384307910354</v>
      </c>
      <c r="F28" s="5">
        <f t="shared" si="2"/>
        <v>13593.744907323766</v>
      </c>
      <c r="G28" s="5">
        <f t="shared" si="3"/>
        <v>35160.639400586588</v>
      </c>
      <c r="H28" s="22">
        <f t="shared" si="10"/>
        <v>21749.622284828954</v>
      </c>
      <c r="I28" s="5">
        <f t="shared" si="4"/>
        <v>56105.525660876869</v>
      </c>
      <c r="J28" s="26">
        <f t="shared" si="5"/>
        <v>0.18831242756943656</v>
      </c>
      <c r="L28" s="22">
        <f t="shared" si="11"/>
        <v>96185.896729985368</v>
      </c>
      <c r="M28" s="5">
        <f>scrimecost*Meta!O25</f>
        <v>1318.317</v>
      </c>
      <c r="N28" s="5">
        <f>L28-Grade14!L28</f>
        <v>903.38529519113945</v>
      </c>
      <c r="O28" s="5">
        <f>Grade14!M28-M28</f>
        <v>10.535999999999831</v>
      </c>
      <c r="P28" s="22">
        <f t="shared" si="12"/>
        <v>74.000999133500088</v>
      </c>
      <c r="Q28" s="22"/>
      <c r="R28" s="22"/>
      <c r="S28" s="22">
        <f t="shared" si="6"/>
        <v>706.91701058157435</v>
      </c>
      <c r="T28" s="22">
        <f t="shared" si="7"/>
        <v>962.1874225948651</v>
      </c>
    </row>
    <row r="29" spans="1:20" x14ac:dyDescent="0.2">
      <c r="A29" s="5">
        <v>38</v>
      </c>
      <c r="B29" s="1">
        <f t="shared" si="8"/>
        <v>1.521618261177077</v>
      </c>
      <c r="C29" s="5">
        <f t="shared" si="9"/>
        <v>51278.934491804888</v>
      </c>
      <c r="D29" s="5">
        <f t="shared" si="0"/>
        <v>49958.813915608102</v>
      </c>
      <c r="E29" s="5">
        <f t="shared" si="1"/>
        <v>40458.813915608102</v>
      </c>
      <c r="F29" s="5">
        <f t="shared" si="2"/>
        <v>14107.434135006855</v>
      </c>
      <c r="G29" s="5">
        <f t="shared" si="3"/>
        <v>35851.379780601244</v>
      </c>
      <c r="H29" s="22">
        <f t="shared" si="10"/>
        <v>22293.362841949674</v>
      </c>
      <c r="I29" s="5">
        <f t="shared" si="4"/>
        <v>57319.888197398781</v>
      </c>
      <c r="J29" s="26">
        <f t="shared" si="5"/>
        <v>0.19096980625562526</v>
      </c>
      <c r="L29" s="22">
        <f t="shared" si="11"/>
        <v>98590.544148234985</v>
      </c>
      <c r="M29" s="5">
        <f>scrimecost*Meta!O26</f>
        <v>1318.317</v>
      </c>
      <c r="N29" s="5">
        <f>L29-Grade14!L29</f>
        <v>925.96992757089902</v>
      </c>
      <c r="O29" s="5">
        <f>Grade14!M29-M29</f>
        <v>10.535999999999831</v>
      </c>
      <c r="P29" s="22">
        <f t="shared" si="12"/>
        <v>76.145451343875379</v>
      </c>
      <c r="Q29" s="22"/>
      <c r="R29" s="22"/>
      <c r="S29" s="22">
        <f t="shared" si="6"/>
        <v>724.61795343663073</v>
      </c>
      <c r="T29" s="22">
        <f t="shared" si="7"/>
        <v>1004.3296610854693</v>
      </c>
    </row>
    <row r="30" spans="1:20" x14ac:dyDescent="0.2">
      <c r="A30" s="5">
        <v>39</v>
      </c>
      <c r="B30" s="1">
        <f t="shared" si="8"/>
        <v>1.559658717706504</v>
      </c>
      <c r="C30" s="5">
        <f t="shared" si="9"/>
        <v>52560.907854100013</v>
      </c>
      <c r="D30" s="5">
        <f t="shared" si="0"/>
        <v>51193.35426349831</v>
      </c>
      <c r="E30" s="5">
        <f t="shared" si="1"/>
        <v>41693.35426349831</v>
      </c>
      <c r="F30" s="5">
        <f t="shared" si="2"/>
        <v>14633.965593382029</v>
      </c>
      <c r="G30" s="5">
        <f t="shared" si="3"/>
        <v>36559.388670116285</v>
      </c>
      <c r="H30" s="22">
        <f t="shared" si="10"/>
        <v>22850.696912998417</v>
      </c>
      <c r="I30" s="5">
        <f t="shared" si="4"/>
        <v>58564.60979733376</v>
      </c>
      <c r="J30" s="26">
        <f t="shared" si="5"/>
        <v>0.19356237082751676</v>
      </c>
      <c r="L30" s="22">
        <f t="shared" si="11"/>
        <v>101055.30775194085</v>
      </c>
      <c r="M30" s="5">
        <f>scrimecost*Meta!O27</f>
        <v>1318.317</v>
      </c>
      <c r="N30" s="5">
        <f>L30-Grade14!L30</f>
        <v>949.11917576016276</v>
      </c>
      <c r="O30" s="5">
        <f>Grade14!M30-M30</f>
        <v>10.535999999999831</v>
      </c>
      <c r="P30" s="22">
        <f t="shared" si="12"/>
        <v>78.343514859510094</v>
      </c>
      <c r="Q30" s="22"/>
      <c r="R30" s="22"/>
      <c r="S30" s="22">
        <f t="shared" si="6"/>
        <v>742.7614198630705</v>
      </c>
      <c r="T30" s="22">
        <f t="shared" si="7"/>
        <v>1048.3166706793372</v>
      </c>
    </row>
    <row r="31" spans="1:20" x14ac:dyDescent="0.2">
      <c r="A31" s="5">
        <v>40</v>
      </c>
      <c r="B31" s="1">
        <f t="shared" si="8"/>
        <v>1.5986501856491666</v>
      </c>
      <c r="C31" s="5">
        <f t="shared" si="9"/>
        <v>53874.930550452518</v>
      </c>
      <c r="D31" s="5">
        <f t="shared" si="0"/>
        <v>52458.758120085768</v>
      </c>
      <c r="E31" s="5">
        <f t="shared" si="1"/>
        <v>42958.758120085768</v>
      </c>
      <c r="F31" s="5">
        <f t="shared" si="2"/>
        <v>15173.660338216579</v>
      </c>
      <c r="G31" s="5">
        <f t="shared" si="3"/>
        <v>37285.09778186919</v>
      </c>
      <c r="H31" s="22">
        <f t="shared" si="10"/>
        <v>23421.964335823381</v>
      </c>
      <c r="I31" s="5">
        <f t="shared" si="4"/>
        <v>59840.449437267103</v>
      </c>
      <c r="J31" s="26">
        <f t="shared" si="5"/>
        <v>0.19609170211716695</v>
      </c>
      <c r="L31" s="22">
        <f t="shared" si="11"/>
        <v>103581.69044573938</v>
      </c>
      <c r="M31" s="5">
        <f>scrimecost*Meta!O28</f>
        <v>1153.1519999999998</v>
      </c>
      <c r="N31" s="5">
        <f>L31-Grade14!L31</f>
        <v>972.84715515420248</v>
      </c>
      <c r="O31" s="5">
        <f>Grade14!M31-M31</f>
        <v>9.2160000000001219</v>
      </c>
      <c r="P31" s="22">
        <f t="shared" si="12"/>
        <v>80.59652996303565</v>
      </c>
      <c r="Q31" s="22"/>
      <c r="R31" s="22"/>
      <c r="S31" s="22">
        <f t="shared" si="6"/>
        <v>760.16651295020256</v>
      </c>
      <c r="T31" s="22">
        <f t="shared" si="7"/>
        <v>1092.5160954802013</v>
      </c>
    </row>
    <row r="32" spans="1:20" x14ac:dyDescent="0.2">
      <c r="A32" s="5">
        <v>41</v>
      </c>
      <c r="B32" s="1">
        <f t="shared" si="8"/>
        <v>1.6386164402903955</v>
      </c>
      <c r="C32" s="5">
        <f t="shared" si="9"/>
        <v>55221.803814213825</v>
      </c>
      <c r="D32" s="5">
        <f t="shared" si="0"/>
        <v>53755.79707308791</v>
      </c>
      <c r="E32" s="5">
        <f t="shared" si="1"/>
        <v>44255.79707308791</v>
      </c>
      <c r="F32" s="5">
        <f t="shared" si="2"/>
        <v>15726.847451671994</v>
      </c>
      <c r="G32" s="5">
        <f t="shared" si="3"/>
        <v>38028.949621415915</v>
      </c>
      <c r="H32" s="22">
        <f t="shared" si="10"/>
        <v>24007.513444218959</v>
      </c>
      <c r="I32" s="5">
        <f t="shared" si="4"/>
        <v>61148.185068198771</v>
      </c>
      <c r="J32" s="26">
        <f t="shared" si="5"/>
        <v>0.19855934239975251</v>
      </c>
      <c r="L32" s="22">
        <f t="shared" si="11"/>
        <v>106171.23270688285</v>
      </c>
      <c r="M32" s="5">
        <f>scrimecost*Meta!O29</f>
        <v>1153.1519999999998</v>
      </c>
      <c r="N32" s="5">
        <f>L32-Grade14!L32</f>
        <v>997.16833403303463</v>
      </c>
      <c r="O32" s="5">
        <f>Grade14!M32-M32</f>
        <v>9.2160000000001219</v>
      </c>
      <c r="P32" s="22">
        <f t="shared" si="12"/>
        <v>82.905870444149329</v>
      </c>
      <c r="Q32" s="22"/>
      <c r="R32" s="22"/>
      <c r="S32" s="22">
        <f t="shared" si="6"/>
        <v>779.22849236447166</v>
      </c>
      <c r="T32" s="22">
        <f t="shared" si="7"/>
        <v>1140.4070394931496</v>
      </c>
    </row>
    <row r="33" spans="1:20" x14ac:dyDescent="0.2">
      <c r="A33" s="5">
        <v>42</v>
      </c>
      <c r="B33" s="1">
        <f t="shared" si="8"/>
        <v>1.6795818512976552</v>
      </c>
      <c r="C33" s="5">
        <f t="shared" si="9"/>
        <v>56602.348909569162</v>
      </c>
      <c r="D33" s="5">
        <f t="shared" si="0"/>
        <v>55085.261999915099</v>
      </c>
      <c r="E33" s="5">
        <f t="shared" si="1"/>
        <v>45585.261999915099</v>
      </c>
      <c r="F33" s="5">
        <f t="shared" si="2"/>
        <v>16293.864242963791</v>
      </c>
      <c r="G33" s="5">
        <f t="shared" si="3"/>
        <v>38791.397756951308</v>
      </c>
      <c r="H33" s="22">
        <f t="shared" si="10"/>
        <v>24607.701280324429</v>
      </c>
      <c r="I33" s="5">
        <f t="shared" si="4"/>
        <v>62488.614089903727</v>
      </c>
      <c r="J33" s="26">
        <f t="shared" si="5"/>
        <v>0.20096679633398234</v>
      </c>
      <c r="L33" s="22">
        <f t="shared" si="11"/>
        <v>108825.51352455492</v>
      </c>
      <c r="M33" s="5">
        <f>scrimecost*Meta!O30</f>
        <v>1153.1519999999998</v>
      </c>
      <c r="N33" s="5">
        <f>L33-Grade14!L33</f>
        <v>1022.0975423838536</v>
      </c>
      <c r="O33" s="5">
        <f>Grade14!M33-M33</f>
        <v>9.2160000000001219</v>
      </c>
      <c r="P33" s="22">
        <f t="shared" si="12"/>
        <v>85.272944437290874</v>
      </c>
      <c r="Q33" s="22"/>
      <c r="R33" s="22"/>
      <c r="S33" s="22">
        <f t="shared" si="6"/>
        <v>798.76702126410896</v>
      </c>
      <c r="T33" s="22">
        <f t="shared" si="7"/>
        <v>1190.3951443553315</v>
      </c>
    </row>
    <row r="34" spans="1:20" x14ac:dyDescent="0.2">
      <c r="A34" s="5">
        <v>43</v>
      </c>
      <c r="B34" s="1">
        <f t="shared" si="8"/>
        <v>1.7215713975800966</v>
      </c>
      <c r="C34" s="5">
        <f t="shared" si="9"/>
        <v>58017.407632308386</v>
      </c>
      <c r="D34" s="5">
        <f t="shared" si="0"/>
        <v>56447.963549912973</v>
      </c>
      <c r="E34" s="5">
        <f t="shared" si="1"/>
        <v>46947.963549912973</v>
      </c>
      <c r="F34" s="5">
        <f t="shared" si="2"/>
        <v>16875.056454037884</v>
      </c>
      <c r="G34" s="5">
        <f t="shared" si="3"/>
        <v>39572.907095875089</v>
      </c>
      <c r="H34" s="22">
        <f t="shared" si="10"/>
        <v>25222.893812332542</v>
      </c>
      <c r="I34" s="5">
        <f t="shared" si="4"/>
        <v>63862.553837151325</v>
      </c>
      <c r="J34" s="26">
        <f t="shared" si="5"/>
        <v>0.20331553187957235</v>
      </c>
      <c r="L34" s="22">
        <f t="shared" si="11"/>
        <v>111546.15136266878</v>
      </c>
      <c r="M34" s="5">
        <f>scrimecost*Meta!O31</f>
        <v>1153.1519999999998</v>
      </c>
      <c r="N34" s="5">
        <f>L34-Grade14!L34</f>
        <v>1047.6499809434463</v>
      </c>
      <c r="O34" s="5">
        <f>Grade14!M34-M34</f>
        <v>9.2160000000001219</v>
      </c>
      <c r="P34" s="22">
        <f t="shared" si="12"/>
        <v>87.699195280260938</v>
      </c>
      <c r="Q34" s="22"/>
      <c r="R34" s="22"/>
      <c r="S34" s="22">
        <f t="shared" si="6"/>
        <v>818.79401338623916</v>
      </c>
      <c r="T34" s="22">
        <f t="shared" si="7"/>
        <v>1242.5722059880059</v>
      </c>
    </row>
    <row r="35" spans="1:20" x14ac:dyDescent="0.2">
      <c r="A35" s="5">
        <v>44</v>
      </c>
      <c r="B35" s="1">
        <f t="shared" si="8"/>
        <v>1.7646106825195991</v>
      </c>
      <c r="C35" s="5">
        <f t="shared" si="9"/>
        <v>59467.842823116109</v>
      </c>
      <c r="D35" s="5">
        <f t="shared" si="0"/>
        <v>57844.732638660811</v>
      </c>
      <c r="E35" s="5">
        <f t="shared" si="1"/>
        <v>48344.732638660811</v>
      </c>
      <c r="F35" s="5">
        <f t="shared" si="2"/>
        <v>17470.778470388836</v>
      </c>
      <c r="G35" s="5">
        <f t="shared" si="3"/>
        <v>40373.954168271972</v>
      </c>
      <c r="H35" s="22">
        <f t="shared" si="10"/>
        <v>25853.466157640858</v>
      </c>
      <c r="I35" s="5">
        <f t="shared" si="4"/>
        <v>65270.842078080117</v>
      </c>
      <c r="J35" s="26">
        <f t="shared" si="5"/>
        <v>0.20560698119234319</v>
      </c>
      <c r="L35" s="22">
        <f t="shared" si="11"/>
        <v>114334.8051467355</v>
      </c>
      <c r="M35" s="5">
        <f>scrimecost*Meta!O32</f>
        <v>1153.1519999999998</v>
      </c>
      <c r="N35" s="5">
        <f>L35-Grade14!L35</f>
        <v>1073.8412304670346</v>
      </c>
      <c r="O35" s="5">
        <f>Grade14!M35-M35</f>
        <v>9.2160000000001219</v>
      </c>
      <c r="P35" s="22">
        <f t="shared" si="12"/>
        <v>90.186102394305294</v>
      </c>
      <c r="Q35" s="22"/>
      <c r="R35" s="22"/>
      <c r="S35" s="22">
        <f t="shared" si="6"/>
        <v>839.32168031142692</v>
      </c>
      <c r="T35" s="22">
        <f t="shared" si="7"/>
        <v>1297.0340376377869</v>
      </c>
    </row>
    <row r="36" spans="1:20" x14ac:dyDescent="0.2">
      <c r="A36" s="5">
        <v>45</v>
      </c>
      <c r="B36" s="1">
        <f t="shared" si="8"/>
        <v>1.8087259495825889</v>
      </c>
      <c r="C36" s="5">
        <f t="shared" si="9"/>
        <v>60954.538893694007</v>
      </c>
      <c r="D36" s="5">
        <f t="shared" si="0"/>
        <v>59276.420954627327</v>
      </c>
      <c r="E36" s="5">
        <f t="shared" si="1"/>
        <v>49776.420954627327</v>
      </c>
      <c r="F36" s="5">
        <f t="shared" si="2"/>
        <v>18081.393537148557</v>
      </c>
      <c r="G36" s="5">
        <f t="shared" si="3"/>
        <v>41195.02741747877</v>
      </c>
      <c r="H36" s="22">
        <f t="shared" si="10"/>
        <v>26499.802811581874</v>
      </c>
      <c r="I36" s="5">
        <f t="shared" si="4"/>
        <v>66714.337525032111</v>
      </c>
      <c r="J36" s="26">
        <f t="shared" si="5"/>
        <v>0.20784254149748549</v>
      </c>
      <c r="L36" s="22">
        <f t="shared" si="11"/>
        <v>117193.17527540389</v>
      </c>
      <c r="M36" s="5">
        <f>scrimecost*Meta!O33</f>
        <v>931.93100000000004</v>
      </c>
      <c r="N36" s="5">
        <f>L36-Grade14!L36</f>
        <v>1100.6872612287407</v>
      </c>
      <c r="O36" s="5">
        <f>Grade14!M36-M36</f>
        <v>7.4479999999999791</v>
      </c>
      <c r="P36" s="22">
        <f t="shared" si="12"/>
        <v>92.735182186200745</v>
      </c>
      <c r="Q36" s="22"/>
      <c r="R36" s="22"/>
      <c r="S36" s="22">
        <f t="shared" si="6"/>
        <v>858.76603490976356</v>
      </c>
      <c r="T36" s="22">
        <f t="shared" si="7"/>
        <v>1351.3683607166538</v>
      </c>
    </row>
    <row r="37" spans="1:20" x14ac:dyDescent="0.2">
      <c r="A37" s="5">
        <v>46</v>
      </c>
      <c r="B37" s="1">
        <f t="shared" ref="B37:B56" si="13">(1+experiencepremium)^(A37-startage)</f>
        <v>1.8539440983221533</v>
      </c>
      <c r="C37" s="5">
        <f t="shared" ref="C37:C56" si="14">pretaxincome*B37/expnorm</f>
        <v>62478.402366036345</v>
      </c>
      <c r="D37" s="5">
        <f t="shared" ref="D37:D56" si="15">IF(A37&lt;startage,1,0)*(C37*(1-initialunempprob))+IF(A37=startage,1,0)*(C37*(1-unempprob))+IF(A37&gt;startage,1,0)*(C37*(1-unempprob)+unempprob*300*52)</f>
        <v>60743.901478492997</v>
      </c>
      <c r="E37" s="5">
        <f t="shared" si="1"/>
        <v>51243.901478492997</v>
      </c>
      <c r="F37" s="5">
        <f t="shared" si="2"/>
        <v>18707.273980577265</v>
      </c>
      <c r="G37" s="5">
        <f t="shared" si="3"/>
        <v>42036.627497915732</v>
      </c>
      <c r="H37" s="22">
        <f t="shared" ref="H37:H56" si="16">benefits*B37/expnorm</f>
        <v>27162.297881871418</v>
      </c>
      <c r="I37" s="5">
        <f t="shared" ref="I37:I56" si="17">G37+IF(A37&lt;startage,1,0)*(H37*(1-initialunempprob))+IF(A37&gt;=startage,1,0)*(H37*(1-unempprob))</f>
        <v>68193.920358157906</v>
      </c>
      <c r="J37" s="26">
        <f t="shared" si="5"/>
        <v>0.21002357594152668</v>
      </c>
      <c r="L37" s="22">
        <f t="shared" ref="L37:L56" si="18">(sincome+sbenefits)*(1-sunemp)*B37/expnorm</f>
        <v>120123.00465728897</v>
      </c>
      <c r="M37" s="5">
        <f>scrimecost*Meta!O34</f>
        <v>931.93100000000004</v>
      </c>
      <c r="N37" s="5">
        <f>L37-Grade14!L37</f>
        <v>1128.2044427594519</v>
      </c>
      <c r="O37" s="5">
        <f>Grade14!M37-M37</f>
        <v>7.4479999999999791</v>
      </c>
      <c r="P37" s="22">
        <f t="shared" si="12"/>
        <v>95.347988972893575</v>
      </c>
      <c r="Q37" s="22"/>
      <c r="R37" s="22"/>
      <c r="S37" s="22">
        <f t="shared" si="6"/>
        <v>880.33291497303276</v>
      </c>
      <c r="T37" s="22">
        <f t="shared" si="7"/>
        <v>1410.658152070916</v>
      </c>
    </row>
    <row r="38" spans="1:20" x14ac:dyDescent="0.2">
      <c r="A38" s="5">
        <v>47</v>
      </c>
      <c r="B38" s="1">
        <f t="shared" si="13"/>
        <v>1.9002927007802071</v>
      </c>
      <c r="C38" s="5">
        <f t="shared" si="14"/>
        <v>64040.362425187246</v>
      </c>
      <c r="D38" s="5">
        <f t="shared" si="15"/>
        <v>62248.069015455316</v>
      </c>
      <c r="E38" s="5">
        <f t="shared" si="1"/>
        <v>52748.069015455316</v>
      </c>
      <c r="F38" s="5">
        <f t="shared" si="2"/>
        <v>19348.801435091693</v>
      </c>
      <c r="G38" s="5">
        <f t="shared" si="3"/>
        <v>42899.267580363623</v>
      </c>
      <c r="H38" s="22">
        <f t="shared" si="16"/>
        <v>27841.355328918202</v>
      </c>
      <c r="I38" s="5">
        <f t="shared" si="17"/>
        <v>69710.492762111855</v>
      </c>
      <c r="J38" s="26">
        <f t="shared" si="5"/>
        <v>0.21215141442351804</v>
      </c>
      <c r="L38" s="22">
        <f t="shared" si="18"/>
        <v>123126.07977372118</v>
      </c>
      <c r="M38" s="5">
        <f>scrimecost*Meta!O35</f>
        <v>931.93100000000004</v>
      </c>
      <c r="N38" s="5">
        <f>L38-Grade14!L38</f>
        <v>1156.4095538284309</v>
      </c>
      <c r="O38" s="5">
        <f>Grade14!M38-M38</f>
        <v>7.4479999999999791</v>
      </c>
      <c r="P38" s="22">
        <f t="shared" si="12"/>
        <v>98.026115929253677</v>
      </c>
      <c r="Q38" s="22"/>
      <c r="R38" s="22"/>
      <c r="S38" s="22">
        <f t="shared" si="6"/>
        <v>902.43896703788369</v>
      </c>
      <c r="T38" s="22">
        <f t="shared" si="7"/>
        <v>1472.5452125465852</v>
      </c>
    </row>
    <row r="39" spans="1:20" x14ac:dyDescent="0.2">
      <c r="A39" s="5">
        <v>48</v>
      </c>
      <c r="B39" s="1">
        <f t="shared" si="13"/>
        <v>1.9478000182997122</v>
      </c>
      <c r="C39" s="5">
        <f t="shared" si="14"/>
        <v>65641.371485816926</v>
      </c>
      <c r="D39" s="5">
        <f t="shared" si="15"/>
        <v>63789.840740841697</v>
      </c>
      <c r="E39" s="5">
        <f t="shared" si="1"/>
        <v>54289.840740841697</v>
      </c>
      <c r="F39" s="5">
        <f t="shared" si="2"/>
        <v>20006.367075968985</v>
      </c>
      <c r="G39" s="5">
        <f t="shared" si="3"/>
        <v>43783.473664872712</v>
      </c>
      <c r="H39" s="22">
        <f t="shared" si="16"/>
        <v>28537.389212141155</v>
      </c>
      <c r="I39" s="5">
        <f t="shared" si="17"/>
        <v>71264.979476164648</v>
      </c>
      <c r="J39" s="26">
        <f t="shared" si="5"/>
        <v>0.21422735440594873</v>
      </c>
      <c r="L39" s="22">
        <f t="shared" si="18"/>
        <v>126204.2317680642</v>
      </c>
      <c r="M39" s="5">
        <f>scrimecost*Meta!O36</f>
        <v>931.93100000000004</v>
      </c>
      <c r="N39" s="5">
        <f>L39-Grade14!L39</f>
        <v>1185.3197926741268</v>
      </c>
      <c r="O39" s="5">
        <f>Grade14!M39-M39</f>
        <v>7.4479999999999791</v>
      </c>
      <c r="P39" s="22">
        <f t="shared" si="12"/>
        <v>100.77119605952285</v>
      </c>
      <c r="Q39" s="22"/>
      <c r="R39" s="22"/>
      <c r="S39" s="22">
        <f t="shared" si="6"/>
        <v>925.09767040435042</v>
      </c>
      <c r="T39" s="22">
        <f t="shared" si="7"/>
        <v>1537.1432459163684</v>
      </c>
    </row>
    <row r="40" spans="1:20" x14ac:dyDescent="0.2">
      <c r="A40" s="5">
        <v>49</v>
      </c>
      <c r="B40" s="1">
        <f t="shared" si="13"/>
        <v>1.9964950187572048</v>
      </c>
      <c r="C40" s="5">
        <f t="shared" si="14"/>
        <v>67282.405772962346</v>
      </c>
      <c r="D40" s="5">
        <f t="shared" si="15"/>
        <v>65370.156759362733</v>
      </c>
      <c r="E40" s="5">
        <f t="shared" si="1"/>
        <v>55870.156759362733</v>
      </c>
      <c r="F40" s="5">
        <f t="shared" si="2"/>
        <v>20680.371857868206</v>
      </c>
      <c r="G40" s="5">
        <f t="shared" si="3"/>
        <v>44689.784901494524</v>
      </c>
      <c r="H40" s="22">
        <f t="shared" si="16"/>
        <v>29250.823942444684</v>
      </c>
      <c r="I40" s="5">
        <f t="shared" si="17"/>
        <v>72858.328358068757</v>
      </c>
      <c r="J40" s="26">
        <f t="shared" si="5"/>
        <v>0.21625266170588106</v>
      </c>
      <c r="L40" s="22">
        <f t="shared" si="18"/>
        <v>129359.33756226579</v>
      </c>
      <c r="M40" s="5">
        <f>scrimecost*Meta!O37</f>
        <v>931.93100000000004</v>
      </c>
      <c r="N40" s="5">
        <f>L40-Grade14!L40</f>
        <v>1214.9527874909545</v>
      </c>
      <c r="O40" s="5">
        <f>Grade14!M40-M40</f>
        <v>7.4479999999999791</v>
      </c>
      <c r="P40" s="22">
        <f t="shared" si="12"/>
        <v>103.5849031930487</v>
      </c>
      <c r="Q40" s="22"/>
      <c r="R40" s="22"/>
      <c r="S40" s="22">
        <f t="shared" si="6"/>
        <v>948.3228413549715</v>
      </c>
      <c r="T40" s="22">
        <f t="shared" si="7"/>
        <v>1604.5709323634894</v>
      </c>
    </row>
    <row r="41" spans="1:20" x14ac:dyDescent="0.2">
      <c r="A41" s="5">
        <v>50</v>
      </c>
      <c r="B41" s="1">
        <f t="shared" si="13"/>
        <v>2.0464073942261352</v>
      </c>
      <c r="C41" s="5">
        <f t="shared" si="14"/>
        <v>68964.465917286405</v>
      </c>
      <c r="D41" s="5">
        <f t="shared" si="15"/>
        <v>66989.980678346808</v>
      </c>
      <c r="E41" s="5">
        <f t="shared" si="1"/>
        <v>57489.980678346808</v>
      </c>
      <c r="F41" s="5">
        <f t="shared" si="2"/>
        <v>21371.226759314912</v>
      </c>
      <c r="G41" s="5">
        <f t="shared" si="3"/>
        <v>45618.753919031893</v>
      </c>
      <c r="H41" s="22">
        <f t="shared" si="16"/>
        <v>29982.094541005805</v>
      </c>
      <c r="I41" s="5">
        <f t="shared" si="17"/>
        <v>74491.510962020489</v>
      </c>
      <c r="J41" s="26">
        <f t="shared" si="5"/>
        <v>0.21822857126679066</v>
      </c>
      <c r="L41" s="22">
        <f t="shared" si="18"/>
        <v>132593.32100132245</v>
      </c>
      <c r="M41" s="5">
        <f>scrimecost*Meta!O38</f>
        <v>622.62199999999996</v>
      </c>
      <c r="N41" s="5">
        <f>L41-Grade14!L41</f>
        <v>1245.3266071782855</v>
      </c>
      <c r="O41" s="5">
        <f>Grade14!M41-M41</f>
        <v>4.9759999999999991</v>
      </c>
      <c r="P41" s="22">
        <f t="shared" si="12"/>
        <v>106.46895300491273</v>
      </c>
      <c r="Q41" s="22"/>
      <c r="R41" s="22"/>
      <c r="S41" s="22">
        <f t="shared" si="6"/>
        <v>969.8964255794159</v>
      </c>
      <c r="T41" s="22">
        <f t="shared" si="7"/>
        <v>1671.1060966499567</v>
      </c>
    </row>
    <row r="42" spans="1:20" x14ac:dyDescent="0.2">
      <c r="A42" s="5">
        <v>51</v>
      </c>
      <c r="B42" s="1">
        <f t="shared" si="13"/>
        <v>2.097567579081788</v>
      </c>
      <c r="C42" s="5">
        <f t="shared" si="14"/>
        <v>70688.57756521854</v>
      </c>
      <c r="D42" s="5">
        <f t="shared" si="15"/>
        <v>68650.300195305448</v>
      </c>
      <c r="E42" s="5">
        <f t="shared" si="1"/>
        <v>59150.300195305448</v>
      </c>
      <c r="F42" s="5">
        <f t="shared" si="2"/>
        <v>22079.353033297775</v>
      </c>
      <c r="G42" s="5">
        <f t="shared" si="3"/>
        <v>46570.947162007673</v>
      </c>
      <c r="H42" s="22">
        <f t="shared" si="16"/>
        <v>30731.646904530942</v>
      </c>
      <c r="I42" s="5">
        <f t="shared" si="17"/>
        <v>76165.523131070964</v>
      </c>
      <c r="J42" s="26">
        <f t="shared" si="5"/>
        <v>0.22015628791158051</v>
      </c>
      <c r="L42" s="22">
        <f t="shared" si="18"/>
        <v>135908.15402635548</v>
      </c>
      <c r="M42" s="5">
        <f>scrimecost*Meta!O39</f>
        <v>622.62199999999996</v>
      </c>
      <c r="N42" s="5">
        <f>L42-Grade14!L42</f>
        <v>1276.4597723576589</v>
      </c>
      <c r="O42" s="5">
        <f>Grade14!M42-M42</f>
        <v>4.9759999999999991</v>
      </c>
      <c r="P42" s="22">
        <f t="shared" si="12"/>
        <v>109.42510406207334</v>
      </c>
      <c r="Q42" s="22"/>
      <c r="R42" s="22"/>
      <c r="S42" s="22">
        <f t="shared" si="6"/>
        <v>994.29737080937298</v>
      </c>
      <c r="T42" s="22">
        <f t="shared" si="7"/>
        <v>1744.4997492329094</v>
      </c>
    </row>
    <row r="43" spans="1:20" x14ac:dyDescent="0.2">
      <c r="A43" s="5">
        <v>52</v>
      </c>
      <c r="B43" s="1">
        <f t="shared" si="13"/>
        <v>2.1500067685588333</v>
      </c>
      <c r="C43" s="5">
        <f t="shared" si="14"/>
        <v>72455.79200434903</v>
      </c>
      <c r="D43" s="5">
        <f t="shared" si="15"/>
        <v>70352.12770018811</v>
      </c>
      <c r="E43" s="5">
        <f t="shared" si="1"/>
        <v>60852.12770018811</v>
      </c>
      <c r="F43" s="5">
        <f t="shared" si="2"/>
        <v>22805.18246413023</v>
      </c>
      <c r="G43" s="5">
        <f t="shared" si="3"/>
        <v>47546.94523605788</v>
      </c>
      <c r="H43" s="22">
        <f t="shared" si="16"/>
        <v>31499.938077144223</v>
      </c>
      <c r="I43" s="5">
        <f t="shared" si="17"/>
        <v>77881.385604347772</v>
      </c>
      <c r="J43" s="26">
        <f t="shared" si="5"/>
        <v>0.22203698707722919</v>
      </c>
      <c r="L43" s="22">
        <f t="shared" si="18"/>
        <v>139305.85787701441</v>
      </c>
      <c r="M43" s="5">
        <f>scrimecost*Meta!O40</f>
        <v>622.62199999999996</v>
      </c>
      <c r="N43" s="5">
        <f>L43-Grade14!L43</f>
        <v>1308.3712666666834</v>
      </c>
      <c r="O43" s="5">
        <f>Grade14!M43-M43</f>
        <v>4.9759999999999991</v>
      </c>
      <c r="P43" s="22">
        <f t="shared" si="12"/>
        <v>112.45515889566302</v>
      </c>
      <c r="Q43" s="22"/>
      <c r="R43" s="22"/>
      <c r="S43" s="22">
        <f t="shared" ref="S43:S69" si="19">IF(A43&lt;startage,1,0)*(N43-Q43-R43)+IF(A43&gt;=startage,1,0)*completionprob*(N43*spart+O43+P43)</f>
        <v>1019.3083396701953</v>
      </c>
      <c r="T43" s="22">
        <f t="shared" ref="T43:T69" si="20">S43/sreturn^(A43-startage+1)</f>
        <v>1821.1098916522094</v>
      </c>
    </row>
    <row r="44" spans="1:20" x14ac:dyDescent="0.2">
      <c r="A44" s="5">
        <v>53</v>
      </c>
      <c r="B44" s="1">
        <f t="shared" si="13"/>
        <v>2.2037569377728037</v>
      </c>
      <c r="C44" s="5">
        <f t="shared" si="14"/>
        <v>74267.186804457742</v>
      </c>
      <c r="D44" s="5">
        <f t="shared" si="15"/>
        <v>72096.500892692799</v>
      </c>
      <c r="E44" s="5">
        <f t="shared" si="1"/>
        <v>62596.500892692799</v>
      </c>
      <c r="F44" s="5">
        <f t="shared" si="2"/>
        <v>23549.157630733476</v>
      </c>
      <c r="G44" s="5">
        <f t="shared" si="3"/>
        <v>48547.343261959322</v>
      </c>
      <c r="H44" s="22">
        <f t="shared" si="16"/>
        <v>32287.436529072824</v>
      </c>
      <c r="I44" s="5">
        <f t="shared" si="17"/>
        <v>79640.144639456455</v>
      </c>
      <c r="J44" s="26">
        <f t="shared" si="5"/>
        <v>0.22387181553152052</v>
      </c>
      <c r="L44" s="22">
        <f t="shared" si="18"/>
        <v>142788.50432393973</v>
      </c>
      <c r="M44" s="5">
        <f>scrimecost*Meta!O41</f>
        <v>622.62199999999996</v>
      </c>
      <c r="N44" s="5">
        <f>L44-Grade14!L44</f>
        <v>1341.0805483333243</v>
      </c>
      <c r="O44" s="5">
        <f>Grade14!M44-M44</f>
        <v>4.9759999999999991</v>
      </c>
      <c r="P44" s="22">
        <f t="shared" si="12"/>
        <v>115.56096510009237</v>
      </c>
      <c r="Q44" s="22"/>
      <c r="R44" s="22"/>
      <c r="S44" s="22">
        <f t="shared" si="19"/>
        <v>1044.9445827524619</v>
      </c>
      <c r="T44" s="22">
        <f t="shared" si="20"/>
        <v>1901.0773613148756</v>
      </c>
    </row>
    <row r="45" spans="1:20" x14ac:dyDescent="0.2">
      <c r="A45" s="5">
        <v>54</v>
      </c>
      <c r="B45" s="1">
        <f t="shared" si="13"/>
        <v>2.2588508612171236</v>
      </c>
      <c r="C45" s="5">
        <f t="shared" si="14"/>
        <v>76123.866474569179</v>
      </c>
      <c r="D45" s="5">
        <f t="shared" si="15"/>
        <v>73884.483415010109</v>
      </c>
      <c r="E45" s="5">
        <f t="shared" si="1"/>
        <v>64384.483415010109</v>
      </c>
      <c r="F45" s="5">
        <f t="shared" si="2"/>
        <v>24311.732176501813</v>
      </c>
      <c r="G45" s="5">
        <f t="shared" si="3"/>
        <v>49572.751238508296</v>
      </c>
      <c r="H45" s="22">
        <f t="shared" si="16"/>
        <v>33094.622442299638</v>
      </c>
      <c r="I45" s="5">
        <f t="shared" si="17"/>
        <v>81442.872650442849</v>
      </c>
      <c r="J45" s="26">
        <f t="shared" si="5"/>
        <v>0.22566189207229259</v>
      </c>
      <c r="L45" s="22">
        <f t="shared" si="18"/>
        <v>146358.21693203822</v>
      </c>
      <c r="M45" s="5">
        <f>scrimecost*Meta!O42</f>
        <v>622.62199999999996</v>
      </c>
      <c r="N45" s="5">
        <f>L45-Grade14!L45</f>
        <v>1374.6075620416668</v>
      </c>
      <c r="O45" s="5">
        <f>Grade14!M45-M45</f>
        <v>4.9759999999999991</v>
      </c>
      <c r="P45" s="22">
        <f t="shared" si="12"/>
        <v>118.74441645963249</v>
      </c>
      <c r="Q45" s="22"/>
      <c r="R45" s="22"/>
      <c r="S45" s="22">
        <f t="shared" si="19"/>
        <v>1071.2217319118104</v>
      </c>
      <c r="T45" s="22">
        <f t="shared" si="20"/>
        <v>1984.5491600439641</v>
      </c>
    </row>
    <row r="46" spans="1:20" x14ac:dyDescent="0.2">
      <c r="A46" s="5">
        <v>55</v>
      </c>
      <c r="B46" s="1">
        <f t="shared" si="13"/>
        <v>2.3153221327475517</v>
      </c>
      <c r="C46" s="5">
        <f t="shared" si="14"/>
        <v>78026.96313643342</v>
      </c>
      <c r="D46" s="5">
        <f t="shared" si="15"/>
        <v>75717.165500385381</v>
      </c>
      <c r="E46" s="5">
        <f t="shared" si="1"/>
        <v>66217.165500385381</v>
      </c>
      <c r="F46" s="5">
        <f t="shared" si="2"/>
        <v>25093.371085914365</v>
      </c>
      <c r="G46" s="5">
        <f t="shared" si="3"/>
        <v>50623.79441447102</v>
      </c>
      <c r="H46" s="22">
        <f t="shared" si="16"/>
        <v>33921.988003357132</v>
      </c>
      <c r="I46" s="5">
        <f t="shared" si="17"/>
        <v>83290.668861703933</v>
      </c>
      <c r="J46" s="26">
        <f t="shared" si="5"/>
        <v>0.22740830820963118</v>
      </c>
      <c r="L46" s="22">
        <f t="shared" si="18"/>
        <v>150017.17235533916</v>
      </c>
      <c r="M46" s="5">
        <f>scrimecost*Meta!O43</f>
        <v>345.34499999999997</v>
      </c>
      <c r="N46" s="5">
        <f>L46-Grade14!L46</f>
        <v>1408.9727510926896</v>
      </c>
      <c r="O46" s="5">
        <f>Grade14!M46-M46</f>
        <v>2.7599999999999909</v>
      </c>
      <c r="P46" s="22">
        <f t="shared" si="12"/>
        <v>122.00745410316111</v>
      </c>
      <c r="Q46" s="22"/>
      <c r="R46" s="22"/>
      <c r="S46" s="22">
        <f t="shared" si="19"/>
        <v>1096.1547618001227</v>
      </c>
      <c r="T46" s="22">
        <f t="shared" si="20"/>
        <v>2067.903732606143</v>
      </c>
    </row>
    <row r="47" spans="1:20" x14ac:dyDescent="0.2">
      <c r="A47" s="5">
        <v>56</v>
      </c>
      <c r="B47" s="1">
        <f t="shared" si="13"/>
        <v>2.3732051860662402</v>
      </c>
      <c r="C47" s="5">
        <f t="shared" si="14"/>
        <v>79977.637214844246</v>
      </c>
      <c r="D47" s="5">
        <f t="shared" si="15"/>
        <v>77595.66463789501</v>
      </c>
      <c r="E47" s="5">
        <f t="shared" si="1"/>
        <v>68095.66463789501</v>
      </c>
      <c r="F47" s="5">
        <f t="shared" si="2"/>
        <v>25894.550968062224</v>
      </c>
      <c r="G47" s="5">
        <f t="shared" si="3"/>
        <v>51701.11366983279</v>
      </c>
      <c r="H47" s="22">
        <f t="shared" si="16"/>
        <v>34770.037703441056</v>
      </c>
      <c r="I47" s="5">
        <f t="shared" si="17"/>
        <v>85184.65997824652</v>
      </c>
      <c r="J47" s="26">
        <f t="shared" si="5"/>
        <v>0.22911212883142498</v>
      </c>
      <c r="L47" s="22">
        <f t="shared" si="18"/>
        <v>153767.60166422263</v>
      </c>
      <c r="M47" s="5">
        <f>scrimecost*Meta!O44</f>
        <v>345.34499999999997</v>
      </c>
      <c r="N47" s="5">
        <f>L47-Grade14!L47</f>
        <v>1444.1970698699879</v>
      </c>
      <c r="O47" s="5">
        <f>Grade14!M47-M47</f>
        <v>2.7599999999999909</v>
      </c>
      <c r="P47" s="22">
        <f t="shared" si="12"/>
        <v>125.35206768777795</v>
      </c>
      <c r="Q47" s="22"/>
      <c r="R47" s="22"/>
      <c r="S47" s="22">
        <f t="shared" si="19"/>
        <v>1123.7621916356425</v>
      </c>
      <c r="T47" s="22">
        <f t="shared" si="20"/>
        <v>2158.7821290539468</v>
      </c>
    </row>
    <row r="48" spans="1:20" x14ac:dyDescent="0.2">
      <c r="A48" s="5">
        <v>57</v>
      </c>
      <c r="B48" s="1">
        <f t="shared" si="13"/>
        <v>2.4325353157178964</v>
      </c>
      <c r="C48" s="5">
        <f t="shared" si="14"/>
        <v>81977.078145215346</v>
      </c>
      <c r="D48" s="5">
        <f t="shared" si="15"/>
        <v>79521.126253842376</v>
      </c>
      <c r="E48" s="5">
        <f t="shared" si="1"/>
        <v>70021.126253842376</v>
      </c>
      <c r="F48" s="5">
        <f t="shared" si="2"/>
        <v>26715.760347263771</v>
      </c>
      <c r="G48" s="5">
        <f t="shared" si="3"/>
        <v>52805.365906578605</v>
      </c>
      <c r="H48" s="22">
        <f t="shared" si="16"/>
        <v>35639.288646027082</v>
      </c>
      <c r="I48" s="5">
        <f t="shared" si="17"/>
        <v>87126.000872702687</v>
      </c>
      <c r="J48" s="26">
        <f t="shared" si="5"/>
        <v>0.23077439285268711</v>
      </c>
      <c r="L48" s="22">
        <f t="shared" si="18"/>
        <v>157611.79170582822</v>
      </c>
      <c r="M48" s="5">
        <f>scrimecost*Meta!O45</f>
        <v>345.34499999999997</v>
      </c>
      <c r="N48" s="5">
        <f>L48-Grade14!L48</f>
        <v>1480.3019966167631</v>
      </c>
      <c r="O48" s="5">
        <f>Grade14!M48-M48</f>
        <v>2.7599999999999909</v>
      </c>
      <c r="P48" s="22">
        <f t="shared" si="12"/>
        <v>128.7802966120102</v>
      </c>
      <c r="Q48" s="22"/>
      <c r="R48" s="22"/>
      <c r="S48" s="22">
        <f t="shared" si="19"/>
        <v>1152.0598072170817</v>
      </c>
      <c r="T48" s="22">
        <f t="shared" si="20"/>
        <v>2253.6443395251554</v>
      </c>
    </row>
    <row r="49" spans="1:20" x14ac:dyDescent="0.2">
      <c r="A49" s="5">
        <v>58</v>
      </c>
      <c r="B49" s="1">
        <f t="shared" si="13"/>
        <v>2.4933486986108435</v>
      </c>
      <c r="C49" s="5">
        <f t="shared" si="14"/>
        <v>84026.505098845722</v>
      </c>
      <c r="D49" s="5">
        <f t="shared" si="15"/>
        <v>81494.724410188428</v>
      </c>
      <c r="E49" s="5">
        <f t="shared" si="1"/>
        <v>71994.724410188428</v>
      </c>
      <c r="F49" s="5">
        <f t="shared" si="2"/>
        <v>27557.499960945366</v>
      </c>
      <c r="G49" s="5">
        <f t="shared" si="3"/>
        <v>53937.224449243062</v>
      </c>
      <c r="H49" s="22">
        <f t="shared" si="16"/>
        <v>36530.270862177756</v>
      </c>
      <c r="I49" s="5">
        <f t="shared" si="17"/>
        <v>89115.875289520249</v>
      </c>
      <c r="J49" s="26">
        <f t="shared" si="5"/>
        <v>0.23239611384904052</v>
      </c>
      <c r="L49" s="22">
        <f t="shared" si="18"/>
        <v>161552.08649847392</v>
      </c>
      <c r="M49" s="5">
        <f>scrimecost*Meta!O46</f>
        <v>345.34499999999997</v>
      </c>
      <c r="N49" s="5">
        <f>L49-Grade14!L49</f>
        <v>1517.3095465322258</v>
      </c>
      <c r="O49" s="5">
        <f>Grade14!M49-M49</f>
        <v>2.7599999999999909</v>
      </c>
      <c r="P49" s="22">
        <f t="shared" si="12"/>
        <v>132.29423125934827</v>
      </c>
      <c r="Q49" s="22"/>
      <c r="R49" s="22"/>
      <c r="S49" s="22">
        <f t="shared" si="19"/>
        <v>1181.0648631880692</v>
      </c>
      <c r="T49" s="22">
        <f t="shared" si="20"/>
        <v>2352.6648187537394</v>
      </c>
    </row>
    <row r="50" spans="1:20" x14ac:dyDescent="0.2">
      <c r="A50" s="5">
        <v>59</v>
      </c>
      <c r="B50" s="1">
        <f t="shared" si="13"/>
        <v>2.555682416076114</v>
      </c>
      <c r="C50" s="5">
        <f t="shared" si="14"/>
        <v>86127.167726316853</v>
      </c>
      <c r="D50" s="5">
        <f t="shared" si="15"/>
        <v>83517.662520443118</v>
      </c>
      <c r="E50" s="5">
        <f t="shared" si="1"/>
        <v>74017.662520443118</v>
      </c>
      <c r="F50" s="5">
        <f t="shared" si="2"/>
        <v>28420.283064968989</v>
      </c>
      <c r="G50" s="5">
        <f t="shared" si="3"/>
        <v>55097.379455474133</v>
      </c>
      <c r="H50" s="22">
        <f t="shared" si="16"/>
        <v>37443.527633732192</v>
      </c>
      <c r="I50" s="5">
        <f t="shared" si="17"/>
        <v>91155.496566758229</v>
      </c>
      <c r="J50" s="26">
        <f t="shared" si="5"/>
        <v>0.23397828067475107</v>
      </c>
      <c r="L50" s="22">
        <f t="shared" si="18"/>
        <v>165590.88866093571</v>
      </c>
      <c r="M50" s="5">
        <f>scrimecost*Meta!O47</f>
        <v>345.34499999999997</v>
      </c>
      <c r="N50" s="5">
        <f>L50-Grade14!L50</f>
        <v>1555.2422851954761</v>
      </c>
      <c r="O50" s="5">
        <f>Grade14!M50-M50</f>
        <v>2.7599999999999909</v>
      </c>
      <c r="P50" s="22">
        <f t="shared" si="12"/>
        <v>135.89601427286973</v>
      </c>
      <c r="Q50" s="22"/>
      <c r="R50" s="22"/>
      <c r="S50" s="22">
        <f t="shared" si="19"/>
        <v>1210.7950455582625</v>
      </c>
      <c r="T50" s="22">
        <f t="shared" si="20"/>
        <v>2456.0256576620536</v>
      </c>
    </row>
    <row r="51" spans="1:20" x14ac:dyDescent="0.2">
      <c r="A51" s="5">
        <v>60</v>
      </c>
      <c r="B51" s="1">
        <f t="shared" si="13"/>
        <v>2.6195744764780171</v>
      </c>
      <c r="C51" s="5">
        <f t="shared" si="14"/>
        <v>88280.346919474774</v>
      </c>
      <c r="D51" s="5">
        <f t="shared" si="15"/>
        <v>85591.1740834542</v>
      </c>
      <c r="E51" s="5">
        <f t="shared" si="1"/>
        <v>76091.1740834542</v>
      </c>
      <c r="F51" s="5">
        <f t="shared" si="2"/>
        <v>29304.635746593216</v>
      </c>
      <c r="G51" s="5">
        <f t="shared" si="3"/>
        <v>56286.538336860984</v>
      </c>
      <c r="H51" s="22">
        <f t="shared" si="16"/>
        <v>38379.6158245755</v>
      </c>
      <c r="I51" s="5">
        <f t="shared" si="17"/>
        <v>93246.108375927186</v>
      </c>
      <c r="J51" s="26">
        <f t="shared" si="5"/>
        <v>0.23552185806568823</v>
      </c>
      <c r="L51" s="22">
        <f t="shared" si="18"/>
        <v>169730.66087745913</v>
      </c>
      <c r="M51" s="5">
        <f>scrimecost*Meta!O48</f>
        <v>182.18199999999999</v>
      </c>
      <c r="N51" s="5">
        <f>L51-Grade14!L51</f>
        <v>1594.1233423254162</v>
      </c>
      <c r="O51" s="5">
        <f>Grade14!M51-M51</f>
        <v>1.4560000000000173</v>
      </c>
      <c r="P51" s="22">
        <f t="shared" si="12"/>
        <v>139.58784186172929</v>
      </c>
      <c r="Q51" s="22"/>
      <c r="R51" s="22"/>
      <c r="S51" s="22">
        <f t="shared" si="19"/>
        <v>1240.0909704877863</v>
      </c>
      <c r="T51" s="22">
        <f t="shared" si="20"/>
        <v>2561.4846935949045</v>
      </c>
    </row>
    <row r="52" spans="1:20" x14ac:dyDescent="0.2">
      <c r="A52" s="5">
        <v>61</v>
      </c>
      <c r="B52" s="1">
        <f t="shared" si="13"/>
        <v>2.6850638383899672</v>
      </c>
      <c r="C52" s="5">
        <f t="shared" si="14"/>
        <v>90487.355592461638</v>
      </c>
      <c r="D52" s="5">
        <f t="shared" si="15"/>
        <v>87716.523435540556</v>
      </c>
      <c r="E52" s="5">
        <f t="shared" si="1"/>
        <v>78216.523435540556</v>
      </c>
      <c r="F52" s="5">
        <f t="shared" si="2"/>
        <v>30211.097245258046</v>
      </c>
      <c r="G52" s="5">
        <f t="shared" si="3"/>
        <v>57505.426190282509</v>
      </c>
      <c r="H52" s="22">
        <f t="shared" si="16"/>
        <v>39339.106220189882</v>
      </c>
      <c r="I52" s="5">
        <f t="shared" si="17"/>
        <v>95388.985480325355</v>
      </c>
      <c r="J52" s="26">
        <f t="shared" si="5"/>
        <v>0.2370277872275782</v>
      </c>
      <c r="L52" s="22">
        <f t="shared" si="18"/>
        <v>173973.92739939556</v>
      </c>
      <c r="M52" s="5">
        <f>scrimecost*Meta!O49</f>
        <v>182.18199999999999</v>
      </c>
      <c r="N52" s="5">
        <f>L52-Grade14!L52</f>
        <v>1633.9764258835057</v>
      </c>
      <c r="O52" s="5">
        <f>Grade14!M52-M52</f>
        <v>1.4560000000000173</v>
      </c>
      <c r="P52" s="22">
        <f t="shared" si="12"/>
        <v>143.37196514031032</v>
      </c>
      <c r="Q52" s="22"/>
      <c r="R52" s="22"/>
      <c r="S52" s="22">
        <f t="shared" si="19"/>
        <v>1271.3262433404791</v>
      </c>
      <c r="T52" s="22">
        <f t="shared" si="20"/>
        <v>2674.0602440442863</v>
      </c>
    </row>
    <row r="53" spans="1:20" x14ac:dyDescent="0.2">
      <c r="A53" s="5">
        <v>62</v>
      </c>
      <c r="B53" s="1">
        <f t="shared" si="13"/>
        <v>2.7521904343497163</v>
      </c>
      <c r="C53" s="5">
        <f t="shared" si="14"/>
        <v>92749.539482273161</v>
      </c>
      <c r="D53" s="5">
        <f t="shared" si="15"/>
        <v>89895.006521429052</v>
      </c>
      <c r="E53" s="5">
        <f t="shared" si="1"/>
        <v>80395.006521429052</v>
      </c>
      <c r="F53" s="5">
        <f t="shared" si="2"/>
        <v>31140.220281389491</v>
      </c>
      <c r="G53" s="5">
        <f t="shared" si="3"/>
        <v>58754.786240039561</v>
      </c>
      <c r="H53" s="22">
        <f t="shared" si="16"/>
        <v>40322.583875694632</v>
      </c>
      <c r="I53" s="5">
        <f t="shared" si="17"/>
        <v>97585.434512333493</v>
      </c>
      <c r="J53" s="26">
        <f t="shared" si="5"/>
        <v>0.23849698640990979</v>
      </c>
      <c r="L53" s="22">
        <f t="shared" si="18"/>
        <v>178323.27558438046</v>
      </c>
      <c r="M53" s="5">
        <f>scrimecost*Meta!O50</f>
        <v>182.18199999999999</v>
      </c>
      <c r="N53" s="5">
        <f>L53-Grade14!L53</f>
        <v>1674.8258365306247</v>
      </c>
      <c r="O53" s="5">
        <f>Grade14!M53-M53</f>
        <v>1.4560000000000173</v>
      </c>
      <c r="P53" s="22">
        <f t="shared" si="12"/>
        <v>147.25069150085588</v>
      </c>
      <c r="Q53" s="22"/>
      <c r="R53" s="22"/>
      <c r="S53" s="22">
        <f t="shared" si="19"/>
        <v>1303.3423980145431</v>
      </c>
      <c r="T53" s="22">
        <f t="shared" si="20"/>
        <v>2791.5708451442856</v>
      </c>
    </row>
    <row r="54" spans="1:20" x14ac:dyDescent="0.2">
      <c r="A54" s="5">
        <v>63</v>
      </c>
      <c r="B54" s="1">
        <f t="shared" si="13"/>
        <v>2.8209951952084591</v>
      </c>
      <c r="C54" s="5">
        <f t="shared" si="14"/>
        <v>95068.277969329996</v>
      </c>
      <c r="D54" s="5">
        <f t="shared" si="15"/>
        <v>92127.951684464773</v>
      </c>
      <c r="E54" s="5">
        <f t="shared" si="1"/>
        <v>82627.951684464773</v>
      </c>
      <c r="F54" s="5">
        <f t="shared" si="2"/>
        <v>32092.571393424223</v>
      </c>
      <c r="G54" s="5">
        <f t="shared" si="3"/>
        <v>60035.38029104055</v>
      </c>
      <c r="H54" s="22">
        <f t="shared" si="16"/>
        <v>41330.648472586989</v>
      </c>
      <c r="I54" s="5">
        <f t="shared" si="17"/>
        <v>99836.794770141816</v>
      </c>
      <c r="J54" s="26">
        <f t="shared" si="5"/>
        <v>0.23993035146584307</v>
      </c>
      <c r="L54" s="22">
        <f t="shared" si="18"/>
        <v>182781.35747398995</v>
      </c>
      <c r="M54" s="5">
        <f>scrimecost*Meta!O51</f>
        <v>182.18199999999999</v>
      </c>
      <c r="N54" s="5">
        <f>L54-Grade14!L54</f>
        <v>1716.6964824438328</v>
      </c>
      <c r="O54" s="5">
        <f>Grade14!M54-M54</f>
        <v>1.4560000000000173</v>
      </c>
      <c r="P54" s="22">
        <f t="shared" si="12"/>
        <v>151.22638602041508</v>
      </c>
      <c r="Q54" s="22"/>
      <c r="R54" s="22"/>
      <c r="S54" s="22">
        <f t="shared" si="19"/>
        <v>1336.1589565553966</v>
      </c>
      <c r="T54" s="22">
        <f t="shared" si="20"/>
        <v>2914.2326090166903</v>
      </c>
    </row>
    <row r="55" spans="1:20" x14ac:dyDescent="0.2">
      <c r="A55" s="5">
        <v>64</v>
      </c>
      <c r="B55" s="1">
        <f t="shared" si="13"/>
        <v>2.8915200750886707</v>
      </c>
      <c r="C55" s="5">
        <f t="shared" si="14"/>
        <v>97444.984918563263</v>
      </c>
      <c r="D55" s="5">
        <f t="shared" si="15"/>
        <v>94416.720476576418</v>
      </c>
      <c r="E55" s="5">
        <f t="shared" si="1"/>
        <v>84916.720476576418</v>
      </c>
      <c r="F55" s="5">
        <f t="shared" si="2"/>
        <v>33108.232897557136</v>
      </c>
      <c r="G55" s="5">
        <f t="shared" si="3"/>
        <v>61308.487579019282</v>
      </c>
      <c r="H55" s="22">
        <f t="shared" si="16"/>
        <v>42363.914684401672</v>
      </c>
      <c r="I55" s="5">
        <f t="shared" si="17"/>
        <v>102104.93742009808</v>
      </c>
      <c r="J55" s="26">
        <f t="shared" si="5"/>
        <v>0.24162215209505009</v>
      </c>
      <c r="L55" s="22">
        <f t="shared" si="18"/>
        <v>187350.89141083974</v>
      </c>
      <c r="M55" s="5">
        <f>scrimecost*Meta!O52</f>
        <v>182.18199999999999</v>
      </c>
      <c r="N55" s="5">
        <f>L55-Grade14!L55</f>
        <v>1759.6138945050188</v>
      </c>
      <c r="O55" s="5">
        <f>Grade14!M55-M55</f>
        <v>1.4560000000000173</v>
      </c>
      <c r="P55" s="22">
        <f t="shared" si="12"/>
        <v>155.46637673883953</v>
      </c>
      <c r="Q55" s="22"/>
      <c r="R55" s="22"/>
      <c r="S55" s="22">
        <f t="shared" si="19"/>
        <v>1369.9448372236709</v>
      </c>
      <c r="T55" s="22">
        <f t="shared" si="20"/>
        <v>3042.6018274928801</v>
      </c>
    </row>
    <row r="56" spans="1:20" x14ac:dyDescent="0.2">
      <c r="A56" s="5">
        <v>65</v>
      </c>
      <c r="B56" s="1">
        <f t="shared" si="13"/>
        <v>2.9638080769658868</v>
      </c>
      <c r="C56" s="5">
        <f t="shared" si="14"/>
        <v>99881.109541527316</v>
      </c>
      <c r="D56" s="5">
        <f t="shared" si="15"/>
        <v>96762.708488490796</v>
      </c>
      <c r="E56" s="5">
        <f t="shared" si="1"/>
        <v>87262.708488490796</v>
      </c>
      <c r="F56" s="5">
        <f t="shared" si="2"/>
        <v>34179.176424996054</v>
      </c>
      <c r="G56" s="5">
        <f t="shared" si="3"/>
        <v>62583.532063494742</v>
      </c>
      <c r="H56" s="22">
        <f t="shared" si="16"/>
        <v>43423.012551511703</v>
      </c>
      <c r="I56" s="5">
        <f t="shared" si="17"/>
        <v>104399.89315060052</v>
      </c>
      <c r="J56" s="26">
        <f t="shared" si="5"/>
        <v>0.24348928408240952</v>
      </c>
      <c r="L56" s="22">
        <f t="shared" si="18"/>
        <v>192034.66369611066</v>
      </c>
      <c r="M56" s="5">
        <f>scrimecost*Meta!O53</f>
        <v>55.055</v>
      </c>
      <c r="N56" s="5">
        <f>L56-Grade14!L56</f>
        <v>1803.6042418675497</v>
      </c>
      <c r="O56" s="5">
        <f>Grade14!M56-M56</f>
        <v>0.43999999999999773</v>
      </c>
      <c r="P56" s="22">
        <f t="shared" si="12"/>
        <v>159.93714834711693</v>
      </c>
      <c r="Q56" s="22"/>
      <c r="R56" s="22"/>
      <c r="S56" s="22">
        <f t="shared" si="19"/>
        <v>1403.7705942615919</v>
      </c>
      <c r="T56" s="22">
        <f t="shared" si="20"/>
        <v>3174.7836713656043</v>
      </c>
    </row>
    <row r="57" spans="1:20" x14ac:dyDescent="0.2">
      <c r="A57" s="5">
        <v>66</v>
      </c>
      <c r="C57" s="5"/>
      <c r="H57" s="21"/>
      <c r="I57" s="5"/>
      <c r="M57" s="5">
        <f>scrimecost*Meta!O54</f>
        <v>55.055</v>
      </c>
      <c r="N57" s="5">
        <f>L57-Grade14!L57</f>
        <v>0</v>
      </c>
      <c r="O57" s="5">
        <f>Grade14!M57-M57</f>
        <v>0.43999999999999773</v>
      </c>
      <c r="Q57" s="22"/>
      <c r="R57" s="22"/>
      <c r="S57" s="22">
        <f t="shared" si="19"/>
        <v>0.39731999999999795</v>
      </c>
      <c r="T57" s="22">
        <f t="shared" si="20"/>
        <v>0.91502799115117595</v>
      </c>
    </row>
    <row r="58" spans="1:20" x14ac:dyDescent="0.2">
      <c r="A58" s="5">
        <v>67</v>
      </c>
      <c r="C58" s="5"/>
      <c r="H58" s="21"/>
      <c r="I58" s="5"/>
      <c r="M58" s="5">
        <f>scrimecost*Meta!O55</f>
        <v>55.055</v>
      </c>
      <c r="N58" s="5">
        <f>L58-Grade14!L58</f>
        <v>0</v>
      </c>
      <c r="O58" s="5">
        <f>Grade14!M58-M58</f>
        <v>0.43999999999999773</v>
      </c>
      <c r="Q58" s="22"/>
      <c r="R58" s="22"/>
      <c r="S58" s="22">
        <f t="shared" si="19"/>
        <v>0.39731999999999795</v>
      </c>
      <c r="T58" s="22">
        <f t="shared" si="20"/>
        <v>0.93177345764672659</v>
      </c>
    </row>
    <row r="59" spans="1:20" x14ac:dyDescent="0.2">
      <c r="A59" s="5">
        <v>68</v>
      </c>
      <c r="H59" s="21"/>
      <c r="I59" s="5"/>
      <c r="M59" s="5">
        <f>scrimecost*Meta!O56</f>
        <v>55.055</v>
      </c>
      <c r="N59" s="5">
        <f>L59-Grade14!L59</f>
        <v>0</v>
      </c>
      <c r="O59" s="5">
        <f>Grade14!M59-M59</f>
        <v>0.43999999999999773</v>
      </c>
      <c r="Q59" s="22"/>
      <c r="R59" s="22"/>
      <c r="S59" s="22">
        <f t="shared" si="19"/>
        <v>0.39731999999999795</v>
      </c>
      <c r="T59" s="22">
        <f t="shared" si="20"/>
        <v>0.94882537449228299</v>
      </c>
    </row>
    <row r="60" spans="1:20" x14ac:dyDescent="0.2">
      <c r="A60" s="5">
        <v>69</v>
      </c>
      <c r="H60" s="21"/>
      <c r="I60" s="5"/>
      <c r="M60" s="5">
        <f>scrimecost*Meta!O57</f>
        <v>55.055</v>
      </c>
      <c r="N60" s="5">
        <f>L60-Grade14!L60</f>
        <v>0</v>
      </c>
      <c r="O60" s="5">
        <f>Grade14!M60-M60</f>
        <v>0.43999999999999773</v>
      </c>
      <c r="Q60" s="22"/>
      <c r="R60" s="22"/>
      <c r="S60" s="22">
        <f t="shared" si="19"/>
        <v>0.39731999999999795</v>
      </c>
      <c r="T60" s="22">
        <f t="shared" si="20"/>
        <v>0.96618934988138516</v>
      </c>
    </row>
    <row r="61" spans="1:20" x14ac:dyDescent="0.2">
      <c r="A61" s="5">
        <v>70</v>
      </c>
      <c r="H61" s="21"/>
      <c r="I61" s="5"/>
      <c r="M61" s="5">
        <f>scrimecost*Meta!O58</f>
        <v>55.055</v>
      </c>
      <c r="N61" s="5">
        <f>L61-Grade14!L61</f>
        <v>0</v>
      </c>
      <c r="O61" s="5">
        <f>Grade14!M61-M61</f>
        <v>0.43999999999999773</v>
      </c>
      <c r="Q61" s="22"/>
      <c r="R61" s="22"/>
      <c r="S61" s="22">
        <f t="shared" si="19"/>
        <v>0.39731999999999795</v>
      </c>
      <c r="T61" s="22">
        <f t="shared" si="20"/>
        <v>0.98387109464029865</v>
      </c>
    </row>
    <row r="62" spans="1:20" x14ac:dyDescent="0.2">
      <c r="A62" s="5">
        <v>71</v>
      </c>
      <c r="H62" s="21"/>
      <c r="I62" s="5"/>
      <c r="M62" s="5">
        <f>scrimecost*Meta!O59</f>
        <v>55.055</v>
      </c>
      <c r="N62" s="5">
        <f>L62-Grade14!L62</f>
        <v>0</v>
      </c>
      <c r="O62" s="5">
        <f>Grade14!M62-M62</f>
        <v>0.43999999999999773</v>
      </c>
      <c r="Q62" s="22"/>
      <c r="R62" s="22"/>
      <c r="S62" s="22">
        <f t="shared" si="19"/>
        <v>0.39731999999999795</v>
      </c>
      <c r="T62" s="22">
        <f t="shared" si="20"/>
        <v>1.0018764241062446</v>
      </c>
    </row>
    <row r="63" spans="1:20" x14ac:dyDescent="0.2">
      <c r="A63" s="5">
        <v>72</v>
      </c>
      <c r="H63" s="21"/>
      <c r="M63" s="5">
        <f>scrimecost*Meta!O60</f>
        <v>55.055</v>
      </c>
      <c r="N63" s="5">
        <f>L63-Grade14!L63</f>
        <v>0</v>
      </c>
      <c r="O63" s="5">
        <f>Grade14!M63-M63</f>
        <v>0.43999999999999773</v>
      </c>
      <c r="Q63" s="22"/>
      <c r="R63" s="22"/>
      <c r="S63" s="22">
        <f t="shared" si="19"/>
        <v>0.39731999999999795</v>
      </c>
      <c r="T63" s="22">
        <f t="shared" si="20"/>
        <v>1.0202112600400026</v>
      </c>
    </row>
    <row r="64" spans="1:20" x14ac:dyDescent="0.2">
      <c r="A64" s="5">
        <v>73</v>
      </c>
      <c r="H64" s="21"/>
      <c r="M64" s="5">
        <f>scrimecost*Meta!O61</f>
        <v>55.055</v>
      </c>
      <c r="N64" s="5">
        <f>L64-Grade14!L64</f>
        <v>0</v>
      </c>
      <c r="O64" s="5">
        <f>Grade14!M64-M64</f>
        <v>0.43999999999999773</v>
      </c>
      <c r="Q64" s="22"/>
      <c r="R64" s="22"/>
      <c r="S64" s="22">
        <f t="shared" si="19"/>
        <v>0.39731999999999795</v>
      </c>
      <c r="T64" s="22">
        <f t="shared" si="20"/>
        <v>1.0388816325735144</v>
      </c>
    </row>
    <row r="65" spans="1:20" x14ac:dyDescent="0.2">
      <c r="A65" s="5">
        <v>74</v>
      </c>
      <c r="H65" s="21"/>
      <c r="M65" s="5">
        <f>scrimecost*Meta!O62</f>
        <v>55.055</v>
      </c>
      <c r="N65" s="5">
        <f>L65-Grade14!L65</f>
        <v>0</v>
      </c>
      <c r="O65" s="5">
        <f>Grade14!M65-M65</f>
        <v>0.43999999999999773</v>
      </c>
      <c r="Q65" s="22"/>
      <c r="R65" s="22"/>
      <c r="S65" s="22">
        <f t="shared" si="19"/>
        <v>0.39731999999999795</v>
      </c>
      <c r="T65" s="22">
        <f t="shared" si="20"/>
        <v>1.0578936821931291</v>
      </c>
    </row>
    <row r="66" spans="1:20" x14ac:dyDescent="0.2">
      <c r="A66" s="5">
        <v>75</v>
      </c>
      <c r="H66" s="21"/>
      <c r="M66" s="5">
        <f>scrimecost*Meta!O63</f>
        <v>55.055</v>
      </c>
      <c r="N66" s="5">
        <f>L66-Grade14!L66</f>
        <v>0</v>
      </c>
      <c r="O66" s="5">
        <f>Grade14!M66-M66</f>
        <v>0.43999999999999773</v>
      </c>
      <c r="Q66" s="22"/>
      <c r="R66" s="22"/>
      <c r="S66" s="22">
        <f t="shared" si="19"/>
        <v>0.39731999999999795</v>
      </c>
      <c r="T66" s="22">
        <f t="shared" si="20"/>
        <v>1.0772536617591453</v>
      </c>
    </row>
    <row r="67" spans="1:20" x14ac:dyDescent="0.2">
      <c r="A67" s="5">
        <v>76</v>
      </c>
      <c r="H67" s="21"/>
      <c r="M67" s="5">
        <f>scrimecost*Meta!O64</f>
        <v>55.055</v>
      </c>
      <c r="N67" s="5">
        <f>L67-Grade14!L67</f>
        <v>0</v>
      </c>
      <c r="O67" s="5">
        <f>Grade14!M67-M67</f>
        <v>0.43999999999999773</v>
      </c>
      <c r="Q67" s="22"/>
      <c r="R67" s="22"/>
      <c r="S67" s="22">
        <f t="shared" si="19"/>
        <v>0.39731999999999795</v>
      </c>
      <c r="T67" s="22">
        <f t="shared" si="20"/>
        <v>1.0969679385623086</v>
      </c>
    </row>
    <row r="68" spans="1:20" x14ac:dyDescent="0.2">
      <c r="A68" s="5">
        <v>77</v>
      </c>
      <c r="H68" s="21"/>
      <c r="M68" s="5">
        <f>scrimecost*Meta!O65</f>
        <v>55.055</v>
      </c>
      <c r="N68" s="5">
        <f>L68-Grade14!L68</f>
        <v>0</v>
      </c>
      <c r="O68" s="5">
        <f>Grade14!M68-M68</f>
        <v>0.43999999999999773</v>
      </c>
      <c r="Q68" s="22"/>
      <c r="R68" s="22"/>
      <c r="S68" s="22">
        <f t="shared" si="19"/>
        <v>0.39731999999999795</v>
      </c>
      <c r="T68" s="22">
        <f t="shared" si="20"/>
        <v>1.1170429964179467</v>
      </c>
    </row>
    <row r="69" spans="1:20" x14ac:dyDescent="0.2">
      <c r="A69" s="5">
        <v>78</v>
      </c>
      <c r="H69" s="21"/>
      <c r="M69" s="5">
        <f>scrimecost*Meta!O66</f>
        <v>55.055</v>
      </c>
      <c r="N69" s="5">
        <f>L69-Grade14!L69</f>
        <v>0</v>
      </c>
      <c r="O69" s="5">
        <f>Grade14!M69-M69</f>
        <v>0.43999999999999773</v>
      </c>
      <c r="Q69" s="22"/>
      <c r="R69" s="22"/>
      <c r="S69" s="22">
        <f t="shared" si="19"/>
        <v>0.39731999999999795</v>
      </c>
      <c r="T69" s="22">
        <f t="shared" si="20"/>
        <v>1.1374854377984263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2.6415516440891906E-9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12" sqref="S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Meta!A10+6</f>
        <v>22</v>
      </c>
      <c r="C2" s="7">
        <f>Meta!B10</f>
        <v>77353</v>
      </c>
      <c r="D2" s="7">
        <f>Meta!C10</f>
        <v>32646</v>
      </c>
      <c r="E2" s="1">
        <f>Meta!D10</f>
        <v>0.03</v>
      </c>
      <c r="F2" s="1">
        <f>Meta!F10</f>
        <v>0.77700000000000002</v>
      </c>
      <c r="G2" s="1">
        <f>Meta!I10</f>
        <v>1.7852800699689915</v>
      </c>
      <c r="H2" s="1">
        <f>Meta!E10</f>
        <v>0.90300000000000002</v>
      </c>
      <c r="I2" s="13"/>
      <c r="J2" s="1">
        <f>Meta!X9</f>
        <v>0.77300000000000002</v>
      </c>
      <c r="K2" s="1">
        <f>Meta!D9</f>
        <v>3.6999999999999998E-2</v>
      </c>
      <c r="L2" s="29"/>
      <c r="N2" s="22">
        <f>Meta!T10</f>
        <v>87164</v>
      </c>
      <c r="O2" s="22">
        <f>Meta!U10</f>
        <v>35968</v>
      </c>
      <c r="P2" s="1">
        <f>Meta!V10</f>
        <v>2.8000000000000001E-2</v>
      </c>
      <c r="Q2" s="1">
        <f>Meta!X10</f>
        <v>0.77700000000000002</v>
      </c>
      <c r="R2" s="22">
        <f>Meta!W10</f>
        <v>994</v>
      </c>
      <c r="T2" s="12">
        <f>IRR(S5:S69)+1</f>
        <v>0.98182408340386262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B12" s="1">
        <v>1</v>
      </c>
      <c r="C12" s="5">
        <f>0.1*Grade15!C12</f>
        <v>3370.0262280065626</v>
      </c>
      <c r="D12" s="5">
        <f t="shared" ref="D12:D36" si="0">IF(A12&lt;startage,1,0)*(C12*(1-initialunempprob))+IF(A12=startage,1,0)*(C12*(1-unempprob))+IF(A12&gt;startage,1,0)*(C12*(1-unempprob)+unempprob*300*52)</f>
        <v>3245.3352575703198</v>
      </c>
      <c r="E12" s="5">
        <f t="shared" ref="E12:E56" si="1">IF(D12-9500&gt;0,1,0)*(D12-9500)</f>
        <v>0</v>
      </c>
      <c r="F12" s="5">
        <f t="shared" ref="F12:F56" si="2">IF(E12&lt;=8500,1,0)*(0.1*E12+0.1*E12+0.0765*D12)+IF(AND(E12&gt;8500,E12&lt;=34500),1,0)*(850+0.15*(E12-8500)+0.1*E12+0.0765*D12)+IF(AND(E12&gt;34500,E12&lt;=83600),1,0)*(4750+0.25*(E12-34500)+0.1*E12+0.0765*D12)+IF(AND(E12&gt;83600,E12&lt;=174400,D12&lt;=106800),1,0)*(17025+0.28*(E12-83600)+0.1*E12+0.0765*D12)+IF(AND(E12&gt;83600,E12&lt;=174400,D12&gt;106800),1,0)*(17025+0.28*(E12-83600)+0.1*E12+8170.2+0.0145*(D12-106800))+IF(AND(E12&gt;174400,E12&lt;=379150),1,0)*(42449+0.33*(E12-174400)+0.1*E12+8170.2+0.0145*(D12-106800))+IF(E12&gt;379150,1,0)*(110016.5+0.35*(E12-379150)+0.1*E12+8170.2+0.0145*(D12-106800))</f>
        <v>248.26814720412946</v>
      </c>
      <c r="G12" s="5">
        <f t="shared" ref="G12:G56" si="3">D12-F12</f>
        <v>2997.0671103661903</v>
      </c>
      <c r="H12" s="22">
        <f>0.1*Grade15!H12</f>
        <v>1465.1087865299551</v>
      </c>
      <c r="I12" s="5">
        <f t="shared" ref="I12:I36" si="4">G12+IF(A12&lt;startage,1,0)*(H12*(1-initialunempprob))+IF(A12&gt;=startage,1,0)*(H12*(1-unempprob))</f>
        <v>4407.9668717945369</v>
      </c>
      <c r="J12" s="26">
        <f t="shared" ref="J12:J56" si="5">(F12-(IF(A12&gt;startage,1,0)*(unempprob*300*52)))/(IF(A12&lt;startage,1,0)*((C12+H12)*(1-initialunempprob))+IF(A12&gt;=startage,1,0)*((C12+H12)*(1-unempprob)))</f>
        <v>5.3319505177709024E-2</v>
      </c>
      <c r="L12" s="22">
        <f>0.1*Grade15!L12</f>
        <v>6479.321828851369</v>
      </c>
      <c r="M12" s="5">
        <f>scrimecost*Meta!O9</f>
        <v>3045.616</v>
      </c>
      <c r="N12" s="5">
        <f>L12-Grade15!L12</f>
        <v>-58313.896459662319</v>
      </c>
      <c r="O12" s="5"/>
      <c r="P12" s="22"/>
      <c r="Q12" s="22">
        <f>0.05*feel*Grade15!G12</f>
        <v>345.20266143630545</v>
      </c>
      <c r="R12" s="22">
        <f>coltuition</f>
        <v>8279</v>
      </c>
      <c r="S12" s="22">
        <f t="shared" ref="S12:S43" si="6">IF(A12&lt;startage,1,0)*(N12-Q12-R12)+IF(A12&gt;=startage,1,0)*completionprob*(N12*spart+O12+P12)</f>
        <v>-66938.099121098625</v>
      </c>
      <c r="T12" s="22">
        <f t="shared" ref="T12:T43" si="7">S12/sreturn^(A12-startage+1)</f>
        <v>-66938.099121098625</v>
      </c>
    </row>
    <row r="13" spans="1:20" x14ac:dyDescent="0.2">
      <c r="A13" s="5">
        <v>22</v>
      </c>
      <c r="B13" s="1">
        <f t="shared" ref="B13:B36" si="8">(1+experiencepremium)^(A13-startage)</f>
        <v>1</v>
      </c>
      <c r="C13" s="5">
        <f t="shared" ref="C13:C36" si="9">pretaxincome*B13/expnorm</f>
        <v>43328.215724350492</v>
      </c>
      <c r="D13" s="5">
        <f t="shared" si="0"/>
        <v>42028.369252619974</v>
      </c>
      <c r="E13" s="5">
        <f t="shared" si="1"/>
        <v>32528.369252619974</v>
      </c>
      <c r="F13" s="5">
        <f t="shared" si="2"/>
        <v>10922.262560980422</v>
      </c>
      <c r="G13" s="5">
        <f t="shared" si="3"/>
        <v>31106.10669163955</v>
      </c>
      <c r="H13" s="22">
        <f t="shared" ref="H13:H36" si="10">benefits*B13/expnorm</f>
        <v>18286.206488916345</v>
      </c>
      <c r="I13" s="5">
        <f t="shared" si="4"/>
        <v>48843.726985888403</v>
      </c>
      <c r="J13" s="26">
        <f t="shared" si="5"/>
        <v>0.18275046801350325</v>
      </c>
      <c r="L13" s="22">
        <f t="shared" ref="L13:L36" si="11">(sincome+sbenefits)*(1-sunemp)*B13/expnorm</f>
        <v>67039.511622441845</v>
      </c>
      <c r="M13" s="5">
        <f>scrimecost*Meta!O10</f>
        <v>2791.152</v>
      </c>
      <c r="N13" s="5">
        <f>L13-Grade15!L13</f>
        <v>626.46287671533355</v>
      </c>
      <c r="O13" s="5">
        <f>Grade15!M13-M13</f>
        <v>19.655999999999949</v>
      </c>
      <c r="P13" s="22">
        <f t="shared" ref="P13:P56" si="12">(spart-initialspart)*(L13*J13+nptrans)</f>
        <v>75.222008497591816</v>
      </c>
      <c r="Q13" s="22"/>
      <c r="R13" s="22"/>
      <c r="S13" s="22">
        <f t="shared" si="6"/>
        <v>525.22061632598161</v>
      </c>
      <c r="T13" s="22">
        <f t="shared" si="7"/>
        <v>534.94370855632985</v>
      </c>
    </row>
    <row r="14" spans="1:20" x14ac:dyDescent="0.2">
      <c r="A14" s="5">
        <v>23</v>
      </c>
      <c r="B14" s="1">
        <f t="shared" si="8"/>
        <v>1.0249999999999999</v>
      </c>
      <c r="C14" s="5">
        <f t="shared" si="9"/>
        <v>44411.421117459249</v>
      </c>
      <c r="D14" s="5">
        <f t="shared" si="0"/>
        <v>43547.078483935467</v>
      </c>
      <c r="E14" s="5">
        <f t="shared" si="1"/>
        <v>34047.078483935467</v>
      </c>
      <c r="F14" s="5">
        <f t="shared" si="2"/>
        <v>11418.121125004931</v>
      </c>
      <c r="G14" s="5">
        <f t="shared" si="3"/>
        <v>32128.957358930536</v>
      </c>
      <c r="H14" s="22">
        <f t="shared" si="10"/>
        <v>18743.36165113925</v>
      </c>
      <c r="I14" s="5">
        <f t="shared" si="4"/>
        <v>50310.018160535605</v>
      </c>
      <c r="J14" s="26">
        <f t="shared" si="5"/>
        <v>0.17874789794331286</v>
      </c>
      <c r="L14" s="22">
        <f t="shared" si="11"/>
        <v>68715.499413002894</v>
      </c>
      <c r="M14" s="5">
        <f>scrimecost*Meta!O11</f>
        <v>2608.2560000000003</v>
      </c>
      <c r="N14" s="5">
        <f>L14-Grade15!L14</f>
        <v>642.12444863321434</v>
      </c>
      <c r="O14" s="5">
        <f>Grade15!M14-M14</f>
        <v>18.367999999999938</v>
      </c>
      <c r="P14" s="22">
        <f t="shared" si="12"/>
        <v>75.347004304796926</v>
      </c>
      <c r="Q14" s="22"/>
      <c r="R14" s="22"/>
      <c r="S14" s="22">
        <f t="shared" si="6"/>
        <v>535.15906790620238</v>
      </c>
      <c r="T14" s="22">
        <f t="shared" si="7"/>
        <v>555.15662520908654</v>
      </c>
    </row>
    <row r="15" spans="1:20" x14ac:dyDescent="0.2">
      <c r="A15" s="5">
        <v>24</v>
      </c>
      <c r="B15" s="1">
        <f t="shared" si="8"/>
        <v>1.0506249999999999</v>
      </c>
      <c r="C15" s="5">
        <f t="shared" si="9"/>
        <v>45521.70664539573</v>
      </c>
      <c r="D15" s="5">
        <f t="shared" si="0"/>
        <v>44624.055446033861</v>
      </c>
      <c r="E15" s="5">
        <f t="shared" si="1"/>
        <v>35124.055446033861</v>
      </c>
      <c r="F15" s="5">
        <f t="shared" si="2"/>
        <v>11832.159647733441</v>
      </c>
      <c r="G15" s="5">
        <f t="shared" si="3"/>
        <v>32791.895798300422</v>
      </c>
      <c r="H15" s="22">
        <f t="shared" si="10"/>
        <v>19211.945692417736</v>
      </c>
      <c r="I15" s="5">
        <f t="shared" si="4"/>
        <v>51427.483119945624</v>
      </c>
      <c r="J15" s="26">
        <f t="shared" si="5"/>
        <v>0.18098204071168131</v>
      </c>
      <c r="L15" s="22">
        <f t="shared" si="11"/>
        <v>70433.386898327968</v>
      </c>
      <c r="M15" s="5">
        <f>scrimecost*Meta!O12</f>
        <v>2491.9580000000001</v>
      </c>
      <c r="N15" s="5">
        <f>L15-Grade15!L15</f>
        <v>658.17755984903488</v>
      </c>
      <c r="O15" s="5">
        <f>Grade15!M15-M15</f>
        <v>17.548999999999978</v>
      </c>
      <c r="P15" s="22">
        <f t="shared" si="12"/>
        <v>77.204712380379249</v>
      </c>
      <c r="Q15" s="22"/>
      <c r="R15" s="22"/>
      <c r="S15" s="22">
        <f t="shared" si="6"/>
        <v>547.36038177392072</v>
      </c>
      <c r="T15" s="22">
        <f t="shared" si="7"/>
        <v>578.32546714805164</v>
      </c>
    </row>
    <row r="16" spans="1:20" x14ac:dyDescent="0.2">
      <c r="A16" s="5">
        <v>25</v>
      </c>
      <c r="B16" s="1">
        <f t="shared" si="8"/>
        <v>1.0768906249999999</v>
      </c>
      <c r="C16" s="5">
        <f t="shared" si="9"/>
        <v>46659.749311530621</v>
      </c>
      <c r="D16" s="5">
        <f t="shared" si="0"/>
        <v>45727.956832184704</v>
      </c>
      <c r="E16" s="5">
        <f t="shared" si="1"/>
        <v>36227.956832184704</v>
      </c>
      <c r="F16" s="5">
        <f t="shared" si="2"/>
        <v>12302.973588926776</v>
      </c>
      <c r="G16" s="5">
        <f t="shared" si="3"/>
        <v>33424.983243257928</v>
      </c>
      <c r="H16" s="22">
        <f t="shared" si="10"/>
        <v>19692.244334728177</v>
      </c>
      <c r="I16" s="5">
        <f t="shared" si="4"/>
        <v>52526.460247944255</v>
      </c>
      <c r="J16" s="26">
        <f t="shared" si="5"/>
        <v>0.18388300078776088</v>
      </c>
      <c r="L16" s="22">
        <f t="shared" si="11"/>
        <v>72194.221570786161</v>
      </c>
      <c r="M16" s="5">
        <f>scrimecost*Meta!O13</f>
        <v>2092.37</v>
      </c>
      <c r="N16" s="5">
        <f>L16-Grade15!L16</f>
        <v>674.63199884527421</v>
      </c>
      <c r="O16" s="5">
        <f>Grade15!M16-M16</f>
        <v>14.735000000000127</v>
      </c>
      <c r="P16" s="22">
        <f t="shared" si="12"/>
        <v>79.317160407890697</v>
      </c>
      <c r="Q16" s="22"/>
      <c r="R16" s="22"/>
      <c r="S16" s="22">
        <f t="shared" si="6"/>
        <v>558.27182483013405</v>
      </c>
      <c r="T16" s="22">
        <f t="shared" si="7"/>
        <v>600.77380319005874</v>
      </c>
    </row>
    <row r="17" spans="1:20" x14ac:dyDescent="0.2">
      <c r="A17" s="5">
        <v>26</v>
      </c>
      <c r="B17" s="1">
        <f t="shared" si="8"/>
        <v>1.1038128906249998</v>
      </c>
      <c r="C17" s="5">
        <f t="shared" si="9"/>
        <v>47826.243044318879</v>
      </c>
      <c r="D17" s="5">
        <f t="shared" si="0"/>
        <v>46859.455752989314</v>
      </c>
      <c r="E17" s="5">
        <f t="shared" si="1"/>
        <v>37359.455752989314</v>
      </c>
      <c r="F17" s="5">
        <f t="shared" si="2"/>
        <v>12785.557878649943</v>
      </c>
      <c r="G17" s="5">
        <f t="shared" si="3"/>
        <v>34073.897874339367</v>
      </c>
      <c r="H17" s="22">
        <f t="shared" si="10"/>
        <v>20184.550443096381</v>
      </c>
      <c r="I17" s="5">
        <f t="shared" si="4"/>
        <v>53652.911804142859</v>
      </c>
      <c r="J17" s="26">
        <f t="shared" si="5"/>
        <v>0.18671320574003364</v>
      </c>
      <c r="L17" s="22">
        <f t="shared" si="11"/>
        <v>73999.07711005582</v>
      </c>
      <c r="M17" s="5">
        <f>scrimecost*Meta!O14</f>
        <v>2092.37</v>
      </c>
      <c r="N17" s="5">
        <f>L17-Grade15!L17</f>
        <v>691.49779881641734</v>
      </c>
      <c r="O17" s="5">
        <f>Grade15!M17-M17</f>
        <v>14.735000000000127</v>
      </c>
      <c r="P17" s="22">
        <f t="shared" si="12"/>
        <v>81.482419636089944</v>
      </c>
      <c r="Q17" s="22"/>
      <c r="R17" s="22"/>
      <c r="S17" s="22">
        <f t="shared" si="6"/>
        <v>572.06062201275108</v>
      </c>
      <c r="T17" s="22">
        <f t="shared" si="7"/>
        <v>627.00881990217317</v>
      </c>
    </row>
    <row r="18" spans="1:20" x14ac:dyDescent="0.2">
      <c r="A18" s="5">
        <v>27</v>
      </c>
      <c r="B18" s="1">
        <f t="shared" si="8"/>
        <v>1.1314082128906247</v>
      </c>
      <c r="C18" s="5">
        <f t="shared" si="9"/>
        <v>49021.899120426846</v>
      </c>
      <c r="D18" s="5">
        <f t="shared" si="0"/>
        <v>48019.242146814038</v>
      </c>
      <c r="E18" s="5">
        <f t="shared" si="1"/>
        <v>38519.242146814038</v>
      </c>
      <c r="F18" s="5">
        <f t="shared" si="2"/>
        <v>13280.206775616187</v>
      </c>
      <c r="G18" s="5">
        <f t="shared" si="3"/>
        <v>34739.035371197853</v>
      </c>
      <c r="H18" s="22">
        <f t="shared" si="10"/>
        <v>20689.164204173787</v>
      </c>
      <c r="I18" s="5">
        <f t="shared" si="4"/>
        <v>54807.524649246421</v>
      </c>
      <c r="J18" s="26">
        <f t="shared" si="5"/>
        <v>0.18947438130322652</v>
      </c>
      <c r="L18" s="22">
        <f t="shared" si="11"/>
        <v>75849.054037807204</v>
      </c>
      <c r="M18" s="5">
        <f>scrimecost*Meta!O15</f>
        <v>2092.37</v>
      </c>
      <c r="N18" s="5">
        <f>L18-Grade15!L18</f>
        <v>708.78524378681323</v>
      </c>
      <c r="O18" s="5">
        <f>Grade15!M18-M18</f>
        <v>14.735000000000127</v>
      </c>
      <c r="P18" s="22">
        <f t="shared" si="12"/>
        <v>83.701810344994144</v>
      </c>
      <c r="Q18" s="22"/>
      <c r="R18" s="22"/>
      <c r="S18" s="22">
        <f t="shared" si="6"/>
        <v>586.19413912491541</v>
      </c>
      <c r="T18" s="22">
        <f t="shared" si="7"/>
        <v>654.39411810190018</v>
      </c>
    </row>
    <row r="19" spans="1:20" x14ac:dyDescent="0.2">
      <c r="A19" s="5">
        <v>28</v>
      </c>
      <c r="B19" s="1">
        <f t="shared" si="8"/>
        <v>1.1596934182128902</v>
      </c>
      <c r="C19" s="5">
        <f t="shared" si="9"/>
        <v>50247.44659843752</v>
      </c>
      <c r="D19" s="5">
        <f t="shared" si="0"/>
        <v>49208.023200484393</v>
      </c>
      <c r="E19" s="5">
        <f t="shared" si="1"/>
        <v>39708.023200484393</v>
      </c>
      <c r="F19" s="5">
        <f t="shared" si="2"/>
        <v>13787.221895006594</v>
      </c>
      <c r="G19" s="5">
        <f t="shared" si="3"/>
        <v>35420.801305477798</v>
      </c>
      <c r="H19" s="22">
        <f t="shared" si="10"/>
        <v>21206.39330927813</v>
      </c>
      <c r="I19" s="5">
        <f t="shared" si="4"/>
        <v>55991.002815477579</v>
      </c>
      <c r="J19" s="26">
        <f t="shared" si="5"/>
        <v>0.19216821112097576</v>
      </c>
      <c r="L19" s="22">
        <f t="shared" si="11"/>
        <v>77745.280388752362</v>
      </c>
      <c r="M19" s="5">
        <f>scrimecost*Meta!O16</f>
        <v>2092.37</v>
      </c>
      <c r="N19" s="5">
        <f>L19-Grade15!L19</f>
        <v>726.50487488145882</v>
      </c>
      <c r="O19" s="5">
        <f>Grade15!M19-M19</f>
        <v>14.735000000000127</v>
      </c>
      <c r="P19" s="22">
        <f t="shared" si="12"/>
        <v>85.976685821620976</v>
      </c>
      <c r="Q19" s="22"/>
      <c r="R19" s="22"/>
      <c r="S19" s="22">
        <f t="shared" si="6"/>
        <v>600.68099416487667</v>
      </c>
      <c r="T19" s="22">
        <f t="shared" si="7"/>
        <v>682.98021855018635</v>
      </c>
    </row>
    <row r="20" spans="1:20" x14ac:dyDescent="0.2">
      <c r="A20" s="5">
        <v>29</v>
      </c>
      <c r="B20" s="1">
        <f t="shared" si="8"/>
        <v>1.1886857536682125</v>
      </c>
      <c r="C20" s="5">
        <f t="shared" si="9"/>
        <v>51503.632763398455</v>
      </c>
      <c r="D20" s="5">
        <f t="shared" si="0"/>
        <v>50426.5237804965</v>
      </c>
      <c r="E20" s="5">
        <f t="shared" si="1"/>
        <v>40926.5237804965</v>
      </c>
      <c r="F20" s="5">
        <f t="shared" si="2"/>
        <v>14306.912392381757</v>
      </c>
      <c r="G20" s="5">
        <f t="shared" si="3"/>
        <v>36119.611388114747</v>
      </c>
      <c r="H20" s="22">
        <f t="shared" si="10"/>
        <v>21736.553142010082</v>
      </c>
      <c r="I20" s="5">
        <f t="shared" si="4"/>
        <v>57204.067935864528</v>
      </c>
      <c r="J20" s="26">
        <f t="shared" si="5"/>
        <v>0.19479633777243838</v>
      </c>
      <c r="L20" s="22">
        <f t="shared" si="11"/>
        <v>79688.912398471177</v>
      </c>
      <c r="M20" s="5">
        <f>scrimecost*Meta!O17</f>
        <v>2092.37</v>
      </c>
      <c r="N20" s="5">
        <f>L20-Grade15!L20</f>
        <v>744.66749675350729</v>
      </c>
      <c r="O20" s="5">
        <f>Grade15!M20-M20</f>
        <v>14.735000000000127</v>
      </c>
      <c r="P20" s="22">
        <f t="shared" si="12"/>
        <v>88.308433185163452</v>
      </c>
      <c r="Q20" s="22"/>
      <c r="R20" s="22"/>
      <c r="S20" s="22">
        <f t="shared" si="6"/>
        <v>615.53002058086281</v>
      </c>
      <c r="T20" s="22">
        <f t="shared" si="7"/>
        <v>712.81986250066848</v>
      </c>
    </row>
    <row r="21" spans="1:20" x14ac:dyDescent="0.2">
      <c r="A21" s="5">
        <v>30</v>
      </c>
      <c r="B21" s="1">
        <f t="shared" si="8"/>
        <v>1.2184028975099177</v>
      </c>
      <c r="C21" s="5">
        <f t="shared" si="9"/>
        <v>52791.223582483413</v>
      </c>
      <c r="D21" s="5">
        <f t="shared" si="0"/>
        <v>51675.486875008908</v>
      </c>
      <c r="E21" s="5">
        <f t="shared" si="1"/>
        <v>42175.486875008908</v>
      </c>
      <c r="F21" s="5">
        <f t="shared" si="2"/>
        <v>14839.595152191298</v>
      </c>
      <c r="G21" s="5">
        <f t="shared" si="3"/>
        <v>36835.891722817614</v>
      </c>
      <c r="H21" s="22">
        <f t="shared" si="10"/>
        <v>22279.966970560334</v>
      </c>
      <c r="I21" s="5">
        <f t="shared" si="4"/>
        <v>58447.459684261135</v>
      </c>
      <c r="J21" s="26">
        <f t="shared" si="5"/>
        <v>0.19736036377386532</v>
      </c>
      <c r="L21" s="22">
        <f t="shared" si="11"/>
        <v>81681.135208432956</v>
      </c>
      <c r="M21" s="5">
        <f>scrimecost*Meta!O18</f>
        <v>1686.818</v>
      </c>
      <c r="N21" s="5">
        <f>L21-Grade15!L21</f>
        <v>763.28418417235662</v>
      </c>
      <c r="O21" s="5">
        <f>Grade15!M21-M21</f>
        <v>11.879000000000133</v>
      </c>
      <c r="P21" s="22">
        <f t="shared" si="12"/>
        <v>90.69847423279451</v>
      </c>
      <c r="Q21" s="22"/>
      <c r="R21" s="22"/>
      <c r="S21" s="22">
        <f t="shared" si="6"/>
        <v>628.17130465724836</v>
      </c>
      <c r="T21" s="22">
        <f t="shared" si="7"/>
        <v>740.92622408069769</v>
      </c>
    </row>
    <row r="22" spans="1:20" x14ac:dyDescent="0.2">
      <c r="A22" s="5">
        <v>31</v>
      </c>
      <c r="B22" s="1">
        <f t="shared" si="8"/>
        <v>1.2488629699476654</v>
      </c>
      <c r="C22" s="5">
        <f t="shared" si="9"/>
        <v>54111.004172045497</v>
      </c>
      <c r="D22" s="5">
        <f t="shared" si="0"/>
        <v>52955.674046884131</v>
      </c>
      <c r="E22" s="5">
        <f t="shared" si="1"/>
        <v>43455.674046884131</v>
      </c>
      <c r="F22" s="5">
        <f t="shared" si="2"/>
        <v>15385.59498099608</v>
      </c>
      <c r="G22" s="5">
        <f t="shared" si="3"/>
        <v>37570.079065888051</v>
      </c>
      <c r="H22" s="22">
        <f t="shared" si="10"/>
        <v>22836.966144824339</v>
      </c>
      <c r="I22" s="5">
        <f t="shared" si="4"/>
        <v>59721.936226367659</v>
      </c>
      <c r="J22" s="26">
        <f t="shared" si="5"/>
        <v>0.19986185255574529</v>
      </c>
      <c r="L22" s="22">
        <f t="shared" si="11"/>
        <v>83723.163588643758</v>
      </c>
      <c r="M22" s="5">
        <f>scrimecost*Meta!O19</f>
        <v>1686.818</v>
      </c>
      <c r="N22" s="5">
        <f>L22-Grade15!L22</f>
        <v>782.36628877665498</v>
      </c>
      <c r="O22" s="5">
        <f>Grade15!M22-M22</f>
        <v>11.879000000000133</v>
      </c>
      <c r="P22" s="22">
        <f t="shared" si="12"/>
        <v>93.148266306616335</v>
      </c>
      <c r="Q22" s="22"/>
      <c r="R22" s="22"/>
      <c r="S22" s="22">
        <f t="shared" si="6"/>
        <v>643.77206303552782</v>
      </c>
      <c r="T22" s="22">
        <f t="shared" si="7"/>
        <v>773.38424059926388</v>
      </c>
    </row>
    <row r="23" spans="1:20" x14ac:dyDescent="0.2">
      <c r="A23" s="5">
        <v>32</v>
      </c>
      <c r="B23" s="1">
        <f t="shared" si="8"/>
        <v>1.2800845441963571</v>
      </c>
      <c r="C23" s="5">
        <f t="shared" si="9"/>
        <v>55463.779276346628</v>
      </c>
      <c r="D23" s="5">
        <f t="shared" si="0"/>
        <v>54267.865898056225</v>
      </c>
      <c r="E23" s="5">
        <f t="shared" si="1"/>
        <v>44767.865898056225</v>
      </c>
      <c r="F23" s="5">
        <f t="shared" si="2"/>
        <v>15945.244805520979</v>
      </c>
      <c r="G23" s="5">
        <f t="shared" si="3"/>
        <v>38322.62109253525</v>
      </c>
      <c r="H23" s="22">
        <f t="shared" si="10"/>
        <v>23407.890298444945</v>
      </c>
      <c r="I23" s="5">
        <f t="shared" si="4"/>
        <v>61028.274682026851</v>
      </c>
      <c r="J23" s="26">
        <f t="shared" si="5"/>
        <v>0.20230232941611598</v>
      </c>
      <c r="L23" s="22">
        <f t="shared" si="11"/>
        <v>85816.242678359864</v>
      </c>
      <c r="M23" s="5">
        <f>scrimecost*Meta!O20</f>
        <v>1686.818</v>
      </c>
      <c r="N23" s="5">
        <f>L23-Grade15!L23</f>
        <v>801.92544599607936</v>
      </c>
      <c r="O23" s="5">
        <f>Grade15!M23-M23</f>
        <v>11.879000000000133</v>
      </c>
      <c r="P23" s="22">
        <f t="shared" si="12"/>
        <v>95.659303182283722</v>
      </c>
      <c r="Q23" s="22"/>
      <c r="R23" s="22"/>
      <c r="S23" s="22">
        <f t="shared" si="6"/>
        <v>659.76284037327741</v>
      </c>
      <c r="T23" s="22">
        <f t="shared" si="7"/>
        <v>807.2673027580106</v>
      </c>
    </row>
    <row r="24" spans="1:20" x14ac:dyDescent="0.2">
      <c r="A24" s="5">
        <v>33</v>
      </c>
      <c r="B24" s="1">
        <f t="shared" si="8"/>
        <v>1.312086657801266</v>
      </c>
      <c r="C24" s="5">
        <f t="shared" si="9"/>
        <v>56850.373758255293</v>
      </c>
      <c r="D24" s="5">
        <f t="shared" si="0"/>
        <v>55612.862545507633</v>
      </c>
      <c r="E24" s="5">
        <f t="shared" si="1"/>
        <v>46112.862545507633</v>
      </c>
      <c r="F24" s="5">
        <f t="shared" si="2"/>
        <v>16518.885875659005</v>
      </c>
      <c r="G24" s="5">
        <f t="shared" si="3"/>
        <v>39093.976669848627</v>
      </c>
      <c r="H24" s="22">
        <f t="shared" si="10"/>
        <v>23993.087555906073</v>
      </c>
      <c r="I24" s="5">
        <f t="shared" si="4"/>
        <v>62367.271599077518</v>
      </c>
      <c r="J24" s="26">
        <f t="shared" si="5"/>
        <v>0.20468328245062398</v>
      </c>
      <c r="L24" s="22">
        <f t="shared" si="11"/>
        <v>87961.64874531886</v>
      </c>
      <c r="M24" s="5">
        <f>scrimecost*Meta!O21</f>
        <v>1686.818</v>
      </c>
      <c r="N24" s="5">
        <f>L24-Grade15!L24</f>
        <v>821.97358214597625</v>
      </c>
      <c r="O24" s="5">
        <f>Grade15!M24-M24</f>
        <v>11.879000000000133</v>
      </c>
      <c r="P24" s="22">
        <f t="shared" si="12"/>
        <v>98.233115979842779</v>
      </c>
      <c r="Q24" s="22"/>
      <c r="R24" s="22"/>
      <c r="S24" s="22">
        <f t="shared" si="6"/>
        <v>676.1533871444617</v>
      </c>
      <c r="T24" s="22">
        <f t="shared" si="7"/>
        <v>842.63803461121756</v>
      </c>
    </row>
    <row r="25" spans="1:20" x14ac:dyDescent="0.2">
      <c r="A25" s="5">
        <v>34</v>
      </c>
      <c r="B25" s="1">
        <f t="shared" si="8"/>
        <v>1.3448888242462975</v>
      </c>
      <c r="C25" s="5">
        <f t="shared" si="9"/>
        <v>58271.633102211672</v>
      </c>
      <c r="D25" s="5">
        <f t="shared" si="0"/>
        <v>56991.48410914532</v>
      </c>
      <c r="E25" s="5">
        <f t="shared" si="1"/>
        <v>47491.48410914532</v>
      </c>
      <c r="F25" s="5">
        <f t="shared" si="2"/>
        <v>17106.867972550481</v>
      </c>
      <c r="G25" s="5">
        <f t="shared" si="3"/>
        <v>39884.616136594836</v>
      </c>
      <c r="H25" s="22">
        <f t="shared" si="10"/>
        <v>24592.914744803722</v>
      </c>
      <c r="I25" s="5">
        <f t="shared" si="4"/>
        <v>63739.743439054444</v>
      </c>
      <c r="J25" s="26">
        <f t="shared" si="5"/>
        <v>0.20700616345990008</v>
      </c>
      <c r="L25" s="22">
        <f t="shared" si="11"/>
        <v>90160.689963951823</v>
      </c>
      <c r="M25" s="5">
        <f>scrimecost*Meta!O22</f>
        <v>1686.818</v>
      </c>
      <c r="N25" s="5">
        <f>L25-Grade15!L25</f>
        <v>842.52292169963766</v>
      </c>
      <c r="O25" s="5">
        <f>Grade15!M25-M25</f>
        <v>11.879000000000133</v>
      </c>
      <c r="P25" s="22">
        <f t="shared" si="12"/>
        <v>100.87127409734083</v>
      </c>
      <c r="Q25" s="22"/>
      <c r="R25" s="22"/>
      <c r="S25" s="22">
        <f t="shared" si="6"/>
        <v>692.95369758493734</v>
      </c>
      <c r="T25" s="22">
        <f t="shared" si="7"/>
        <v>879.56181332989308</v>
      </c>
    </row>
    <row r="26" spans="1:20" x14ac:dyDescent="0.2">
      <c r="A26" s="5">
        <v>35</v>
      </c>
      <c r="B26" s="1">
        <f t="shared" si="8"/>
        <v>1.3785110448524549</v>
      </c>
      <c r="C26" s="5">
        <f t="shared" si="9"/>
        <v>59728.423929766956</v>
      </c>
      <c r="D26" s="5">
        <f t="shared" si="0"/>
        <v>58404.571211873947</v>
      </c>
      <c r="E26" s="5">
        <f t="shared" si="1"/>
        <v>48904.571211873947</v>
      </c>
      <c r="F26" s="5">
        <f t="shared" si="2"/>
        <v>17709.54962186424</v>
      </c>
      <c r="G26" s="5">
        <f t="shared" si="3"/>
        <v>40695.02159000971</v>
      </c>
      <c r="H26" s="22">
        <f t="shared" si="10"/>
        <v>25207.737613423811</v>
      </c>
      <c r="I26" s="5">
        <f t="shared" si="4"/>
        <v>65146.527075030805</v>
      </c>
      <c r="J26" s="26">
        <f t="shared" si="5"/>
        <v>0.20927238883480359</v>
      </c>
      <c r="L26" s="22">
        <f t="shared" si="11"/>
        <v>92414.707213050613</v>
      </c>
      <c r="M26" s="5">
        <f>scrimecost*Meta!O23</f>
        <v>1309.098</v>
      </c>
      <c r="N26" s="5">
        <f>L26-Grade15!L26</f>
        <v>863.58599474212679</v>
      </c>
      <c r="O26" s="5">
        <f>Grade15!M26-M26</f>
        <v>9.2190000000000509</v>
      </c>
      <c r="P26" s="22">
        <f t="shared" si="12"/>
        <v>103.57538616777632</v>
      </c>
      <c r="Q26" s="22"/>
      <c r="R26" s="22"/>
      <c r="S26" s="22">
        <f t="shared" si="6"/>
        <v>707.77203578641524</v>
      </c>
      <c r="T26" s="22">
        <f t="shared" si="7"/>
        <v>915.00163106701189</v>
      </c>
    </row>
    <row r="27" spans="1:20" x14ac:dyDescent="0.2">
      <c r="A27" s="5">
        <v>36</v>
      </c>
      <c r="B27" s="1">
        <f t="shared" si="8"/>
        <v>1.4129738209737661</v>
      </c>
      <c r="C27" s="5">
        <f t="shared" si="9"/>
        <v>61221.634528011127</v>
      </c>
      <c r="D27" s="5">
        <f t="shared" si="0"/>
        <v>59852.985492170788</v>
      </c>
      <c r="E27" s="5">
        <f t="shared" si="1"/>
        <v>50352.985492170788</v>
      </c>
      <c r="F27" s="5">
        <f t="shared" si="2"/>
        <v>18327.298312410843</v>
      </c>
      <c r="G27" s="5">
        <f t="shared" si="3"/>
        <v>41525.687179759945</v>
      </c>
      <c r="H27" s="22">
        <f t="shared" si="10"/>
        <v>25837.931053759406</v>
      </c>
      <c r="I27" s="5">
        <f t="shared" si="4"/>
        <v>66588.480301906573</v>
      </c>
      <c r="J27" s="26">
        <f t="shared" si="5"/>
        <v>0.21148334042007533</v>
      </c>
      <c r="L27" s="22">
        <f t="shared" si="11"/>
        <v>94725.074893376863</v>
      </c>
      <c r="M27" s="5">
        <f>scrimecost*Meta!O24</f>
        <v>1309.098</v>
      </c>
      <c r="N27" s="5">
        <f>L27-Grade15!L27</f>
        <v>885.17564461065922</v>
      </c>
      <c r="O27" s="5">
        <f>Grade15!M27-M27</f>
        <v>9.2190000000000509</v>
      </c>
      <c r="P27" s="22">
        <f t="shared" si="12"/>
        <v>106.34710103997269</v>
      </c>
      <c r="Q27" s="22"/>
      <c r="R27" s="22"/>
      <c r="S27" s="22">
        <f t="shared" si="6"/>
        <v>725.42286194291682</v>
      </c>
      <c r="T27" s="22">
        <f t="shared" si="7"/>
        <v>955.18177230174001</v>
      </c>
    </row>
    <row r="28" spans="1:20" x14ac:dyDescent="0.2">
      <c r="A28" s="5">
        <v>37</v>
      </c>
      <c r="B28" s="1">
        <f t="shared" si="8"/>
        <v>1.4482981664981105</v>
      </c>
      <c r="C28" s="5">
        <f t="shared" si="9"/>
        <v>62752.175391211415</v>
      </c>
      <c r="D28" s="5">
        <f t="shared" si="0"/>
        <v>61337.61012947507</v>
      </c>
      <c r="E28" s="5">
        <f t="shared" si="1"/>
        <v>51837.61012947507</v>
      </c>
      <c r="F28" s="5">
        <f t="shared" si="2"/>
        <v>18960.490720221118</v>
      </c>
      <c r="G28" s="5">
        <f t="shared" si="3"/>
        <v>42377.119409253952</v>
      </c>
      <c r="H28" s="22">
        <f t="shared" si="10"/>
        <v>26483.879330103395</v>
      </c>
      <c r="I28" s="5">
        <f t="shared" si="4"/>
        <v>68066.482359454239</v>
      </c>
      <c r="J28" s="26">
        <f t="shared" si="5"/>
        <v>0.21364036635692576</v>
      </c>
      <c r="L28" s="22">
        <f t="shared" si="11"/>
        <v>97093.201765711303</v>
      </c>
      <c r="M28" s="5">
        <f>scrimecost*Meta!O25</f>
        <v>1309.098</v>
      </c>
      <c r="N28" s="5">
        <f>L28-Grade15!L28</f>
        <v>907.30503572593443</v>
      </c>
      <c r="O28" s="5">
        <f>Grade15!M28-M28</f>
        <v>9.2190000000000509</v>
      </c>
      <c r="P28" s="22">
        <f t="shared" si="12"/>
        <v>109.18810878397399</v>
      </c>
      <c r="Q28" s="22"/>
      <c r="R28" s="22"/>
      <c r="S28" s="22">
        <f t="shared" si="6"/>
        <v>743.51495875335172</v>
      </c>
      <c r="T28" s="22">
        <f t="shared" si="7"/>
        <v>997.12778380757698</v>
      </c>
    </row>
    <row r="29" spans="1:20" x14ac:dyDescent="0.2">
      <c r="A29" s="5">
        <v>38</v>
      </c>
      <c r="B29" s="1">
        <f t="shared" si="8"/>
        <v>1.4845056206605631</v>
      </c>
      <c r="C29" s="5">
        <f t="shared" si="9"/>
        <v>64320.979775991691</v>
      </c>
      <c r="D29" s="5">
        <f t="shared" si="0"/>
        <v>62859.350382711942</v>
      </c>
      <c r="E29" s="5">
        <f t="shared" si="1"/>
        <v>53359.350382711942</v>
      </c>
      <c r="F29" s="5">
        <f t="shared" si="2"/>
        <v>19609.512938226642</v>
      </c>
      <c r="G29" s="5">
        <f t="shared" si="3"/>
        <v>43249.837444485296</v>
      </c>
      <c r="H29" s="22">
        <f t="shared" si="10"/>
        <v>27145.976313355975</v>
      </c>
      <c r="I29" s="5">
        <f t="shared" si="4"/>
        <v>69581.434468440595</v>
      </c>
      <c r="J29" s="26">
        <f t="shared" si="5"/>
        <v>0.21574478190507254</v>
      </c>
      <c r="L29" s="22">
        <f t="shared" si="11"/>
        <v>99520.531809854074</v>
      </c>
      <c r="M29" s="5">
        <f>scrimecost*Meta!O26</f>
        <v>1309.098</v>
      </c>
      <c r="N29" s="5">
        <f>L29-Grade15!L29</f>
        <v>929.98766161908861</v>
      </c>
      <c r="O29" s="5">
        <f>Grade15!M29-M29</f>
        <v>9.2190000000000509</v>
      </c>
      <c r="P29" s="22">
        <f t="shared" si="12"/>
        <v>112.1001417215753</v>
      </c>
      <c r="Q29" s="22"/>
      <c r="R29" s="22"/>
      <c r="S29" s="22">
        <f t="shared" si="6"/>
        <v>762.05935798404539</v>
      </c>
      <c r="T29" s="22">
        <f t="shared" si="7"/>
        <v>1040.9173004758195</v>
      </c>
    </row>
    <row r="30" spans="1:20" x14ac:dyDescent="0.2">
      <c r="A30" s="5">
        <v>39</v>
      </c>
      <c r="B30" s="1">
        <f t="shared" si="8"/>
        <v>1.521618261177077</v>
      </c>
      <c r="C30" s="5">
        <f t="shared" si="9"/>
        <v>65929.004270391481</v>
      </c>
      <c r="D30" s="5">
        <f t="shared" si="0"/>
        <v>64419.134142279734</v>
      </c>
      <c r="E30" s="5">
        <f t="shared" si="1"/>
        <v>54919.134142279734</v>
      </c>
      <c r="F30" s="5">
        <f t="shared" si="2"/>
        <v>20274.760711682306</v>
      </c>
      <c r="G30" s="5">
        <f t="shared" si="3"/>
        <v>44144.373430597429</v>
      </c>
      <c r="H30" s="22">
        <f t="shared" si="10"/>
        <v>27824.62572118987</v>
      </c>
      <c r="I30" s="5">
        <f t="shared" si="4"/>
        <v>71134.260380151594</v>
      </c>
      <c r="J30" s="26">
        <f t="shared" si="5"/>
        <v>0.21779787024472794</v>
      </c>
      <c r="L30" s="22">
        <f t="shared" si="11"/>
        <v>102008.54510510042</v>
      </c>
      <c r="M30" s="5">
        <f>scrimecost*Meta!O27</f>
        <v>1309.098</v>
      </c>
      <c r="N30" s="5">
        <f>L30-Grade15!L30</f>
        <v>953.23735315956583</v>
      </c>
      <c r="O30" s="5">
        <f>Grade15!M30-M30</f>
        <v>9.2190000000000509</v>
      </c>
      <c r="P30" s="22">
        <f t="shared" si="12"/>
        <v>115.08497548261666</v>
      </c>
      <c r="Q30" s="22"/>
      <c r="R30" s="22"/>
      <c r="S30" s="22">
        <f t="shared" si="6"/>
        <v>781.06736719550224</v>
      </c>
      <c r="T30" s="22">
        <f t="shared" si="7"/>
        <v>1086.6313708449732</v>
      </c>
    </row>
    <row r="31" spans="1:20" x14ac:dyDescent="0.2">
      <c r="A31" s="5">
        <v>40</v>
      </c>
      <c r="B31" s="1">
        <f t="shared" si="8"/>
        <v>1.559658717706504</v>
      </c>
      <c r="C31" s="5">
        <f t="shared" si="9"/>
        <v>67577.229377151263</v>
      </c>
      <c r="D31" s="5">
        <f t="shared" si="0"/>
        <v>66017.912495836717</v>
      </c>
      <c r="E31" s="5">
        <f t="shared" si="1"/>
        <v>56517.912495836717</v>
      </c>
      <c r="F31" s="5">
        <f t="shared" si="2"/>
        <v>20956.63967947436</v>
      </c>
      <c r="G31" s="5">
        <f t="shared" si="3"/>
        <v>45061.272816362354</v>
      </c>
      <c r="H31" s="22">
        <f t="shared" si="10"/>
        <v>28520.241364219619</v>
      </c>
      <c r="I31" s="5">
        <f t="shared" si="4"/>
        <v>72725.906939655382</v>
      </c>
      <c r="J31" s="26">
        <f t="shared" si="5"/>
        <v>0.2198008832590258</v>
      </c>
      <c r="L31" s="22">
        <f t="shared" si="11"/>
        <v>104558.75873272793</v>
      </c>
      <c r="M31" s="5">
        <f>scrimecost*Meta!O28</f>
        <v>1145.088</v>
      </c>
      <c r="N31" s="5">
        <f>L31-Grade15!L31</f>
        <v>977.06828698854952</v>
      </c>
      <c r="O31" s="5">
        <f>Grade15!M31-M31</f>
        <v>8.0639999999998508</v>
      </c>
      <c r="P31" s="22">
        <f t="shared" si="12"/>
        <v>118.14443008768401</v>
      </c>
      <c r="Q31" s="22"/>
      <c r="R31" s="22"/>
      <c r="S31" s="22">
        <f t="shared" si="6"/>
        <v>799.50761163724155</v>
      </c>
      <c r="T31" s="22">
        <f t="shared" si="7"/>
        <v>1132.8767591045084</v>
      </c>
    </row>
    <row r="32" spans="1:20" x14ac:dyDescent="0.2">
      <c r="A32" s="5">
        <v>41</v>
      </c>
      <c r="B32" s="1">
        <f t="shared" si="8"/>
        <v>1.5986501856491666</v>
      </c>
      <c r="C32" s="5">
        <f t="shared" si="9"/>
        <v>69266.660111580044</v>
      </c>
      <c r="D32" s="5">
        <f t="shared" si="0"/>
        <v>67656.660308232647</v>
      </c>
      <c r="E32" s="5">
        <f t="shared" si="1"/>
        <v>58156.660308232647</v>
      </c>
      <c r="F32" s="5">
        <f t="shared" si="2"/>
        <v>21655.565621461225</v>
      </c>
      <c r="G32" s="5">
        <f t="shared" si="3"/>
        <v>46001.094686771423</v>
      </c>
      <c r="H32" s="22">
        <f t="shared" si="10"/>
        <v>29233.247398325111</v>
      </c>
      <c r="I32" s="5">
        <f t="shared" si="4"/>
        <v>74357.344663146781</v>
      </c>
      <c r="J32" s="26">
        <f t="shared" si="5"/>
        <v>0.22175504229736537</v>
      </c>
      <c r="L32" s="22">
        <f t="shared" si="11"/>
        <v>107172.72770104613</v>
      </c>
      <c r="M32" s="5">
        <f>scrimecost*Meta!O29</f>
        <v>1145.088</v>
      </c>
      <c r="N32" s="5">
        <f>L32-Grade15!L32</f>
        <v>1001.4949941632804</v>
      </c>
      <c r="O32" s="5">
        <f>Grade15!M32-M32</f>
        <v>8.0639999999998508</v>
      </c>
      <c r="P32" s="22">
        <f t="shared" si="12"/>
        <v>121.28037105787813</v>
      </c>
      <c r="Q32" s="22"/>
      <c r="R32" s="22"/>
      <c r="S32" s="22">
        <f t="shared" si="6"/>
        <v>819.47790131504041</v>
      </c>
      <c r="T32" s="22">
        <f t="shared" si="7"/>
        <v>1182.6701357164013</v>
      </c>
    </row>
    <row r="33" spans="1:20" x14ac:dyDescent="0.2">
      <c r="A33" s="5">
        <v>42</v>
      </c>
      <c r="B33" s="1">
        <f t="shared" si="8"/>
        <v>1.6386164402903955</v>
      </c>
      <c r="C33" s="5">
        <f t="shared" si="9"/>
        <v>70998.326614369536</v>
      </c>
      <c r="D33" s="5">
        <f t="shared" si="0"/>
        <v>69336.376815938449</v>
      </c>
      <c r="E33" s="5">
        <f t="shared" si="1"/>
        <v>59836.376815938449</v>
      </c>
      <c r="F33" s="5">
        <f t="shared" si="2"/>
        <v>22371.964711997749</v>
      </c>
      <c r="G33" s="5">
        <f t="shared" si="3"/>
        <v>46964.412103940704</v>
      </c>
      <c r="H33" s="22">
        <f t="shared" si="10"/>
        <v>29964.078583283237</v>
      </c>
      <c r="I33" s="5">
        <f t="shared" si="4"/>
        <v>76029.568329725444</v>
      </c>
      <c r="J33" s="26">
        <f t="shared" si="5"/>
        <v>0.22366153892013552</v>
      </c>
      <c r="L33" s="22">
        <f t="shared" si="11"/>
        <v>109852.04589357227</v>
      </c>
      <c r="M33" s="5">
        <f>scrimecost*Meta!O30</f>
        <v>1145.088</v>
      </c>
      <c r="N33" s="5">
        <f>L33-Grade15!L33</f>
        <v>1026.5323690173536</v>
      </c>
      <c r="O33" s="5">
        <f>Grade15!M33-M33</f>
        <v>8.0639999999998508</v>
      </c>
      <c r="P33" s="22">
        <f t="shared" si="12"/>
        <v>124.49471055232702</v>
      </c>
      <c r="Q33" s="22"/>
      <c r="R33" s="22"/>
      <c r="S33" s="22">
        <f t="shared" si="6"/>
        <v>839.94744823476594</v>
      </c>
      <c r="T33" s="22">
        <f t="shared" si="7"/>
        <v>1234.6527214424318</v>
      </c>
    </row>
    <row r="34" spans="1:20" x14ac:dyDescent="0.2">
      <c r="A34" s="5">
        <v>43</v>
      </c>
      <c r="B34" s="1">
        <f t="shared" si="8"/>
        <v>1.6795818512976552</v>
      </c>
      <c r="C34" s="5">
        <f t="shared" si="9"/>
        <v>72773.284779728769</v>
      </c>
      <c r="D34" s="5">
        <f t="shared" si="0"/>
        <v>71058.086236336909</v>
      </c>
      <c r="E34" s="5">
        <f t="shared" si="1"/>
        <v>61558.086236336909</v>
      </c>
      <c r="F34" s="5">
        <f t="shared" si="2"/>
        <v>23106.273779797688</v>
      </c>
      <c r="G34" s="5">
        <f t="shared" si="3"/>
        <v>47951.812456539221</v>
      </c>
      <c r="H34" s="22">
        <f t="shared" si="10"/>
        <v>30713.180547865311</v>
      </c>
      <c r="I34" s="5">
        <f t="shared" si="4"/>
        <v>77743.597587968572</v>
      </c>
      <c r="J34" s="26">
        <f t="shared" si="5"/>
        <v>0.22552153562527716</v>
      </c>
      <c r="L34" s="22">
        <f t="shared" si="11"/>
        <v>112598.34704091155</v>
      </c>
      <c r="M34" s="5">
        <f>scrimecost*Meta!O31</f>
        <v>1145.088</v>
      </c>
      <c r="N34" s="5">
        <f>L34-Grade15!L34</f>
        <v>1052.1956782427733</v>
      </c>
      <c r="O34" s="5">
        <f>Grade15!M34-M34</f>
        <v>8.0639999999998508</v>
      </c>
      <c r="P34" s="22">
        <f t="shared" si="12"/>
        <v>127.78940853413714</v>
      </c>
      <c r="Q34" s="22"/>
      <c r="R34" s="22"/>
      <c r="S34" s="22">
        <f t="shared" si="6"/>
        <v>860.92873382748098</v>
      </c>
      <c r="T34" s="22">
        <f t="shared" si="7"/>
        <v>1288.9207785987053</v>
      </c>
    </row>
    <row r="35" spans="1:20" x14ac:dyDescent="0.2">
      <c r="A35" s="5">
        <v>44</v>
      </c>
      <c r="B35" s="1">
        <f t="shared" si="8"/>
        <v>1.7215713975800966</v>
      </c>
      <c r="C35" s="5">
        <f t="shared" si="9"/>
        <v>74592.61689922199</v>
      </c>
      <c r="D35" s="5">
        <f t="shared" si="0"/>
        <v>72822.838392245321</v>
      </c>
      <c r="E35" s="5">
        <f t="shared" si="1"/>
        <v>63322.838392245321</v>
      </c>
      <c r="F35" s="5">
        <f t="shared" si="2"/>
        <v>23858.940574292628</v>
      </c>
      <c r="G35" s="5">
        <f t="shared" si="3"/>
        <v>48963.897817952689</v>
      </c>
      <c r="H35" s="22">
        <f t="shared" si="10"/>
        <v>31481.010061561945</v>
      </c>
      <c r="I35" s="5">
        <f t="shared" si="4"/>
        <v>79500.477577667771</v>
      </c>
      <c r="J35" s="26">
        <f t="shared" si="5"/>
        <v>0.22733616655712266</v>
      </c>
      <c r="L35" s="22">
        <f t="shared" si="11"/>
        <v>115413.30571693434</v>
      </c>
      <c r="M35" s="5">
        <f>scrimecost*Meta!O32</f>
        <v>1145.088</v>
      </c>
      <c r="N35" s="5">
        <f>L35-Grade15!L35</f>
        <v>1078.5005701988412</v>
      </c>
      <c r="O35" s="5">
        <f>Grade15!M35-M35</f>
        <v>8.0639999999998508</v>
      </c>
      <c r="P35" s="22">
        <f t="shared" si="12"/>
        <v>131.16647396549251</v>
      </c>
      <c r="Q35" s="22"/>
      <c r="R35" s="22"/>
      <c r="S35" s="22">
        <f t="shared" si="6"/>
        <v>882.43455156002278</v>
      </c>
      <c r="T35" s="22">
        <f t="shared" si="7"/>
        <v>1345.5748024972095</v>
      </c>
    </row>
    <row r="36" spans="1:20" x14ac:dyDescent="0.2">
      <c r="A36" s="5">
        <v>45</v>
      </c>
      <c r="B36" s="1">
        <f t="shared" si="8"/>
        <v>1.7646106825195991</v>
      </c>
      <c r="C36" s="5">
        <f t="shared" si="9"/>
        <v>76457.432321702538</v>
      </c>
      <c r="D36" s="5">
        <f t="shared" si="0"/>
        <v>74631.709352051461</v>
      </c>
      <c r="E36" s="5">
        <f t="shared" si="1"/>
        <v>65131.709352051461</v>
      </c>
      <c r="F36" s="5">
        <f t="shared" si="2"/>
        <v>24630.424038649951</v>
      </c>
      <c r="G36" s="5">
        <f t="shared" si="3"/>
        <v>50001.285313401509</v>
      </c>
      <c r="H36" s="22">
        <f t="shared" si="10"/>
        <v>32268.035313100994</v>
      </c>
      <c r="I36" s="5">
        <f t="shared" si="4"/>
        <v>81301.279567109479</v>
      </c>
      <c r="J36" s="26">
        <f t="shared" si="5"/>
        <v>0.22910653819794766</v>
      </c>
      <c r="L36" s="22">
        <f t="shared" si="11"/>
        <v>118298.63835985771</v>
      </c>
      <c r="M36" s="5">
        <f>scrimecost*Meta!O33</f>
        <v>925.4140000000001</v>
      </c>
      <c r="N36" s="5">
        <f>L36-Grade15!L36</f>
        <v>1105.4630844538187</v>
      </c>
      <c r="O36" s="5">
        <f>Grade15!M36-M36</f>
        <v>6.5169999999999391</v>
      </c>
      <c r="P36" s="22">
        <f t="shared" si="12"/>
        <v>134.62796603263186</v>
      </c>
      <c r="Q36" s="22"/>
      <c r="R36" s="22"/>
      <c r="S36" s="22">
        <f t="shared" si="6"/>
        <v>903.08107373588393</v>
      </c>
      <c r="T36" s="22">
        <f t="shared" si="7"/>
        <v>1402.5501572843755</v>
      </c>
    </row>
    <row r="37" spans="1:20" x14ac:dyDescent="0.2">
      <c r="A37" s="5">
        <v>46</v>
      </c>
      <c r="B37" s="1">
        <f t="shared" ref="B37:B56" si="13">(1+experiencepremium)^(A37-startage)</f>
        <v>1.8087259495825889</v>
      </c>
      <c r="C37" s="5">
        <f t="shared" ref="C37:C56" si="14">pretaxincome*B37/expnorm</f>
        <v>78368.868129745111</v>
      </c>
      <c r="D37" s="5">
        <f t="shared" ref="D37:D56" si="15">IF(A37&lt;startage,1,0)*(C37*(1-initialunempprob))+IF(A37=startage,1,0)*(C37*(1-unempprob))+IF(A37&gt;startage,1,0)*(C37*(1-unempprob)+unempprob*300*52)</f>
        <v>76485.80208585276</v>
      </c>
      <c r="E37" s="5">
        <f t="shared" si="1"/>
        <v>66985.80208585276</v>
      </c>
      <c r="F37" s="5">
        <f t="shared" si="2"/>
        <v>25421.194589616203</v>
      </c>
      <c r="G37" s="5">
        <f t="shared" si="3"/>
        <v>51064.607496236553</v>
      </c>
      <c r="H37" s="22">
        <f t="shared" ref="H37:H56" si="16">benefits*B37/expnorm</f>
        <v>33074.736195928519</v>
      </c>
      <c r="I37" s="5">
        <f t="shared" ref="I37:I56" si="17">G37+IF(A37&lt;startage,1,0)*(H37*(1-initialunempprob))+IF(A37&gt;=startage,1,0)*(H37*(1-unempprob))</f>
        <v>83147.101606287208</v>
      </c>
      <c r="J37" s="26">
        <f t="shared" si="5"/>
        <v>0.23083373004265489</v>
      </c>
      <c r="L37" s="22">
        <f t="shared" ref="L37:L56" si="18">(sincome+sbenefits)*(1-sunemp)*B37/expnorm</f>
        <v>121256.10431885415</v>
      </c>
      <c r="M37" s="5">
        <f>scrimecost*Meta!O34</f>
        <v>925.4140000000001</v>
      </c>
      <c r="N37" s="5">
        <f>L37-Grade15!L37</f>
        <v>1133.099661565182</v>
      </c>
      <c r="O37" s="5">
        <f>Grade15!M37-M37</f>
        <v>6.5169999999999391</v>
      </c>
      <c r="P37" s="22">
        <f t="shared" si="12"/>
        <v>138.17599540144963</v>
      </c>
      <c r="Q37" s="22"/>
      <c r="R37" s="22"/>
      <c r="S37" s="22">
        <f t="shared" si="6"/>
        <v>925.67562349114928</v>
      </c>
      <c r="T37" s="22">
        <f t="shared" si="7"/>
        <v>1464.2553079168365</v>
      </c>
    </row>
    <row r="38" spans="1:20" x14ac:dyDescent="0.2">
      <c r="A38" s="5">
        <v>47</v>
      </c>
      <c r="B38" s="1">
        <f t="shared" si="13"/>
        <v>1.8539440983221533</v>
      </c>
      <c r="C38" s="5">
        <f t="shared" si="14"/>
        <v>80328.089832988713</v>
      </c>
      <c r="D38" s="5">
        <f t="shared" si="15"/>
        <v>78386.247137999046</v>
      </c>
      <c r="E38" s="5">
        <f t="shared" si="1"/>
        <v>68886.247137999046</v>
      </c>
      <c r="F38" s="5">
        <f t="shared" si="2"/>
        <v>26231.734404356594</v>
      </c>
      <c r="G38" s="5">
        <f t="shared" si="3"/>
        <v>52154.512733642448</v>
      </c>
      <c r="H38" s="22">
        <f t="shared" si="16"/>
        <v>33901.604600826729</v>
      </c>
      <c r="I38" s="5">
        <f t="shared" si="17"/>
        <v>85039.069196444383</v>
      </c>
      <c r="J38" s="26">
        <f t="shared" si="5"/>
        <v>0.23251879525700334</v>
      </c>
      <c r="L38" s="22">
        <f t="shared" si="18"/>
        <v>124287.50692682547</v>
      </c>
      <c r="M38" s="5">
        <f>scrimecost*Meta!O35</f>
        <v>925.4140000000001</v>
      </c>
      <c r="N38" s="5">
        <f>L38-Grade15!L38</f>
        <v>1161.4271531042905</v>
      </c>
      <c r="O38" s="5">
        <f>Grade15!M38-M38</f>
        <v>6.5169999999999391</v>
      </c>
      <c r="P38" s="22">
        <f t="shared" si="12"/>
        <v>141.81272550448779</v>
      </c>
      <c r="Q38" s="22"/>
      <c r="R38" s="22"/>
      <c r="S38" s="22">
        <f t="shared" si="6"/>
        <v>948.8350369902688</v>
      </c>
      <c r="T38" s="22">
        <f t="shared" si="7"/>
        <v>1528.6744684061127</v>
      </c>
    </row>
    <row r="39" spans="1:20" x14ac:dyDescent="0.2">
      <c r="A39" s="5">
        <v>48</v>
      </c>
      <c r="B39" s="1">
        <f t="shared" si="13"/>
        <v>1.9002927007802071</v>
      </c>
      <c r="C39" s="5">
        <f t="shared" si="14"/>
        <v>82336.292078813436</v>
      </c>
      <c r="D39" s="5">
        <f t="shared" si="15"/>
        <v>80334.203316449028</v>
      </c>
      <c r="E39" s="5">
        <f t="shared" si="1"/>
        <v>70834.203316449028</v>
      </c>
      <c r="F39" s="5">
        <f t="shared" si="2"/>
        <v>27062.53771446551</v>
      </c>
      <c r="G39" s="5">
        <f t="shared" si="3"/>
        <v>53271.665601983521</v>
      </c>
      <c r="H39" s="22">
        <f t="shared" si="16"/>
        <v>34749.144715847389</v>
      </c>
      <c r="I39" s="5">
        <f t="shared" si="17"/>
        <v>86978.335976355491</v>
      </c>
      <c r="J39" s="26">
        <f t="shared" si="5"/>
        <v>0.23416276131978239</v>
      </c>
      <c r="L39" s="22">
        <f t="shared" si="18"/>
        <v>127394.6945999961</v>
      </c>
      <c r="M39" s="5">
        <f>scrimecost*Meta!O36</f>
        <v>925.4140000000001</v>
      </c>
      <c r="N39" s="5">
        <f>L39-Grade15!L39</f>
        <v>1190.4628319319017</v>
      </c>
      <c r="O39" s="5">
        <f>Grade15!M39-M39</f>
        <v>6.5169999999999391</v>
      </c>
      <c r="P39" s="22">
        <f t="shared" si="12"/>
        <v>145.54037386010197</v>
      </c>
      <c r="Q39" s="22"/>
      <c r="R39" s="22"/>
      <c r="S39" s="22">
        <f t="shared" si="6"/>
        <v>972.57343582688418</v>
      </c>
      <c r="T39" s="22">
        <f t="shared" si="7"/>
        <v>1595.9269973948249</v>
      </c>
    </row>
    <row r="40" spans="1:20" x14ac:dyDescent="0.2">
      <c r="A40" s="5">
        <v>49</v>
      </c>
      <c r="B40" s="1">
        <f t="shared" si="13"/>
        <v>1.9478000182997122</v>
      </c>
      <c r="C40" s="5">
        <f t="shared" si="14"/>
        <v>84394.699380783772</v>
      </c>
      <c r="D40" s="5">
        <f t="shared" si="15"/>
        <v>82330.858399360251</v>
      </c>
      <c r="E40" s="5">
        <f t="shared" si="1"/>
        <v>72830.858399360251</v>
      </c>
      <c r="F40" s="5">
        <f t="shared" si="2"/>
        <v>27914.111107327146</v>
      </c>
      <c r="G40" s="5">
        <f t="shared" si="3"/>
        <v>54416.747292033106</v>
      </c>
      <c r="H40" s="22">
        <f t="shared" si="16"/>
        <v>35617.873333743577</v>
      </c>
      <c r="I40" s="5">
        <f t="shared" si="17"/>
        <v>88966.084425764377</v>
      </c>
      <c r="J40" s="26">
        <f t="shared" si="5"/>
        <v>0.23576663064932291</v>
      </c>
      <c r="L40" s="22">
        <f t="shared" si="18"/>
        <v>130579.561964996</v>
      </c>
      <c r="M40" s="5">
        <f>scrimecost*Meta!O37</f>
        <v>925.4140000000001</v>
      </c>
      <c r="N40" s="5">
        <f>L40-Grade15!L40</f>
        <v>1220.2244027302077</v>
      </c>
      <c r="O40" s="5">
        <f>Grade15!M40-M40</f>
        <v>6.5169999999999391</v>
      </c>
      <c r="P40" s="22">
        <f t="shared" si="12"/>
        <v>149.36121342460646</v>
      </c>
      <c r="Q40" s="22"/>
      <c r="R40" s="22"/>
      <c r="S40" s="22">
        <f t="shared" si="6"/>
        <v>996.90529463441794</v>
      </c>
      <c r="T40" s="22">
        <f t="shared" si="7"/>
        <v>1666.1375025222819</v>
      </c>
    </row>
    <row r="41" spans="1:20" x14ac:dyDescent="0.2">
      <c r="A41" s="5">
        <v>50</v>
      </c>
      <c r="B41" s="1">
        <f t="shared" si="13"/>
        <v>1.9964950187572048</v>
      </c>
      <c r="C41" s="5">
        <f t="shared" si="14"/>
        <v>86504.56686530335</v>
      </c>
      <c r="D41" s="5">
        <f t="shared" si="15"/>
        <v>84377.429859344251</v>
      </c>
      <c r="E41" s="5">
        <f t="shared" si="1"/>
        <v>74877.429859344251</v>
      </c>
      <c r="F41" s="5">
        <f t="shared" si="2"/>
        <v>28786.973835010325</v>
      </c>
      <c r="G41" s="5">
        <f t="shared" si="3"/>
        <v>55590.456024333922</v>
      </c>
      <c r="H41" s="22">
        <f t="shared" si="16"/>
        <v>36508.320167087164</v>
      </c>
      <c r="I41" s="5">
        <f t="shared" si="17"/>
        <v>91003.526586408465</v>
      </c>
      <c r="J41" s="26">
        <f t="shared" si="5"/>
        <v>0.23733138121472833</v>
      </c>
      <c r="L41" s="22">
        <f t="shared" si="18"/>
        <v>133844.05101412089</v>
      </c>
      <c r="M41" s="5">
        <f>scrimecost*Meta!O38</f>
        <v>618.26800000000003</v>
      </c>
      <c r="N41" s="5">
        <f>L41-Grade15!L41</f>
        <v>1250.730012798449</v>
      </c>
      <c r="O41" s="5">
        <f>Grade15!M41-M41</f>
        <v>4.3539999999999281</v>
      </c>
      <c r="P41" s="22">
        <f t="shared" si="12"/>
        <v>153.27757397822361</v>
      </c>
      <c r="Q41" s="22"/>
      <c r="R41" s="22"/>
      <c r="S41" s="22">
        <f t="shared" si="6"/>
        <v>1019.8922609121246</v>
      </c>
      <c r="T41" s="22">
        <f t="shared" si="7"/>
        <v>1736.111255939373</v>
      </c>
    </row>
    <row r="42" spans="1:20" x14ac:dyDescent="0.2">
      <c r="A42" s="5">
        <v>51</v>
      </c>
      <c r="B42" s="1">
        <f t="shared" si="13"/>
        <v>2.0464073942261352</v>
      </c>
      <c r="C42" s="5">
        <f t="shared" si="14"/>
        <v>88667.181036935945</v>
      </c>
      <c r="D42" s="5">
        <f t="shared" si="15"/>
        <v>86475.16560582786</v>
      </c>
      <c r="E42" s="5">
        <f t="shared" si="1"/>
        <v>76975.16560582786</v>
      </c>
      <c r="F42" s="5">
        <f t="shared" si="2"/>
        <v>29681.658130885582</v>
      </c>
      <c r="G42" s="5">
        <f t="shared" si="3"/>
        <v>56793.507474942278</v>
      </c>
      <c r="H42" s="22">
        <f t="shared" si="16"/>
        <v>37421.028171264341</v>
      </c>
      <c r="I42" s="5">
        <f t="shared" si="17"/>
        <v>93091.904801068682</v>
      </c>
      <c r="J42" s="26">
        <f t="shared" si="5"/>
        <v>0.23885796713219698</v>
      </c>
      <c r="L42" s="22">
        <f t="shared" si="18"/>
        <v>137190.15228947392</v>
      </c>
      <c r="M42" s="5">
        <f>scrimecost*Meta!O39</f>
        <v>618.26800000000003</v>
      </c>
      <c r="N42" s="5">
        <f>L42-Grade15!L42</f>
        <v>1281.9982631184394</v>
      </c>
      <c r="O42" s="5">
        <f>Grade15!M42-M42</f>
        <v>4.3539999999999281</v>
      </c>
      <c r="P42" s="22">
        <f t="shared" si="12"/>
        <v>157.29184354568119</v>
      </c>
      <c r="Q42" s="22"/>
      <c r="R42" s="22"/>
      <c r="S42" s="22">
        <f t="shared" si="6"/>
        <v>1045.4559200718038</v>
      </c>
      <c r="T42" s="22">
        <f t="shared" si="7"/>
        <v>1812.5721462461738</v>
      </c>
    </row>
    <row r="43" spans="1:20" x14ac:dyDescent="0.2">
      <c r="A43" s="5">
        <v>52</v>
      </c>
      <c r="B43" s="1">
        <f t="shared" si="13"/>
        <v>2.097567579081788</v>
      </c>
      <c r="C43" s="5">
        <f t="shared" si="14"/>
        <v>90883.860562859307</v>
      </c>
      <c r="D43" s="5">
        <f t="shared" si="15"/>
        <v>88625.344745973518</v>
      </c>
      <c r="E43" s="5">
        <f t="shared" si="1"/>
        <v>79125.344745973518</v>
      </c>
      <c r="F43" s="5">
        <f t="shared" si="2"/>
        <v>30598.709534157708</v>
      </c>
      <c r="G43" s="5">
        <f t="shared" si="3"/>
        <v>58026.63521181581</v>
      </c>
      <c r="H43" s="22">
        <f t="shared" si="16"/>
        <v>38356.553875545942</v>
      </c>
      <c r="I43" s="5">
        <f t="shared" si="17"/>
        <v>95232.492471095378</v>
      </c>
      <c r="J43" s="26">
        <f t="shared" si="5"/>
        <v>0.24034731924680053</v>
      </c>
      <c r="L43" s="22">
        <f t="shared" si="18"/>
        <v>140619.90609671074</v>
      </c>
      <c r="M43" s="5">
        <f>scrimecost*Meta!O40</f>
        <v>618.26800000000003</v>
      </c>
      <c r="N43" s="5">
        <f>L43-Grade15!L43</f>
        <v>1314.0482196963276</v>
      </c>
      <c r="O43" s="5">
        <f>Grade15!M43-M43</f>
        <v>4.3539999999999281</v>
      </c>
      <c r="P43" s="22">
        <f t="shared" si="12"/>
        <v>161.40646985232513</v>
      </c>
      <c r="Q43" s="22"/>
      <c r="R43" s="22"/>
      <c r="S43" s="22">
        <f t="shared" si="6"/>
        <v>1071.6586707104036</v>
      </c>
      <c r="T43" s="22">
        <f t="shared" si="7"/>
        <v>1892.3975496369007</v>
      </c>
    </row>
    <row r="44" spans="1:20" x14ac:dyDescent="0.2">
      <c r="A44" s="5">
        <v>53</v>
      </c>
      <c r="B44" s="1">
        <f t="shared" si="13"/>
        <v>2.1500067685588333</v>
      </c>
      <c r="C44" s="5">
        <f t="shared" si="14"/>
        <v>93155.957076930819</v>
      </c>
      <c r="D44" s="5">
        <f t="shared" si="15"/>
        <v>90829.278364622893</v>
      </c>
      <c r="E44" s="5">
        <f t="shared" si="1"/>
        <v>81329.278364622893</v>
      </c>
      <c r="F44" s="5">
        <f t="shared" si="2"/>
        <v>31538.687222511668</v>
      </c>
      <c r="G44" s="5">
        <f t="shared" si="3"/>
        <v>59290.591142111225</v>
      </c>
      <c r="H44" s="22">
        <f t="shared" si="16"/>
        <v>39315.467722434601</v>
      </c>
      <c r="I44" s="5">
        <f t="shared" si="17"/>
        <v>97426.594832872797</v>
      </c>
      <c r="J44" s="26">
        <f t="shared" si="5"/>
        <v>0.24180034570007236</v>
      </c>
      <c r="L44" s="22">
        <f t="shared" si="18"/>
        <v>144135.40374912857</v>
      </c>
      <c r="M44" s="5">
        <f>scrimecost*Meta!O41</f>
        <v>618.26800000000003</v>
      </c>
      <c r="N44" s="5">
        <f>L44-Grade15!L44</f>
        <v>1346.8994251888362</v>
      </c>
      <c r="O44" s="5">
        <f>Grade15!M44-M44</f>
        <v>4.3539999999999281</v>
      </c>
      <c r="P44" s="22">
        <f t="shared" si="12"/>
        <v>165.62396181663533</v>
      </c>
      <c r="Q44" s="22"/>
      <c r="R44" s="22"/>
      <c r="S44" s="22">
        <f t="shared" ref="S44:S69" si="19">IF(A44&lt;startage,1,0)*(N44-Q44-R44)+IF(A44&gt;=startage,1,0)*completionprob*(N44*spart+O44+P44)</f>
        <v>1098.5164901150899</v>
      </c>
      <c r="T44" s="22">
        <f t="shared" ref="T44:T69" si="20">S44/sreturn^(A44-startage+1)</f>
        <v>1975.735460693908</v>
      </c>
    </row>
    <row r="45" spans="1:20" x14ac:dyDescent="0.2">
      <c r="A45" s="5">
        <v>54</v>
      </c>
      <c r="B45" s="1">
        <f t="shared" si="13"/>
        <v>2.2037569377728037</v>
      </c>
      <c r="C45" s="5">
        <f t="shared" si="14"/>
        <v>95484.856003854075</v>
      </c>
      <c r="D45" s="5">
        <f t="shared" si="15"/>
        <v>93088.310323738449</v>
      </c>
      <c r="E45" s="5">
        <f t="shared" si="1"/>
        <v>83588.310323738449</v>
      </c>
      <c r="F45" s="5">
        <f t="shared" si="2"/>
        <v>32502.164353074448</v>
      </c>
      <c r="G45" s="5">
        <f t="shared" si="3"/>
        <v>60586.145970664002</v>
      </c>
      <c r="H45" s="22">
        <f t="shared" si="16"/>
        <v>40298.354415495465</v>
      </c>
      <c r="I45" s="5">
        <f t="shared" si="17"/>
        <v>99675.549753694591</v>
      </c>
      <c r="J45" s="26">
        <f t="shared" si="5"/>
        <v>0.24321793248375206</v>
      </c>
      <c r="L45" s="22">
        <f t="shared" si="18"/>
        <v>147738.78884285671</v>
      </c>
      <c r="M45" s="5">
        <f>scrimecost*Meta!O42</f>
        <v>618.26800000000003</v>
      </c>
      <c r="N45" s="5">
        <f>L45-Grade15!L45</f>
        <v>1380.5719108184858</v>
      </c>
      <c r="O45" s="5">
        <f>Grade15!M45-M45</f>
        <v>4.3539999999999281</v>
      </c>
      <c r="P45" s="22">
        <f t="shared" si="12"/>
        <v>169.94689108005306</v>
      </c>
      <c r="Q45" s="22"/>
      <c r="R45" s="22"/>
      <c r="S45" s="22">
        <f t="shared" si="19"/>
        <v>1126.0457550047731</v>
      </c>
      <c r="T45" s="22">
        <f t="shared" si="20"/>
        <v>2062.7403828209126</v>
      </c>
    </row>
    <row r="46" spans="1:20" x14ac:dyDescent="0.2">
      <c r="A46" s="5">
        <v>55</v>
      </c>
      <c r="B46" s="1">
        <f t="shared" si="13"/>
        <v>2.2588508612171236</v>
      </c>
      <c r="C46" s="5">
        <f t="shared" si="14"/>
        <v>97871.977403950426</v>
      </c>
      <c r="D46" s="5">
        <f t="shared" si="15"/>
        <v>95403.818081831909</v>
      </c>
      <c r="E46" s="5">
        <f t="shared" si="1"/>
        <v>85903.818081831909</v>
      </c>
      <c r="F46" s="5">
        <f t="shared" si="2"/>
        <v>33558.842954356267</v>
      </c>
      <c r="G46" s="5">
        <f t="shared" si="3"/>
        <v>61844.975127475642</v>
      </c>
      <c r="H46" s="22">
        <f t="shared" si="16"/>
        <v>41305.813275882843</v>
      </c>
      <c r="I46" s="5">
        <f t="shared" si="17"/>
        <v>101911.614005082</v>
      </c>
      <c r="J46" s="26">
        <f t="shared" si="5"/>
        <v>0.24511289423642466</v>
      </c>
      <c r="L46" s="22">
        <f t="shared" si="18"/>
        <v>151432.25856392816</v>
      </c>
      <c r="M46" s="5">
        <f>scrimecost*Meta!O43</f>
        <v>342.92999999999995</v>
      </c>
      <c r="N46" s="5">
        <f>L46-Grade15!L46</f>
        <v>1415.0862085889967</v>
      </c>
      <c r="O46" s="5">
        <f>Grade15!M46-M46</f>
        <v>2.4150000000000205</v>
      </c>
      <c r="P46" s="22">
        <f t="shared" si="12"/>
        <v>174.68799670945228</v>
      </c>
      <c r="Q46" s="22"/>
      <c r="R46" s="22"/>
      <c r="S46" s="22">
        <f t="shared" si="19"/>
        <v>1152.7923576471419</v>
      </c>
      <c r="T46" s="22">
        <f t="shared" si="20"/>
        <v>2150.8292853873068</v>
      </c>
    </row>
    <row r="47" spans="1:20" x14ac:dyDescent="0.2">
      <c r="A47" s="5">
        <v>56</v>
      </c>
      <c r="B47" s="1">
        <f t="shared" si="13"/>
        <v>2.3153221327475517</v>
      </c>
      <c r="C47" s="5">
        <f t="shared" si="14"/>
        <v>100318.77683904918</v>
      </c>
      <c r="D47" s="5">
        <f t="shared" si="15"/>
        <v>97777.213533877701</v>
      </c>
      <c r="E47" s="5">
        <f t="shared" si="1"/>
        <v>88277.213533877701</v>
      </c>
      <c r="F47" s="5">
        <f t="shared" si="2"/>
        <v>34642.297978215174</v>
      </c>
      <c r="G47" s="5">
        <f t="shared" si="3"/>
        <v>63134.915555662526</v>
      </c>
      <c r="H47" s="22">
        <f t="shared" si="16"/>
        <v>42338.458607779918</v>
      </c>
      <c r="I47" s="5">
        <f t="shared" si="17"/>
        <v>104203.22040520905</v>
      </c>
      <c r="J47" s="26">
        <f t="shared" si="5"/>
        <v>0.24696423506832302</v>
      </c>
      <c r="L47" s="22">
        <f t="shared" si="18"/>
        <v>155218.06502802632</v>
      </c>
      <c r="M47" s="5">
        <f>scrimecost*Meta!O44</f>
        <v>342.92999999999995</v>
      </c>
      <c r="N47" s="5">
        <f>L47-Grade15!L47</f>
        <v>1450.4633638036903</v>
      </c>
      <c r="O47" s="5">
        <f>Grade15!M47-M47</f>
        <v>2.4150000000000205</v>
      </c>
      <c r="P47" s="22">
        <f t="shared" si="12"/>
        <v>179.54924279372713</v>
      </c>
      <c r="Q47" s="22"/>
      <c r="R47" s="22"/>
      <c r="S47" s="22">
        <f t="shared" si="19"/>
        <v>1182.0037716516827</v>
      </c>
      <c r="T47" s="22">
        <f t="shared" si="20"/>
        <v>2246.1566122744425</v>
      </c>
    </row>
    <row r="48" spans="1:20" x14ac:dyDescent="0.2">
      <c r="A48" s="5">
        <v>57</v>
      </c>
      <c r="B48" s="1">
        <f t="shared" si="13"/>
        <v>2.3732051860662402</v>
      </c>
      <c r="C48" s="5">
        <f t="shared" si="14"/>
        <v>102826.74626002541</v>
      </c>
      <c r="D48" s="5">
        <f t="shared" si="15"/>
        <v>100209.94387222464</v>
      </c>
      <c r="E48" s="5">
        <f t="shared" si="1"/>
        <v>90709.943872224641</v>
      </c>
      <c r="F48" s="5">
        <f t="shared" si="2"/>
        <v>35752.839377670549</v>
      </c>
      <c r="G48" s="5">
        <f t="shared" si="3"/>
        <v>64457.104494554093</v>
      </c>
      <c r="H48" s="22">
        <f t="shared" si="16"/>
        <v>43396.920072974412</v>
      </c>
      <c r="I48" s="5">
        <f t="shared" si="17"/>
        <v>106552.11696533927</v>
      </c>
      <c r="J48" s="26">
        <f t="shared" si="5"/>
        <v>0.24877042124578483</v>
      </c>
      <c r="L48" s="22">
        <f t="shared" si="18"/>
        <v>159098.51665372698</v>
      </c>
      <c r="M48" s="5">
        <f>scrimecost*Meta!O45</f>
        <v>342.92999999999995</v>
      </c>
      <c r="N48" s="5">
        <f>L48-Grade15!L48</f>
        <v>1486.7249478987651</v>
      </c>
      <c r="O48" s="5">
        <f>Grade15!M48-M48</f>
        <v>2.4150000000000205</v>
      </c>
      <c r="P48" s="22">
        <f t="shared" si="12"/>
        <v>184.53202003010884</v>
      </c>
      <c r="Q48" s="22"/>
      <c r="R48" s="22"/>
      <c r="S48" s="22">
        <f t="shared" si="19"/>
        <v>1211.9454710063469</v>
      </c>
      <c r="T48" s="22">
        <f t="shared" si="20"/>
        <v>2345.6897543101031</v>
      </c>
    </row>
    <row r="49" spans="1:20" x14ac:dyDescent="0.2">
      <c r="A49" s="5">
        <v>58</v>
      </c>
      <c r="B49" s="1">
        <f t="shared" si="13"/>
        <v>2.4325353157178964</v>
      </c>
      <c r="C49" s="5">
        <f t="shared" si="14"/>
        <v>105397.41491652605</v>
      </c>
      <c r="D49" s="5">
        <f t="shared" si="15"/>
        <v>102703.49246903026</v>
      </c>
      <c r="E49" s="5">
        <f t="shared" si="1"/>
        <v>93203.492469030258</v>
      </c>
      <c r="F49" s="5">
        <f t="shared" si="2"/>
        <v>36891.144312112316</v>
      </c>
      <c r="G49" s="5">
        <f t="shared" si="3"/>
        <v>65812.348156917942</v>
      </c>
      <c r="H49" s="22">
        <f t="shared" si="16"/>
        <v>44481.843074798766</v>
      </c>
      <c r="I49" s="5">
        <f t="shared" si="17"/>
        <v>108959.73593947274</v>
      </c>
      <c r="J49" s="26">
        <f t="shared" si="5"/>
        <v>0.25053255410184516</v>
      </c>
      <c r="L49" s="22">
        <f t="shared" si="18"/>
        <v>163075.97957007017</v>
      </c>
      <c r="M49" s="5">
        <f>scrimecost*Meta!O46</f>
        <v>342.92999999999995</v>
      </c>
      <c r="N49" s="5">
        <f>L49-Grade15!L49</f>
        <v>1523.8930715962488</v>
      </c>
      <c r="O49" s="5">
        <f>Grade15!M49-M49</f>
        <v>2.4150000000000205</v>
      </c>
      <c r="P49" s="22">
        <f t="shared" si="12"/>
        <v>189.63936669740016</v>
      </c>
      <c r="Q49" s="22"/>
      <c r="R49" s="22"/>
      <c r="S49" s="22">
        <f t="shared" si="19"/>
        <v>1242.6357128449001</v>
      </c>
      <c r="T49" s="22">
        <f t="shared" si="20"/>
        <v>2449.6139181150788</v>
      </c>
    </row>
    <row r="50" spans="1:20" x14ac:dyDescent="0.2">
      <c r="A50" s="5">
        <v>59</v>
      </c>
      <c r="B50" s="1">
        <f t="shared" si="13"/>
        <v>2.4933486986108435</v>
      </c>
      <c r="C50" s="5">
        <f t="shared" si="14"/>
        <v>108032.35028943919</v>
      </c>
      <c r="D50" s="5">
        <f t="shared" si="15"/>
        <v>105259.379780756</v>
      </c>
      <c r="E50" s="5">
        <f t="shared" si="1"/>
        <v>95759.379780756004</v>
      </c>
      <c r="F50" s="5">
        <f t="shared" si="2"/>
        <v>38057.906869915118</v>
      </c>
      <c r="G50" s="5">
        <f t="shared" si="3"/>
        <v>67201.472910840879</v>
      </c>
      <c r="H50" s="22">
        <f t="shared" si="16"/>
        <v>45593.889151668729</v>
      </c>
      <c r="I50" s="5">
        <f t="shared" si="17"/>
        <v>111427.54538795954</v>
      </c>
      <c r="J50" s="26">
        <f t="shared" si="5"/>
        <v>0.25225170810775771</v>
      </c>
      <c r="L50" s="22">
        <f t="shared" si="18"/>
        <v>167152.87905932192</v>
      </c>
      <c r="M50" s="5">
        <f>scrimecost*Meta!O47</f>
        <v>342.92999999999995</v>
      </c>
      <c r="N50" s="5">
        <f>L50-Grade15!L50</f>
        <v>1561.9903983862023</v>
      </c>
      <c r="O50" s="5">
        <f>Grade15!M50-M50</f>
        <v>2.4150000000000205</v>
      </c>
      <c r="P50" s="22">
        <f t="shared" si="12"/>
        <v>194.87439703137377</v>
      </c>
      <c r="Q50" s="22"/>
      <c r="R50" s="22"/>
      <c r="S50" s="22">
        <f t="shared" si="19"/>
        <v>1274.0932107294402</v>
      </c>
      <c r="T50" s="22">
        <f t="shared" si="20"/>
        <v>2558.1224595307467</v>
      </c>
    </row>
    <row r="51" spans="1:20" x14ac:dyDescent="0.2">
      <c r="A51" s="5">
        <v>60</v>
      </c>
      <c r="B51" s="1">
        <f t="shared" si="13"/>
        <v>2.555682416076114</v>
      </c>
      <c r="C51" s="5">
        <f t="shared" si="14"/>
        <v>110733.15904667514</v>
      </c>
      <c r="D51" s="5">
        <f t="shared" si="15"/>
        <v>107879.16427527487</v>
      </c>
      <c r="E51" s="5">
        <f t="shared" si="1"/>
        <v>98379.164275274874</v>
      </c>
      <c r="F51" s="5">
        <f t="shared" si="2"/>
        <v>39186.930306595939</v>
      </c>
      <c r="G51" s="5">
        <f t="shared" si="3"/>
        <v>68692.233968678935</v>
      </c>
      <c r="H51" s="22">
        <f t="shared" si="16"/>
        <v>46733.736380460439</v>
      </c>
      <c r="I51" s="5">
        <f t="shared" si="17"/>
        <v>114023.95825772555</v>
      </c>
      <c r="J51" s="26">
        <f t="shared" si="5"/>
        <v>0.25349088700971517</v>
      </c>
      <c r="L51" s="22">
        <f t="shared" si="18"/>
        <v>171331.70103580493</v>
      </c>
      <c r="M51" s="5">
        <f>scrimecost*Meta!O48</f>
        <v>180.90799999999999</v>
      </c>
      <c r="N51" s="5">
        <f>L51-Grade15!L51</f>
        <v>1601.0401583458006</v>
      </c>
      <c r="O51" s="5">
        <f>Grade15!M51-M51</f>
        <v>1.2740000000000009</v>
      </c>
      <c r="P51" s="22">
        <f t="shared" si="12"/>
        <v>199.94009947379831</v>
      </c>
      <c r="Q51" s="22"/>
      <c r="R51" s="22"/>
      <c r="S51" s="22">
        <f t="shared" si="19"/>
        <v>1305.0357391651621</v>
      </c>
      <c r="T51" s="22">
        <f t="shared" si="20"/>
        <v>2668.7559070301968</v>
      </c>
    </row>
    <row r="52" spans="1:20" x14ac:dyDescent="0.2">
      <c r="A52" s="5">
        <v>61</v>
      </c>
      <c r="B52" s="1">
        <f t="shared" si="13"/>
        <v>2.6195744764780171</v>
      </c>
      <c r="C52" s="5">
        <f t="shared" si="14"/>
        <v>113501.48802284202</v>
      </c>
      <c r="D52" s="5">
        <f t="shared" si="15"/>
        <v>110564.44338215677</v>
      </c>
      <c r="E52" s="5">
        <f t="shared" si="1"/>
        <v>101064.44338215677</v>
      </c>
      <c r="F52" s="5">
        <f t="shared" si="2"/>
        <v>40246.272914260837</v>
      </c>
      <c r="G52" s="5">
        <f t="shared" si="3"/>
        <v>70318.170467895921</v>
      </c>
      <c r="H52" s="22">
        <f t="shared" si="16"/>
        <v>47902.079789971955</v>
      </c>
      <c r="I52" s="5">
        <f t="shared" si="17"/>
        <v>116783.18786416872</v>
      </c>
      <c r="J52" s="26">
        <f t="shared" si="5"/>
        <v>0.25407448753021178</v>
      </c>
      <c r="L52" s="22">
        <f t="shared" si="18"/>
        <v>175614.99356170004</v>
      </c>
      <c r="M52" s="5">
        <f>scrimecost*Meta!O49</f>
        <v>180.90799999999999</v>
      </c>
      <c r="N52" s="5">
        <f>L52-Grade15!L52</f>
        <v>1641.0661623044871</v>
      </c>
      <c r="O52" s="5">
        <f>Grade15!M52-M52</f>
        <v>1.2740000000000009</v>
      </c>
      <c r="P52" s="22">
        <f t="shared" si="12"/>
        <v>204.69315796724169</v>
      </c>
      <c r="Q52" s="22"/>
      <c r="R52" s="22"/>
      <c r="S52" s="22">
        <f t="shared" si="19"/>
        <v>1337.4112361682787</v>
      </c>
      <c r="T52" s="22">
        <f t="shared" si="20"/>
        <v>2785.5934665237564</v>
      </c>
    </row>
    <row r="53" spans="1:20" x14ac:dyDescent="0.2">
      <c r="A53" s="5">
        <v>62</v>
      </c>
      <c r="B53" s="1">
        <f t="shared" si="13"/>
        <v>2.6850638383899672</v>
      </c>
      <c r="C53" s="5">
        <f t="shared" si="14"/>
        <v>116339.02522341306</v>
      </c>
      <c r="D53" s="5">
        <f t="shared" si="15"/>
        <v>113316.85446671066</v>
      </c>
      <c r="E53" s="5">
        <f t="shared" si="1"/>
        <v>103816.85446671066</v>
      </c>
      <c r="F53" s="5">
        <f t="shared" si="2"/>
        <v>41332.099087117356</v>
      </c>
      <c r="G53" s="5">
        <f t="shared" si="3"/>
        <v>71984.755379593305</v>
      </c>
      <c r="H53" s="22">
        <f t="shared" si="16"/>
        <v>49099.631784721249</v>
      </c>
      <c r="I53" s="5">
        <f t="shared" si="17"/>
        <v>119611.39821077292</v>
      </c>
      <c r="J53" s="26">
        <f t="shared" si="5"/>
        <v>0.25464385389167193</v>
      </c>
      <c r="L53" s="22">
        <f t="shared" si="18"/>
        <v>180005.36840074253</v>
      </c>
      <c r="M53" s="5">
        <f>scrimecost*Meta!O50</f>
        <v>180.90799999999999</v>
      </c>
      <c r="N53" s="5">
        <f>L53-Grade15!L53</f>
        <v>1682.0928163620702</v>
      </c>
      <c r="O53" s="5">
        <f>Grade15!M53-M53</f>
        <v>1.2740000000000009</v>
      </c>
      <c r="P53" s="22">
        <f t="shared" si="12"/>
        <v>209.56504292302122</v>
      </c>
      <c r="Q53" s="22"/>
      <c r="R53" s="22"/>
      <c r="S53" s="22">
        <f t="shared" si="19"/>
        <v>1370.5961205964238</v>
      </c>
      <c r="T53" s="22">
        <f t="shared" si="20"/>
        <v>2907.5593269893989</v>
      </c>
    </row>
    <row r="54" spans="1:20" x14ac:dyDescent="0.2">
      <c r="A54" s="5">
        <v>63</v>
      </c>
      <c r="B54" s="1">
        <f t="shared" si="13"/>
        <v>2.7521904343497163</v>
      </c>
      <c r="C54" s="5">
        <f t="shared" si="14"/>
        <v>119247.5008539984</v>
      </c>
      <c r="D54" s="5">
        <f t="shared" si="15"/>
        <v>116138.07582837844</v>
      </c>
      <c r="E54" s="5">
        <f t="shared" si="1"/>
        <v>106638.07582837844</v>
      </c>
      <c r="F54" s="5">
        <f t="shared" si="2"/>
        <v>42445.070914295291</v>
      </c>
      <c r="G54" s="5">
        <f t="shared" si="3"/>
        <v>73693.00491408314</v>
      </c>
      <c r="H54" s="22">
        <f t="shared" si="16"/>
        <v>50327.12257933928</v>
      </c>
      <c r="I54" s="5">
        <f t="shared" si="17"/>
        <v>122510.31381604224</v>
      </c>
      <c r="J54" s="26">
        <f t="shared" si="5"/>
        <v>0.25519933326870614</v>
      </c>
      <c r="L54" s="22">
        <f t="shared" si="18"/>
        <v>184505.50261076112</v>
      </c>
      <c r="M54" s="5">
        <f>scrimecost*Meta!O51</f>
        <v>180.90799999999999</v>
      </c>
      <c r="N54" s="5">
        <f>L54-Grade15!L54</f>
        <v>1724.1451367711707</v>
      </c>
      <c r="O54" s="5">
        <f>Grade15!M54-M54</f>
        <v>1.2740000000000009</v>
      </c>
      <c r="P54" s="22">
        <f t="shared" si="12"/>
        <v>214.55872500269521</v>
      </c>
      <c r="Q54" s="22"/>
      <c r="R54" s="22"/>
      <c r="S54" s="22">
        <f t="shared" si="19"/>
        <v>1404.6106271353271</v>
      </c>
      <c r="T54" s="22">
        <f t="shared" si="20"/>
        <v>3034.8788277868225</v>
      </c>
    </row>
    <row r="55" spans="1:20" x14ac:dyDescent="0.2">
      <c r="A55" s="5">
        <v>64</v>
      </c>
      <c r="B55" s="1">
        <f t="shared" si="13"/>
        <v>2.8209951952084591</v>
      </c>
      <c r="C55" s="5">
        <f t="shared" si="14"/>
        <v>122228.68837534834</v>
      </c>
      <c r="D55" s="5">
        <f t="shared" si="15"/>
        <v>119029.82772408788</v>
      </c>
      <c r="E55" s="5">
        <f t="shared" si="1"/>
        <v>109529.82772408788</v>
      </c>
      <c r="F55" s="5">
        <f t="shared" si="2"/>
        <v>43585.867037152668</v>
      </c>
      <c r="G55" s="5">
        <f t="shared" si="3"/>
        <v>75443.960686935214</v>
      </c>
      <c r="H55" s="22">
        <f t="shared" si="16"/>
        <v>51585.30064382276</v>
      </c>
      <c r="I55" s="5">
        <f t="shared" si="17"/>
        <v>125481.70231144328</v>
      </c>
      <c r="J55" s="26">
        <f t="shared" si="5"/>
        <v>0.25574126436825168</v>
      </c>
      <c r="L55" s="22">
        <f t="shared" si="18"/>
        <v>189118.14017603011</v>
      </c>
      <c r="M55" s="5">
        <f>scrimecost*Meta!O52</f>
        <v>180.90799999999999</v>
      </c>
      <c r="N55" s="5">
        <f>L55-Grade15!L55</f>
        <v>1767.2487651903648</v>
      </c>
      <c r="O55" s="5">
        <f>Grade15!M55-M55</f>
        <v>1.2740000000000009</v>
      </c>
      <c r="P55" s="22">
        <f t="shared" si="12"/>
        <v>219.67724913436098</v>
      </c>
      <c r="Q55" s="22"/>
      <c r="R55" s="22"/>
      <c r="S55" s="22">
        <f t="shared" si="19"/>
        <v>1439.4754963376088</v>
      </c>
      <c r="T55" s="22">
        <f t="shared" si="20"/>
        <v>3167.7872143112199</v>
      </c>
    </row>
    <row r="56" spans="1:20" x14ac:dyDescent="0.2">
      <c r="A56" s="5">
        <v>65</v>
      </c>
      <c r="B56" s="1">
        <f t="shared" si="13"/>
        <v>2.8915200750886707</v>
      </c>
      <c r="C56" s="5">
        <f t="shared" si="14"/>
        <v>125284.40558473206</v>
      </c>
      <c r="D56" s="5">
        <f t="shared" si="15"/>
        <v>121993.87341719009</v>
      </c>
      <c r="E56" s="5">
        <f t="shared" si="1"/>
        <v>112493.87341719009</v>
      </c>
      <c r="F56" s="5">
        <f t="shared" si="2"/>
        <v>44755.183063081487</v>
      </c>
      <c r="G56" s="5">
        <f t="shared" si="3"/>
        <v>77238.690354108607</v>
      </c>
      <c r="H56" s="22">
        <f t="shared" si="16"/>
        <v>52874.933159918335</v>
      </c>
      <c r="I56" s="5">
        <f t="shared" si="17"/>
        <v>128527.37551922939</v>
      </c>
      <c r="J56" s="26">
        <f t="shared" si="5"/>
        <v>0.25626997763610104</v>
      </c>
      <c r="L56" s="22">
        <f t="shared" si="18"/>
        <v>193846.09368043087</v>
      </c>
      <c r="M56" s="5">
        <f>scrimecost*Meta!O53</f>
        <v>54.67</v>
      </c>
      <c r="N56" s="5">
        <f>L56-Grade15!L56</f>
        <v>1811.429984320217</v>
      </c>
      <c r="O56" s="5">
        <f>Grade15!M56-M56</f>
        <v>0.38499999999999801</v>
      </c>
      <c r="P56" s="22">
        <f t="shared" si="12"/>
        <v>224.92373636931848</v>
      </c>
      <c r="Q56" s="22"/>
      <c r="R56" s="22"/>
      <c r="S56" s="22">
        <f t="shared" si="19"/>
        <v>1474.4092202700729</v>
      </c>
      <c r="T56" s="22">
        <f t="shared" si="20"/>
        <v>3304.7307570818934</v>
      </c>
    </row>
    <row r="57" spans="1:20" x14ac:dyDescent="0.2">
      <c r="A57" s="5">
        <v>66</v>
      </c>
      <c r="C57" s="5"/>
      <c r="H57" s="21"/>
      <c r="I57" s="5"/>
      <c r="M57" s="5">
        <f>scrimecost*Meta!O54</f>
        <v>54.67</v>
      </c>
      <c r="N57" s="5">
        <f>L57-Grade15!L57</f>
        <v>0</v>
      </c>
      <c r="O57" s="5">
        <f>Grade15!M57-M57</f>
        <v>0.38499999999999801</v>
      </c>
      <c r="Q57" s="22"/>
      <c r="R57" s="22"/>
      <c r="S57" s="22">
        <f t="shared" si="19"/>
        <v>0.34765499999999822</v>
      </c>
      <c r="T57" s="22">
        <f t="shared" si="20"/>
        <v>0.79365698593046818</v>
      </c>
    </row>
    <row r="58" spans="1:20" x14ac:dyDescent="0.2">
      <c r="A58" s="5">
        <v>67</v>
      </c>
      <c r="C58" s="5"/>
      <c r="H58" s="21"/>
      <c r="I58" s="5"/>
      <c r="M58" s="5">
        <f>scrimecost*Meta!O55</f>
        <v>54.67</v>
      </c>
      <c r="N58" s="5">
        <f>L58-Grade15!L58</f>
        <v>0</v>
      </c>
      <c r="O58" s="5">
        <f>Grade15!M58-M58</f>
        <v>0.38499999999999801</v>
      </c>
      <c r="Q58" s="22"/>
      <c r="R58" s="22"/>
      <c r="S58" s="22">
        <f t="shared" si="19"/>
        <v>0.34765499999999822</v>
      </c>
      <c r="T58" s="22">
        <f t="shared" si="20"/>
        <v>0.808349478634663</v>
      </c>
    </row>
    <row r="59" spans="1:20" x14ac:dyDescent="0.2">
      <c r="A59" s="5">
        <v>68</v>
      </c>
      <c r="H59" s="21"/>
      <c r="I59" s="5"/>
      <c r="M59" s="5">
        <f>scrimecost*Meta!O56</f>
        <v>54.67</v>
      </c>
      <c r="N59" s="5">
        <f>L59-Grade15!L59</f>
        <v>0</v>
      </c>
      <c r="O59" s="5">
        <f>Grade15!M59-M59</f>
        <v>0.38499999999999801</v>
      </c>
      <c r="Q59" s="22"/>
      <c r="R59" s="22"/>
      <c r="S59" s="22">
        <f t="shared" si="19"/>
        <v>0.34765499999999822</v>
      </c>
      <c r="T59" s="22">
        <f t="shared" si="20"/>
        <v>0.82331396458743944</v>
      </c>
    </row>
    <row r="60" spans="1:20" x14ac:dyDescent="0.2">
      <c r="A60" s="5">
        <v>69</v>
      </c>
      <c r="H60" s="21"/>
      <c r="I60" s="5"/>
      <c r="M60" s="5">
        <f>scrimecost*Meta!O57</f>
        <v>54.67</v>
      </c>
      <c r="N60" s="5">
        <f>L60-Grade15!L60</f>
        <v>0</v>
      </c>
      <c r="O60" s="5">
        <f>Grade15!M60-M60</f>
        <v>0.38499999999999801</v>
      </c>
      <c r="Q60" s="22"/>
      <c r="R60" s="22"/>
      <c r="S60" s="22">
        <f t="shared" si="19"/>
        <v>0.34765499999999822</v>
      </c>
      <c r="T60" s="22">
        <f t="shared" si="20"/>
        <v>0.838555479035625</v>
      </c>
    </row>
    <row r="61" spans="1:20" x14ac:dyDescent="0.2">
      <c r="A61" s="5">
        <v>70</v>
      </c>
      <c r="H61" s="21"/>
      <c r="I61" s="5"/>
      <c r="M61" s="5">
        <f>scrimecost*Meta!O58</f>
        <v>54.67</v>
      </c>
      <c r="N61" s="5">
        <f>L61-Grade15!L61</f>
        <v>0</v>
      </c>
      <c r="O61" s="5">
        <f>Grade15!M61-M61</f>
        <v>0.38499999999999801</v>
      </c>
      <c r="Q61" s="22"/>
      <c r="R61" s="22"/>
      <c r="S61" s="22">
        <f t="shared" si="19"/>
        <v>0.34765499999999822</v>
      </c>
      <c r="T61" s="22">
        <f t="shared" si="20"/>
        <v>0.85407915044053206</v>
      </c>
    </row>
    <row r="62" spans="1:20" x14ac:dyDescent="0.2">
      <c r="A62" s="5">
        <v>71</v>
      </c>
      <c r="H62" s="21"/>
      <c r="I62" s="5"/>
      <c r="M62" s="5">
        <f>scrimecost*Meta!O59</f>
        <v>54.67</v>
      </c>
      <c r="N62" s="5">
        <f>L62-Grade15!L62</f>
        <v>0</v>
      </c>
      <c r="O62" s="5">
        <f>Grade15!M62-M62</f>
        <v>0.38499999999999801</v>
      </c>
      <c r="Q62" s="22"/>
      <c r="R62" s="22"/>
      <c r="S62" s="22">
        <f t="shared" si="19"/>
        <v>0.34765499999999822</v>
      </c>
      <c r="T62" s="22">
        <f t="shared" si="20"/>
        <v>0.86989020220358138</v>
      </c>
    </row>
    <row r="63" spans="1:20" x14ac:dyDescent="0.2">
      <c r="A63" s="5">
        <v>72</v>
      </c>
      <c r="H63" s="21"/>
      <c r="M63" s="5">
        <f>scrimecost*Meta!O60</f>
        <v>54.67</v>
      </c>
      <c r="N63" s="5">
        <f>L63-Grade15!L63</f>
        <v>0</v>
      </c>
      <c r="O63" s="5">
        <f>Grade15!M63-M63</f>
        <v>0.38499999999999801</v>
      </c>
      <c r="Q63" s="22"/>
      <c r="R63" s="22"/>
      <c r="S63" s="22">
        <f t="shared" si="19"/>
        <v>0.34765499999999822</v>
      </c>
      <c r="T63" s="22">
        <f t="shared" si="20"/>
        <v>0.88599395442387163</v>
      </c>
    </row>
    <row r="64" spans="1:20" x14ac:dyDescent="0.2">
      <c r="A64" s="5">
        <v>73</v>
      </c>
      <c r="H64" s="21"/>
      <c r="M64" s="5">
        <f>scrimecost*Meta!O61</f>
        <v>54.67</v>
      </c>
      <c r="N64" s="5">
        <f>L64-Grade15!L64</f>
        <v>0</v>
      </c>
      <c r="O64" s="5">
        <f>Grade15!M64-M64</f>
        <v>0.38499999999999801</v>
      </c>
      <c r="Q64" s="22"/>
      <c r="R64" s="22"/>
      <c r="S64" s="22">
        <f t="shared" si="19"/>
        <v>0.34765499999999822</v>
      </c>
      <c r="T64" s="22">
        <f t="shared" si="20"/>
        <v>0.90239582568828436</v>
      </c>
    </row>
    <row r="65" spans="1:20" x14ac:dyDescent="0.2">
      <c r="A65" s="5">
        <v>74</v>
      </c>
      <c r="H65" s="21"/>
      <c r="M65" s="5">
        <f>scrimecost*Meta!O62</f>
        <v>54.67</v>
      </c>
      <c r="N65" s="5">
        <f>L65-Grade15!L65</f>
        <v>0</v>
      </c>
      <c r="O65" s="5">
        <f>Grade15!M65-M65</f>
        <v>0.38499999999999801</v>
      </c>
      <c r="Q65" s="22"/>
      <c r="R65" s="22"/>
      <c r="S65" s="22">
        <f t="shared" si="19"/>
        <v>0.34765499999999822</v>
      </c>
      <c r="T65" s="22">
        <f t="shared" si="20"/>
        <v>0.91910133489472945</v>
      </c>
    </row>
    <row r="66" spans="1:20" x14ac:dyDescent="0.2">
      <c r="A66" s="5">
        <v>75</v>
      </c>
      <c r="H66" s="21"/>
      <c r="M66" s="5">
        <f>scrimecost*Meta!O63</f>
        <v>54.67</v>
      </c>
      <c r="N66" s="5">
        <f>L66-Grade15!L66</f>
        <v>0</v>
      </c>
      <c r="O66" s="5">
        <f>Grade15!M66-M66</f>
        <v>0.38499999999999801</v>
      </c>
      <c r="Q66" s="22"/>
      <c r="R66" s="22"/>
      <c r="S66" s="22">
        <f t="shared" si="19"/>
        <v>0.34765499999999822</v>
      </c>
      <c r="T66" s="22">
        <f t="shared" si="20"/>
        <v>0.93611610310914228</v>
      </c>
    </row>
    <row r="67" spans="1:20" x14ac:dyDescent="0.2">
      <c r="A67" s="5">
        <v>76</v>
      </c>
      <c r="H67" s="21"/>
      <c r="M67" s="5">
        <f>scrimecost*Meta!O64</f>
        <v>54.67</v>
      </c>
      <c r="N67" s="5">
        <f>L67-Grade15!L67</f>
        <v>0</v>
      </c>
      <c r="O67" s="5">
        <f>Grade15!M67-M67</f>
        <v>0.38499999999999801</v>
      </c>
      <c r="Q67" s="22"/>
      <c r="R67" s="22"/>
      <c r="S67" s="22">
        <f t="shared" si="19"/>
        <v>0.34765499999999822</v>
      </c>
      <c r="T67" s="22">
        <f t="shared" si="20"/>
        <v>0.95344585545685911</v>
      </c>
    </row>
    <row r="68" spans="1:20" x14ac:dyDescent="0.2">
      <c r="A68" s="5">
        <v>77</v>
      </c>
      <c r="H68" s="21"/>
      <c r="M68" s="5">
        <f>scrimecost*Meta!O65</f>
        <v>54.67</v>
      </c>
      <c r="N68" s="5">
        <f>L68-Grade15!L68</f>
        <v>0</v>
      </c>
      <c r="O68" s="5">
        <f>Grade15!M68-M68</f>
        <v>0.38499999999999801</v>
      </c>
      <c r="Q68" s="22"/>
      <c r="R68" s="22"/>
      <c r="S68" s="22">
        <f t="shared" si="19"/>
        <v>0.34765499999999822</v>
      </c>
      <c r="T68" s="22">
        <f t="shared" si="20"/>
        <v>0.97109642304900523</v>
      </c>
    </row>
    <row r="69" spans="1:20" x14ac:dyDescent="0.2">
      <c r="A69" s="5">
        <v>78</v>
      </c>
      <c r="H69" s="21"/>
      <c r="M69" s="5">
        <f>scrimecost*Meta!O66</f>
        <v>54.67</v>
      </c>
      <c r="N69" s="5">
        <f>L69-Grade15!L69</f>
        <v>0</v>
      </c>
      <c r="O69" s="5">
        <f>Grade15!M69-M69</f>
        <v>0.38499999999999801</v>
      </c>
      <c r="Q69" s="22"/>
      <c r="R69" s="22"/>
      <c r="S69" s="22">
        <f t="shared" si="19"/>
        <v>0.34765499999999822</v>
      </c>
      <c r="T69" s="22">
        <f t="shared" si="20"/>
        <v>0.98907374494454658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3.5777036888617886E-10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Meta!A11+6</f>
        <v>23</v>
      </c>
      <c r="C2" s="7">
        <f>Meta!B11</f>
        <v>78968</v>
      </c>
      <c r="D2" s="7">
        <f>Meta!C11</f>
        <v>33191</v>
      </c>
      <c r="E2" s="1">
        <f>Meta!D11</f>
        <v>0.03</v>
      </c>
      <c r="F2" s="1">
        <f>Meta!F11</f>
        <v>0.77700000000000002</v>
      </c>
      <c r="G2" s="1">
        <f>Meta!I11</f>
        <v>1.7595535582220223</v>
      </c>
      <c r="H2" s="1">
        <f>Meta!E11</f>
        <v>0.70699999999999996</v>
      </c>
      <c r="I2" s="13"/>
      <c r="J2" s="1">
        <f>Meta!X10</f>
        <v>0.77700000000000002</v>
      </c>
      <c r="K2" s="1">
        <f>Meta!D10</f>
        <v>0.03</v>
      </c>
      <c r="L2" s="29"/>
      <c r="N2" s="22">
        <f>Meta!T11</f>
        <v>88579</v>
      </c>
      <c r="O2" s="22">
        <f>Meta!U11</f>
        <v>36435</v>
      </c>
      <c r="P2" s="1">
        <f>Meta!V11</f>
        <v>2.7E-2</v>
      </c>
      <c r="Q2" s="1">
        <f>Meta!X11</f>
        <v>0.77700000000000002</v>
      </c>
      <c r="R2" s="22">
        <f>Meta!W11</f>
        <v>994</v>
      </c>
      <c r="T2" s="12">
        <f>IRR(S5:S69)+1</f>
        <v>0.95314046142906694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6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B13" s="1">
        <v>1</v>
      </c>
      <c r="C13" s="5">
        <f>0.1*Grade16!C13</f>
        <v>4332.8215724350493</v>
      </c>
      <c r="D13" s="5">
        <f t="shared" ref="D13:D36" si="0">IF(A13&lt;startage,1,0)*(C13*(1-initialunempprob))+IF(A13=startage,1,0)*(C13*(1-unempprob))+IF(A13&gt;startage,1,0)*(C13*(1-unempprob)+unempprob*300*52)</f>
        <v>4202.8369252619977</v>
      </c>
      <c r="E13" s="5">
        <f t="shared" ref="E13:E56" si="1">IF(D13-9500&gt;0,1,0)*(D13-9500)</f>
        <v>0</v>
      </c>
      <c r="F13" s="5">
        <f t="shared" ref="F13:F56" si="2">IF(E13&lt;=8500,1,0)*(0.1*E13+0.1*E13+0.0765*D13)+IF(AND(E13&gt;8500,E13&lt;=34500),1,0)*(850+0.15*(E13-8500)+0.1*E13+0.0765*D13)+IF(AND(E13&gt;34500,E13&lt;=83600),1,0)*(4750+0.25*(E13-34500)+0.1*E13+0.0765*D13)+IF(AND(E13&gt;83600,E13&lt;=174400,D13&lt;=106800),1,0)*(17025+0.28*(E13-83600)+0.1*E13+0.0765*D13)+IF(AND(E13&gt;83600,E13&lt;=174400,D13&gt;106800),1,0)*(17025+0.28*(E13-83600)+0.1*E13+8170.2+0.0145*(D13-106800))+IF(AND(E13&gt;174400,E13&lt;=379150),1,0)*(42449+0.33*(E13-174400)+0.1*E13+8170.2+0.0145*(D13-106800))+IF(E13&gt;379150,1,0)*(110016.5+0.35*(E13-379150)+0.1*E13+8170.2+0.0145*(D13-106800))</f>
        <v>321.51702478254282</v>
      </c>
      <c r="G13" s="5">
        <f t="shared" ref="G13:G56" si="3">D13-F13</f>
        <v>3881.3199004794551</v>
      </c>
      <c r="H13" s="22">
        <f>0.1*Grade16!H13</f>
        <v>1828.6206488916346</v>
      </c>
      <c r="I13" s="5">
        <f t="shared" ref="I13:I36" si="4">G13+IF(A13&lt;startage,1,0)*(H13*(1-initialunempprob))+IF(A13&gt;=startage,1,0)*(H13*(1-unempprob))</f>
        <v>5655.0819299043405</v>
      </c>
      <c r="J13" s="26">
        <f t="shared" ref="J13:J56" si="5">(F13-(IF(A13&gt;startage,1,0)*(unempprob*300*52)))/(IF(A13&lt;startage,1,0)*((C13+H13)*(1-initialunempprob))+IF(A13&gt;=startage,1,0)*((C13+H13)*(1-unempprob)))</f>
        <v>5.3795984508950075E-2</v>
      </c>
      <c r="L13" s="22">
        <f>0.1*Grade16!L13</f>
        <v>6703.9511622441851</v>
      </c>
      <c r="M13" s="5">
        <f>scrimecost*Meta!O10</f>
        <v>2791.152</v>
      </c>
      <c r="N13" s="5">
        <f>L13-Grade16!L13</f>
        <v>-60335.560460197659</v>
      </c>
      <c r="O13" s="5"/>
      <c r="P13" s="22"/>
      <c r="Q13" s="22">
        <f>0.05*feel*Grade16!G13</f>
        <v>435.48549368295375</v>
      </c>
      <c r="R13" s="22">
        <f>coltuition</f>
        <v>8279</v>
      </c>
      <c r="S13" s="22">
        <f t="shared" ref="S13:S44" si="6">IF(A13&lt;startage,1,0)*(N13-Q13-R13)+IF(A13&gt;=startage,1,0)*completionprob*(N13*spart+O13+P13)</f>
        <v>-69050.045953880617</v>
      </c>
      <c r="T13" s="22">
        <f t="shared" ref="T13:T44" si="7">S13/sreturn^(A13-startage+1)</f>
        <v>-69050.045953880617</v>
      </c>
    </row>
    <row r="14" spans="1:20" x14ac:dyDescent="0.2">
      <c r="A14" s="5">
        <v>23</v>
      </c>
      <c r="B14" s="1">
        <f t="shared" ref="B14:B36" si="8">(1+experiencepremium)^(A14-startage)</f>
        <v>1</v>
      </c>
      <c r="C14" s="5">
        <f t="shared" ref="C14:C36" si="9">pretaxincome*B14/expnorm</f>
        <v>44879.565973425022</v>
      </c>
      <c r="D14" s="5">
        <f t="shared" si="0"/>
        <v>43533.178994222268</v>
      </c>
      <c r="E14" s="5">
        <f t="shared" si="1"/>
        <v>34033.178994222268</v>
      </c>
      <c r="F14" s="5">
        <f t="shared" si="2"/>
        <v>11413.582941613571</v>
      </c>
      <c r="G14" s="5">
        <f t="shared" si="3"/>
        <v>32119.596052608696</v>
      </c>
      <c r="H14" s="22">
        <f t="shared" ref="H14:H36" si="10">benefits*B14/expnorm</f>
        <v>18863.307595785001</v>
      </c>
      <c r="I14" s="5">
        <f t="shared" si="4"/>
        <v>50417.004420520148</v>
      </c>
      <c r="J14" s="26">
        <f t="shared" si="5"/>
        <v>0.18459444473276143</v>
      </c>
      <c r="L14" s="22">
        <f t="shared" ref="L14:L36" si="11">(sincome+sbenefits)*(1-sunemp)*B14/expnorm</f>
        <v>69130.389030563121</v>
      </c>
      <c r="M14" s="5">
        <f>scrimecost*Meta!O11</f>
        <v>2608.2560000000003</v>
      </c>
      <c r="N14" s="5">
        <f>L14-Grade16!L14</f>
        <v>414.88961756022763</v>
      </c>
      <c r="O14" s="5">
        <f>Grade16!M14-M14</f>
        <v>0</v>
      </c>
      <c r="P14" s="22">
        <f t="shared" ref="P14:P56" si="12">(spart-initialspart)*(L14*J14+nptrans)</f>
        <v>0</v>
      </c>
      <c r="Q14" s="22"/>
      <c r="R14" s="22"/>
      <c r="S14" s="22">
        <f t="shared" si="6"/>
        <v>227.9150476209179</v>
      </c>
      <c r="T14" s="22">
        <f t="shared" si="7"/>
        <v>239.12010542412528</v>
      </c>
    </row>
    <row r="15" spans="1:20" x14ac:dyDescent="0.2">
      <c r="A15" s="5">
        <v>24</v>
      </c>
      <c r="B15" s="1">
        <f t="shared" si="8"/>
        <v>1.0249999999999999</v>
      </c>
      <c r="C15" s="5">
        <f t="shared" si="9"/>
        <v>46001.555122760648</v>
      </c>
      <c r="D15" s="5">
        <f t="shared" si="0"/>
        <v>45089.508469077831</v>
      </c>
      <c r="E15" s="5">
        <f t="shared" si="1"/>
        <v>35589.508469077831</v>
      </c>
      <c r="F15" s="5">
        <f t="shared" si="2"/>
        <v>12030.675362061695</v>
      </c>
      <c r="G15" s="5">
        <f t="shared" si="3"/>
        <v>33058.833107016137</v>
      </c>
      <c r="H15" s="22">
        <f t="shared" si="10"/>
        <v>19334.890285679623</v>
      </c>
      <c r="I15" s="5">
        <f t="shared" si="4"/>
        <v>51813.67668412537</v>
      </c>
      <c r="J15" s="26">
        <f t="shared" si="5"/>
        <v>0.18244463413790546</v>
      </c>
      <c r="L15" s="22">
        <f t="shared" si="11"/>
        <v>70858.648756327195</v>
      </c>
      <c r="M15" s="5">
        <f>scrimecost*Meta!O12</f>
        <v>2491.9580000000001</v>
      </c>
      <c r="N15" s="5">
        <f>L15-Grade16!L15</f>
        <v>425.26185799922678</v>
      </c>
      <c r="O15" s="5">
        <f>Grade16!M15-M15</f>
        <v>0</v>
      </c>
      <c r="P15" s="22">
        <f t="shared" si="12"/>
        <v>0</v>
      </c>
      <c r="Q15" s="22"/>
      <c r="R15" s="22"/>
      <c r="S15" s="22">
        <f t="shared" si="6"/>
        <v>233.61292381143721</v>
      </c>
      <c r="T15" s="22">
        <f t="shared" si="7"/>
        <v>257.14794196465328</v>
      </c>
    </row>
    <row r="16" spans="1:20" x14ac:dyDescent="0.2">
      <c r="A16" s="5">
        <v>25</v>
      </c>
      <c r="B16" s="1">
        <f t="shared" si="8"/>
        <v>1.0506249999999999</v>
      </c>
      <c r="C16" s="5">
        <f t="shared" si="9"/>
        <v>47151.59400082966</v>
      </c>
      <c r="D16" s="5">
        <f t="shared" si="0"/>
        <v>46205.046180804769</v>
      </c>
      <c r="E16" s="5">
        <f t="shared" si="1"/>
        <v>36705.046180804769</v>
      </c>
      <c r="F16" s="5">
        <f t="shared" si="2"/>
        <v>12506.452196113234</v>
      </c>
      <c r="G16" s="5">
        <f t="shared" si="3"/>
        <v>33698.593984691535</v>
      </c>
      <c r="H16" s="22">
        <f t="shared" si="10"/>
        <v>19818.262542821616</v>
      </c>
      <c r="I16" s="5">
        <f t="shared" si="4"/>
        <v>52922.308651228501</v>
      </c>
      <c r="J16" s="26">
        <f t="shared" si="5"/>
        <v>0.18531882999960061</v>
      </c>
      <c r="L16" s="22">
        <f t="shared" si="11"/>
        <v>72630.114975235367</v>
      </c>
      <c r="M16" s="5">
        <f>scrimecost*Meta!O13</f>
        <v>2092.37</v>
      </c>
      <c r="N16" s="5">
        <f>L16-Grade16!L16</f>
        <v>435.89340444920526</v>
      </c>
      <c r="O16" s="5">
        <f>Grade16!M16-M16</f>
        <v>0</v>
      </c>
      <c r="P16" s="22">
        <f t="shared" si="12"/>
        <v>0</v>
      </c>
      <c r="Q16" s="22"/>
      <c r="R16" s="22"/>
      <c r="S16" s="22">
        <f t="shared" si="6"/>
        <v>239.45324690672197</v>
      </c>
      <c r="T16" s="22">
        <f t="shared" si="7"/>
        <v>276.53494021078637</v>
      </c>
    </row>
    <row r="17" spans="1:20" x14ac:dyDescent="0.2">
      <c r="A17" s="5">
        <v>26</v>
      </c>
      <c r="B17" s="1">
        <f t="shared" si="8"/>
        <v>1.0768906249999999</v>
      </c>
      <c r="C17" s="5">
        <f t="shared" si="9"/>
        <v>48330.383850850398</v>
      </c>
      <c r="D17" s="5">
        <f t="shared" si="0"/>
        <v>47348.472335324885</v>
      </c>
      <c r="E17" s="5">
        <f t="shared" si="1"/>
        <v>37848.472335324885</v>
      </c>
      <c r="F17" s="5">
        <f t="shared" si="2"/>
        <v>12994.123451016063</v>
      </c>
      <c r="G17" s="5">
        <f t="shared" si="3"/>
        <v>34354.34888430882</v>
      </c>
      <c r="H17" s="22">
        <f t="shared" si="10"/>
        <v>20313.719106392156</v>
      </c>
      <c r="I17" s="5">
        <f t="shared" si="4"/>
        <v>54058.656417509206</v>
      </c>
      <c r="J17" s="26">
        <f t="shared" si="5"/>
        <v>0.18812292352320567</v>
      </c>
      <c r="L17" s="22">
        <f t="shared" si="11"/>
        <v>74445.867849616261</v>
      </c>
      <c r="M17" s="5">
        <f>scrimecost*Meta!O14</f>
        <v>2092.37</v>
      </c>
      <c r="N17" s="5">
        <f>L17-Grade16!L17</f>
        <v>446.79073956044158</v>
      </c>
      <c r="O17" s="5">
        <f>Grade16!M17-M17</f>
        <v>0</v>
      </c>
      <c r="P17" s="22">
        <f t="shared" si="12"/>
        <v>0</v>
      </c>
      <c r="Q17" s="22"/>
      <c r="R17" s="22"/>
      <c r="S17" s="22">
        <f t="shared" si="6"/>
        <v>245.43957807939341</v>
      </c>
      <c r="T17" s="22">
        <f t="shared" si="7"/>
        <v>297.3835706135892</v>
      </c>
    </row>
    <row r="18" spans="1:20" x14ac:dyDescent="0.2">
      <c r="A18" s="5">
        <v>27</v>
      </c>
      <c r="B18" s="1">
        <f t="shared" si="8"/>
        <v>1.1038128906249998</v>
      </c>
      <c r="C18" s="5">
        <f t="shared" si="9"/>
        <v>49538.643447121663</v>
      </c>
      <c r="D18" s="5">
        <f t="shared" si="0"/>
        <v>48520.48414370801</v>
      </c>
      <c r="E18" s="5">
        <f t="shared" si="1"/>
        <v>39020.48414370801</v>
      </c>
      <c r="F18" s="5">
        <f t="shared" si="2"/>
        <v>13493.986487291468</v>
      </c>
      <c r="G18" s="5">
        <f t="shared" si="3"/>
        <v>35026.497656416541</v>
      </c>
      <c r="H18" s="22">
        <f t="shared" si="10"/>
        <v>20821.562084051959</v>
      </c>
      <c r="I18" s="5">
        <f t="shared" si="4"/>
        <v>55223.412877946939</v>
      </c>
      <c r="J18" s="26">
        <f t="shared" si="5"/>
        <v>0.19085862452184477</v>
      </c>
      <c r="L18" s="22">
        <f t="shared" si="11"/>
        <v>76307.014545856669</v>
      </c>
      <c r="M18" s="5">
        <f>scrimecost*Meta!O15</f>
        <v>2092.37</v>
      </c>
      <c r="N18" s="5">
        <f>L18-Grade16!L18</f>
        <v>457.96050804946572</v>
      </c>
      <c r="O18" s="5">
        <f>Grade16!M18-M18</f>
        <v>0</v>
      </c>
      <c r="P18" s="22">
        <f t="shared" si="12"/>
        <v>0</v>
      </c>
      <c r="Q18" s="22"/>
      <c r="R18" s="22"/>
      <c r="S18" s="22">
        <f t="shared" si="6"/>
        <v>251.57556753138545</v>
      </c>
      <c r="T18" s="22">
        <f t="shared" si="7"/>
        <v>319.80402911646019</v>
      </c>
    </row>
    <row r="19" spans="1:20" x14ac:dyDescent="0.2">
      <c r="A19" s="5">
        <v>28</v>
      </c>
      <c r="B19" s="1">
        <f t="shared" si="8"/>
        <v>1.1314082128906247</v>
      </c>
      <c r="C19" s="5">
        <f t="shared" si="9"/>
        <v>50777.109533299699</v>
      </c>
      <c r="D19" s="5">
        <f t="shared" si="0"/>
        <v>49721.796247300706</v>
      </c>
      <c r="E19" s="5">
        <f t="shared" si="1"/>
        <v>40221.796247300706</v>
      </c>
      <c r="F19" s="5">
        <f t="shared" si="2"/>
        <v>14006.346099473751</v>
      </c>
      <c r="G19" s="5">
        <f t="shared" si="3"/>
        <v>35715.450147826952</v>
      </c>
      <c r="H19" s="22">
        <f t="shared" si="10"/>
        <v>21342.101136153251</v>
      </c>
      <c r="I19" s="5">
        <f t="shared" si="4"/>
        <v>56417.288249895602</v>
      </c>
      <c r="J19" s="26">
        <f t="shared" si="5"/>
        <v>0.19352760110588288</v>
      </c>
      <c r="L19" s="22">
        <f t="shared" si="11"/>
        <v>78214.689909503068</v>
      </c>
      <c r="M19" s="5">
        <f>scrimecost*Meta!O16</f>
        <v>2092.37</v>
      </c>
      <c r="N19" s="5">
        <f>L19-Grade16!L19</f>
        <v>469.40952075070527</v>
      </c>
      <c r="O19" s="5">
        <f>Grade16!M19-M19</f>
        <v>0</v>
      </c>
      <c r="P19" s="22">
        <f t="shared" si="12"/>
        <v>0</v>
      </c>
      <c r="Q19" s="22"/>
      <c r="R19" s="22"/>
      <c r="S19" s="22">
        <f t="shared" si="6"/>
        <v>257.86495671967168</v>
      </c>
      <c r="T19" s="22">
        <f t="shared" si="7"/>
        <v>343.91481959846345</v>
      </c>
    </row>
    <row r="20" spans="1:20" x14ac:dyDescent="0.2">
      <c r="A20" s="5">
        <v>29</v>
      </c>
      <c r="B20" s="1">
        <f t="shared" si="8"/>
        <v>1.1596934182128902</v>
      </c>
      <c r="C20" s="5">
        <f t="shared" si="9"/>
        <v>52046.53727163218</v>
      </c>
      <c r="D20" s="5">
        <f t="shared" si="0"/>
        <v>50953.141153483215</v>
      </c>
      <c r="E20" s="5">
        <f t="shared" si="1"/>
        <v>41453.141153483215</v>
      </c>
      <c r="F20" s="5">
        <f t="shared" si="2"/>
        <v>14531.514701960592</v>
      </c>
      <c r="G20" s="5">
        <f t="shared" si="3"/>
        <v>36421.626451522621</v>
      </c>
      <c r="H20" s="22">
        <f t="shared" si="10"/>
        <v>21875.653664557085</v>
      </c>
      <c r="I20" s="5">
        <f t="shared" si="4"/>
        <v>57641.010506142993</v>
      </c>
      <c r="J20" s="26">
        <f t="shared" si="5"/>
        <v>0.19613148070006639</v>
      </c>
      <c r="L20" s="22">
        <f t="shared" si="11"/>
        <v>80170.057157240648</v>
      </c>
      <c r="M20" s="5">
        <f>scrimecost*Meta!O17</f>
        <v>2092.37</v>
      </c>
      <c r="N20" s="5">
        <f>L20-Grade16!L20</f>
        <v>481.14475876947108</v>
      </c>
      <c r="O20" s="5">
        <f>Grade16!M20-M20</f>
        <v>0</v>
      </c>
      <c r="P20" s="22">
        <f t="shared" si="12"/>
        <v>0</v>
      </c>
      <c r="Q20" s="22"/>
      <c r="R20" s="22"/>
      <c r="S20" s="22">
        <f t="shared" si="6"/>
        <v>264.31158063766247</v>
      </c>
      <c r="T20" s="22">
        <f t="shared" si="7"/>
        <v>369.8433802294918</v>
      </c>
    </row>
    <row r="21" spans="1:20" x14ac:dyDescent="0.2">
      <c r="A21" s="5">
        <v>30</v>
      </c>
      <c r="B21" s="1">
        <f t="shared" si="8"/>
        <v>1.1886857536682125</v>
      </c>
      <c r="C21" s="5">
        <f t="shared" si="9"/>
        <v>53347.70070342299</v>
      </c>
      <c r="D21" s="5">
        <f t="shared" si="0"/>
        <v>52215.2696823203</v>
      </c>
      <c r="E21" s="5">
        <f t="shared" si="1"/>
        <v>42715.2696823203</v>
      </c>
      <c r="F21" s="5">
        <f t="shared" si="2"/>
        <v>15069.812519509609</v>
      </c>
      <c r="G21" s="5">
        <f t="shared" si="3"/>
        <v>37145.457162810693</v>
      </c>
      <c r="H21" s="22">
        <f t="shared" si="10"/>
        <v>22422.545006171011</v>
      </c>
      <c r="I21" s="5">
        <f t="shared" si="4"/>
        <v>58895.325818796569</v>
      </c>
      <c r="J21" s="26">
        <f t="shared" si="5"/>
        <v>0.19867185103585522</v>
      </c>
      <c r="L21" s="22">
        <f t="shared" si="11"/>
        <v>82174.308586171668</v>
      </c>
      <c r="M21" s="5">
        <f>scrimecost*Meta!O18</f>
        <v>1686.818</v>
      </c>
      <c r="N21" s="5">
        <f>L21-Grade16!L21</f>
        <v>493.17337773871259</v>
      </c>
      <c r="O21" s="5">
        <f>Grade16!M21-M21</f>
        <v>0</v>
      </c>
      <c r="P21" s="22">
        <f t="shared" si="12"/>
        <v>0</v>
      </c>
      <c r="Q21" s="22"/>
      <c r="R21" s="22"/>
      <c r="S21" s="22">
        <f t="shared" si="6"/>
        <v>270.91937015360662</v>
      </c>
      <c r="T21" s="22">
        <f t="shared" si="7"/>
        <v>397.72675704780647</v>
      </c>
    </row>
    <row r="22" spans="1:20" x14ac:dyDescent="0.2">
      <c r="A22" s="5">
        <v>31</v>
      </c>
      <c r="B22" s="1">
        <f t="shared" si="8"/>
        <v>1.2184028975099177</v>
      </c>
      <c r="C22" s="5">
        <f t="shared" si="9"/>
        <v>54681.393221008562</v>
      </c>
      <c r="D22" s="5">
        <f t="shared" si="0"/>
        <v>53508.951424378305</v>
      </c>
      <c r="E22" s="5">
        <f t="shared" si="1"/>
        <v>44008.951424378305</v>
      </c>
      <c r="F22" s="5">
        <f t="shared" si="2"/>
        <v>15621.567782497348</v>
      </c>
      <c r="G22" s="5">
        <f t="shared" si="3"/>
        <v>37887.383641880959</v>
      </c>
      <c r="H22" s="22">
        <f t="shared" si="10"/>
        <v>22983.108631325285</v>
      </c>
      <c r="I22" s="5">
        <f t="shared" si="4"/>
        <v>60180.99901426649</v>
      </c>
      <c r="J22" s="26">
        <f t="shared" si="5"/>
        <v>0.20115026111955162</v>
      </c>
      <c r="L22" s="22">
        <f t="shared" si="11"/>
        <v>84228.666300825935</v>
      </c>
      <c r="M22" s="5">
        <f>scrimecost*Meta!O19</f>
        <v>1686.818</v>
      </c>
      <c r="N22" s="5">
        <f>L22-Grade16!L22</f>
        <v>505.50271218217677</v>
      </c>
      <c r="O22" s="5">
        <f>Grade16!M22-M22</f>
        <v>0</v>
      </c>
      <c r="P22" s="22">
        <f t="shared" si="12"/>
        <v>0</v>
      </c>
      <c r="Q22" s="22"/>
      <c r="R22" s="22"/>
      <c r="S22" s="22">
        <f t="shared" si="6"/>
        <v>277.69235440744478</v>
      </c>
      <c r="T22" s="22">
        <f t="shared" si="7"/>
        <v>427.71232832018188</v>
      </c>
    </row>
    <row r="23" spans="1:20" x14ac:dyDescent="0.2">
      <c r="A23" s="5">
        <v>32</v>
      </c>
      <c r="B23" s="1">
        <f t="shared" si="8"/>
        <v>1.2488629699476654</v>
      </c>
      <c r="C23" s="5">
        <f t="shared" si="9"/>
        <v>56048.428051533767</v>
      </c>
      <c r="D23" s="5">
        <f t="shared" si="0"/>
        <v>54834.975209987751</v>
      </c>
      <c r="E23" s="5">
        <f t="shared" si="1"/>
        <v>45334.975209987751</v>
      </c>
      <c r="F23" s="5">
        <f t="shared" si="2"/>
        <v>16187.116927059775</v>
      </c>
      <c r="G23" s="5">
        <f t="shared" si="3"/>
        <v>38647.858282927977</v>
      </c>
      <c r="H23" s="22">
        <f t="shared" si="10"/>
        <v>23557.686347108414</v>
      </c>
      <c r="I23" s="5">
        <f t="shared" si="4"/>
        <v>61498.814039623139</v>
      </c>
      <c r="J23" s="26">
        <f t="shared" si="5"/>
        <v>0.20356822217681636</v>
      </c>
      <c r="L23" s="22">
        <f t="shared" si="11"/>
        <v>86334.382958346585</v>
      </c>
      <c r="M23" s="5">
        <f>scrimecost*Meta!O20</f>
        <v>1686.818</v>
      </c>
      <c r="N23" s="5">
        <f>L23-Grade16!L23</f>
        <v>518.140279986721</v>
      </c>
      <c r="O23" s="5">
        <f>Grade16!M23-M23</f>
        <v>0</v>
      </c>
      <c r="P23" s="22">
        <f t="shared" si="12"/>
        <v>0</v>
      </c>
      <c r="Q23" s="22"/>
      <c r="R23" s="22"/>
      <c r="S23" s="22">
        <f t="shared" si="6"/>
        <v>284.63466326762529</v>
      </c>
      <c r="T23" s="22">
        <f t="shared" si="7"/>
        <v>459.95858351335346</v>
      </c>
    </row>
    <row r="24" spans="1:20" x14ac:dyDescent="0.2">
      <c r="A24" s="5">
        <v>33</v>
      </c>
      <c r="B24" s="1">
        <f t="shared" si="8"/>
        <v>1.2800845441963571</v>
      </c>
      <c r="C24" s="5">
        <f t="shared" si="9"/>
        <v>57449.638752822109</v>
      </c>
      <c r="D24" s="5">
        <f t="shared" si="0"/>
        <v>56194.149590237444</v>
      </c>
      <c r="E24" s="5">
        <f t="shared" si="1"/>
        <v>46694.149590237444</v>
      </c>
      <c r="F24" s="5">
        <f t="shared" si="2"/>
        <v>16766.80480023627</v>
      </c>
      <c r="G24" s="5">
        <f t="shared" si="3"/>
        <v>39427.344790001174</v>
      </c>
      <c r="H24" s="22">
        <f t="shared" si="10"/>
        <v>24146.628505786121</v>
      </c>
      <c r="I24" s="5">
        <f t="shared" si="4"/>
        <v>62849.574440613709</v>
      </c>
      <c r="J24" s="26">
        <f t="shared" si="5"/>
        <v>0.20592720857414787</v>
      </c>
      <c r="L24" s="22">
        <f t="shared" si="11"/>
        <v>88492.742532305245</v>
      </c>
      <c r="M24" s="5">
        <f>scrimecost*Meta!O21</f>
        <v>1686.818</v>
      </c>
      <c r="N24" s="5">
        <f>L24-Grade16!L24</f>
        <v>531.09378698638466</v>
      </c>
      <c r="O24" s="5">
        <f>Grade16!M24-M24</f>
        <v>0</v>
      </c>
      <c r="P24" s="22">
        <f t="shared" si="12"/>
        <v>0</v>
      </c>
      <c r="Q24" s="22"/>
      <c r="R24" s="22"/>
      <c r="S24" s="22">
        <f t="shared" si="6"/>
        <v>291.75052984931358</v>
      </c>
      <c r="T24" s="22">
        <f t="shared" si="7"/>
        <v>494.63596099395005</v>
      </c>
    </row>
    <row r="25" spans="1:20" x14ac:dyDescent="0.2">
      <c r="A25" s="5">
        <v>34</v>
      </c>
      <c r="B25" s="1">
        <f t="shared" si="8"/>
        <v>1.312086657801266</v>
      </c>
      <c r="C25" s="5">
        <f t="shared" si="9"/>
        <v>58885.879721642661</v>
      </c>
      <c r="D25" s="5">
        <f t="shared" si="0"/>
        <v>57587.303329993381</v>
      </c>
      <c r="E25" s="5">
        <f t="shared" si="1"/>
        <v>48087.303329993381</v>
      </c>
      <c r="F25" s="5">
        <f t="shared" si="2"/>
        <v>17360.984870242177</v>
      </c>
      <c r="G25" s="5">
        <f t="shared" si="3"/>
        <v>40226.318459751201</v>
      </c>
      <c r="H25" s="22">
        <f t="shared" si="10"/>
        <v>24750.294218430776</v>
      </c>
      <c r="I25" s="5">
        <f t="shared" si="4"/>
        <v>64234.103851629057</v>
      </c>
      <c r="J25" s="26">
        <f t="shared" si="5"/>
        <v>0.20822865871788593</v>
      </c>
      <c r="L25" s="22">
        <f t="shared" si="11"/>
        <v>90705.061095612866</v>
      </c>
      <c r="M25" s="5">
        <f>scrimecost*Meta!O22</f>
        <v>1686.818</v>
      </c>
      <c r="N25" s="5">
        <f>L25-Grade16!L25</f>
        <v>544.37113166104245</v>
      </c>
      <c r="O25" s="5">
        <f>Grade16!M25-M25</f>
        <v>0</v>
      </c>
      <c r="P25" s="22">
        <f t="shared" si="12"/>
        <v>0</v>
      </c>
      <c r="Q25" s="22"/>
      <c r="R25" s="22"/>
      <c r="S25" s="22">
        <f t="shared" si="6"/>
        <v>299.04429309554536</v>
      </c>
      <c r="T25" s="22">
        <f t="shared" si="7"/>
        <v>531.92774888460463</v>
      </c>
    </row>
    <row r="26" spans="1:20" x14ac:dyDescent="0.2">
      <c r="A26" s="5">
        <v>35</v>
      </c>
      <c r="B26" s="1">
        <f t="shared" si="8"/>
        <v>1.3448888242462975</v>
      </c>
      <c r="C26" s="5">
        <f t="shared" si="9"/>
        <v>60358.026714683721</v>
      </c>
      <c r="D26" s="5">
        <f t="shared" si="0"/>
        <v>59015.285913243206</v>
      </c>
      <c r="E26" s="5">
        <f t="shared" si="1"/>
        <v>49515.285913243206</v>
      </c>
      <c r="F26" s="5">
        <f t="shared" si="2"/>
        <v>17970.019441998229</v>
      </c>
      <c r="G26" s="5">
        <f t="shared" si="3"/>
        <v>41045.266471244977</v>
      </c>
      <c r="H26" s="22">
        <f t="shared" si="10"/>
        <v>25369.051573891546</v>
      </c>
      <c r="I26" s="5">
        <f t="shared" si="4"/>
        <v>65653.246497919783</v>
      </c>
      <c r="J26" s="26">
        <f t="shared" si="5"/>
        <v>0.21047397593128886</v>
      </c>
      <c r="L26" s="22">
        <f t="shared" si="11"/>
        <v>92972.687623003178</v>
      </c>
      <c r="M26" s="5">
        <f>scrimecost*Meta!O23</f>
        <v>1309.098</v>
      </c>
      <c r="N26" s="5">
        <f>L26-Grade16!L26</f>
        <v>557.98040995256451</v>
      </c>
      <c r="O26" s="5">
        <f>Grade16!M26-M26</f>
        <v>0</v>
      </c>
      <c r="P26" s="22">
        <f t="shared" si="12"/>
        <v>0</v>
      </c>
      <c r="Q26" s="22"/>
      <c r="R26" s="22"/>
      <c r="S26" s="22">
        <f t="shared" si="6"/>
        <v>306.52040042293186</v>
      </c>
      <c r="T26" s="22">
        <f t="shared" si="7"/>
        <v>572.03105383779985</v>
      </c>
    </row>
    <row r="27" spans="1:20" x14ac:dyDescent="0.2">
      <c r="A27" s="5">
        <v>36</v>
      </c>
      <c r="B27" s="1">
        <f t="shared" si="8"/>
        <v>1.3785110448524549</v>
      </c>
      <c r="C27" s="5">
        <f t="shared" si="9"/>
        <v>61866.977382550809</v>
      </c>
      <c r="D27" s="5">
        <f t="shared" si="0"/>
        <v>60478.96806107428</v>
      </c>
      <c r="E27" s="5">
        <f t="shared" si="1"/>
        <v>50978.96806107428</v>
      </c>
      <c r="F27" s="5">
        <f t="shared" si="2"/>
        <v>18594.279878048183</v>
      </c>
      <c r="G27" s="5">
        <f t="shared" si="3"/>
        <v>41884.688183026097</v>
      </c>
      <c r="H27" s="22">
        <f t="shared" si="10"/>
        <v>26003.277863238829</v>
      </c>
      <c r="I27" s="5">
        <f t="shared" si="4"/>
        <v>67107.867710367762</v>
      </c>
      <c r="J27" s="26">
        <f t="shared" si="5"/>
        <v>0.21266452931021862</v>
      </c>
      <c r="L27" s="22">
        <f t="shared" si="11"/>
        <v>95297.004813578256</v>
      </c>
      <c r="M27" s="5">
        <f>scrimecost*Meta!O24</f>
        <v>1309.098</v>
      </c>
      <c r="N27" s="5">
        <f>L27-Grade16!L27</f>
        <v>571.92992020139354</v>
      </c>
      <c r="O27" s="5">
        <f>Grade16!M27-M27</f>
        <v>0</v>
      </c>
      <c r="P27" s="22">
        <f t="shared" si="12"/>
        <v>0</v>
      </c>
      <c r="Q27" s="22"/>
      <c r="R27" s="22"/>
      <c r="S27" s="22">
        <f t="shared" si="6"/>
        <v>314.1834104335133</v>
      </c>
      <c r="T27" s="22">
        <f t="shared" si="7"/>
        <v>615.15784284790345</v>
      </c>
    </row>
    <row r="28" spans="1:20" x14ac:dyDescent="0.2">
      <c r="A28" s="5">
        <v>37</v>
      </c>
      <c r="B28" s="1">
        <f t="shared" si="8"/>
        <v>1.4129738209737661</v>
      </c>
      <c r="C28" s="5">
        <f t="shared" si="9"/>
        <v>63413.65181711458</v>
      </c>
      <c r="D28" s="5">
        <f t="shared" si="0"/>
        <v>61979.242262601139</v>
      </c>
      <c r="E28" s="5">
        <f t="shared" si="1"/>
        <v>52479.242262601139</v>
      </c>
      <c r="F28" s="5">
        <f t="shared" si="2"/>
        <v>19234.146824999385</v>
      </c>
      <c r="G28" s="5">
        <f t="shared" si="3"/>
        <v>42745.095437601754</v>
      </c>
      <c r="H28" s="22">
        <f t="shared" si="10"/>
        <v>26653.359809819798</v>
      </c>
      <c r="I28" s="5">
        <f t="shared" si="4"/>
        <v>68598.854453126958</v>
      </c>
      <c r="J28" s="26">
        <f t="shared" si="5"/>
        <v>0.21480165455795494</v>
      </c>
      <c r="L28" s="22">
        <f t="shared" si="11"/>
        <v>97679.429933917694</v>
      </c>
      <c r="M28" s="5">
        <f>scrimecost*Meta!O25</f>
        <v>1309.098</v>
      </c>
      <c r="N28" s="5">
        <f>L28-Grade16!L28</f>
        <v>586.22816820639127</v>
      </c>
      <c r="O28" s="5">
        <f>Grade16!M28-M28</f>
        <v>0</v>
      </c>
      <c r="P28" s="22">
        <f t="shared" si="12"/>
        <v>0</v>
      </c>
      <c r="Q28" s="22"/>
      <c r="R28" s="22"/>
      <c r="S28" s="22">
        <f t="shared" si="6"/>
        <v>322.03799569433079</v>
      </c>
      <c r="T28" s="22">
        <f t="shared" si="7"/>
        <v>661.53606360775177</v>
      </c>
    </row>
    <row r="29" spans="1:20" x14ac:dyDescent="0.2">
      <c r="A29" s="5">
        <v>38</v>
      </c>
      <c r="B29" s="1">
        <f t="shared" si="8"/>
        <v>1.4482981664981105</v>
      </c>
      <c r="C29" s="5">
        <f t="shared" si="9"/>
        <v>64998.993112542455</v>
      </c>
      <c r="D29" s="5">
        <f t="shared" si="0"/>
        <v>63517.023319166183</v>
      </c>
      <c r="E29" s="5">
        <f t="shared" si="1"/>
        <v>54017.023319166183</v>
      </c>
      <c r="F29" s="5">
        <f t="shared" si="2"/>
        <v>19890.010445624379</v>
      </c>
      <c r="G29" s="5">
        <f t="shared" si="3"/>
        <v>43627.012873541804</v>
      </c>
      <c r="H29" s="22">
        <f t="shared" si="10"/>
        <v>27319.693805065301</v>
      </c>
      <c r="I29" s="5">
        <f t="shared" si="4"/>
        <v>70127.115864455147</v>
      </c>
      <c r="J29" s="26">
        <f t="shared" si="5"/>
        <v>0.21688665479964897</v>
      </c>
      <c r="L29" s="22">
        <f t="shared" si="11"/>
        <v>100121.41568226567</v>
      </c>
      <c r="M29" s="5">
        <f>scrimecost*Meta!O26</f>
        <v>1309.098</v>
      </c>
      <c r="N29" s="5">
        <f>L29-Grade16!L29</f>
        <v>600.88387241159217</v>
      </c>
      <c r="O29" s="5">
        <f>Grade16!M29-M29</f>
        <v>0</v>
      </c>
      <c r="P29" s="22">
        <f t="shared" si="12"/>
        <v>0</v>
      </c>
      <c r="Q29" s="22"/>
      <c r="R29" s="22"/>
      <c r="S29" s="22">
        <f t="shared" si="6"/>
        <v>330.08894558671159</v>
      </c>
      <c r="T29" s="22">
        <f t="shared" si="7"/>
        <v>711.41084933204718</v>
      </c>
    </row>
    <row r="30" spans="1:20" x14ac:dyDescent="0.2">
      <c r="A30" s="5">
        <v>39</v>
      </c>
      <c r="B30" s="1">
        <f t="shared" si="8"/>
        <v>1.4845056206605631</v>
      </c>
      <c r="C30" s="5">
        <f t="shared" si="9"/>
        <v>66623.967940356015</v>
      </c>
      <c r="D30" s="5">
        <f t="shared" si="0"/>
        <v>65093.248902145329</v>
      </c>
      <c r="E30" s="5">
        <f t="shared" si="1"/>
        <v>55593.248902145329</v>
      </c>
      <c r="F30" s="5">
        <f t="shared" si="2"/>
        <v>20562.270656764984</v>
      </c>
      <c r="G30" s="5">
        <f t="shared" si="3"/>
        <v>44530.978245380349</v>
      </c>
      <c r="H30" s="22">
        <f t="shared" si="10"/>
        <v>28002.686150191927</v>
      </c>
      <c r="I30" s="5">
        <f t="shared" si="4"/>
        <v>71693.583811066521</v>
      </c>
      <c r="J30" s="26">
        <f t="shared" si="5"/>
        <v>0.21892080137691136</v>
      </c>
      <c r="L30" s="22">
        <f t="shared" si="11"/>
        <v>102624.45107432229</v>
      </c>
      <c r="M30" s="5">
        <f>scrimecost*Meta!O27</f>
        <v>1309.098</v>
      </c>
      <c r="N30" s="5">
        <f>L30-Grade16!L30</f>
        <v>615.90596922187251</v>
      </c>
      <c r="O30" s="5">
        <f>Grade16!M30-M30</f>
        <v>0</v>
      </c>
      <c r="P30" s="22">
        <f t="shared" si="12"/>
        <v>0</v>
      </c>
      <c r="Q30" s="22"/>
      <c r="R30" s="22"/>
      <c r="S30" s="22">
        <f t="shared" si="6"/>
        <v>338.34116922637423</v>
      </c>
      <c r="T30" s="22">
        <f t="shared" si="7"/>
        <v>765.04581441442065</v>
      </c>
    </row>
    <row r="31" spans="1:20" x14ac:dyDescent="0.2">
      <c r="A31" s="5">
        <v>40</v>
      </c>
      <c r="B31" s="1">
        <f t="shared" si="8"/>
        <v>1.521618261177077</v>
      </c>
      <c r="C31" s="5">
        <f t="shared" si="9"/>
        <v>68289.567138864892</v>
      </c>
      <c r="D31" s="5">
        <f t="shared" si="0"/>
        <v>66708.880124698946</v>
      </c>
      <c r="E31" s="5">
        <f t="shared" si="1"/>
        <v>57208.880124698946</v>
      </c>
      <c r="F31" s="5">
        <f t="shared" si="2"/>
        <v>21251.337373184102</v>
      </c>
      <c r="G31" s="5">
        <f t="shared" si="3"/>
        <v>45457.542751514848</v>
      </c>
      <c r="H31" s="22">
        <f t="shared" si="10"/>
        <v>28702.753303946723</v>
      </c>
      <c r="I31" s="5">
        <f t="shared" si="4"/>
        <v>73299.213456343161</v>
      </c>
      <c r="J31" s="26">
        <f t="shared" si="5"/>
        <v>0.220905334623021</v>
      </c>
      <c r="L31" s="22">
        <f t="shared" si="11"/>
        <v>105190.06235118034</v>
      </c>
      <c r="M31" s="5">
        <f>scrimecost*Meta!O28</f>
        <v>1145.088</v>
      </c>
      <c r="N31" s="5">
        <f>L31-Grade16!L31</f>
        <v>631.30361845240986</v>
      </c>
      <c r="O31" s="5">
        <f>Grade16!M31-M31</f>
        <v>0</v>
      </c>
      <c r="P31" s="22">
        <f t="shared" si="12"/>
        <v>0</v>
      </c>
      <c r="Q31" s="22"/>
      <c r="R31" s="22"/>
      <c r="S31" s="22">
        <f t="shared" si="6"/>
        <v>346.7996984570284</v>
      </c>
      <c r="T31" s="22">
        <f t="shared" si="7"/>
        <v>822.72444776821362</v>
      </c>
    </row>
    <row r="32" spans="1:20" x14ac:dyDescent="0.2">
      <c r="A32" s="5">
        <v>41</v>
      </c>
      <c r="B32" s="1">
        <f t="shared" si="8"/>
        <v>1.559658717706504</v>
      </c>
      <c r="C32" s="5">
        <f t="shared" si="9"/>
        <v>69996.806317336523</v>
      </c>
      <c r="D32" s="5">
        <f t="shared" si="0"/>
        <v>68364.902127816429</v>
      </c>
      <c r="E32" s="5">
        <f t="shared" si="1"/>
        <v>58864.902127816429</v>
      </c>
      <c r="F32" s="5">
        <f t="shared" si="2"/>
        <v>21957.630757513707</v>
      </c>
      <c r="G32" s="5">
        <f t="shared" si="3"/>
        <v>46407.271370302726</v>
      </c>
      <c r="H32" s="22">
        <f t="shared" si="10"/>
        <v>29420.322136545394</v>
      </c>
      <c r="I32" s="5">
        <f t="shared" si="4"/>
        <v>74944.983842751753</v>
      </c>
      <c r="J32" s="26">
        <f t="shared" si="5"/>
        <v>0.22284146461922555</v>
      </c>
      <c r="L32" s="22">
        <f t="shared" si="11"/>
        <v>107819.81390995985</v>
      </c>
      <c r="M32" s="5">
        <f>scrimecost*Meta!O29</f>
        <v>1145.088</v>
      </c>
      <c r="N32" s="5">
        <f>L32-Grade16!L32</f>
        <v>647.08620891372266</v>
      </c>
      <c r="O32" s="5">
        <f>Grade16!M32-M32</f>
        <v>0</v>
      </c>
      <c r="P32" s="22">
        <f t="shared" si="12"/>
        <v>0</v>
      </c>
      <c r="Q32" s="22"/>
      <c r="R32" s="22"/>
      <c r="S32" s="22">
        <f t="shared" si="6"/>
        <v>355.46969091845551</v>
      </c>
      <c r="T32" s="22">
        <f t="shared" si="7"/>
        <v>884.75161121378994</v>
      </c>
    </row>
    <row r="33" spans="1:20" x14ac:dyDescent="0.2">
      <c r="A33" s="5">
        <v>42</v>
      </c>
      <c r="B33" s="1">
        <f t="shared" si="8"/>
        <v>1.5986501856491666</v>
      </c>
      <c r="C33" s="5">
        <f t="shared" si="9"/>
        <v>71746.726475269941</v>
      </c>
      <c r="D33" s="5">
        <f t="shared" si="0"/>
        <v>70062.324681011843</v>
      </c>
      <c r="E33" s="5">
        <f t="shared" si="1"/>
        <v>60562.324681011843</v>
      </c>
      <c r="F33" s="5">
        <f t="shared" si="2"/>
        <v>22681.581476451553</v>
      </c>
      <c r="G33" s="5">
        <f t="shared" si="3"/>
        <v>47380.743204560291</v>
      </c>
      <c r="H33" s="22">
        <f t="shared" si="10"/>
        <v>30155.830189959026</v>
      </c>
      <c r="I33" s="5">
        <f t="shared" si="4"/>
        <v>76631.898488820545</v>
      </c>
      <c r="J33" s="26">
        <f t="shared" si="5"/>
        <v>0.22473037193259587</v>
      </c>
      <c r="L33" s="22">
        <f t="shared" si="11"/>
        <v>110515.30925770884</v>
      </c>
      <c r="M33" s="5">
        <f>scrimecost*Meta!O30</f>
        <v>1145.088</v>
      </c>
      <c r="N33" s="5">
        <f>L33-Grade16!L33</f>
        <v>663.26336413656827</v>
      </c>
      <c r="O33" s="5">
        <f>Grade16!M33-M33</f>
        <v>0</v>
      </c>
      <c r="P33" s="22">
        <f t="shared" si="12"/>
        <v>0</v>
      </c>
      <c r="Q33" s="22"/>
      <c r="R33" s="22"/>
      <c r="S33" s="22">
        <f t="shared" si="6"/>
        <v>364.35643319141832</v>
      </c>
      <c r="T33" s="22">
        <f t="shared" si="7"/>
        <v>951.45515083311557</v>
      </c>
    </row>
    <row r="34" spans="1:20" x14ac:dyDescent="0.2">
      <c r="A34" s="5">
        <v>43</v>
      </c>
      <c r="B34" s="1">
        <f t="shared" si="8"/>
        <v>1.6386164402903955</v>
      </c>
      <c r="C34" s="5">
        <f t="shared" si="9"/>
        <v>73540.394637151679</v>
      </c>
      <c r="D34" s="5">
        <f t="shared" si="0"/>
        <v>71802.182798037131</v>
      </c>
      <c r="E34" s="5">
        <f t="shared" si="1"/>
        <v>62302.182798037131</v>
      </c>
      <c r="F34" s="5">
        <f t="shared" si="2"/>
        <v>23423.630963362837</v>
      </c>
      <c r="G34" s="5">
        <f t="shared" si="3"/>
        <v>48378.55183467429</v>
      </c>
      <c r="H34" s="22">
        <f t="shared" si="10"/>
        <v>30909.725944707996</v>
      </c>
      <c r="I34" s="5">
        <f t="shared" si="4"/>
        <v>78360.986001041048</v>
      </c>
      <c r="J34" s="26">
        <f t="shared" si="5"/>
        <v>0.22657320833588396</v>
      </c>
      <c r="L34" s="22">
        <f t="shared" si="11"/>
        <v>113278.19198915154</v>
      </c>
      <c r="M34" s="5">
        <f>scrimecost*Meta!O31</f>
        <v>1145.088</v>
      </c>
      <c r="N34" s="5">
        <f>L34-Grade16!L34</f>
        <v>679.8449482399883</v>
      </c>
      <c r="O34" s="5">
        <f>Grade16!M34-M34</f>
        <v>0</v>
      </c>
      <c r="P34" s="22">
        <f t="shared" si="12"/>
        <v>0</v>
      </c>
      <c r="Q34" s="22"/>
      <c r="R34" s="22"/>
      <c r="S34" s="22">
        <f t="shared" si="6"/>
        <v>373.46534402120687</v>
      </c>
      <c r="T34" s="22">
        <f t="shared" si="7"/>
        <v>1023.187629808253</v>
      </c>
    </row>
    <row r="35" spans="1:20" x14ac:dyDescent="0.2">
      <c r="A35" s="5">
        <v>44</v>
      </c>
      <c r="B35" s="1">
        <f t="shared" si="8"/>
        <v>1.6795818512976552</v>
      </c>
      <c r="C35" s="5">
        <f t="shared" si="9"/>
        <v>75378.904503080455</v>
      </c>
      <c r="D35" s="5">
        <f t="shared" si="0"/>
        <v>73585.537367988043</v>
      </c>
      <c r="E35" s="5">
        <f t="shared" si="1"/>
        <v>64085.537367988043</v>
      </c>
      <c r="F35" s="5">
        <f t="shared" si="2"/>
        <v>24184.2316874469</v>
      </c>
      <c r="G35" s="5">
        <f t="shared" si="3"/>
        <v>49401.305680541147</v>
      </c>
      <c r="H35" s="22">
        <f t="shared" si="10"/>
        <v>31682.469093325697</v>
      </c>
      <c r="I35" s="5">
        <f t="shared" si="4"/>
        <v>80133.30070106707</v>
      </c>
      <c r="J35" s="26">
        <f t="shared" si="5"/>
        <v>0.22837109750982354</v>
      </c>
      <c r="L35" s="22">
        <f t="shared" si="11"/>
        <v>116110.14678888033</v>
      </c>
      <c r="M35" s="5">
        <f>scrimecost*Meta!O32</f>
        <v>1145.088</v>
      </c>
      <c r="N35" s="5">
        <f>L35-Grade16!L35</f>
        <v>696.84107194599346</v>
      </c>
      <c r="O35" s="5">
        <f>Grade16!M35-M35</f>
        <v>0</v>
      </c>
      <c r="P35" s="22">
        <f t="shared" si="12"/>
        <v>0</v>
      </c>
      <c r="Q35" s="22"/>
      <c r="R35" s="22"/>
      <c r="S35" s="22">
        <f t="shared" si="6"/>
        <v>382.80197762174009</v>
      </c>
      <c r="T35" s="22">
        <f t="shared" si="7"/>
        <v>1100.3281919026131</v>
      </c>
    </row>
    <row r="36" spans="1:20" x14ac:dyDescent="0.2">
      <c r="A36" s="5">
        <v>45</v>
      </c>
      <c r="B36" s="1">
        <f t="shared" si="8"/>
        <v>1.7215713975800966</v>
      </c>
      <c r="C36" s="5">
        <f t="shared" si="9"/>
        <v>77263.377115657466</v>
      </c>
      <c r="D36" s="5">
        <f t="shared" si="0"/>
        <v>75413.475802187735</v>
      </c>
      <c r="E36" s="5">
        <f t="shared" si="1"/>
        <v>65913.475802187735</v>
      </c>
      <c r="F36" s="5">
        <f t="shared" si="2"/>
        <v>24963.847429633071</v>
      </c>
      <c r="G36" s="5">
        <f t="shared" si="3"/>
        <v>50449.628372554667</v>
      </c>
      <c r="H36" s="22">
        <f t="shared" si="10"/>
        <v>32474.530820658838</v>
      </c>
      <c r="I36" s="5">
        <f t="shared" si="4"/>
        <v>81949.923268593731</v>
      </c>
      <c r="J36" s="26">
        <f t="shared" si="5"/>
        <v>0.23012513572830121</v>
      </c>
      <c r="L36" s="22">
        <f t="shared" si="11"/>
        <v>119012.90045860232</v>
      </c>
      <c r="M36" s="5">
        <f>scrimecost*Meta!O33</f>
        <v>925.4140000000001</v>
      </c>
      <c r="N36" s="5">
        <f>L36-Grade16!L36</f>
        <v>714.26209874461347</v>
      </c>
      <c r="O36" s="5">
        <f>Grade16!M36-M36</f>
        <v>0</v>
      </c>
      <c r="P36" s="22">
        <f t="shared" si="12"/>
        <v>0</v>
      </c>
      <c r="Q36" s="22"/>
      <c r="R36" s="22"/>
      <c r="S36" s="22">
        <f t="shared" si="6"/>
        <v>392.37202706226725</v>
      </c>
      <c r="T36" s="22">
        <f t="shared" si="7"/>
        <v>1183.284565434499</v>
      </c>
    </row>
    <row r="37" spans="1:20" x14ac:dyDescent="0.2">
      <c r="A37" s="5">
        <v>46</v>
      </c>
      <c r="B37" s="1">
        <f t="shared" ref="B37:B56" si="13">(1+experiencepremium)^(A37-startage)</f>
        <v>1.7646106825195991</v>
      </c>
      <c r="C37" s="5">
        <f t="shared" ref="C37:C56" si="14">pretaxincome*B37/expnorm</f>
        <v>79194.961543548896</v>
      </c>
      <c r="D37" s="5">
        <f t="shared" ref="D37:D56" si="15">IF(A37&lt;startage,1,0)*(C37*(1-initialunempprob))+IF(A37=startage,1,0)*(C37*(1-unempprob))+IF(A37&gt;startage,1,0)*(C37*(1-unempprob)+unempprob*300*52)</f>
        <v>77287.112697242424</v>
      </c>
      <c r="E37" s="5">
        <f t="shared" si="1"/>
        <v>67787.112697242424</v>
      </c>
      <c r="F37" s="5">
        <f t="shared" si="2"/>
        <v>25762.953565373897</v>
      </c>
      <c r="G37" s="5">
        <f t="shared" si="3"/>
        <v>51524.159131868524</v>
      </c>
      <c r="H37" s="22">
        <f t="shared" ref="H37:H56" si="16">benefits*B37/expnorm</f>
        <v>33286.394091175309</v>
      </c>
      <c r="I37" s="5">
        <f t="shared" ref="I37:I56" si="17">G37+IF(A37&lt;startage,1,0)*(H37*(1-initialunempprob))+IF(A37&gt;=startage,1,0)*(H37*(1-unempprob))</f>
        <v>83811.961400308574</v>
      </c>
      <c r="J37" s="26">
        <f t="shared" si="5"/>
        <v>0.23183639252681601</v>
      </c>
      <c r="L37" s="22">
        <f t="shared" ref="L37:L56" si="18">(sincome+sbenefits)*(1-sunemp)*B37/expnorm</f>
        <v>121988.22297006739</v>
      </c>
      <c r="M37" s="5">
        <f>scrimecost*Meta!O34</f>
        <v>925.4140000000001</v>
      </c>
      <c r="N37" s="5">
        <f>L37-Grade16!L37</f>
        <v>732.11865121324081</v>
      </c>
      <c r="O37" s="5">
        <f>Grade16!M37-M37</f>
        <v>0</v>
      </c>
      <c r="P37" s="22">
        <f t="shared" si="12"/>
        <v>0</v>
      </c>
      <c r="Q37" s="22"/>
      <c r="R37" s="22"/>
      <c r="S37" s="22">
        <f t="shared" si="6"/>
        <v>402.18132773883048</v>
      </c>
      <c r="T37" s="22">
        <f t="shared" si="7"/>
        <v>1272.4952183352916</v>
      </c>
    </row>
    <row r="38" spans="1:20" x14ac:dyDescent="0.2">
      <c r="A38" s="5">
        <v>47</v>
      </c>
      <c r="B38" s="1">
        <f t="shared" si="13"/>
        <v>1.8087259495825889</v>
      </c>
      <c r="C38" s="5">
        <f t="shared" si="14"/>
        <v>81174.835582137632</v>
      </c>
      <c r="D38" s="5">
        <f t="shared" si="15"/>
        <v>79207.590514673502</v>
      </c>
      <c r="E38" s="5">
        <f t="shared" si="1"/>
        <v>69707.590514673502</v>
      </c>
      <c r="F38" s="5">
        <f t="shared" si="2"/>
        <v>26582.037354508248</v>
      </c>
      <c r="G38" s="5">
        <f t="shared" si="3"/>
        <v>52625.553160165255</v>
      </c>
      <c r="H38" s="22">
        <f t="shared" si="16"/>
        <v>34118.553943454688</v>
      </c>
      <c r="I38" s="5">
        <f t="shared" si="17"/>
        <v>85720.5504853163</v>
      </c>
      <c r="J38" s="26">
        <f t="shared" si="5"/>
        <v>0.2335059113546353</v>
      </c>
      <c r="L38" s="22">
        <f t="shared" si="18"/>
        <v>125037.92854431907</v>
      </c>
      <c r="M38" s="5">
        <f>scrimecost*Meta!O35</f>
        <v>925.4140000000001</v>
      </c>
      <c r="N38" s="5">
        <f>L38-Grade16!L38</f>
        <v>750.42161749360093</v>
      </c>
      <c r="O38" s="5">
        <f>Grade16!M38-M38</f>
        <v>0</v>
      </c>
      <c r="P38" s="22">
        <f t="shared" si="12"/>
        <v>0</v>
      </c>
      <c r="Q38" s="22"/>
      <c r="R38" s="22"/>
      <c r="S38" s="22">
        <f t="shared" si="6"/>
        <v>412.23586093231728</v>
      </c>
      <c r="T38" s="22">
        <f t="shared" si="7"/>
        <v>1368.4316756820335</v>
      </c>
    </row>
    <row r="39" spans="1:20" x14ac:dyDescent="0.2">
      <c r="A39" s="5">
        <v>48</v>
      </c>
      <c r="B39" s="1">
        <f t="shared" si="13"/>
        <v>1.8539440983221533</v>
      </c>
      <c r="C39" s="5">
        <f t="shared" si="14"/>
        <v>83204.206471691054</v>
      </c>
      <c r="D39" s="5">
        <f t="shared" si="15"/>
        <v>81176.080277540314</v>
      </c>
      <c r="E39" s="5">
        <f t="shared" si="1"/>
        <v>71676.080277540314</v>
      </c>
      <c r="F39" s="5">
        <f t="shared" si="2"/>
        <v>27421.598238370942</v>
      </c>
      <c r="G39" s="5">
        <f t="shared" si="3"/>
        <v>53754.482039169372</v>
      </c>
      <c r="H39" s="22">
        <f t="shared" si="16"/>
        <v>34971.51779204105</v>
      </c>
      <c r="I39" s="5">
        <f t="shared" si="17"/>
        <v>87676.854297449187</v>
      </c>
      <c r="J39" s="26">
        <f t="shared" si="5"/>
        <v>0.23513471021104435</v>
      </c>
      <c r="L39" s="22">
        <f t="shared" si="18"/>
        <v>128163.87675792702</v>
      </c>
      <c r="M39" s="5">
        <f>scrimecost*Meta!O36</f>
        <v>925.4140000000001</v>
      </c>
      <c r="N39" s="5">
        <f>L39-Grade16!L39</f>
        <v>769.18215793091804</v>
      </c>
      <c r="O39" s="5">
        <f>Grade16!M39-M39</f>
        <v>0</v>
      </c>
      <c r="P39" s="22">
        <f t="shared" si="12"/>
        <v>0</v>
      </c>
      <c r="Q39" s="22"/>
      <c r="R39" s="22"/>
      <c r="S39" s="22">
        <f t="shared" si="6"/>
        <v>422.54175745561258</v>
      </c>
      <c r="T39" s="22">
        <f t="shared" si="7"/>
        <v>1471.6010119547605</v>
      </c>
    </row>
    <row r="40" spans="1:20" x14ac:dyDescent="0.2">
      <c r="A40" s="5">
        <v>49</v>
      </c>
      <c r="B40" s="1">
        <f t="shared" si="13"/>
        <v>1.9002927007802071</v>
      </c>
      <c r="C40" s="5">
        <f t="shared" si="14"/>
        <v>85284.311633483318</v>
      </c>
      <c r="D40" s="5">
        <f t="shared" si="15"/>
        <v>83193.782284478817</v>
      </c>
      <c r="E40" s="5">
        <f t="shared" si="1"/>
        <v>73693.782284478817</v>
      </c>
      <c r="F40" s="5">
        <f t="shared" si="2"/>
        <v>28282.148144330218</v>
      </c>
      <c r="G40" s="5">
        <f t="shared" si="3"/>
        <v>54911.634140148599</v>
      </c>
      <c r="H40" s="22">
        <f t="shared" si="16"/>
        <v>35845.80573684207</v>
      </c>
      <c r="I40" s="5">
        <f t="shared" si="17"/>
        <v>89682.065704885405</v>
      </c>
      <c r="J40" s="26">
        <f t="shared" si="5"/>
        <v>0.23672378226607765</v>
      </c>
      <c r="L40" s="22">
        <f t="shared" si="18"/>
        <v>131367.9736768752</v>
      </c>
      <c r="M40" s="5">
        <f>scrimecost*Meta!O37</f>
        <v>925.4140000000001</v>
      </c>
      <c r="N40" s="5">
        <f>L40-Grade16!L40</f>
        <v>788.41171187920554</v>
      </c>
      <c r="O40" s="5">
        <f>Grade16!M40-M40</f>
        <v>0</v>
      </c>
      <c r="P40" s="22">
        <f t="shared" si="12"/>
        <v>0</v>
      </c>
      <c r="Q40" s="22"/>
      <c r="R40" s="22"/>
      <c r="S40" s="22">
        <f t="shared" si="6"/>
        <v>433.10530139201086</v>
      </c>
      <c r="T40" s="22">
        <f t="shared" si="7"/>
        <v>1582.548531191394</v>
      </c>
    </row>
    <row r="41" spans="1:20" x14ac:dyDescent="0.2">
      <c r="A41" s="5">
        <v>50</v>
      </c>
      <c r="B41" s="1">
        <f t="shared" si="13"/>
        <v>1.9478000182997122</v>
      </c>
      <c r="C41" s="5">
        <f t="shared" si="14"/>
        <v>87416.419424320397</v>
      </c>
      <c r="D41" s="5">
        <f t="shared" si="15"/>
        <v>85261.926841590786</v>
      </c>
      <c r="E41" s="5">
        <f t="shared" si="1"/>
        <v>75761.926841590786</v>
      </c>
      <c r="F41" s="5">
        <f t="shared" si="2"/>
        <v>29164.211797938471</v>
      </c>
      <c r="G41" s="5">
        <f t="shared" si="3"/>
        <v>56097.715043652315</v>
      </c>
      <c r="H41" s="22">
        <f t="shared" si="16"/>
        <v>36741.950880263124</v>
      </c>
      <c r="I41" s="5">
        <f t="shared" si="17"/>
        <v>91737.407397507544</v>
      </c>
      <c r="J41" s="26">
        <f t="shared" si="5"/>
        <v>0.23827409646611009</v>
      </c>
      <c r="L41" s="22">
        <f t="shared" si="18"/>
        <v>134652.17301879707</v>
      </c>
      <c r="M41" s="5">
        <f>scrimecost*Meta!O38</f>
        <v>618.26800000000003</v>
      </c>
      <c r="N41" s="5">
        <f>L41-Grade16!L41</f>
        <v>808.12200467617367</v>
      </c>
      <c r="O41" s="5">
        <f>Grade16!M41-M41</f>
        <v>0</v>
      </c>
      <c r="P41" s="22">
        <f t="shared" si="12"/>
        <v>0</v>
      </c>
      <c r="Q41" s="22"/>
      <c r="R41" s="22"/>
      <c r="S41" s="22">
        <f t="shared" si="6"/>
        <v>443.93293392680459</v>
      </c>
      <c r="T41" s="22">
        <f t="shared" si="7"/>
        <v>1701.8606492049262</v>
      </c>
    </row>
    <row r="42" spans="1:20" x14ac:dyDescent="0.2">
      <c r="A42" s="5">
        <v>51</v>
      </c>
      <c r="B42" s="1">
        <f t="shared" si="13"/>
        <v>1.9964950187572048</v>
      </c>
      <c r="C42" s="5">
        <f t="shared" si="14"/>
        <v>89601.829909928405</v>
      </c>
      <c r="D42" s="5">
        <f t="shared" si="15"/>
        <v>87381.775012630547</v>
      </c>
      <c r="E42" s="5">
        <f t="shared" si="1"/>
        <v>77881.775012630547</v>
      </c>
      <c r="F42" s="5">
        <f t="shared" si="2"/>
        <v>30068.327042886929</v>
      </c>
      <c r="G42" s="5">
        <f t="shared" si="3"/>
        <v>57313.447969743618</v>
      </c>
      <c r="H42" s="22">
        <f t="shared" si="16"/>
        <v>37660.499652269697</v>
      </c>
      <c r="I42" s="5">
        <f t="shared" si="17"/>
        <v>93844.132632445224</v>
      </c>
      <c r="J42" s="26">
        <f t="shared" si="5"/>
        <v>0.23978659812467829</v>
      </c>
      <c r="L42" s="22">
        <f t="shared" si="18"/>
        <v>138018.47734426698</v>
      </c>
      <c r="M42" s="5">
        <f>scrimecost*Meta!O39</f>
        <v>618.26800000000003</v>
      </c>
      <c r="N42" s="5">
        <f>L42-Grade16!L42</f>
        <v>828.32505479306565</v>
      </c>
      <c r="O42" s="5">
        <f>Grade16!M42-M42</f>
        <v>0</v>
      </c>
      <c r="P42" s="22">
        <f t="shared" si="12"/>
        <v>0</v>
      </c>
      <c r="Q42" s="22"/>
      <c r="R42" s="22"/>
      <c r="S42" s="22">
        <f t="shared" si="6"/>
        <v>455.03125727496786</v>
      </c>
      <c r="T42" s="22">
        <f t="shared" si="7"/>
        <v>1830.1679930989294</v>
      </c>
    </row>
    <row r="43" spans="1:20" x14ac:dyDescent="0.2">
      <c r="A43" s="5">
        <v>52</v>
      </c>
      <c r="B43" s="1">
        <f t="shared" si="13"/>
        <v>2.0464073942261352</v>
      </c>
      <c r="C43" s="5">
        <f t="shared" si="14"/>
        <v>91841.875657676632</v>
      </c>
      <c r="D43" s="5">
        <f t="shared" si="15"/>
        <v>89554.619387946324</v>
      </c>
      <c r="E43" s="5">
        <f t="shared" si="1"/>
        <v>80054.619387946324</v>
      </c>
      <c r="F43" s="5">
        <f t="shared" si="2"/>
        <v>30995.045168959106</v>
      </c>
      <c r="G43" s="5">
        <f t="shared" si="3"/>
        <v>58559.574218987218</v>
      </c>
      <c r="H43" s="22">
        <f t="shared" si="16"/>
        <v>38602.012143576445</v>
      </c>
      <c r="I43" s="5">
        <f t="shared" si="17"/>
        <v>96003.525998256373</v>
      </c>
      <c r="J43" s="26">
        <f t="shared" si="5"/>
        <v>0.24126220949889121</v>
      </c>
      <c r="L43" s="22">
        <f t="shared" si="18"/>
        <v>141468.93927787367</v>
      </c>
      <c r="M43" s="5">
        <f>scrimecost*Meta!O40</f>
        <v>618.26800000000003</v>
      </c>
      <c r="N43" s="5">
        <f>L43-Grade16!L43</f>
        <v>849.0331811629294</v>
      </c>
      <c r="O43" s="5">
        <f>Grade16!M43-M43</f>
        <v>0</v>
      </c>
      <c r="P43" s="22">
        <f t="shared" si="12"/>
        <v>0</v>
      </c>
      <c r="Q43" s="22"/>
      <c r="R43" s="22"/>
      <c r="S43" s="22">
        <f t="shared" si="6"/>
        <v>466.40703870686241</v>
      </c>
      <c r="T43" s="22">
        <f t="shared" si="7"/>
        <v>1968.1487344623565</v>
      </c>
    </row>
    <row r="44" spans="1:20" x14ac:dyDescent="0.2">
      <c r="A44" s="5">
        <v>53</v>
      </c>
      <c r="B44" s="1">
        <f t="shared" si="13"/>
        <v>2.097567579081788</v>
      </c>
      <c r="C44" s="5">
        <f t="shared" si="14"/>
        <v>94137.922549118521</v>
      </c>
      <c r="D44" s="5">
        <f t="shared" si="15"/>
        <v>91781.784872644959</v>
      </c>
      <c r="E44" s="5">
        <f t="shared" si="1"/>
        <v>82281.784872644959</v>
      </c>
      <c r="F44" s="5">
        <f t="shared" si="2"/>
        <v>31944.931248183075</v>
      </c>
      <c r="G44" s="5">
        <f t="shared" si="3"/>
        <v>59836.853624461888</v>
      </c>
      <c r="H44" s="22">
        <f t="shared" si="16"/>
        <v>39567.062447165845</v>
      </c>
      <c r="I44" s="5">
        <f t="shared" si="17"/>
        <v>98216.904198212753</v>
      </c>
      <c r="J44" s="26">
        <f t="shared" si="5"/>
        <v>0.24270183035178189</v>
      </c>
      <c r="L44" s="22">
        <f t="shared" si="18"/>
        <v>145005.66275982049</v>
      </c>
      <c r="M44" s="5">
        <f>scrimecost*Meta!O41</f>
        <v>618.26800000000003</v>
      </c>
      <c r="N44" s="5">
        <f>L44-Grade16!L44</f>
        <v>870.25901069192332</v>
      </c>
      <c r="O44" s="5">
        <f>Grade16!M44-M44</f>
        <v>0</v>
      </c>
      <c r="P44" s="22">
        <f t="shared" si="12"/>
        <v>0</v>
      </c>
      <c r="Q44" s="22"/>
      <c r="R44" s="22"/>
      <c r="S44" s="22">
        <f t="shared" si="6"/>
        <v>478.06721467449051</v>
      </c>
      <c r="T44" s="22">
        <f t="shared" si="7"/>
        <v>2116.5321738614116</v>
      </c>
    </row>
    <row r="45" spans="1:20" x14ac:dyDescent="0.2">
      <c r="A45" s="5">
        <v>54</v>
      </c>
      <c r="B45" s="1">
        <f t="shared" si="13"/>
        <v>2.1500067685588333</v>
      </c>
      <c r="C45" s="5">
        <f t="shared" si="14"/>
        <v>96491.370612846513</v>
      </c>
      <c r="D45" s="5">
        <f t="shared" si="15"/>
        <v>94064.629494461115</v>
      </c>
      <c r="E45" s="5">
        <f t="shared" si="1"/>
        <v>84564.629494461115</v>
      </c>
      <c r="F45" s="5">
        <f t="shared" si="2"/>
        <v>32947.503364221498</v>
      </c>
      <c r="G45" s="5">
        <f t="shared" si="3"/>
        <v>61117.126130239616</v>
      </c>
      <c r="H45" s="22">
        <f t="shared" si="16"/>
        <v>40556.239008345008</v>
      </c>
      <c r="I45" s="5">
        <f t="shared" si="17"/>
        <v>100456.67796833428</v>
      </c>
      <c r="J45" s="26">
        <f t="shared" si="5"/>
        <v>0.24432402855750859</v>
      </c>
      <c r="L45" s="22">
        <f t="shared" si="18"/>
        <v>148630.80432881604</v>
      </c>
      <c r="M45" s="5">
        <f>scrimecost*Meta!O42</f>
        <v>618.26800000000003</v>
      </c>
      <c r="N45" s="5">
        <f>L45-Grade16!L45</f>
        <v>892.01548595933127</v>
      </c>
      <c r="O45" s="5">
        <f>Grade16!M45-M45</f>
        <v>0</v>
      </c>
      <c r="P45" s="22">
        <f t="shared" si="12"/>
        <v>0</v>
      </c>
      <c r="Q45" s="22"/>
      <c r="R45" s="22"/>
      <c r="S45" s="22">
        <f t="shared" ref="S45:S69" si="19">IF(A45&lt;startage,1,0)*(N45-Q45-R45)+IF(A45&gt;=startage,1,0)*completionprob*(N45*spart+O45+P45)</f>
        <v>490.01889504141309</v>
      </c>
      <c r="T45" s="22">
        <f t="shared" ref="T45:T69" si="20">S45/sreturn^(A45-startage+1)</f>
        <v>2276.1025955770579</v>
      </c>
    </row>
    <row r="46" spans="1:20" x14ac:dyDescent="0.2">
      <c r="A46" s="5">
        <v>55</v>
      </c>
      <c r="B46" s="1">
        <f t="shared" si="13"/>
        <v>2.2037569377728037</v>
      </c>
      <c r="C46" s="5">
        <f t="shared" si="14"/>
        <v>98903.654878167654</v>
      </c>
      <c r="D46" s="5">
        <f t="shared" si="15"/>
        <v>96404.545231822616</v>
      </c>
      <c r="E46" s="5">
        <f t="shared" si="1"/>
        <v>86904.545231822616</v>
      </c>
      <c r="F46" s="5">
        <f t="shared" si="2"/>
        <v>34015.674898327023</v>
      </c>
      <c r="G46" s="5">
        <f t="shared" si="3"/>
        <v>62388.870333495594</v>
      </c>
      <c r="H46" s="22">
        <f t="shared" si="16"/>
        <v>41570.144983553619</v>
      </c>
      <c r="I46" s="5">
        <f t="shared" si="17"/>
        <v>102711.9109675426</v>
      </c>
      <c r="J46" s="26">
        <f t="shared" si="5"/>
        <v>0.24620414545623578</v>
      </c>
      <c r="L46" s="22">
        <f t="shared" si="18"/>
        <v>152346.57443703641</v>
      </c>
      <c r="M46" s="5">
        <f>scrimecost*Meta!O43</f>
        <v>342.92999999999995</v>
      </c>
      <c r="N46" s="5">
        <f>L46-Grade16!L46</f>
        <v>914.31587310825125</v>
      </c>
      <c r="O46" s="5">
        <f>Grade16!M46-M46</f>
        <v>0</v>
      </c>
      <c r="P46" s="22">
        <f t="shared" si="12"/>
        <v>0</v>
      </c>
      <c r="Q46" s="22"/>
      <c r="R46" s="22"/>
      <c r="S46" s="22">
        <f t="shared" si="19"/>
        <v>502.26936741741366</v>
      </c>
      <c r="T46" s="22">
        <f t="shared" si="20"/>
        <v>2447.7034129559361</v>
      </c>
    </row>
    <row r="47" spans="1:20" x14ac:dyDescent="0.2">
      <c r="A47" s="5">
        <v>56</v>
      </c>
      <c r="B47" s="1">
        <f t="shared" si="13"/>
        <v>2.2588508612171236</v>
      </c>
      <c r="C47" s="5">
        <f t="shared" si="14"/>
        <v>101376.24625012184</v>
      </c>
      <c r="D47" s="5">
        <f t="shared" si="15"/>
        <v>98802.958862618179</v>
      </c>
      <c r="E47" s="5">
        <f t="shared" si="1"/>
        <v>89302.958862618179</v>
      </c>
      <c r="F47" s="5">
        <f t="shared" si="2"/>
        <v>35110.550720785199</v>
      </c>
      <c r="G47" s="5">
        <f t="shared" si="3"/>
        <v>63692.408141832981</v>
      </c>
      <c r="H47" s="22">
        <f t="shared" si="16"/>
        <v>42609.398608142459</v>
      </c>
      <c r="I47" s="5">
        <f t="shared" si="17"/>
        <v>105023.52479173116</v>
      </c>
      <c r="J47" s="26">
        <f t="shared" si="5"/>
        <v>0.24803840584523804</v>
      </c>
      <c r="L47" s="22">
        <f t="shared" si="18"/>
        <v>156155.23879796229</v>
      </c>
      <c r="M47" s="5">
        <f>scrimecost*Meta!O44</f>
        <v>342.92999999999995</v>
      </c>
      <c r="N47" s="5">
        <f>L47-Grade16!L47</f>
        <v>937.17376993596554</v>
      </c>
      <c r="O47" s="5">
        <f>Grade16!M47-M47</f>
        <v>0</v>
      </c>
      <c r="P47" s="22">
        <f t="shared" si="12"/>
        <v>0</v>
      </c>
      <c r="Q47" s="22"/>
      <c r="R47" s="22"/>
      <c r="S47" s="22">
        <f t="shared" si="19"/>
        <v>514.82610160285333</v>
      </c>
      <c r="T47" s="22">
        <f t="shared" si="20"/>
        <v>2632.2416262952534</v>
      </c>
    </row>
    <row r="48" spans="1:20" x14ac:dyDescent="0.2">
      <c r="A48" s="5">
        <v>57</v>
      </c>
      <c r="B48" s="1">
        <f t="shared" si="13"/>
        <v>2.3153221327475517</v>
      </c>
      <c r="C48" s="5">
        <f t="shared" si="14"/>
        <v>103910.65240637488</v>
      </c>
      <c r="D48" s="5">
        <f t="shared" si="15"/>
        <v>101261.33283418363</v>
      </c>
      <c r="E48" s="5">
        <f t="shared" si="1"/>
        <v>91761.332834183631</v>
      </c>
      <c r="F48" s="5">
        <f t="shared" si="2"/>
        <v>36232.798438804828</v>
      </c>
      <c r="G48" s="5">
        <f t="shared" si="3"/>
        <v>65028.534395378803</v>
      </c>
      <c r="H48" s="22">
        <f t="shared" si="16"/>
        <v>43674.633573346015</v>
      </c>
      <c r="I48" s="5">
        <f t="shared" si="17"/>
        <v>107392.92896152443</v>
      </c>
      <c r="J48" s="26">
        <f t="shared" si="5"/>
        <v>0.24982792817597194</v>
      </c>
      <c r="L48" s="22">
        <f t="shared" si="18"/>
        <v>160059.11976791138</v>
      </c>
      <c r="M48" s="5">
        <f>scrimecost*Meta!O45</f>
        <v>342.92999999999995</v>
      </c>
      <c r="N48" s="5">
        <f>L48-Grade16!L48</f>
        <v>960.6031141843996</v>
      </c>
      <c r="O48" s="5">
        <f>Grade16!M48-M48</f>
        <v>0</v>
      </c>
      <c r="P48" s="22">
        <f t="shared" si="12"/>
        <v>0</v>
      </c>
      <c r="Q48" s="22"/>
      <c r="R48" s="22"/>
      <c r="S48" s="22">
        <f t="shared" si="19"/>
        <v>527.69675414294386</v>
      </c>
      <c r="T48" s="22">
        <f t="shared" si="20"/>
        <v>2830.6926168127238</v>
      </c>
    </row>
    <row r="49" spans="1:20" x14ac:dyDescent="0.2">
      <c r="A49" s="5">
        <v>58</v>
      </c>
      <c r="B49" s="1">
        <f t="shared" si="13"/>
        <v>2.3732051860662402</v>
      </c>
      <c r="C49" s="5">
        <f t="shared" si="14"/>
        <v>106508.41871653424</v>
      </c>
      <c r="D49" s="5">
        <f t="shared" si="15"/>
        <v>103781.16615503821</v>
      </c>
      <c r="E49" s="5">
        <f t="shared" si="1"/>
        <v>94281.166155038212</v>
      </c>
      <c r="F49" s="5">
        <f t="shared" si="2"/>
        <v>37383.102349774941</v>
      </c>
      <c r="G49" s="5">
        <f t="shared" si="3"/>
        <v>66398.063805263271</v>
      </c>
      <c r="H49" s="22">
        <f t="shared" si="16"/>
        <v>44766.499412679666</v>
      </c>
      <c r="I49" s="5">
        <f t="shared" si="17"/>
        <v>109821.56823556255</v>
      </c>
      <c r="J49" s="26">
        <f t="shared" si="5"/>
        <v>0.25157380362059029</v>
      </c>
      <c r="L49" s="22">
        <f t="shared" si="18"/>
        <v>164060.59776210913</v>
      </c>
      <c r="M49" s="5">
        <f>scrimecost*Meta!O46</f>
        <v>342.92999999999995</v>
      </c>
      <c r="N49" s="5">
        <f>L49-Grade16!L49</f>
        <v>984.61819203896448</v>
      </c>
      <c r="O49" s="5">
        <f>Grade16!M49-M49</f>
        <v>0</v>
      </c>
      <c r="P49" s="22">
        <f t="shared" si="12"/>
        <v>0</v>
      </c>
      <c r="Q49" s="22"/>
      <c r="R49" s="22"/>
      <c r="S49" s="22">
        <f t="shared" si="19"/>
        <v>540.88917299649268</v>
      </c>
      <c r="T49" s="22">
        <f t="shared" si="20"/>
        <v>3044.1053020482195</v>
      </c>
    </row>
    <row r="50" spans="1:20" x14ac:dyDescent="0.2">
      <c r="A50" s="5">
        <v>59</v>
      </c>
      <c r="B50" s="1">
        <f t="shared" si="13"/>
        <v>2.4325353157178964</v>
      </c>
      <c r="C50" s="5">
        <f t="shared" si="14"/>
        <v>109171.12918444761</v>
      </c>
      <c r="D50" s="5">
        <f t="shared" si="15"/>
        <v>106363.99530891418</v>
      </c>
      <c r="E50" s="5">
        <f t="shared" si="1"/>
        <v>96863.995308914178</v>
      </c>
      <c r="F50" s="5">
        <f t="shared" si="2"/>
        <v>38562.163858519321</v>
      </c>
      <c r="G50" s="5">
        <f t="shared" si="3"/>
        <v>67801.83145039485</v>
      </c>
      <c r="H50" s="22">
        <f t="shared" si="16"/>
        <v>45885.661897996659</v>
      </c>
      <c r="I50" s="5">
        <f t="shared" si="17"/>
        <v>112310.9234914516</v>
      </c>
      <c r="J50" s="26">
        <f t="shared" si="5"/>
        <v>0.25327709673729126</v>
      </c>
      <c r="L50" s="22">
        <f t="shared" si="18"/>
        <v>168162.11270616186</v>
      </c>
      <c r="M50" s="5">
        <f>scrimecost*Meta!O47</f>
        <v>342.92999999999995</v>
      </c>
      <c r="N50" s="5">
        <f>L50-Grade16!L50</f>
        <v>1009.2336468399444</v>
      </c>
      <c r="O50" s="5">
        <f>Grade16!M50-M50</f>
        <v>0</v>
      </c>
      <c r="P50" s="22">
        <f t="shared" si="12"/>
        <v>0</v>
      </c>
      <c r="Q50" s="22"/>
      <c r="R50" s="22"/>
      <c r="S50" s="22">
        <f t="shared" si="19"/>
        <v>554.41140232140822</v>
      </c>
      <c r="T50" s="22">
        <f t="shared" si="20"/>
        <v>3273.6076799438756</v>
      </c>
    </row>
    <row r="51" spans="1:20" x14ac:dyDescent="0.2">
      <c r="A51" s="5">
        <v>60</v>
      </c>
      <c r="B51" s="1">
        <f t="shared" si="13"/>
        <v>2.4933486986108435</v>
      </c>
      <c r="C51" s="5">
        <f t="shared" si="14"/>
        <v>111900.40741405878</v>
      </c>
      <c r="D51" s="5">
        <f t="shared" si="15"/>
        <v>109011.39519163701</v>
      </c>
      <c r="E51" s="5">
        <f t="shared" si="1"/>
        <v>99511.395191637013</v>
      </c>
      <c r="F51" s="5">
        <f t="shared" si="2"/>
        <v>39633.5954031008</v>
      </c>
      <c r="G51" s="5">
        <f t="shared" si="3"/>
        <v>69377.799788536213</v>
      </c>
      <c r="H51" s="22">
        <f t="shared" si="16"/>
        <v>47032.803445446574</v>
      </c>
      <c r="I51" s="5">
        <f t="shared" si="17"/>
        <v>114999.61913061939</v>
      </c>
      <c r="J51" s="26">
        <f t="shared" si="5"/>
        <v>0.25404949827079315</v>
      </c>
      <c r="L51" s="22">
        <f t="shared" si="18"/>
        <v>172366.1655238159</v>
      </c>
      <c r="M51" s="5">
        <f>scrimecost*Meta!O48</f>
        <v>180.90799999999999</v>
      </c>
      <c r="N51" s="5">
        <f>L51-Grade16!L51</f>
        <v>1034.4644880109699</v>
      </c>
      <c r="O51" s="5">
        <f>Grade16!M51-M51</f>
        <v>0</v>
      </c>
      <c r="P51" s="22">
        <f t="shared" si="12"/>
        <v>0</v>
      </c>
      <c r="Q51" s="22"/>
      <c r="R51" s="22"/>
      <c r="S51" s="22">
        <f t="shared" si="19"/>
        <v>568.27168737945817</v>
      </c>
      <c r="T51" s="22">
        <f t="shared" si="20"/>
        <v>3520.4127909035092</v>
      </c>
    </row>
    <row r="52" spans="1:20" x14ac:dyDescent="0.2">
      <c r="A52" s="5">
        <v>61</v>
      </c>
      <c r="B52" s="1">
        <f t="shared" si="13"/>
        <v>2.555682416076114</v>
      </c>
      <c r="C52" s="5">
        <f t="shared" si="14"/>
        <v>114697.91759941023</v>
      </c>
      <c r="D52" s="5">
        <f t="shared" si="15"/>
        <v>111724.98007142791</v>
      </c>
      <c r="E52" s="5">
        <f t="shared" si="1"/>
        <v>102224.98007142791</v>
      </c>
      <c r="F52" s="5">
        <f t="shared" si="2"/>
        <v>40704.104638178309</v>
      </c>
      <c r="G52" s="5">
        <f t="shared" si="3"/>
        <v>71020.875433249603</v>
      </c>
      <c r="H52" s="22">
        <f t="shared" si="16"/>
        <v>48208.623531582722</v>
      </c>
      <c r="I52" s="5">
        <f t="shared" si="17"/>
        <v>117783.24025888485</v>
      </c>
      <c r="J52" s="26">
        <f t="shared" si="5"/>
        <v>0.25462771450159405</v>
      </c>
      <c r="L52" s="22">
        <f t="shared" si="18"/>
        <v>176675.31966191126</v>
      </c>
      <c r="M52" s="5">
        <f>scrimecost*Meta!O49</f>
        <v>180.90799999999999</v>
      </c>
      <c r="N52" s="5">
        <f>L52-Grade16!L52</f>
        <v>1060.3261002112122</v>
      </c>
      <c r="O52" s="5">
        <f>Grade16!M52-M52</f>
        <v>0</v>
      </c>
      <c r="P52" s="22">
        <f t="shared" si="12"/>
        <v>0</v>
      </c>
      <c r="Q52" s="22"/>
      <c r="R52" s="22"/>
      <c r="S52" s="22">
        <f t="shared" si="19"/>
        <v>582.47847956392707</v>
      </c>
      <c r="T52" s="22">
        <f t="shared" si="20"/>
        <v>3785.8251293474518</v>
      </c>
    </row>
    <row r="53" spans="1:20" x14ac:dyDescent="0.2">
      <c r="A53" s="5">
        <v>62</v>
      </c>
      <c r="B53" s="1">
        <f t="shared" si="13"/>
        <v>2.6195744764780171</v>
      </c>
      <c r="C53" s="5">
        <f t="shared" si="14"/>
        <v>117565.36553939548</v>
      </c>
      <c r="D53" s="5">
        <f t="shared" si="15"/>
        <v>114506.40457321361</v>
      </c>
      <c r="E53" s="5">
        <f t="shared" si="1"/>
        <v>105006.40457321361</v>
      </c>
      <c r="F53" s="5">
        <f t="shared" si="2"/>
        <v>41801.376604132776</v>
      </c>
      <c r="G53" s="5">
        <f t="shared" si="3"/>
        <v>72705.027969080838</v>
      </c>
      <c r="H53" s="22">
        <f t="shared" si="16"/>
        <v>49413.839119872297</v>
      </c>
      <c r="I53" s="5">
        <f t="shared" si="17"/>
        <v>120636.45191535697</v>
      </c>
      <c r="J53" s="26">
        <f t="shared" si="5"/>
        <v>0.25519182789749728</v>
      </c>
      <c r="L53" s="22">
        <f t="shared" si="18"/>
        <v>181092.20265345904</v>
      </c>
      <c r="M53" s="5">
        <f>scrimecost*Meta!O50</f>
        <v>180.90799999999999</v>
      </c>
      <c r="N53" s="5">
        <f>L53-Grade16!L53</f>
        <v>1086.8342527165078</v>
      </c>
      <c r="O53" s="5">
        <f>Grade16!M53-M53</f>
        <v>0</v>
      </c>
      <c r="P53" s="22">
        <f t="shared" si="12"/>
        <v>0</v>
      </c>
      <c r="Q53" s="22"/>
      <c r="R53" s="22"/>
      <c r="S53" s="22">
        <f t="shared" si="19"/>
        <v>597.0404415530337</v>
      </c>
      <c r="T53" s="22">
        <f t="shared" si="20"/>
        <v>4071.2475386503975</v>
      </c>
    </row>
    <row r="54" spans="1:20" x14ac:dyDescent="0.2">
      <c r="A54" s="5">
        <v>63</v>
      </c>
      <c r="B54" s="1">
        <f t="shared" si="13"/>
        <v>2.6850638383899672</v>
      </c>
      <c r="C54" s="5">
        <f t="shared" si="14"/>
        <v>120504.49967788036</v>
      </c>
      <c r="D54" s="5">
        <f t="shared" si="15"/>
        <v>117357.36468754394</v>
      </c>
      <c r="E54" s="5">
        <f t="shared" si="1"/>
        <v>107857.36468754394</v>
      </c>
      <c r="F54" s="5">
        <f t="shared" si="2"/>
        <v>42926.080369236086</v>
      </c>
      <c r="G54" s="5">
        <f t="shared" si="3"/>
        <v>74431.284318307851</v>
      </c>
      <c r="H54" s="22">
        <f t="shared" si="16"/>
        <v>50649.1850978691</v>
      </c>
      <c r="I54" s="5">
        <f t="shared" si="17"/>
        <v>123560.99386324087</v>
      </c>
      <c r="J54" s="26">
        <f t="shared" si="5"/>
        <v>0.25574218243008584</v>
      </c>
      <c r="L54" s="22">
        <f t="shared" si="18"/>
        <v>185619.50771979548</v>
      </c>
      <c r="M54" s="5">
        <f>scrimecost*Meta!O51</f>
        <v>180.90799999999999</v>
      </c>
      <c r="N54" s="5">
        <f>L54-Grade16!L54</f>
        <v>1114.0051090343622</v>
      </c>
      <c r="O54" s="5">
        <f>Grade16!M54-M54</f>
        <v>0</v>
      </c>
      <c r="P54" s="22">
        <f t="shared" si="12"/>
        <v>0</v>
      </c>
      <c r="Q54" s="22"/>
      <c r="R54" s="22"/>
      <c r="S54" s="22">
        <f t="shared" si="19"/>
        <v>611.96645259182753</v>
      </c>
      <c r="T54" s="22">
        <f t="shared" si="20"/>
        <v>4378.1886259027497</v>
      </c>
    </row>
    <row r="55" spans="1:20" x14ac:dyDescent="0.2">
      <c r="A55" s="5">
        <v>64</v>
      </c>
      <c r="B55" s="1">
        <f t="shared" si="13"/>
        <v>2.7521904343497163</v>
      </c>
      <c r="C55" s="5">
        <f t="shared" si="14"/>
        <v>123517.11216982738</v>
      </c>
      <c r="D55" s="5">
        <f t="shared" si="15"/>
        <v>120279.59880473255</v>
      </c>
      <c r="E55" s="5">
        <f t="shared" si="1"/>
        <v>110779.59880473255</v>
      </c>
      <c r="F55" s="5">
        <f t="shared" si="2"/>
        <v>44078.90172846699</v>
      </c>
      <c r="G55" s="5">
        <f t="shared" si="3"/>
        <v>76200.697076265555</v>
      </c>
      <c r="H55" s="22">
        <f t="shared" si="16"/>
        <v>51915.41472531583</v>
      </c>
      <c r="I55" s="5">
        <f t="shared" si="17"/>
        <v>126558.64935982191</v>
      </c>
      <c r="J55" s="26">
        <f t="shared" si="5"/>
        <v>0.25627911368139172</v>
      </c>
      <c r="L55" s="22">
        <f t="shared" si="18"/>
        <v>190259.99541279039</v>
      </c>
      <c r="M55" s="5">
        <f>scrimecost*Meta!O52</f>
        <v>180.90799999999999</v>
      </c>
      <c r="N55" s="5">
        <f>L55-Grade16!L55</f>
        <v>1141.8552367602824</v>
      </c>
      <c r="O55" s="5">
        <f>Grade16!M55-M55</f>
        <v>0</v>
      </c>
      <c r="P55" s="22">
        <f t="shared" si="12"/>
        <v>0</v>
      </c>
      <c r="Q55" s="22"/>
      <c r="R55" s="22"/>
      <c r="S55" s="22">
        <f t="shared" si="19"/>
        <v>627.26561390665677</v>
      </c>
      <c r="T55" s="22">
        <f t="shared" si="20"/>
        <v>4708.2707356921173</v>
      </c>
    </row>
    <row r="56" spans="1:20" x14ac:dyDescent="0.2">
      <c r="A56" s="5">
        <v>65</v>
      </c>
      <c r="B56" s="1">
        <f t="shared" si="13"/>
        <v>2.8209951952084591</v>
      </c>
      <c r="C56" s="5">
        <f t="shared" si="14"/>
        <v>126605.03997407305</v>
      </c>
      <c r="D56" s="5">
        <f t="shared" si="15"/>
        <v>123274.88877485086</v>
      </c>
      <c r="E56" s="5">
        <f t="shared" si="1"/>
        <v>113774.88877485086</v>
      </c>
      <c r="F56" s="5">
        <f t="shared" si="2"/>
        <v>45260.543621678662</v>
      </c>
      <c r="G56" s="5">
        <f t="shared" si="3"/>
        <v>78014.345153172195</v>
      </c>
      <c r="H56" s="22">
        <f t="shared" si="16"/>
        <v>53213.300093448721</v>
      </c>
      <c r="I56" s="5">
        <f t="shared" si="17"/>
        <v>129631.24624381746</v>
      </c>
      <c r="J56" s="26">
        <f t="shared" si="5"/>
        <v>0.25680294904851941</v>
      </c>
      <c r="L56" s="22">
        <f t="shared" si="18"/>
        <v>195016.49529811015</v>
      </c>
      <c r="M56" s="5">
        <f>scrimecost*Meta!O53</f>
        <v>54.67</v>
      </c>
      <c r="N56" s="5">
        <f>L56-Grade16!L56</f>
        <v>1170.4016176792793</v>
      </c>
      <c r="O56" s="5">
        <f>Grade16!M56-M56</f>
        <v>0</v>
      </c>
      <c r="P56" s="22">
        <f t="shared" si="12"/>
        <v>0</v>
      </c>
      <c r="Q56" s="22"/>
      <c r="R56" s="22"/>
      <c r="S56" s="22">
        <f t="shared" si="19"/>
        <v>642.94725425431761</v>
      </c>
      <c r="T56" s="22">
        <f t="shared" si="20"/>
        <v>5063.2385250424395</v>
      </c>
    </row>
    <row r="57" spans="1:20" x14ac:dyDescent="0.2">
      <c r="A57" s="5">
        <v>66</v>
      </c>
      <c r="C57" s="5"/>
      <c r="H57" s="21"/>
      <c r="I57" s="5"/>
      <c r="M57" s="5">
        <f>scrimecost*Meta!O54</f>
        <v>54.67</v>
      </c>
      <c r="N57" s="5">
        <f>L57-Grade16!L57</f>
        <v>0</v>
      </c>
      <c r="O57" s="5">
        <f>Grade16!M57-M57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54.67</v>
      </c>
      <c r="N58" s="5">
        <f>L58-Grade16!L58</f>
        <v>0</v>
      </c>
      <c r="O58" s="5">
        <f>Grade16!M58-M58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54.67</v>
      </c>
      <c r="N59" s="5">
        <f>L59-Grade16!L59</f>
        <v>0</v>
      </c>
      <c r="O59" s="5">
        <f>Grade16!M59-M59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54.67</v>
      </c>
      <c r="N60" s="5">
        <f>L60-Grade16!L60</f>
        <v>0</v>
      </c>
      <c r="O60" s="5">
        <f>Grade16!M60-M60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54.67</v>
      </c>
      <c r="N61" s="5">
        <f>L61-Grade16!L61</f>
        <v>0</v>
      </c>
      <c r="O61" s="5">
        <f>Grade16!M61-M61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54.67</v>
      </c>
      <c r="N62" s="5">
        <f>L62-Grade16!L62</f>
        <v>0</v>
      </c>
      <c r="O62" s="5">
        <f>Grade16!M62-M62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54.67</v>
      </c>
      <c r="N63" s="5">
        <f>L63-Grade16!L63</f>
        <v>0</v>
      </c>
      <c r="O63" s="5">
        <f>Grade16!M63-M63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54.67</v>
      </c>
      <c r="N64" s="5">
        <f>L64-Grade16!L64</f>
        <v>0</v>
      </c>
      <c r="O64" s="5">
        <f>Grade16!M64-M64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54.67</v>
      </c>
      <c r="N65" s="5">
        <f>L65-Grade16!L65</f>
        <v>0</v>
      </c>
      <c r="O65" s="5">
        <f>Grade16!M65-M65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54.67</v>
      </c>
      <c r="N66" s="5">
        <f>L66-Grade16!L66</f>
        <v>0</v>
      </c>
      <c r="O66" s="5">
        <f>Grade16!M66-M66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54.67</v>
      </c>
      <c r="N67" s="5">
        <f>L67-Grade16!L67</f>
        <v>0</v>
      </c>
      <c r="O67" s="5">
        <f>Grade16!M67-M67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54.67</v>
      </c>
      <c r="N68" s="5">
        <f>L68-Grade16!L68</f>
        <v>0</v>
      </c>
      <c r="O68" s="5">
        <f>Grade16!M68-M68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54.67</v>
      </c>
      <c r="N69" s="5">
        <f>L69-Grade16!L69</f>
        <v>0</v>
      </c>
      <c r="O69" s="5">
        <f>Grade16!M69-M69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6.4574123825877905E-11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Meta!A12+6</f>
        <v>24</v>
      </c>
      <c r="C2" s="7">
        <f>Meta!B12</f>
        <v>90018</v>
      </c>
      <c r="D2" s="7">
        <f>Meta!C12</f>
        <v>36907</v>
      </c>
      <c r="E2" s="1">
        <f>Meta!D12</f>
        <v>2.7E-2</v>
      </c>
      <c r="F2" s="1">
        <f>Meta!F12</f>
        <v>0.77700000000000002</v>
      </c>
      <c r="G2" s="1">
        <f>Meta!I12</f>
        <v>1.7342811382937739</v>
      </c>
      <c r="H2" s="1">
        <f>Meta!E12</f>
        <v>0.70699999999999996</v>
      </c>
      <c r="I2" s="13"/>
      <c r="J2" s="1">
        <f>Meta!X11</f>
        <v>0.77700000000000002</v>
      </c>
      <c r="K2" s="1">
        <f>Meta!D11</f>
        <v>0.03</v>
      </c>
      <c r="L2" s="29"/>
      <c r="N2" s="22">
        <f>Meta!T12</f>
        <v>90018</v>
      </c>
      <c r="O2" s="22">
        <f>Meta!U12</f>
        <v>36907</v>
      </c>
      <c r="P2" s="1">
        <f>Meta!V12</f>
        <v>2.7E-2</v>
      </c>
      <c r="Q2" s="1">
        <f>Meta!X12</f>
        <v>0.77700000000000002</v>
      </c>
      <c r="R2" s="22">
        <f>Meta!W12</f>
        <v>994</v>
      </c>
      <c r="T2" s="12">
        <f>IRR(S5:S69)+1</f>
        <v>0.9449440710380177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6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C13" s="5"/>
      <c r="D13" s="5"/>
      <c r="E13" s="5"/>
      <c r="F13" s="5"/>
      <c r="G13" s="5"/>
      <c r="H13" s="22"/>
      <c r="I13" s="5"/>
      <c r="J13" s="26"/>
      <c r="L13" s="22"/>
      <c r="M13" s="5"/>
      <c r="N13" s="5"/>
      <c r="O13" s="5"/>
      <c r="P13" s="22"/>
      <c r="Q13" s="22"/>
      <c r="R13" s="22"/>
      <c r="S13" s="22"/>
      <c r="T13" s="22"/>
    </row>
    <row r="14" spans="1:20" x14ac:dyDescent="0.2">
      <c r="A14" s="5">
        <v>23</v>
      </c>
      <c r="B14" s="1">
        <v>1</v>
      </c>
      <c r="C14" s="5">
        <f>0.1*Grade17!C14</f>
        <v>4487.9565973425024</v>
      </c>
      <c r="D14" s="5">
        <f t="shared" ref="D14:D36" si="0">IF(A14&lt;startage,1,0)*(C14*(1-initialunempprob))+IF(A14=startage,1,0)*(C14*(1-unempprob))+IF(A14&gt;startage,1,0)*(C14*(1-unempprob)+unempprob*300*52)</f>
        <v>4353.3178994222271</v>
      </c>
      <c r="E14" s="5">
        <f t="shared" ref="E14:E56" si="1">IF(D14-9500&gt;0,1,0)*(D14-9500)</f>
        <v>0</v>
      </c>
      <c r="F14" s="5">
        <f t="shared" ref="F14:F56" si="2">IF(E14&lt;=8500,1,0)*(0.1*E14+0.1*E14+0.0765*D14)+IF(AND(E14&gt;8500,E14&lt;=34500),1,0)*(850+0.15*(E14-8500)+0.1*E14+0.0765*D14)+IF(AND(E14&gt;34500,E14&lt;=83600),1,0)*(4750+0.25*(E14-34500)+0.1*E14+0.0765*D14)+IF(AND(E14&gt;83600,E14&lt;=174400,D14&lt;=106800),1,0)*(17025+0.28*(E14-83600)+0.1*E14+0.0765*D14)+IF(AND(E14&gt;83600,E14&lt;=174400,D14&gt;106800),1,0)*(17025+0.28*(E14-83600)+0.1*E14+8170.2+0.0145*(D14-106800))+IF(AND(E14&gt;174400,E14&lt;=379150),1,0)*(42449+0.33*(E14-174400)+0.1*E14+8170.2+0.0145*(D14-106800))+IF(E14&gt;379150,1,0)*(110016.5+0.35*(E14-379150)+0.1*E14+8170.2+0.0145*(D14-106800))</f>
        <v>333.02881930580037</v>
      </c>
      <c r="G14" s="5">
        <f t="shared" ref="G14:G56" si="3">D14-F14</f>
        <v>4020.2890801164267</v>
      </c>
      <c r="H14" s="22">
        <f>0.1*Grade17!H14</f>
        <v>1886.3307595785002</v>
      </c>
      <c r="I14" s="5">
        <f t="shared" ref="I14:I36" si="4">G14+IF(A14&lt;startage,1,0)*(H14*(1-initialunempprob))+IF(A14&gt;=startage,1,0)*(H14*(1-unempprob))</f>
        <v>5850.0299169075715</v>
      </c>
      <c r="J14" s="26">
        <f t="shared" ref="J14:J56" si="5">(F14-(IF(A14&gt;startage,1,0)*(unempprob*300*52)))/(IF(A14&lt;startage,1,0)*((C14+H14)*(1-initialunempprob))+IF(A14&gt;=startage,1,0)*((C14+H14)*(1-unempprob)))</f>
        <v>5.3861500191692155E-2</v>
      </c>
      <c r="L14" s="22">
        <f>0.1*Grade17!L14</f>
        <v>6913.0389030563128</v>
      </c>
      <c r="M14" s="5">
        <f>scrimecost*Meta!O11</f>
        <v>2608.2560000000003</v>
      </c>
      <c r="N14" s="5">
        <f>L14-Grade17!L14</f>
        <v>-62217.350127506812</v>
      </c>
      <c r="O14" s="5"/>
      <c r="P14" s="22"/>
      <c r="Q14" s="22">
        <f>0.05*feel*Grade17!G14</f>
        <v>449.67434473652179</v>
      </c>
      <c r="R14" s="22">
        <f>coltuition</f>
        <v>8279</v>
      </c>
      <c r="S14" s="22">
        <f t="shared" ref="S14:S45" si="6">IF(A14&lt;startage,1,0)*(N14-Q14-R14)+IF(A14&gt;=startage,1,0)*completionprob*(N14*spart+O14+P14)</f>
        <v>-70946.024472243327</v>
      </c>
      <c r="T14" s="22">
        <f t="shared" ref="T14:T45" si="7">S14/sreturn^(A14-startage+1)</f>
        <v>-70946.024472243327</v>
      </c>
    </row>
    <row r="15" spans="1:20" x14ac:dyDescent="0.2">
      <c r="A15" s="5">
        <v>24</v>
      </c>
      <c r="B15" s="1">
        <f t="shared" ref="B15:B36" si="8">(1+experiencepremium)^(A15-startage)</f>
        <v>1</v>
      </c>
      <c r="C15" s="5">
        <f t="shared" ref="C15:C36" si="9">pretaxincome*B15/expnorm</f>
        <v>51905.079293292547</v>
      </c>
      <c r="D15" s="5">
        <f t="shared" si="0"/>
        <v>50503.64215237365</v>
      </c>
      <c r="E15" s="5">
        <f t="shared" si="1"/>
        <v>41003.64215237365</v>
      </c>
      <c r="F15" s="5">
        <f t="shared" si="2"/>
        <v>14339.803377987362</v>
      </c>
      <c r="G15" s="5">
        <f t="shared" si="3"/>
        <v>36163.838774386284</v>
      </c>
      <c r="H15" s="22">
        <f t="shared" ref="H15:H36" si="10">benefits*B15/expnorm</f>
        <v>21280.863399292899</v>
      </c>
      <c r="I15" s="5">
        <f t="shared" si="4"/>
        <v>56870.118861898271</v>
      </c>
      <c r="J15" s="26">
        <f t="shared" si="5"/>
        <v>0.20137366994561109</v>
      </c>
      <c r="L15" s="22">
        <f t="shared" ref="L15:L36" si="11">(sincome+sbenefits)*(1-sunemp)*B15/expnorm</f>
        <v>71209.922239885636</v>
      </c>
      <c r="M15" s="5">
        <f>scrimecost*Meta!O12</f>
        <v>2491.9580000000001</v>
      </c>
      <c r="N15" s="5">
        <f>L15-Grade17!L15</f>
        <v>351.27348355844151</v>
      </c>
      <c r="O15" s="5">
        <f>Grade17!M15-M15</f>
        <v>0</v>
      </c>
      <c r="P15" s="22">
        <f t="shared" ref="P15:P56" si="12">(spart-initialspart)*(L15*J15+nptrans)</f>
        <v>0</v>
      </c>
      <c r="Q15" s="22"/>
      <c r="R15" s="22"/>
      <c r="S15" s="22">
        <f t="shared" si="6"/>
        <v>192.96822418451072</v>
      </c>
      <c r="T15" s="22">
        <f t="shared" si="7"/>
        <v>204.21126508845737</v>
      </c>
    </row>
    <row r="16" spans="1:20" x14ac:dyDescent="0.2">
      <c r="A16" s="5">
        <v>25</v>
      </c>
      <c r="B16" s="1">
        <f t="shared" si="8"/>
        <v>1.0249999999999999</v>
      </c>
      <c r="C16" s="5">
        <f t="shared" si="9"/>
        <v>53202.706275624863</v>
      </c>
      <c r="D16" s="5">
        <f t="shared" si="0"/>
        <v>52187.433206182985</v>
      </c>
      <c r="E16" s="5">
        <f t="shared" si="1"/>
        <v>42687.433206182985</v>
      </c>
      <c r="F16" s="5">
        <f t="shared" si="2"/>
        <v>15057.940262437045</v>
      </c>
      <c r="G16" s="5">
        <f t="shared" si="3"/>
        <v>37129.492943745936</v>
      </c>
      <c r="H16" s="22">
        <f t="shared" si="10"/>
        <v>21812.884984275217</v>
      </c>
      <c r="I16" s="5">
        <f t="shared" si="4"/>
        <v>58353.430033445722</v>
      </c>
      <c r="J16" s="26">
        <f t="shared" si="5"/>
        <v>0.20053029336832051</v>
      </c>
      <c r="L16" s="22">
        <f t="shared" si="11"/>
        <v>72990.170295882766</v>
      </c>
      <c r="M16" s="5">
        <f>scrimecost*Meta!O13</f>
        <v>2092.37</v>
      </c>
      <c r="N16" s="5">
        <f>L16-Grade17!L16</f>
        <v>360.05532064739964</v>
      </c>
      <c r="O16" s="5">
        <f>Grade17!M16-M16</f>
        <v>0</v>
      </c>
      <c r="P16" s="22">
        <f t="shared" si="12"/>
        <v>0</v>
      </c>
      <c r="Q16" s="22"/>
      <c r="R16" s="22"/>
      <c r="S16" s="22">
        <f t="shared" si="6"/>
        <v>197.79242978912188</v>
      </c>
      <c r="T16" s="22">
        <f t="shared" si="7"/>
        <v>221.51210122492606</v>
      </c>
    </row>
    <row r="17" spans="1:20" x14ac:dyDescent="0.2">
      <c r="A17" s="5">
        <v>26</v>
      </c>
      <c r="B17" s="1">
        <f t="shared" si="8"/>
        <v>1.0506249999999999</v>
      </c>
      <c r="C17" s="5">
        <f t="shared" si="9"/>
        <v>54532.773932515483</v>
      </c>
      <c r="D17" s="5">
        <f t="shared" si="0"/>
        <v>53481.589036337558</v>
      </c>
      <c r="E17" s="5">
        <f t="shared" si="1"/>
        <v>43981.589036337558</v>
      </c>
      <c r="F17" s="5">
        <f t="shared" si="2"/>
        <v>15609.897723997969</v>
      </c>
      <c r="G17" s="5">
        <f t="shared" si="3"/>
        <v>37871.691312339593</v>
      </c>
      <c r="H17" s="22">
        <f t="shared" si="10"/>
        <v>22358.207108882099</v>
      </c>
      <c r="I17" s="5">
        <f t="shared" si="4"/>
        <v>59626.226829281877</v>
      </c>
      <c r="J17" s="26">
        <f t="shared" si="5"/>
        <v>0.20301694902039577</v>
      </c>
      <c r="L17" s="22">
        <f t="shared" si="11"/>
        <v>74814.924553279852</v>
      </c>
      <c r="M17" s="5">
        <f>scrimecost*Meta!O14</f>
        <v>2092.37</v>
      </c>
      <c r="N17" s="5">
        <f>L17-Grade17!L17</f>
        <v>369.05670366359118</v>
      </c>
      <c r="O17" s="5">
        <f>Grade17!M17-M17</f>
        <v>0</v>
      </c>
      <c r="P17" s="22">
        <f t="shared" si="12"/>
        <v>0</v>
      </c>
      <c r="Q17" s="22"/>
      <c r="R17" s="22"/>
      <c r="S17" s="22">
        <f t="shared" si="6"/>
        <v>202.73724053385351</v>
      </c>
      <c r="T17" s="22">
        <f t="shared" si="7"/>
        <v>240.27866909217144</v>
      </c>
    </row>
    <row r="18" spans="1:20" x14ac:dyDescent="0.2">
      <c r="A18" s="5">
        <v>27</v>
      </c>
      <c r="B18" s="1">
        <f t="shared" si="8"/>
        <v>1.0768906249999999</v>
      </c>
      <c r="C18" s="5">
        <f t="shared" si="9"/>
        <v>55896.093280828369</v>
      </c>
      <c r="D18" s="5">
        <f t="shared" si="0"/>
        <v>54808.098762246002</v>
      </c>
      <c r="E18" s="5">
        <f t="shared" si="1"/>
        <v>45308.098762246002</v>
      </c>
      <c r="F18" s="5">
        <f t="shared" si="2"/>
        <v>16175.65412209792</v>
      </c>
      <c r="G18" s="5">
        <f t="shared" si="3"/>
        <v>38632.444640148082</v>
      </c>
      <c r="H18" s="22">
        <f t="shared" si="10"/>
        <v>22917.162286604151</v>
      </c>
      <c r="I18" s="5">
        <f t="shared" si="4"/>
        <v>60930.843545013922</v>
      </c>
      <c r="J18" s="26">
        <f t="shared" si="5"/>
        <v>0.20544295453461553</v>
      </c>
      <c r="L18" s="22">
        <f t="shared" si="11"/>
        <v>76685.297667111838</v>
      </c>
      <c r="M18" s="5">
        <f>scrimecost*Meta!O15</f>
        <v>2092.37</v>
      </c>
      <c r="N18" s="5">
        <f>L18-Grade17!L18</f>
        <v>378.28312125516823</v>
      </c>
      <c r="O18" s="5">
        <f>Grade17!M18-M18</f>
        <v>0</v>
      </c>
      <c r="P18" s="22">
        <f t="shared" si="12"/>
        <v>0</v>
      </c>
      <c r="Q18" s="22"/>
      <c r="R18" s="22"/>
      <c r="S18" s="22">
        <f t="shared" si="6"/>
        <v>207.80567154719284</v>
      </c>
      <c r="T18" s="22">
        <f t="shared" si="7"/>
        <v>260.63514589696672</v>
      </c>
    </row>
    <row r="19" spans="1:20" x14ac:dyDescent="0.2">
      <c r="A19" s="5">
        <v>28</v>
      </c>
      <c r="B19" s="1">
        <f t="shared" si="8"/>
        <v>1.1038128906249998</v>
      </c>
      <c r="C19" s="5">
        <f t="shared" si="9"/>
        <v>57293.495612849067</v>
      </c>
      <c r="D19" s="5">
        <f t="shared" si="0"/>
        <v>56167.77123130214</v>
      </c>
      <c r="E19" s="5">
        <f t="shared" si="1"/>
        <v>46667.77123130214</v>
      </c>
      <c r="F19" s="5">
        <f t="shared" si="2"/>
        <v>16755.554430150361</v>
      </c>
      <c r="G19" s="5">
        <f t="shared" si="3"/>
        <v>39412.216801151779</v>
      </c>
      <c r="H19" s="22">
        <f t="shared" si="10"/>
        <v>23490.091343769254</v>
      </c>
      <c r="I19" s="5">
        <f t="shared" si="4"/>
        <v>62268.075678639259</v>
      </c>
      <c r="J19" s="26">
        <f t="shared" si="5"/>
        <v>0.20780978918263482</v>
      </c>
      <c r="L19" s="22">
        <f t="shared" si="11"/>
        <v>78602.430108789631</v>
      </c>
      <c r="M19" s="5">
        <f>scrimecost*Meta!O16</f>
        <v>2092.37</v>
      </c>
      <c r="N19" s="5">
        <f>L19-Grade17!L19</f>
        <v>387.74019928656344</v>
      </c>
      <c r="O19" s="5">
        <f>Grade17!M19-M19</f>
        <v>0</v>
      </c>
      <c r="P19" s="22">
        <f t="shared" si="12"/>
        <v>0</v>
      </c>
      <c r="Q19" s="22"/>
      <c r="R19" s="22"/>
      <c r="S19" s="22">
        <f t="shared" si="6"/>
        <v>213.00081333588145</v>
      </c>
      <c r="T19" s="22">
        <f t="shared" si="7"/>
        <v>282.71622917421712</v>
      </c>
    </row>
    <row r="20" spans="1:20" x14ac:dyDescent="0.2">
      <c r="A20" s="5">
        <v>29</v>
      </c>
      <c r="B20" s="1">
        <f t="shared" si="8"/>
        <v>1.1314082128906247</v>
      </c>
      <c r="C20" s="5">
        <f t="shared" si="9"/>
        <v>58725.833003170286</v>
      </c>
      <c r="D20" s="5">
        <f t="shared" si="0"/>
        <v>57561.435512084681</v>
      </c>
      <c r="E20" s="5">
        <f t="shared" si="1"/>
        <v>48061.435512084681</v>
      </c>
      <c r="F20" s="5">
        <f t="shared" si="2"/>
        <v>17349.952245904118</v>
      </c>
      <c r="G20" s="5">
        <f t="shared" si="3"/>
        <v>40211.483266180563</v>
      </c>
      <c r="H20" s="22">
        <f t="shared" si="10"/>
        <v>24077.34362736348</v>
      </c>
      <c r="I20" s="5">
        <f t="shared" si="4"/>
        <v>63638.738615605223</v>
      </c>
      <c r="J20" s="26">
        <f t="shared" si="5"/>
        <v>0.21011889615631221</v>
      </c>
      <c r="L20" s="22">
        <f t="shared" si="11"/>
        <v>80567.490861509359</v>
      </c>
      <c r="M20" s="5">
        <f>scrimecost*Meta!O17</f>
        <v>2092.37</v>
      </c>
      <c r="N20" s="5">
        <f>L20-Grade17!L20</f>
        <v>397.43370426871115</v>
      </c>
      <c r="O20" s="5">
        <f>Grade17!M20-M20</f>
        <v>0</v>
      </c>
      <c r="P20" s="22">
        <f t="shared" si="12"/>
        <v>0</v>
      </c>
      <c r="Q20" s="22"/>
      <c r="R20" s="22"/>
      <c r="S20" s="22">
        <f t="shared" si="6"/>
        <v>218.32583366926951</v>
      </c>
      <c r="T20" s="22">
        <f t="shared" si="7"/>
        <v>306.66802807200406</v>
      </c>
    </row>
    <row r="21" spans="1:20" x14ac:dyDescent="0.2">
      <c r="A21" s="5">
        <v>30</v>
      </c>
      <c r="B21" s="1">
        <f t="shared" si="8"/>
        <v>1.1596934182128902</v>
      </c>
      <c r="C21" s="5">
        <f t="shared" si="9"/>
        <v>60193.978828249543</v>
      </c>
      <c r="D21" s="5">
        <f t="shared" si="0"/>
        <v>58989.941399886804</v>
      </c>
      <c r="E21" s="5">
        <f t="shared" si="1"/>
        <v>49489.941399886804</v>
      </c>
      <c r="F21" s="5">
        <f t="shared" si="2"/>
        <v>17959.210007051723</v>
      </c>
      <c r="G21" s="5">
        <f t="shared" si="3"/>
        <v>41030.731392835078</v>
      </c>
      <c r="H21" s="22">
        <f t="shared" si="10"/>
        <v>24679.277218047566</v>
      </c>
      <c r="I21" s="5">
        <f t="shared" si="4"/>
        <v>65043.668125995362</v>
      </c>
      <c r="J21" s="26">
        <f t="shared" si="5"/>
        <v>0.21237168344770477</v>
      </c>
      <c r="L21" s="22">
        <f t="shared" si="11"/>
        <v>82581.678133047084</v>
      </c>
      <c r="M21" s="5">
        <f>scrimecost*Meta!O18</f>
        <v>1686.818</v>
      </c>
      <c r="N21" s="5">
        <f>L21-Grade17!L21</f>
        <v>407.36954687541584</v>
      </c>
      <c r="O21" s="5">
        <f>Grade17!M21-M21</f>
        <v>0</v>
      </c>
      <c r="P21" s="22">
        <f t="shared" si="12"/>
        <v>0</v>
      </c>
      <c r="Q21" s="22"/>
      <c r="R21" s="22"/>
      <c r="S21" s="22">
        <f t="shared" si="6"/>
        <v>223.78397951099407</v>
      </c>
      <c r="T21" s="22">
        <f t="shared" si="7"/>
        <v>332.64903014683028</v>
      </c>
    </row>
    <row r="22" spans="1:20" x14ac:dyDescent="0.2">
      <c r="A22" s="5">
        <v>31</v>
      </c>
      <c r="B22" s="1">
        <f t="shared" si="8"/>
        <v>1.1886857536682125</v>
      </c>
      <c r="C22" s="5">
        <f t="shared" si="9"/>
        <v>61698.828298955785</v>
      </c>
      <c r="D22" s="5">
        <f t="shared" si="0"/>
        <v>60454.159934883974</v>
      </c>
      <c r="E22" s="5">
        <f t="shared" si="1"/>
        <v>50954.159934883974</v>
      </c>
      <c r="F22" s="5">
        <f t="shared" si="2"/>
        <v>18583.699212228013</v>
      </c>
      <c r="G22" s="5">
        <f t="shared" si="3"/>
        <v>41870.46072265596</v>
      </c>
      <c r="H22" s="22">
        <f t="shared" si="10"/>
        <v>25296.259148498757</v>
      </c>
      <c r="I22" s="5">
        <f t="shared" si="4"/>
        <v>66483.720874145249</v>
      </c>
      <c r="J22" s="26">
        <f t="shared" si="5"/>
        <v>0.21456952470759993</v>
      </c>
      <c r="L22" s="22">
        <f t="shared" si="11"/>
        <v>84646.220086373258</v>
      </c>
      <c r="M22" s="5">
        <f>scrimecost*Meta!O19</f>
        <v>1686.818</v>
      </c>
      <c r="N22" s="5">
        <f>L22-Grade17!L22</f>
        <v>417.55378554732306</v>
      </c>
      <c r="O22" s="5">
        <f>Grade17!M22-M22</f>
        <v>0</v>
      </c>
      <c r="P22" s="22">
        <f t="shared" si="12"/>
        <v>0</v>
      </c>
      <c r="Q22" s="22"/>
      <c r="R22" s="22"/>
      <c r="S22" s="22">
        <f t="shared" si="6"/>
        <v>229.37857899878091</v>
      </c>
      <c r="T22" s="22">
        <f t="shared" si="7"/>
        <v>360.83115006581261</v>
      </c>
    </row>
    <row r="23" spans="1:20" x14ac:dyDescent="0.2">
      <c r="A23" s="5">
        <v>32</v>
      </c>
      <c r="B23" s="1">
        <f t="shared" si="8"/>
        <v>1.2184028975099177</v>
      </c>
      <c r="C23" s="5">
        <f t="shared" si="9"/>
        <v>63241.299006429676</v>
      </c>
      <c r="D23" s="5">
        <f t="shared" si="0"/>
        <v>61954.983933256073</v>
      </c>
      <c r="E23" s="5">
        <f t="shared" si="1"/>
        <v>52454.983933256073</v>
      </c>
      <c r="F23" s="5">
        <f t="shared" si="2"/>
        <v>19223.800647533717</v>
      </c>
      <c r="G23" s="5">
        <f t="shared" si="3"/>
        <v>42731.183285722356</v>
      </c>
      <c r="H23" s="22">
        <f t="shared" si="10"/>
        <v>25928.665627211223</v>
      </c>
      <c r="I23" s="5">
        <f t="shared" si="4"/>
        <v>67959.774940998876</v>
      </c>
      <c r="J23" s="26">
        <f t="shared" si="5"/>
        <v>0.21671376008310755</v>
      </c>
      <c r="L23" s="22">
        <f t="shared" si="11"/>
        <v>86762.375588532581</v>
      </c>
      <c r="M23" s="5">
        <f>scrimecost*Meta!O20</f>
        <v>1686.818</v>
      </c>
      <c r="N23" s="5">
        <f>L23-Grade17!L23</f>
        <v>427.99263018599595</v>
      </c>
      <c r="O23" s="5">
        <f>Grade17!M23-M23</f>
        <v>0</v>
      </c>
      <c r="P23" s="22">
        <f t="shared" si="12"/>
        <v>0</v>
      </c>
      <c r="Q23" s="22"/>
      <c r="R23" s="22"/>
      <c r="S23" s="22">
        <f t="shared" si="6"/>
        <v>235.11304347374485</v>
      </c>
      <c r="T23" s="22">
        <f t="shared" si="7"/>
        <v>391.40086715520437</v>
      </c>
    </row>
    <row r="24" spans="1:20" x14ac:dyDescent="0.2">
      <c r="A24" s="5">
        <v>33</v>
      </c>
      <c r="B24" s="1">
        <f t="shared" si="8"/>
        <v>1.2488629699476654</v>
      </c>
      <c r="C24" s="5">
        <f t="shared" si="9"/>
        <v>64822.331481590401</v>
      </c>
      <c r="D24" s="5">
        <f t="shared" si="0"/>
        <v>63493.328531587453</v>
      </c>
      <c r="E24" s="5">
        <f t="shared" si="1"/>
        <v>53993.328531587453</v>
      </c>
      <c r="F24" s="5">
        <f t="shared" si="2"/>
        <v>19879.904618722052</v>
      </c>
      <c r="G24" s="5">
        <f t="shared" si="3"/>
        <v>43613.423912865401</v>
      </c>
      <c r="H24" s="22">
        <f t="shared" si="10"/>
        <v>26576.882267891502</v>
      </c>
      <c r="I24" s="5">
        <f t="shared" si="4"/>
        <v>69472.730359523834</v>
      </c>
      <c r="J24" s="26">
        <f t="shared" si="5"/>
        <v>0.21880569703482211</v>
      </c>
      <c r="L24" s="22">
        <f t="shared" si="11"/>
        <v>88931.434978245903</v>
      </c>
      <c r="M24" s="5">
        <f>scrimecost*Meta!O21</f>
        <v>1686.818</v>
      </c>
      <c r="N24" s="5">
        <f>L24-Grade17!L24</f>
        <v>438.69244594065822</v>
      </c>
      <c r="O24" s="5">
        <f>Grade17!M24-M24</f>
        <v>0</v>
      </c>
      <c r="P24" s="22">
        <f t="shared" si="12"/>
        <v>0</v>
      </c>
      <c r="Q24" s="22"/>
      <c r="R24" s="22"/>
      <c r="S24" s="22">
        <f t="shared" si="6"/>
        <v>240.99086956059523</v>
      </c>
      <c r="T24" s="22">
        <f t="shared" si="7"/>
        <v>424.5604593226289</v>
      </c>
    </row>
    <row r="25" spans="1:20" x14ac:dyDescent="0.2">
      <c r="A25" s="5">
        <v>34</v>
      </c>
      <c r="B25" s="1">
        <f t="shared" si="8"/>
        <v>1.2800845441963571</v>
      </c>
      <c r="C25" s="5">
        <f t="shared" si="9"/>
        <v>66442.889768630164</v>
      </c>
      <c r="D25" s="5">
        <f t="shared" si="0"/>
        <v>65070.131744877144</v>
      </c>
      <c r="E25" s="5">
        <f t="shared" si="1"/>
        <v>55570.131744877144</v>
      </c>
      <c r="F25" s="5">
        <f t="shared" si="2"/>
        <v>20552.411189190101</v>
      </c>
      <c r="G25" s="5">
        <f t="shared" si="3"/>
        <v>44517.720555687047</v>
      </c>
      <c r="H25" s="22">
        <f t="shared" si="10"/>
        <v>27241.304324588789</v>
      </c>
      <c r="I25" s="5">
        <f t="shared" si="4"/>
        <v>71023.509663511941</v>
      </c>
      <c r="J25" s="26">
        <f t="shared" si="5"/>
        <v>0.2208466111340559</v>
      </c>
      <c r="L25" s="22">
        <f t="shared" si="11"/>
        <v>91154.720852702041</v>
      </c>
      <c r="M25" s="5">
        <f>scrimecost*Meta!O22</f>
        <v>1686.818</v>
      </c>
      <c r="N25" s="5">
        <f>L25-Grade17!L25</f>
        <v>449.6597570891754</v>
      </c>
      <c r="O25" s="5">
        <f>Grade17!M25-M25</f>
        <v>0</v>
      </c>
      <c r="P25" s="22">
        <f t="shared" si="12"/>
        <v>0</v>
      </c>
      <c r="Q25" s="22"/>
      <c r="R25" s="22"/>
      <c r="S25" s="22">
        <f t="shared" si="6"/>
        <v>247.01564129961054</v>
      </c>
      <c r="T25" s="22">
        <f t="shared" si="7"/>
        <v>460.52934151717341</v>
      </c>
    </row>
    <row r="26" spans="1:20" x14ac:dyDescent="0.2">
      <c r="A26" s="5">
        <v>35</v>
      </c>
      <c r="B26" s="1">
        <f t="shared" si="8"/>
        <v>1.312086657801266</v>
      </c>
      <c r="C26" s="5">
        <f t="shared" si="9"/>
        <v>68103.962012845921</v>
      </c>
      <c r="D26" s="5">
        <f t="shared" si="0"/>
        <v>66686.355038499081</v>
      </c>
      <c r="E26" s="5">
        <f t="shared" si="1"/>
        <v>57186.355038499081</v>
      </c>
      <c r="F26" s="5">
        <f t="shared" si="2"/>
        <v>21241.73042391986</v>
      </c>
      <c r="G26" s="5">
        <f t="shared" si="3"/>
        <v>45444.624614579225</v>
      </c>
      <c r="H26" s="22">
        <f t="shared" si="10"/>
        <v>27922.336932703507</v>
      </c>
      <c r="I26" s="5">
        <f t="shared" si="4"/>
        <v>72613.058450099736</v>
      </c>
      <c r="J26" s="26">
        <f t="shared" si="5"/>
        <v>0.22283774684062552</v>
      </c>
      <c r="L26" s="22">
        <f t="shared" si="11"/>
        <v>93433.588874019581</v>
      </c>
      <c r="M26" s="5">
        <f>scrimecost*Meta!O23</f>
        <v>1309.098</v>
      </c>
      <c r="N26" s="5">
        <f>L26-Grade17!L26</f>
        <v>460.90125101640297</v>
      </c>
      <c r="O26" s="5">
        <f>Grade17!M26-M26</f>
        <v>0</v>
      </c>
      <c r="P26" s="22">
        <f t="shared" si="12"/>
        <v>0</v>
      </c>
      <c r="Q26" s="22"/>
      <c r="R26" s="22"/>
      <c r="S26" s="22">
        <f t="shared" si="6"/>
        <v>253.19103233209975</v>
      </c>
      <c r="T26" s="22">
        <f t="shared" si="7"/>
        <v>499.54551758451021</v>
      </c>
    </row>
    <row r="27" spans="1:20" x14ac:dyDescent="0.2">
      <c r="A27" s="5">
        <v>36</v>
      </c>
      <c r="B27" s="1">
        <f t="shared" si="8"/>
        <v>1.3448888242462975</v>
      </c>
      <c r="C27" s="5">
        <f t="shared" si="9"/>
        <v>69806.561063167072</v>
      </c>
      <c r="D27" s="5">
        <f t="shared" si="0"/>
        <v>68342.983914461554</v>
      </c>
      <c r="E27" s="5">
        <f t="shared" si="1"/>
        <v>58842.983914461554</v>
      </c>
      <c r="F27" s="5">
        <f t="shared" si="2"/>
        <v>21948.282639517853</v>
      </c>
      <c r="G27" s="5">
        <f t="shared" si="3"/>
        <v>46394.701274943698</v>
      </c>
      <c r="H27" s="22">
        <f t="shared" si="10"/>
        <v>28620.395356021094</v>
      </c>
      <c r="I27" s="5">
        <f t="shared" si="4"/>
        <v>74242.345956352219</v>
      </c>
      <c r="J27" s="26">
        <f t="shared" si="5"/>
        <v>0.22478031826166892</v>
      </c>
      <c r="L27" s="22">
        <f t="shared" si="11"/>
        <v>95769.428595870078</v>
      </c>
      <c r="M27" s="5">
        <f>scrimecost*Meta!O24</f>
        <v>1309.098</v>
      </c>
      <c r="N27" s="5">
        <f>L27-Grade17!L27</f>
        <v>472.42378229182214</v>
      </c>
      <c r="O27" s="5">
        <f>Grade17!M27-M27</f>
        <v>0</v>
      </c>
      <c r="P27" s="22">
        <f t="shared" si="12"/>
        <v>0</v>
      </c>
      <c r="Q27" s="22"/>
      <c r="R27" s="22"/>
      <c r="S27" s="22">
        <f t="shared" si="6"/>
        <v>259.52080814040727</v>
      </c>
      <c r="T27" s="22">
        <f t="shared" si="7"/>
        <v>541.86715512344051</v>
      </c>
    </row>
    <row r="28" spans="1:20" x14ac:dyDescent="0.2">
      <c r="A28" s="5">
        <v>37</v>
      </c>
      <c r="B28" s="1">
        <f t="shared" si="8"/>
        <v>1.3785110448524549</v>
      </c>
      <c r="C28" s="5">
        <f t="shared" si="9"/>
        <v>71551.725089746236</v>
      </c>
      <c r="D28" s="5">
        <f t="shared" si="0"/>
        <v>70041.028512323086</v>
      </c>
      <c r="E28" s="5">
        <f t="shared" si="1"/>
        <v>60541.028512323086</v>
      </c>
      <c r="F28" s="5">
        <f t="shared" si="2"/>
        <v>22672.498660505797</v>
      </c>
      <c r="G28" s="5">
        <f t="shared" si="3"/>
        <v>47368.529851817293</v>
      </c>
      <c r="H28" s="22">
        <f t="shared" si="10"/>
        <v>29335.90523992162</v>
      </c>
      <c r="I28" s="5">
        <f t="shared" si="4"/>
        <v>75912.365650261025</v>
      </c>
      <c r="J28" s="26">
        <f t="shared" si="5"/>
        <v>0.22667550989195523</v>
      </c>
      <c r="L28" s="22">
        <f t="shared" si="11"/>
        <v>98163.664310766821</v>
      </c>
      <c r="M28" s="5">
        <f>scrimecost*Meta!O25</f>
        <v>1309.098</v>
      </c>
      <c r="N28" s="5">
        <f>L28-Grade17!L28</f>
        <v>484.23437684912642</v>
      </c>
      <c r="O28" s="5">
        <f>Grade17!M28-M28</f>
        <v>0</v>
      </c>
      <c r="P28" s="22">
        <f t="shared" si="12"/>
        <v>0</v>
      </c>
      <c r="Q28" s="22"/>
      <c r="R28" s="22"/>
      <c r="S28" s="22">
        <f t="shared" si="6"/>
        <v>266.00882834392229</v>
      </c>
      <c r="T28" s="22">
        <f t="shared" si="7"/>
        <v>587.77429376472662</v>
      </c>
    </row>
    <row r="29" spans="1:20" x14ac:dyDescent="0.2">
      <c r="A29" s="5">
        <v>38</v>
      </c>
      <c r="B29" s="1">
        <f t="shared" si="8"/>
        <v>1.4129738209737661</v>
      </c>
      <c r="C29" s="5">
        <f t="shared" si="9"/>
        <v>73340.518216989876</v>
      </c>
      <c r="D29" s="5">
        <f t="shared" si="0"/>
        <v>71781.524225131143</v>
      </c>
      <c r="E29" s="5">
        <f t="shared" si="1"/>
        <v>62281.524225131143</v>
      </c>
      <c r="F29" s="5">
        <f t="shared" si="2"/>
        <v>23414.820082018432</v>
      </c>
      <c r="G29" s="5">
        <f t="shared" si="3"/>
        <v>48366.704143112715</v>
      </c>
      <c r="H29" s="22">
        <f t="shared" si="10"/>
        <v>30069.302870919655</v>
      </c>
      <c r="I29" s="5">
        <f t="shared" si="4"/>
        <v>77624.13583651754</v>
      </c>
      <c r="J29" s="26">
        <f t="shared" si="5"/>
        <v>0.22852447733613693</v>
      </c>
      <c r="L29" s="22">
        <f t="shared" si="11"/>
        <v>100617.75591853597</v>
      </c>
      <c r="M29" s="5">
        <f>scrimecost*Meta!O26</f>
        <v>1309.098</v>
      </c>
      <c r="N29" s="5">
        <f>L29-Grade17!L29</f>
        <v>496.34023627030547</v>
      </c>
      <c r="O29" s="5">
        <f>Grade17!M29-M29</f>
        <v>0</v>
      </c>
      <c r="P29" s="22">
        <f t="shared" si="12"/>
        <v>0</v>
      </c>
      <c r="Q29" s="22"/>
      <c r="R29" s="22"/>
      <c r="S29" s="22">
        <f t="shared" si="6"/>
        <v>272.65904905249334</v>
      </c>
      <c r="T29" s="22">
        <f t="shared" si="7"/>
        <v>637.57069817579304</v>
      </c>
    </row>
    <row r="30" spans="1:20" x14ac:dyDescent="0.2">
      <c r="A30" s="5">
        <v>39</v>
      </c>
      <c r="B30" s="1">
        <f t="shared" si="8"/>
        <v>1.4482981664981105</v>
      </c>
      <c r="C30" s="5">
        <f t="shared" si="9"/>
        <v>75174.031172414645</v>
      </c>
      <c r="D30" s="5">
        <f t="shared" si="0"/>
        <v>73565.532330759452</v>
      </c>
      <c r="E30" s="5">
        <f t="shared" si="1"/>
        <v>64065.532330759452</v>
      </c>
      <c r="F30" s="5">
        <f t="shared" si="2"/>
        <v>24175.699539068904</v>
      </c>
      <c r="G30" s="5">
        <f t="shared" si="3"/>
        <v>49389.832791690547</v>
      </c>
      <c r="H30" s="22">
        <f t="shared" si="10"/>
        <v>30821.03544269265</v>
      </c>
      <c r="I30" s="5">
        <f t="shared" si="4"/>
        <v>79378.7002774305</v>
      </c>
      <c r="J30" s="26">
        <f t="shared" si="5"/>
        <v>0.23032834801338747</v>
      </c>
      <c r="L30" s="22">
        <f t="shared" si="11"/>
        <v>103133.1998164994</v>
      </c>
      <c r="M30" s="5">
        <f>scrimecost*Meta!O27</f>
        <v>1309.098</v>
      </c>
      <c r="N30" s="5">
        <f>L30-Grade17!L30</f>
        <v>508.74874217710749</v>
      </c>
      <c r="O30" s="5">
        <f>Grade17!M30-M30</f>
        <v>0</v>
      </c>
      <c r="P30" s="22">
        <f t="shared" si="12"/>
        <v>0</v>
      </c>
      <c r="Q30" s="22"/>
      <c r="R30" s="22"/>
      <c r="S30" s="22">
        <f t="shared" si="6"/>
        <v>279.47552527883005</v>
      </c>
      <c r="T30" s="22">
        <f t="shared" si="7"/>
        <v>691.58586805287484</v>
      </c>
    </row>
    <row r="31" spans="1:20" x14ac:dyDescent="0.2">
      <c r="A31" s="5">
        <v>40</v>
      </c>
      <c r="B31" s="1">
        <f t="shared" si="8"/>
        <v>1.4845056206605631</v>
      </c>
      <c r="C31" s="5">
        <f t="shared" si="9"/>
        <v>77053.381951724994</v>
      </c>
      <c r="D31" s="5">
        <f t="shared" si="0"/>
        <v>75394.14063902841</v>
      </c>
      <c r="E31" s="5">
        <f t="shared" si="1"/>
        <v>65894.14063902841</v>
      </c>
      <c r="F31" s="5">
        <f t="shared" si="2"/>
        <v>24955.600982545617</v>
      </c>
      <c r="G31" s="5">
        <f t="shared" si="3"/>
        <v>50438.539656482797</v>
      </c>
      <c r="H31" s="22">
        <f t="shared" si="10"/>
        <v>31591.561328759966</v>
      </c>
      <c r="I31" s="5">
        <f t="shared" si="4"/>
        <v>81177.128829366236</v>
      </c>
      <c r="J31" s="26">
        <f t="shared" si="5"/>
        <v>0.23208822184485134</v>
      </c>
      <c r="L31" s="22">
        <f t="shared" si="11"/>
        <v>105711.52981191188</v>
      </c>
      <c r="M31" s="5">
        <f>scrimecost*Meta!O28</f>
        <v>1145.088</v>
      </c>
      <c r="N31" s="5">
        <f>L31-Grade17!L31</f>
        <v>521.46746073153918</v>
      </c>
      <c r="O31" s="5">
        <f>Grade17!M31-M31</f>
        <v>0</v>
      </c>
      <c r="P31" s="22">
        <f t="shared" si="12"/>
        <v>0</v>
      </c>
      <c r="Q31" s="22"/>
      <c r="R31" s="22"/>
      <c r="S31" s="22">
        <f t="shared" si="6"/>
        <v>286.46241341080298</v>
      </c>
      <c r="T31" s="22">
        <f t="shared" si="7"/>
        <v>750.17721839929095</v>
      </c>
    </row>
    <row r="32" spans="1:20" x14ac:dyDescent="0.2">
      <c r="A32" s="5">
        <v>41</v>
      </c>
      <c r="B32" s="1">
        <f t="shared" si="8"/>
        <v>1.521618261177077</v>
      </c>
      <c r="C32" s="5">
        <f t="shared" si="9"/>
        <v>78979.716500518101</v>
      </c>
      <c r="D32" s="5">
        <f t="shared" si="0"/>
        <v>77268.464155004112</v>
      </c>
      <c r="E32" s="5">
        <f t="shared" si="1"/>
        <v>67768.464155004112</v>
      </c>
      <c r="F32" s="5">
        <f t="shared" si="2"/>
        <v>25754.999962109254</v>
      </c>
      <c r="G32" s="5">
        <f t="shared" si="3"/>
        <v>51513.464192894855</v>
      </c>
      <c r="H32" s="22">
        <f t="shared" si="10"/>
        <v>32381.350361978959</v>
      </c>
      <c r="I32" s="5">
        <f t="shared" si="4"/>
        <v>83020.518095100386</v>
      </c>
      <c r="J32" s="26">
        <f t="shared" si="5"/>
        <v>0.23380517192432834</v>
      </c>
      <c r="L32" s="22">
        <f t="shared" si="11"/>
        <v>108354.31805720965</v>
      </c>
      <c r="M32" s="5">
        <f>scrimecost*Meta!O29</f>
        <v>1145.088</v>
      </c>
      <c r="N32" s="5">
        <f>L32-Grade17!L32</f>
        <v>534.50414724979782</v>
      </c>
      <c r="O32" s="5">
        <f>Grade17!M32-M32</f>
        <v>0</v>
      </c>
      <c r="P32" s="22">
        <f t="shared" si="12"/>
        <v>0</v>
      </c>
      <c r="Q32" s="22"/>
      <c r="R32" s="22"/>
      <c r="S32" s="22">
        <f t="shared" si="6"/>
        <v>293.62397374605666</v>
      </c>
      <c r="T32" s="22">
        <f t="shared" si="7"/>
        <v>813.73244451871278</v>
      </c>
    </row>
    <row r="33" spans="1:20" x14ac:dyDescent="0.2">
      <c r="A33" s="5">
        <v>42</v>
      </c>
      <c r="B33" s="1">
        <f t="shared" si="8"/>
        <v>1.559658717706504</v>
      </c>
      <c r="C33" s="5">
        <f t="shared" si="9"/>
        <v>80954.209413031072</v>
      </c>
      <c r="D33" s="5">
        <f t="shared" si="0"/>
        <v>79189.645758879225</v>
      </c>
      <c r="E33" s="5">
        <f t="shared" si="1"/>
        <v>69689.645758879225</v>
      </c>
      <c r="F33" s="5">
        <f t="shared" si="2"/>
        <v>26574.383916161991</v>
      </c>
      <c r="G33" s="5">
        <f t="shared" si="3"/>
        <v>52615.261842717235</v>
      </c>
      <c r="H33" s="22">
        <f t="shared" si="10"/>
        <v>33190.884121028437</v>
      </c>
      <c r="I33" s="5">
        <f t="shared" si="4"/>
        <v>84909.9920924779</v>
      </c>
      <c r="J33" s="26">
        <f t="shared" si="5"/>
        <v>0.23548024517259858</v>
      </c>
      <c r="L33" s="22">
        <f t="shared" si="11"/>
        <v>111063.17600863989</v>
      </c>
      <c r="M33" s="5">
        <f>scrimecost*Meta!O30</f>
        <v>1145.088</v>
      </c>
      <c r="N33" s="5">
        <f>L33-Grade17!L33</f>
        <v>547.86675093104714</v>
      </c>
      <c r="O33" s="5">
        <f>Grade17!M33-M33</f>
        <v>0</v>
      </c>
      <c r="P33" s="22">
        <f t="shared" si="12"/>
        <v>0</v>
      </c>
      <c r="Q33" s="22"/>
      <c r="R33" s="22"/>
      <c r="S33" s="22">
        <f t="shared" si="6"/>
        <v>300.96457308971048</v>
      </c>
      <c r="T33" s="22">
        <f t="shared" si="7"/>
        <v>882.67208737069279</v>
      </c>
    </row>
    <row r="34" spans="1:20" x14ac:dyDescent="0.2">
      <c r="A34" s="5">
        <v>43</v>
      </c>
      <c r="B34" s="1">
        <f t="shared" si="8"/>
        <v>1.5986501856491666</v>
      </c>
      <c r="C34" s="5">
        <f t="shared" si="9"/>
        <v>82978.064648356856</v>
      </c>
      <c r="D34" s="5">
        <f t="shared" si="0"/>
        <v>81158.856902851214</v>
      </c>
      <c r="E34" s="5">
        <f t="shared" si="1"/>
        <v>71658.856902851214</v>
      </c>
      <c r="F34" s="5">
        <f t="shared" si="2"/>
        <v>27414.252469066043</v>
      </c>
      <c r="G34" s="5">
        <f t="shared" si="3"/>
        <v>53744.604433785171</v>
      </c>
      <c r="H34" s="22">
        <f t="shared" si="10"/>
        <v>34020.656224054146</v>
      </c>
      <c r="I34" s="5">
        <f t="shared" si="4"/>
        <v>86846.702939789859</v>
      </c>
      <c r="J34" s="26">
        <f t="shared" si="5"/>
        <v>0.237114462975789</v>
      </c>
      <c r="L34" s="22">
        <f t="shared" si="11"/>
        <v>113839.7554088559</v>
      </c>
      <c r="M34" s="5">
        <f>scrimecost*Meta!O31</f>
        <v>1145.088</v>
      </c>
      <c r="N34" s="5">
        <f>L34-Grade17!L34</f>
        <v>561.5634197043546</v>
      </c>
      <c r="O34" s="5">
        <f>Grade17!M34-M34</f>
        <v>0</v>
      </c>
      <c r="P34" s="22">
        <f t="shared" si="12"/>
        <v>0</v>
      </c>
      <c r="Q34" s="22"/>
      <c r="R34" s="22"/>
      <c r="S34" s="22">
        <f t="shared" si="6"/>
        <v>308.48868741697044</v>
      </c>
      <c r="T34" s="22">
        <f t="shared" si="7"/>
        <v>957.45231626371083</v>
      </c>
    </row>
    <row r="35" spans="1:20" x14ac:dyDescent="0.2">
      <c r="A35" s="5">
        <v>44</v>
      </c>
      <c r="B35" s="1">
        <f t="shared" si="8"/>
        <v>1.6386164402903955</v>
      </c>
      <c r="C35" s="5">
        <f t="shared" si="9"/>
        <v>85052.516264565769</v>
      </c>
      <c r="D35" s="5">
        <f t="shared" si="0"/>
        <v>83177.298325422482</v>
      </c>
      <c r="E35" s="5">
        <f t="shared" si="1"/>
        <v>73677.298325422482</v>
      </c>
      <c r="F35" s="5">
        <f t="shared" si="2"/>
        <v>28275.11773579269</v>
      </c>
      <c r="G35" s="5">
        <f t="shared" si="3"/>
        <v>54902.180589629788</v>
      </c>
      <c r="H35" s="22">
        <f t="shared" si="10"/>
        <v>34871.172629655499</v>
      </c>
      <c r="I35" s="5">
        <f t="shared" si="4"/>
        <v>88831.831558284583</v>
      </c>
      <c r="J35" s="26">
        <f t="shared" si="5"/>
        <v>0.23870882180816996</v>
      </c>
      <c r="L35" s="22">
        <f t="shared" si="11"/>
        <v>116685.74929407728</v>
      </c>
      <c r="M35" s="5">
        <f>scrimecost*Meta!O32</f>
        <v>1145.088</v>
      </c>
      <c r="N35" s="5">
        <f>L35-Grade17!L35</f>
        <v>575.60250519694819</v>
      </c>
      <c r="O35" s="5">
        <f>Grade17!M35-M35</f>
        <v>0</v>
      </c>
      <c r="P35" s="22">
        <f t="shared" si="12"/>
        <v>0</v>
      </c>
      <c r="Q35" s="22"/>
      <c r="R35" s="22"/>
      <c r="S35" s="22">
        <f t="shared" si="6"/>
        <v>316.20090460238634</v>
      </c>
      <c r="T35" s="22">
        <f t="shared" si="7"/>
        <v>1038.5679472989609</v>
      </c>
    </row>
    <row r="36" spans="1:20" x14ac:dyDescent="0.2">
      <c r="A36" s="5">
        <v>45</v>
      </c>
      <c r="B36" s="1">
        <f t="shared" si="8"/>
        <v>1.6795818512976552</v>
      </c>
      <c r="C36" s="5">
        <f t="shared" si="9"/>
        <v>87178.829171179896</v>
      </c>
      <c r="D36" s="5">
        <f t="shared" si="0"/>
        <v>85246.20078355803</v>
      </c>
      <c r="E36" s="5">
        <f t="shared" si="1"/>
        <v>75746.20078355803</v>
      </c>
      <c r="F36" s="5">
        <f t="shared" si="2"/>
        <v>29157.504634187502</v>
      </c>
      <c r="G36" s="5">
        <f t="shared" si="3"/>
        <v>56088.696149370531</v>
      </c>
      <c r="H36" s="22">
        <f t="shared" si="10"/>
        <v>35742.951945396875</v>
      </c>
      <c r="I36" s="5">
        <f t="shared" si="4"/>
        <v>90866.588392241683</v>
      </c>
      <c r="J36" s="26">
        <f t="shared" si="5"/>
        <v>0.24026429383976111</v>
      </c>
      <c r="L36" s="22">
        <f t="shared" si="11"/>
        <v>119602.89302642918</v>
      </c>
      <c r="M36" s="5">
        <f>scrimecost*Meta!O33</f>
        <v>925.4140000000001</v>
      </c>
      <c r="N36" s="5">
        <f>L36-Grade17!L36</f>
        <v>589.9925678268628</v>
      </c>
      <c r="O36" s="5">
        <f>Grade17!M36-M36</f>
        <v>0</v>
      </c>
      <c r="P36" s="22">
        <f t="shared" si="12"/>
        <v>0</v>
      </c>
      <c r="Q36" s="22"/>
      <c r="R36" s="22"/>
      <c r="S36" s="22">
        <f t="shared" si="6"/>
        <v>324.10592721744098</v>
      </c>
      <c r="T36" s="22">
        <f t="shared" si="7"/>
        <v>1126.5557175378999</v>
      </c>
    </row>
    <row r="37" spans="1:20" x14ac:dyDescent="0.2">
      <c r="A37" s="5">
        <v>46</v>
      </c>
      <c r="B37" s="1">
        <f t="shared" ref="B37:B56" si="13">(1+experiencepremium)^(A37-startage)</f>
        <v>1.7215713975800966</v>
      </c>
      <c r="C37" s="5">
        <f t="shared" ref="C37:C56" si="14">pretaxincome*B37/expnorm</f>
        <v>89358.299900459388</v>
      </c>
      <c r="D37" s="5">
        <f t="shared" ref="D37:D56" si="15">IF(A37&lt;startage,1,0)*(C37*(1-initialunempprob))+IF(A37=startage,1,0)*(C37*(1-unempprob))+IF(A37&gt;startage,1,0)*(C37*(1-unempprob)+unempprob*300*52)</f>
        <v>87366.825803146974</v>
      </c>
      <c r="E37" s="5">
        <f t="shared" si="1"/>
        <v>77866.825803146974</v>
      </c>
      <c r="F37" s="5">
        <f t="shared" si="2"/>
        <v>30061.951205042184</v>
      </c>
      <c r="G37" s="5">
        <f t="shared" si="3"/>
        <v>57304.87459810479</v>
      </c>
      <c r="H37" s="22">
        <f t="shared" ref="H37:H56" si="16">benefits*B37/expnorm</f>
        <v>36636.525744031802</v>
      </c>
      <c r="I37" s="5">
        <f t="shared" ref="I37:I56" si="17">G37+IF(A37&lt;startage,1,0)*(H37*(1-initialunempprob))+IF(A37&gt;=startage,1,0)*(H37*(1-unempprob))</f>
        <v>92952.214147047736</v>
      </c>
      <c r="J37" s="26">
        <f t="shared" si="5"/>
        <v>0.24178182752911834</v>
      </c>
      <c r="L37" s="22">
        <f t="shared" ref="L37:L56" si="18">(sincome+sbenefits)*(1-sunemp)*B37/expnorm</f>
        <v>122592.96535208992</v>
      </c>
      <c r="M37" s="5">
        <f>scrimecost*Meta!O34</f>
        <v>925.4140000000001</v>
      </c>
      <c r="N37" s="5">
        <f>L37-Grade17!L37</f>
        <v>604.74238202252309</v>
      </c>
      <c r="O37" s="5">
        <f>Grade17!M37-M37</f>
        <v>0</v>
      </c>
      <c r="P37" s="22">
        <f t="shared" si="12"/>
        <v>0</v>
      </c>
      <c r="Q37" s="22"/>
      <c r="R37" s="22"/>
      <c r="S37" s="22">
        <f t="shared" si="6"/>
        <v>332.20857539787079</v>
      </c>
      <c r="T37" s="22">
        <f t="shared" si="7"/>
        <v>1221.9978365575334</v>
      </c>
    </row>
    <row r="38" spans="1:20" x14ac:dyDescent="0.2">
      <c r="A38" s="5">
        <v>47</v>
      </c>
      <c r="B38" s="1">
        <f t="shared" si="13"/>
        <v>1.7646106825195991</v>
      </c>
      <c r="C38" s="5">
        <f t="shared" si="14"/>
        <v>91592.257397970883</v>
      </c>
      <c r="D38" s="5">
        <f t="shared" si="15"/>
        <v>89540.466448225663</v>
      </c>
      <c r="E38" s="5">
        <f t="shared" si="1"/>
        <v>80040.466448225663</v>
      </c>
      <c r="F38" s="5">
        <f t="shared" si="2"/>
        <v>30989.008940168245</v>
      </c>
      <c r="G38" s="5">
        <f t="shared" si="3"/>
        <v>58551.457508057414</v>
      </c>
      <c r="H38" s="22">
        <f t="shared" si="16"/>
        <v>37552.438887632597</v>
      </c>
      <c r="I38" s="5">
        <f t="shared" si="17"/>
        <v>95089.980545723927</v>
      </c>
      <c r="J38" s="26">
        <f t="shared" si="5"/>
        <v>0.24326234820166198</v>
      </c>
      <c r="L38" s="22">
        <f t="shared" si="18"/>
        <v>125657.78948589216</v>
      </c>
      <c r="M38" s="5">
        <f>scrimecost*Meta!O35</f>
        <v>925.4140000000001</v>
      </c>
      <c r="N38" s="5">
        <f>L38-Grade17!L38</f>
        <v>619.8609415730898</v>
      </c>
      <c r="O38" s="5">
        <f>Grade17!M38-M38</f>
        <v>0</v>
      </c>
      <c r="P38" s="22">
        <f t="shared" si="12"/>
        <v>0</v>
      </c>
      <c r="Q38" s="22"/>
      <c r="R38" s="22"/>
      <c r="S38" s="22">
        <f t="shared" si="6"/>
        <v>340.51378978281957</v>
      </c>
      <c r="T38" s="22">
        <f t="shared" si="7"/>
        <v>1325.5258388949517</v>
      </c>
    </row>
    <row r="39" spans="1:20" x14ac:dyDescent="0.2">
      <c r="A39" s="5">
        <v>48</v>
      </c>
      <c r="B39" s="1">
        <f t="shared" si="13"/>
        <v>1.8087259495825889</v>
      </c>
      <c r="C39" s="5">
        <f t="shared" si="14"/>
        <v>93882.063832920147</v>
      </c>
      <c r="D39" s="5">
        <f t="shared" si="15"/>
        <v>91768.448109431294</v>
      </c>
      <c r="E39" s="5">
        <f t="shared" si="1"/>
        <v>82268.448109431294</v>
      </c>
      <c r="F39" s="5">
        <f t="shared" si="2"/>
        <v>31939.24311867245</v>
      </c>
      <c r="G39" s="5">
        <f t="shared" si="3"/>
        <v>59829.204990758844</v>
      </c>
      <c r="H39" s="22">
        <f t="shared" si="16"/>
        <v>38491.249859823409</v>
      </c>
      <c r="I39" s="5">
        <f t="shared" si="17"/>
        <v>97281.191104367026</v>
      </c>
      <c r="J39" s="26">
        <f t="shared" si="5"/>
        <v>0.24470675861389973</v>
      </c>
      <c r="L39" s="22">
        <f t="shared" si="18"/>
        <v>128799.23422303947</v>
      </c>
      <c r="M39" s="5">
        <f>scrimecost*Meta!O36</f>
        <v>925.4140000000001</v>
      </c>
      <c r="N39" s="5">
        <f>L39-Grade17!L39</f>
        <v>635.35746511245088</v>
      </c>
      <c r="O39" s="5">
        <f>Grade17!M39-M39</f>
        <v>0</v>
      </c>
      <c r="P39" s="22">
        <f t="shared" si="12"/>
        <v>0</v>
      </c>
      <c r="Q39" s="22"/>
      <c r="R39" s="22"/>
      <c r="S39" s="22">
        <f t="shared" si="6"/>
        <v>349.02663452740865</v>
      </c>
      <c r="T39" s="22">
        <f t="shared" si="7"/>
        <v>1437.8247628718495</v>
      </c>
    </row>
    <row r="40" spans="1:20" x14ac:dyDescent="0.2">
      <c r="A40" s="5">
        <v>49</v>
      </c>
      <c r="B40" s="1">
        <f t="shared" si="13"/>
        <v>1.8539440983221533</v>
      </c>
      <c r="C40" s="5">
        <f t="shared" si="14"/>
        <v>96229.115428743142</v>
      </c>
      <c r="D40" s="5">
        <f t="shared" si="15"/>
        <v>94052.129312167075</v>
      </c>
      <c r="E40" s="5">
        <f t="shared" si="1"/>
        <v>84552.129312167075</v>
      </c>
      <c r="F40" s="5">
        <f t="shared" si="2"/>
        <v>32941.797031004273</v>
      </c>
      <c r="G40" s="5">
        <f t="shared" si="3"/>
        <v>61110.332281162802</v>
      </c>
      <c r="H40" s="22">
        <f t="shared" si="16"/>
        <v>39453.531106318987</v>
      </c>
      <c r="I40" s="5">
        <f t="shared" si="17"/>
        <v>99498.618047611177</v>
      </c>
      <c r="J40" s="26">
        <f t="shared" si="5"/>
        <v>0.24633230103389686</v>
      </c>
      <c r="L40" s="22">
        <f t="shared" si="18"/>
        <v>132019.21507861544</v>
      </c>
      <c r="M40" s="5">
        <f>scrimecost*Meta!O37</f>
        <v>925.4140000000001</v>
      </c>
      <c r="N40" s="5">
        <f>L40-Grade17!L40</f>
        <v>651.24140174023341</v>
      </c>
      <c r="O40" s="5">
        <f>Grade17!M40-M40</f>
        <v>0</v>
      </c>
      <c r="P40" s="22">
        <f t="shared" si="12"/>
        <v>0</v>
      </c>
      <c r="Q40" s="22"/>
      <c r="R40" s="22"/>
      <c r="S40" s="22">
        <f t="shared" si="6"/>
        <v>357.75230039057806</v>
      </c>
      <c r="T40" s="22">
        <f t="shared" si="7"/>
        <v>1559.6376834500361</v>
      </c>
    </row>
    <row r="41" spans="1:20" x14ac:dyDescent="0.2">
      <c r="A41" s="5">
        <v>50</v>
      </c>
      <c r="B41" s="1">
        <f t="shared" si="13"/>
        <v>1.9002927007802071</v>
      </c>
      <c r="C41" s="5">
        <f t="shared" si="14"/>
        <v>98634.843314461701</v>
      </c>
      <c r="D41" s="5">
        <f t="shared" si="15"/>
        <v>96392.902544971235</v>
      </c>
      <c r="E41" s="5">
        <f t="shared" si="1"/>
        <v>86892.902544971235</v>
      </c>
      <c r="F41" s="5">
        <f t="shared" si="2"/>
        <v>34010.360011779369</v>
      </c>
      <c r="G41" s="5">
        <f t="shared" si="3"/>
        <v>62382.542533191867</v>
      </c>
      <c r="H41" s="22">
        <f t="shared" si="16"/>
        <v>40439.869383976962</v>
      </c>
      <c r="I41" s="5">
        <f t="shared" si="17"/>
        <v>101730.53544380145</v>
      </c>
      <c r="J41" s="26">
        <f t="shared" si="5"/>
        <v>0.24822077746106908</v>
      </c>
      <c r="L41" s="22">
        <f t="shared" si="18"/>
        <v>135319.6954555808</v>
      </c>
      <c r="M41" s="5">
        <f>scrimecost*Meta!O38</f>
        <v>618.26800000000003</v>
      </c>
      <c r="N41" s="5">
        <f>L41-Grade17!L41</f>
        <v>667.52243678373634</v>
      </c>
      <c r="O41" s="5">
        <f>Grade17!M41-M41</f>
        <v>0</v>
      </c>
      <c r="P41" s="22">
        <f t="shared" si="12"/>
        <v>0</v>
      </c>
      <c r="Q41" s="22"/>
      <c r="R41" s="22"/>
      <c r="S41" s="22">
        <f t="shared" si="6"/>
        <v>366.69610790034091</v>
      </c>
      <c r="T41" s="22">
        <f t="shared" si="7"/>
        <v>1691.7706291126758</v>
      </c>
    </row>
    <row r="42" spans="1:20" x14ac:dyDescent="0.2">
      <c r="A42" s="5">
        <v>51</v>
      </c>
      <c r="B42" s="1">
        <f t="shared" si="13"/>
        <v>1.9478000182997122</v>
      </c>
      <c r="C42" s="5">
        <f t="shared" si="14"/>
        <v>101100.71439732323</v>
      </c>
      <c r="D42" s="5">
        <f t="shared" si="15"/>
        <v>98792.195108595493</v>
      </c>
      <c r="E42" s="5">
        <f t="shared" si="1"/>
        <v>89292.195108595493</v>
      </c>
      <c r="F42" s="5">
        <f t="shared" si="2"/>
        <v>35105.637067073847</v>
      </c>
      <c r="G42" s="5">
        <f t="shared" si="3"/>
        <v>63686.558041521646</v>
      </c>
      <c r="H42" s="22">
        <f t="shared" si="16"/>
        <v>41450.866118576385</v>
      </c>
      <c r="I42" s="5">
        <f t="shared" si="17"/>
        <v>104018.25077489647</v>
      </c>
      <c r="J42" s="26">
        <f t="shared" si="5"/>
        <v>0.25006319348757866</v>
      </c>
      <c r="L42" s="22">
        <f t="shared" si="18"/>
        <v>138702.68784197033</v>
      </c>
      <c r="M42" s="5">
        <f>scrimecost*Meta!O39</f>
        <v>618.26800000000003</v>
      </c>
      <c r="N42" s="5">
        <f>L42-Grade17!L42</f>
        <v>684.21049770334503</v>
      </c>
      <c r="O42" s="5">
        <f>Grade17!M42-M42</f>
        <v>0</v>
      </c>
      <c r="P42" s="22">
        <f t="shared" si="12"/>
        <v>0</v>
      </c>
      <c r="Q42" s="22"/>
      <c r="R42" s="22"/>
      <c r="S42" s="22">
        <f t="shared" si="6"/>
        <v>375.86351059785784</v>
      </c>
      <c r="T42" s="22">
        <f t="shared" si="7"/>
        <v>1835.0979153037781</v>
      </c>
    </row>
    <row r="43" spans="1:20" x14ac:dyDescent="0.2">
      <c r="A43" s="5">
        <v>52</v>
      </c>
      <c r="B43" s="1">
        <f t="shared" si="13"/>
        <v>1.9964950187572048</v>
      </c>
      <c r="C43" s="5">
        <f t="shared" si="14"/>
        <v>103628.23225725631</v>
      </c>
      <c r="D43" s="5">
        <f t="shared" si="15"/>
        <v>101251.46998631039</v>
      </c>
      <c r="E43" s="5">
        <f t="shared" si="1"/>
        <v>91751.469986310389</v>
      </c>
      <c r="F43" s="5">
        <f t="shared" si="2"/>
        <v>36228.296048750693</v>
      </c>
      <c r="G43" s="5">
        <f t="shared" si="3"/>
        <v>65023.173937559695</v>
      </c>
      <c r="H43" s="22">
        <f t="shared" si="16"/>
        <v>42487.137771540794</v>
      </c>
      <c r="I43" s="5">
        <f t="shared" si="17"/>
        <v>106363.15898926888</v>
      </c>
      <c r="J43" s="26">
        <f t="shared" si="5"/>
        <v>0.2518606725378319</v>
      </c>
      <c r="L43" s="22">
        <f t="shared" si="18"/>
        <v>142170.25503801956</v>
      </c>
      <c r="M43" s="5">
        <f>scrimecost*Meta!O40</f>
        <v>618.26800000000003</v>
      </c>
      <c r="N43" s="5">
        <f>L43-Grade17!L43</f>
        <v>701.31576014589518</v>
      </c>
      <c r="O43" s="5">
        <f>Grade17!M43-M43</f>
        <v>0</v>
      </c>
      <c r="P43" s="22">
        <f t="shared" si="12"/>
        <v>0</v>
      </c>
      <c r="Q43" s="22"/>
      <c r="R43" s="22"/>
      <c r="S43" s="22">
        <f t="shared" si="6"/>
        <v>385.26009836278593</v>
      </c>
      <c r="T43" s="22">
        <f t="shared" si="7"/>
        <v>1990.567929718886</v>
      </c>
    </row>
    <row r="44" spans="1:20" x14ac:dyDescent="0.2">
      <c r="A44" s="5">
        <v>53</v>
      </c>
      <c r="B44" s="1">
        <f t="shared" si="13"/>
        <v>2.0464073942261352</v>
      </c>
      <c r="C44" s="5">
        <f t="shared" si="14"/>
        <v>106218.93806368775</v>
      </c>
      <c r="D44" s="5">
        <f t="shared" si="15"/>
        <v>103772.22673596817</v>
      </c>
      <c r="E44" s="5">
        <f t="shared" si="1"/>
        <v>94272.226735968172</v>
      </c>
      <c r="F44" s="5">
        <f t="shared" si="2"/>
        <v>37379.021504969474</v>
      </c>
      <c r="G44" s="5">
        <f t="shared" si="3"/>
        <v>66393.20523099869</v>
      </c>
      <c r="H44" s="22">
        <f t="shared" si="16"/>
        <v>43549.316215829313</v>
      </c>
      <c r="I44" s="5">
        <f t="shared" si="17"/>
        <v>108766.68990900062</v>
      </c>
      <c r="J44" s="26">
        <f t="shared" si="5"/>
        <v>0.25361431063563999</v>
      </c>
      <c r="L44" s="22">
        <f t="shared" si="18"/>
        <v>145724.51141397009</v>
      </c>
      <c r="M44" s="5">
        <f>scrimecost*Meta!O41</f>
        <v>618.26800000000003</v>
      </c>
      <c r="N44" s="5">
        <f>L44-Grade17!L44</f>
        <v>718.84865414959495</v>
      </c>
      <c r="O44" s="5">
        <f>Grade17!M44-M44</f>
        <v>0</v>
      </c>
      <c r="P44" s="22">
        <f t="shared" si="12"/>
        <v>0</v>
      </c>
      <c r="Q44" s="22"/>
      <c r="R44" s="22"/>
      <c r="S44" s="22">
        <f t="shared" si="6"/>
        <v>394.89160082188431</v>
      </c>
      <c r="T44" s="22">
        <f t="shared" si="7"/>
        <v>2159.2094077279185</v>
      </c>
    </row>
    <row r="45" spans="1:20" x14ac:dyDescent="0.2">
      <c r="A45" s="5">
        <v>54</v>
      </c>
      <c r="B45" s="1">
        <f t="shared" si="13"/>
        <v>2.097567579081788</v>
      </c>
      <c r="C45" s="5">
        <f t="shared" si="14"/>
        <v>108874.41151527991</v>
      </c>
      <c r="D45" s="5">
        <f t="shared" si="15"/>
        <v>106356.00240436735</v>
      </c>
      <c r="E45" s="5">
        <f t="shared" si="1"/>
        <v>96856.002404367347</v>
      </c>
      <c r="F45" s="5">
        <f t="shared" si="2"/>
        <v>38558.515097593692</v>
      </c>
      <c r="G45" s="5">
        <f t="shared" si="3"/>
        <v>67797.487306773663</v>
      </c>
      <c r="H45" s="22">
        <f t="shared" si="16"/>
        <v>44638.049121225034</v>
      </c>
      <c r="I45" s="5">
        <f t="shared" si="17"/>
        <v>111230.30910172562</v>
      </c>
      <c r="J45" s="26">
        <f t="shared" si="5"/>
        <v>0.25532517707252589</v>
      </c>
      <c r="L45" s="22">
        <f t="shared" si="18"/>
        <v>149367.62419931931</v>
      </c>
      <c r="M45" s="5">
        <f>scrimecost*Meta!O42</f>
        <v>618.26800000000003</v>
      </c>
      <c r="N45" s="5">
        <f>L45-Grade17!L45</f>
        <v>736.81987050327007</v>
      </c>
      <c r="O45" s="5">
        <f>Grade17!M45-M45</f>
        <v>0</v>
      </c>
      <c r="P45" s="22">
        <f t="shared" si="12"/>
        <v>0</v>
      </c>
      <c r="Q45" s="22"/>
      <c r="R45" s="22"/>
      <c r="S45" s="22">
        <f t="shared" si="6"/>
        <v>404.76389084239588</v>
      </c>
      <c r="T45" s="22">
        <f t="shared" si="7"/>
        <v>2342.1382394512952</v>
      </c>
    </row>
    <row r="46" spans="1:20" x14ac:dyDescent="0.2">
      <c r="A46" s="5">
        <v>55</v>
      </c>
      <c r="B46" s="1">
        <f t="shared" si="13"/>
        <v>2.1500067685588333</v>
      </c>
      <c r="C46" s="5">
        <f t="shared" si="14"/>
        <v>111596.27180316193</v>
      </c>
      <c r="D46" s="5">
        <f t="shared" si="15"/>
        <v>109004.37246447655</v>
      </c>
      <c r="E46" s="5">
        <f t="shared" si="1"/>
        <v>99504.372464476546</v>
      </c>
      <c r="F46" s="5">
        <f t="shared" si="2"/>
        <v>39630.824937235993</v>
      </c>
      <c r="G46" s="5">
        <f t="shared" si="3"/>
        <v>69373.54752724056</v>
      </c>
      <c r="H46" s="22">
        <f t="shared" si="16"/>
        <v>45754.000349255672</v>
      </c>
      <c r="I46" s="5">
        <f t="shared" si="17"/>
        <v>113892.18986706634</v>
      </c>
      <c r="J46" s="26">
        <f t="shared" si="5"/>
        <v>0.2561016339835977</v>
      </c>
      <c r="L46" s="22">
        <f t="shared" si="18"/>
        <v>153101.8148043023</v>
      </c>
      <c r="M46" s="5">
        <f>scrimecost*Meta!O43</f>
        <v>342.92999999999995</v>
      </c>
      <c r="N46" s="5">
        <f>L46-Grade17!L46</f>
        <v>755.24036726588383</v>
      </c>
      <c r="O46" s="5">
        <f>Grade17!M46-M46</f>
        <v>0</v>
      </c>
      <c r="P46" s="22">
        <f t="shared" si="12"/>
        <v>0</v>
      </c>
      <c r="Q46" s="22"/>
      <c r="R46" s="22"/>
      <c r="S46" s="22">
        <f t="shared" ref="S46:S69" si="19">IF(A46&lt;startage,1,0)*(N46-Q46-R46)+IF(A46&gt;=startage,1,0)*completionprob*(N46*spart+O46+P46)</f>
        <v>414.88298811347335</v>
      </c>
      <c r="T46" s="22">
        <f t="shared" ref="T46:T69" si="20">S46/sreturn^(A46-startage+1)</f>
        <v>2540.5648535373402</v>
      </c>
    </row>
    <row r="47" spans="1:20" x14ac:dyDescent="0.2">
      <c r="A47" s="5">
        <v>56</v>
      </c>
      <c r="B47" s="1">
        <f t="shared" si="13"/>
        <v>2.2037569377728037</v>
      </c>
      <c r="C47" s="5">
        <f t="shared" si="14"/>
        <v>114386.17859824095</v>
      </c>
      <c r="D47" s="5">
        <f t="shared" si="15"/>
        <v>111718.95177608843</v>
      </c>
      <c r="E47" s="5">
        <f t="shared" si="1"/>
        <v>102218.95177608843</v>
      </c>
      <c r="F47" s="5">
        <f t="shared" si="2"/>
        <v>40701.726475666888</v>
      </c>
      <c r="G47" s="5">
        <f t="shared" si="3"/>
        <v>71017.225300421545</v>
      </c>
      <c r="H47" s="22">
        <f t="shared" si="16"/>
        <v>46897.850357987059</v>
      </c>
      <c r="I47" s="5">
        <f t="shared" si="17"/>
        <v>116648.83369874295</v>
      </c>
      <c r="J47" s="26">
        <f t="shared" si="5"/>
        <v>0.25667935197658032</v>
      </c>
      <c r="L47" s="22">
        <f t="shared" si="18"/>
        <v>156929.36017440984</v>
      </c>
      <c r="M47" s="5">
        <f>scrimecost*Meta!O44</f>
        <v>342.92999999999995</v>
      </c>
      <c r="N47" s="5">
        <f>L47-Grade17!L47</f>
        <v>774.12137644755421</v>
      </c>
      <c r="O47" s="5">
        <f>Grade17!M47-M47</f>
        <v>0</v>
      </c>
      <c r="P47" s="22">
        <f t="shared" si="12"/>
        <v>0</v>
      </c>
      <c r="Q47" s="22"/>
      <c r="R47" s="22"/>
      <c r="S47" s="22">
        <f t="shared" si="19"/>
        <v>425.255062816323</v>
      </c>
      <c r="T47" s="22">
        <f t="shared" si="20"/>
        <v>2755.8022264908027</v>
      </c>
    </row>
    <row r="48" spans="1:20" x14ac:dyDescent="0.2">
      <c r="A48" s="5">
        <v>57</v>
      </c>
      <c r="B48" s="1">
        <f t="shared" si="13"/>
        <v>2.2588508612171236</v>
      </c>
      <c r="C48" s="5">
        <f t="shared" si="14"/>
        <v>117245.83306319697</v>
      </c>
      <c r="D48" s="5">
        <f t="shared" si="15"/>
        <v>114501.39557049065</v>
      </c>
      <c r="E48" s="5">
        <f t="shared" si="1"/>
        <v>105001.39557049065</v>
      </c>
      <c r="F48" s="5">
        <f t="shared" si="2"/>
        <v>41799.40055255856</v>
      </c>
      <c r="G48" s="5">
        <f t="shared" si="3"/>
        <v>72701.995017932088</v>
      </c>
      <c r="H48" s="22">
        <f t="shared" si="16"/>
        <v>48070.296616936728</v>
      </c>
      <c r="I48" s="5">
        <f t="shared" si="17"/>
        <v>119474.39362621153</v>
      </c>
      <c r="J48" s="26">
        <f t="shared" si="5"/>
        <v>0.25724297928680717</v>
      </c>
      <c r="L48" s="22">
        <f t="shared" si="18"/>
        <v>160852.59417877009</v>
      </c>
      <c r="M48" s="5">
        <f>scrimecost*Meta!O45</f>
        <v>342.92999999999995</v>
      </c>
      <c r="N48" s="5">
        <f>L48-Grade17!L48</f>
        <v>793.47441085870378</v>
      </c>
      <c r="O48" s="5">
        <f>Grade17!M48-M48</f>
        <v>0</v>
      </c>
      <c r="P48" s="22">
        <f t="shared" si="12"/>
        <v>0</v>
      </c>
      <c r="Q48" s="22"/>
      <c r="R48" s="22"/>
      <c r="S48" s="22">
        <f t="shared" si="19"/>
        <v>435.88643938670947</v>
      </c>
      <c r="T48" s="22">
        <f t="shared" si="20"/>
        <v>2989.2745705574011</v>
      </c>
    </row>
    <row r="49" spans="1:20" x14ac:dyDescent="0.2">
      <c r="A49" s="5">
        <v>58</v>
      </c>
      <c r="B49" s="1">
        <f t="shared" si="13"/>
        <v>2.3153221327475517</v>
      </c>
      <c r="C49" s="5">
        <f t="shared" si="14"/>
        <v>120176.97888977689</v>
      </c>
      <c r="D49" s="5">
        <f t="shared" si="15"/>
        <v>117353.40045975291</v>
      </c>
      <c r="E49" s="5">
        <f t="shared" si="1"/>
        <v>107853.40045975291</v>
      </c>
      <c r="F49" s="5">
        <f t="shared" si="2"/>
        <v>42924.516481372521</v>
      </c>
      <c r="G49" s="5">
        <f t="shared" si="3"/>
        <v>74428.883978380385</v>
      </c>
      <c r="H49" s="22">
        <f t="shared" si="16"/>
        <v>49272.054032360145</v>
      </c>
      <c r="I49" s="5">
        <f t="shared" si="17"/>
        <v>122370.59255186681</v>
      </c>
      <c r="J49" s="26">
        <f t="shared" si="5"/>
        <v>0.25779285958946763</v>
      </c>
      <c r="L49" s="22">
        <f t="shared" si="18"/>
        <v>164873.90903323932</v>
      </c>
      <c r="M49" s="5">
        <f>scrimecost*Meta!O46</f>
        <v>342.92999999999995</v>
      </c>
      <c r="N49" s="5">
        <f>L49-Grade17!L49</f>
        <v>813.31127113019465</v>
      </c>
      <c r="O49" s="5">
        <f>Grade17!M49-M49</f>
        <v>0</v>
      </c>
      <c r="P49" s="22">
        <f t="shared" si="12"/>
        <v>0</v>
      </c>
      <c r="Q49" s="22"/>
      <c r="R49" s="22"/>
      <c r="S49" s="22">
        <f t="shared" si="19"/>
        <v>446.78360037139004</v>
      </c>
      <c r="T49" s="22">
        <f t="shared" si="20"/>
        <v>3242.5267576478086</v>
      </c>
    </row>
    <row r="50" spans="1:20" x14ac:dyDescent="0.2">
      <c r="A50" s="5">
        <v>59</v>
      </c>
      <c r="B50" s="1">
        <f t="shared" si="13"/>
        <v>2.3732051860662402</v>
      </c>
      <c r="C50" s="5">
        <f t="shared" si="14"/>
        <v>123181.4033620213</v>
      </c>
      <c r="D50" s="5">
        <f t="shared" si="15"/>
        <v>120276.70547124672</v>
      </c>
      <c r="E50" s="5">
        <f t="shared" si="1"/>
        <v>110776.70547124672</v>
      </c>
      <c r="F50" s="5">
        <f t="shared" si="2"/>
        <v>44077.760308406832</v>
      </c>
      <c r="G50" s="5">
        <f t="shared" si="3"/>
        <v>76198.945162839897</v>
      </c>
      <c r="H50" s="22">
        <f t="shared" si="16"/>
        <v>50503.855383169146</v>
      </c>
      <c r="I50" s="5">
        <f t="shared" si="17"/>
        <v>125339.19645066347</v>
      </c>
      <c r="J50" s="26">
        <f t="shared" si="5"/>
        <v>0.25832932817742899</v>
      </c>
      <c r="L50" s="22">
        <f t="shared" si="18"/>
        <v>168995.7567590703</v>
      </c>
      <c r="M50" s="5">
        <f>scrimecost*Meta!O47</f>
        <v>342.92999999999995</v>
      </c>
      <c r="N50" s="5">
        <f>L50-Grade17!L50</f>
        <v>833.6440529084357</v>
      </c>
      <c r="O50" s="5">
        <f>Grade17!M50-M50</f>
        <v>0</v>
      </c>
      <c r="P50" s="22">
        <f t="shared" si="12"/>
        <v>0</v>
      </c>
      <c r="Q50" s="22"/>
      <c r="R50" s="22"/>
      <c r="S50" s="22">
        <f t="shared" si="19"/>
        <v>457.95319038066719</v>
      </c>
      <c r="T50" s="22">
        <f t="shared" si="20"/>
        <v>3517.2345416570492</v>
      </c>
    </row>
    <row r="51" spans="1:20" x14ac:dyDescent="0.2">
      <c r="A51" s="5">
        <v>60</v>
      </c>
      <c r="B51" s="1">
        <f t="shared" si="13"/>
        <v>2.4325353157178964</v>
      </c>
      <c r="C51" s="5">
        <f t="shared" si="14"/>
        <v>126260.93844607184</v>
      </c>
      <c r="D51" s="5">
        <f t="shared" si="15"/>
        <v>123273.0931080279</v>
      </c>
      <c r="E51" s="5">
        <f t="shared" si="1"/>
        <v>113773.0931080279</v>
      </c>
      <c r="F51" s="5">
        <f t="shared" si="2"/>
        <v>45259.835231117002</v>
      </c>
      <c r="G51" s="5">
        <f t="shared" si="3"/>
        <v>78013.257876910895</v>
      </c>
      <c r="H51" s="22">
        <f t="shared" si="16"/>
        <v>51766.451767748375</v>
      </c>
      <c r="I51" s="5">
        <f t="shared" si="17"/>
        <v>128382.01544693006</v>
      </c>
      <c r="J51" s="26">
        <f t="shared" si="5"/>
        <v>0.25885271216568395</v>
      </c>
      <c r="L51" s="22">
        <f t="shared" si="18"/>
        <v>173220.65067804707</v>
      </c>
      <c r="M51" s="5">
        <f>scrimecost*Meta!O48</f>
        <v>180.90799999999999</v>
      </c>
      <c r="N51" s="5">
        <f>L51-Grade17!L51</f>
        <v>854.48515423116623</v>
      </c>
      <c r="O51" s="5">
        <f>Grade17!M51-M51</f>
        <v>0</v>
      </c>
      <c r="P51" s="22">
        <f t="shared" si="12"/>
        <v>0</v>
      </c>
      <c r="Q51" s="22"/>
      <c r="R51" s="22"/>
      <c r="S51" s="22">
        <f t="shared" si="19"/>
        <v>469.40202014019468</v>
      </c>
      <c r="T51" s="22">
        <f t="shared" si="20"/>
        <v>3815.2156468247877</v>
      </c>
    </row>
    <row r="52" spans="1:20" x14ac:dyDescent="0.2">
      <c r="A52" s="5">
        <v>61</v>
      </c>
      <c r="B52" s="1">
        <f t="shared" si="13"/>
        <v>2.4933486986108435</v>
      </c>
      <c r="C52" s="5">
        <f t="shared" si="14"/>
        <v>129417.46190722361</v>
      </c>
      <c r="D52" s="5">
        <f t="shared" si="15"/>
        <v>126344.39043572856</v>
      </c>
      <c r="E52" s="5">
        <f t="shared" si="1"/>
        <v>116844.39043572856</v>
      </c>
      <c r="F52" s="5">
        <f t="shared" si="2"/>
        <v>46471.462026894915</v>
      </c>
      <c r="G52" s="5">
        <f t="shared" si="3"/>
        <v>79872.928408833657</v>
      </c>
      <c r="H52" s="22">
        <f t="shared" si="16"/>
        <v>53060.61306194208</v>
      </c>
      <c r="I52" s="5">
        <f t="shared" si="17"/>
        <v>131500.9049181033</v>
      </c>
      <c r="J52" s="26">
        <f t="shared" si="5"/>
        <v>0.25936333069081074</v>
      </c>
      <c r="L52" s="22">
        <f t="shared" si="18"/>
        <v>177551.1669449982</v>
      </c>
      <c r="M52" s="5">
        <f>scrimecost*Meta!O49</f>
        <v>180.90799999999999</v>
      </c>
      <c r="N52" s="5">
        <f>L52-Grade17!L52</f>
        <v>875.84728308694321</v>
      </c>
      <c r="O52" s="5">
        <f>Grade17!M52-M52</f>
        <v>0</v>
      </c>
      <c r="P52" s="22">
        <f t="shared" si="12"/>
        <v>0</v>
      </c>
      <c r="Q52" s="22"/>
      <c r="R52" s="22"/>
      <c r="S52" s="22">
        <f t="shared" si="19"/>
        <v>481.13707064369828</v>
      </c>
      <c r="T52" s="22">
        <f t="shared" si="20"/>
        <v>4138.4417955018444</v>
      </c>
    </row>
    <row r="53" spans="1:20" x14ac:dyDescent="0.2">
      <c r="A53" s="5">
        <v>62</v>
      </c>
      <c r="B53" s="1">
        <f t="shared" si="13"/>
        <v>2.555682416076114</v>
      </c>
      <c r="C53" s="5">
        <f t="shared" si="14"/>
        <v>132652.89845490418</v>
      </c>
      <c r="D53" s="5">
        <f t="shared" si="15"/>
        <v>129492.47019662175</v>
      </c>
      <c r="E53" s="5">
        <f t="shared" si="1"/>
        <v>119992.47019662175</v>
      </c>
      <c r="F53" s="5">
        <f t="shared" si="2"/>
        <v>47713.379492567285</v>
      </c>
      <c r="G53" s="5">
        <f t="shared" si="3"/>
        <v>81779.09070405447</v>
      </c>
      <c r="H53" s="22">
        <f t="shared" si="16"/>
        <v>54387.128388490622</v>
      </c>
      <c r="I53" s="5">
        <f t="shared" si="17"/>
        <v>134697.76662605585</v>
      </c>
      <c r="J53" s="26">
        <f t="shared" si="5"/>
        <v>0.25986149510556866</v>
      </c>
      <c r="L53" s="22">
        <f t="shared" si="18"/>
        <v>181989.94611862311</v>
      </c>
      <c r="M53" s="5">
        <f>scrimecost*Meta!O50</f>
        <v>180.90799999999999</v>
      </c>
      <c r="N53" s="5">
        <f>L53-Grade17!L53</f>
        <v>897.74346516406513</v>
      </c>
      <c r="O53" s="5">
        <f>Grade17!M53-M53</f>
        <v>0</v>
      </c>
      <c r="P53" s="22">
        <f t="shared" si="12"/>
        <v>0</v>
      </c>
      <c r="Q53" s="22"/>
      <c r="R53" s="22"/>
      <c r="S53" s="22">
        <f t="shared" si="19"/>
        <v>493.16549740976239</v>
      </c>
      <c r="T53" s="22">
        <f t="shared" si="20"/>
        <v>4489.0517549143742</v>
      </c>
    </row>
    <row r="54" spans="1:20" x14ac:dyDescent="0.2">
      <c r="A54" s="5">
        <v>63</v>
      </c>
      <c r="B54" s="1">
        <f t="shared" si="13"/>
        <v>2.6195744764780171</v>
      </c>
      <c r="C54" s="5">
        <f t="shared" si="14"/>
        <v>135969.2209162768</v>
      </c>
      <c r="D54" s="5">
        <f t="shared" si="15"/>
        <v>132719.25195153733</v>
      </c>
      <c r="E54" s="5">
        <f t="shared" si="1"/>
        <v>123219.25195153733</v>
      </c>
      <c r="F54" s="5">
        <f t="shared" si="2"/>
        <v>48986.344894881477</v>
      </c>
      <c r="G54" s="5">
        <f t="shared" si="3"/>
        <v>83732.907056655851</v>
      </c>
      <c r="H54" s="22">
        <f t="shared" si="16"/>
        <v>55746.806598202886</v>
      </c>
      <c r="I54" s="5">
        <f t="shared" si="17"/>
        <v>137974.54987670726</v>
      </c>
      <c r="J54" s="26">
        <f t="shared" si="5"/>
        <v>0.2603475091687471</v>
      </c>
      <c r="L54" s="22">
        <f t="shared" si="18"/>
        <v>186539.69477158872</v>
      </c>
      <c r="M54" s="5">
        <f>scrimecost*Meta!O51</f>
        <v>180.90799999999999</v>
      </c>
      <c r="N54" s="5">
        <f>L54-Grade17!L54</f>
        <v>920.18705179324024</v>
      </c>
      <c r="O54" s="5">
        <f>Grade17!M54-M54</f>
        <v>0</v>
      </c>
      <c r="P54" s="22">
        <f t="shared" si="12"/>
        <v>0</v>
      </c>
      <c r="Q54" s="22"/>
      <c r="R54" s="22"/>
      <c r="S54" s="22">
        <f t="shared" si="19"/>
        <v>505.49463484504679</v>
      </c>
      <c r="T54" s="22">
        <f t="shared" si="20"/>
        <v>4869.3654892538916</v>
      </c>
    </row>
    <row r="55" spans="1:20" x14ac:dyDescent="0.2">
      <c r="A55" s="5">
        <v>64</v>
      </c>
      <c r="B55" s="1">
        <f t="shared" si="13"/>
        <v>2.6850638383899672</v>
      </c>
      <c r="C55" s="5">
        <f t="shared" si="14"/>
        <v>139368.4514391837</v>
      </c>
      <c r="D55" s="5">
        <f t="shared" si="15"/>
        <v>136026.70325032575</v>
      </c>
      <c r="E55" s="5">
        <f t="shared" si="1"/>
        <v>126526.70325032575</v>
      </c>
      <c r="F55" s="5">
        <f t="shared" si="2"/>
        <v>50291.134432253501</v>
      </c>
      <c r="G55" s="5">
        <f t="shared" si="3"/>
        <v>85735.56881807225</v>
      </c>
      <c r="H55" s="22">
        <f t="shared" si="16"/>
        <v>57140.47676315796</v>
      </c>
      <c r="I55" s="5">
        <f t="shared" si="17"/>
        <v>141333.25270862493</v>
      </c>
      <c r="J55" s="26">
        <f t="shared" si="5"/>
        <v>0.26082166923038452</v>
      </c>
      <c r="L55" s="22">
        <f t="shared" si="18"/>
        <v>191203.18714087844</v>
      </c>
      <c r="M55" s="5">
        <f>scrimecost*Meta!O52</f>
        <v>180.90799999999999</v>
      </c>
      <c r="N55" s="5">
        <f>L55-Grade17!L55</f>
        <v>943.19172808804433</v>
      </c>
      <c r="O55" s="5">
        <f>Grade17!M55-M55</f>
        <v>0</v>
      </c>
      <c r="P55" s="22">
        <f t="shared" si="12"/>
        <v>0</v>
      </c>
      <c r="Q55" s="22"/>
      <c r="R55" s="22"/>
      <c r="S55" s="22">
        <f t="shared" si="19"/>
        <v>518.13200071615813</v>
      </c>
      <c r="T55" s="22">
        <f t="shared" si="20"/>
        <v>5281.8995107323026</v>
      </c>
    </row>
    <row r="56" spans="1:20" x14ac:dyDescent="0.2">
      <c r="A56" s="5">
        <v>65</v>
      </c>
      <c r="B56" s="1">
        <f t="shared" si="13"/>
        <v>2.7521904343497163</v>
      </c>
      <c r="C56" s="5">
        <f t="shared" si="14"/>
        <v>142852.6627251633</v>
      </c>
      <c r="D56" s="5">
        <f t="shared" si="15"/>
        <v>139416.84083158389</v>
      </c>
      <c r="E56" s="5">
        <f t="shared" si="1"/>
        <v>129916.84083158389</v>
      </c>
      <c r="F56" s="5">
        <f t="shared" si="2"/>
        <v>51628.543708059842</v>
      </c>
      <c r="G56" s="5">
        <f t="shared" si="3"/>
        <v>87788.29712352404</v>
      </c>
      <c r="H56" s="22">
        <f t="shared" si="16"/>
        <v>58568.988682236901</v>
      </c>
      <c r="I56" s="5">
        <f t="shared" si="17"/>
        <v>144775.92311134055</v>
      </c>
      <c r="J56" s="26">
        <f t="shared" si="5"/>
        <v>0.26128426441246988</v>
      </c>
      <c r="L56" s="22">
        <f t="shared" si="18"/>
        <v>195983.26681940036</v>
      </c>
      <c r="M56" s="5">
        <f>scrimecost*Meta!O53</f>
        <v>54.67</v>
      </c>
      <c r="N56" s="5">
        <f>L56-Grade17!L56</f>
        <v>966.77152129021124</v>
      </c>
      <c r="O56" s="5">
        <f>Grade17!M56-M56</f>
        <v>0</v>
      </c>
      <c r="P56" s="22">
        <f t="shared" si="12"/>
        <v>0</v>
      </c>
      <c r="Q56" s="22"/>
      <c r="R56" s="22"/>
      <c r="S56" s="22">
        <f t="shared" si="19"/>
        <v>531.08530073404336</v>
      </c>
      <c r="T56" s="22">
        <f t="shared" si="20"/>
        <v>5729.3835311895409</v>
      </c>
    </row>
    <row r="57" spans="1:20" x14ac:dyDescent="0.2">
      <c r="A57" s="5">
        <v>66</v>
      </c>
      <c r="C57" s="5"/>
      <c r="H57" s="21"/>
      <c r="I57" s="5"/>
      <c r="M57" s="5">
        <f>scrimecost*Meta!O54</f>
        <v>54.67</v>
      </c>
      <c r="N57" s="5">
        <f>L57-Grade17!L57</f>
        <v>0</v>
      </c>
      <c r="O57" s="5">
        <f>Grade17!M57-M57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54.67</v>
      </c>
      <c r="N58" s="5">
        <f>L58-Grade17!L58</f>
        <v>0</v>
      </c>
      <c r="O58" s="5">
        <f>Grade17!M58-M58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54.67</v>
      </c>
      <c r="N59" s="5">
        <f>L59-Grade17!L59</f>
        <v>0</v>
      </c>
      <c r="O59" s="5">
        <f>Grade17!M59-M59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54.67</v>
      </c>
      <c r="N60" s="5">
        <f>L60-Grade17!L60</f>
        <v>0</v>
      </c>
      <c r="O60" s="5">
        <f>Grade17!M60-M60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54.67</v>
      </c>
      <c r="N61" s="5">
        <f>L61-Grade17!L61</f>
        <v>0</v>
      </c>
      <c r="O61" s="5">
        <f>Grade17!M61-M61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54.67</v>
      </c>
      <c r="N62" s="5">
        <f>L62-Grade17!L62</f>
        <v>0</v>
      </c>
      <c r="O62" s="5">
        <f>Grade17!M62-M62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54.67</v>
      </c>
      <c r="N63" s="5">
        <f>L63-Grade17!L63</f>
        <v>0</v>
      </c>
      <c r="O63" s="5">
        <f>Grade17!M63-M63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54.67</v>
      </c>
      <c r="N64" s="5">
        <f>L64-Grade17!L64</f>
        <v>0</v>
      </c>
      <c r="O64" s="5">
        <f>Grade17!M64-M64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54.67</v>
      </c>
      <c r="N65" s="5">
        <f>L65-Grade17!L65</f>
        <v>0</v>
      </c>
      <c r="O65" s="5">
        <f>Grade17!M65-M65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54.67</v>
      </c>
      <c r="N66" s="5">
        <f>L66-Grade17!L66</f>
        <v>0</v>
      </c>
      <c r="O66" s="5">
        <f>Grade17!M66-M66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54.67</v>
      </c>
      <c r="N67" s="5">
        <f>L67-Grade17!L67</f>
        <v>0</v>
      </c>
      <c r="O67" s="5">
        <f>Grade17!M67-M67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54.67</v>
      </c>
      <c r="N68" s="5">
        <f>L68-Grade17!L68</f>
        <v>0</v>
      </c>
      <c r="O68" s="5">
        <f>Grade17!M68-M68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54.67</v>
      </c>
      <c r="N69" s="5">
        <f>L69-Grade17!L69</f>
        <v>0</v>
      </c>
      <c r="O69" s="5">
        <f>Grade17!M69-M69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-2.446540747769177E-10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G1" sqref="G1:G12"/>
    </sheetView>
  </sheetViews>
  <sheetFormatPr defaultRowHeight="12.75" x14ac:dyDescent="0.2"/>
  <cols>
    <col min="1" max="16384" width="9.140625" style="8"/>
  </cols>
  <sheetData>
    <row r="1" spans="1:22" x14ac:dyDescent="0.2">
      <c r="A1" s="18" t="s">
        <v>5</v>
      </c>
      <c r="B1" s="8" t="s">
        <v>8</v>
      </c>
      <c r="D1" s="8" t="s">
        <v>13</v>
      </c>
      <c r="F1" s="8" t="s">
        <v>21</v>
      </c>
      <c r="G1" s="8" t="s">
        <v>34</v>
      </c>
      <c r="K1" s="8" t="s">
        <v>22</v>
      </c>
      <c r="L1" s="8" t="s">
        <v>26</v>
      </c>
      <c r="M1" s="8" t="s">
        <v>30</v>
      </c>
      <c r="N1" s="8" t="s">
        <v>23</v>
      </c>
      <c r="O1" s="8" t="s">
        <v>27</v>
      </c>
      <c r="P1" s="8" t="s">
        <v>31</v>
      </c>
      <c r="Q1" s="8" t="s">
        <v>24</v>
      </c>
      <c r="R1" s="8" t="s">
        <v>28</v>
      </c>
      <c r="S1" s="8" t="s">
        <v>32</v>
      </c>
      <c r="T1" s="8" t="s">
        <v>25</v>
      </c>
      <c r="U1" s="8" t="s">
        <v>29</v>
      </c>
      <c r="V1" s="8" t="s">
        <v>33</v>
      </c>
    </row>
    <row r="2" spans="1:22" x14ac:dyDescent="0.2">
      <c r="A2" s="18">
        <v>8</v>
      </c>
      <c r="B2" s="11">
        <f>Meta!E2</f>
        <v>1</v>
      </c>
    </row>
    <row r="3" spans="1:22" x14ac:dyDescent="0.2">
      <c r="A3" s="18">
        <v>9</v>
      </c>
      <c r="B3" s="11">
        <f>Meta!E3</f>
        <v>0.98599999999999999</v>
      </c>
      <c r="D3" s="8">
        <f>Grade9!T2</f>
        <v>0.99547422155785914</v>
      </c>
      <c r="F3" s="15">
        <f t="shared" ref="F3:F12" si="0">(D3-1)*100</f>
        <v>-0.45257784421408598</v>
      </c>
      <c r="G3" s="15">
        <f>K3*M3+K4*M4+K5*M5+K6*M6</f>
        <v>-0.59502594029395428</v>
      </c>
      <c r="H3" s="15"/>
      <c r="I3" s="15"/>
      <c r="K3" s="8">
        <f>1-B3</f>
        <v>1.4000000000000012E-2</v>
      </c>
      <c r="L3" s="8">
        <f>D3</f>
        <v>0.99547422155785914</v>
      </c>
      <c r="M3" s="8">
        <f t="shared" ref="M3:M12" si="1">(L3-1)*100</f>
        <v>-0.45257784421408598</v>
      </c>
    </row>
    <row r="4" spans="1:22" x14ac:dyDescent="0.2">
      <c r="A4" s="18">
        <v>10</v>
      </c>
      <c r="B4" s="11">
        <f>Meta!E4</f>
        <v>0.98599999999999999</v>
      </c>
      <c r="D4" s="8">
        <f>Grade10!T2</f>
        <v>0.99548957538606186</v>
      </c>
      <c r="F4" s="15">
        <f t="shared" si="0"/>
        <v>-0.45104246139381354</v>
      </c>
      <c r="G4" s="15">
        <f>N4*P4+N5*P5+N6*P6</f>
        <v>-0.6454177926823067</v>
      </c>
      <c r="H4" s="15"/>
      <c r="I4" s="15"/>
      <c r="K4" s="8">
        <f>B3*(1-B4)</f>
        <v>1.3804000000000012E-2</v>
      </c>
      <c r="L4" s="8">
        <f>(D3*D4)^0.5</f>
        <v>0.99548189844235924</v>
      </c>
      <c r="M4" s="8">
        <f t="shared" si="1"/>
        <v>-0.45181015576407635</v>
      </c>
      <c r="N4" s="8">
        <f>1-B4</f>
        <v>1.4000000000000012E-2</v>
      </c>
      <c r="O4" s="8">
        <f>D4</f>
        <v>0.99548957538606186</v>
      </c>
      <c r="P4" s="8">
        <f>(O4-1)*100</f>
        <v>-0.45104246139381354</v>
      </c>
    </row>
    <row r="5" spans="1:22" x14ac:dyDescent="0.2">
      <c r="A5" s="18">
        <v>11</v>
      </c>
      <c r="B5" s="11">
        <f>Meta!E5</f>
        <v>0.98599999999999999</v>
      </c>
      <c r="D5" s="8">
        <f>Grade11!T2</f>
        <v>0.99197976652864761</v>
      </c>
      <c r="F5" s="15">
        <f t="shared" si="0"/>
        <v>-0.80202334713523893</v>
      </c>
      <c r="G5" s="15">
        <f>Q5*S5+Q6*S6</f>
        <v>-0.74782563759764242</v>
      </c>
      <c r="H5" s="15"/>
      <c r="I5" s="15"/>
      <c r="K5" s="8">
        <f>B3*B4*(1-B5)</f>
        <v>1.3610744000000011E-2</v>
      </c>
      <c r="L5" s="8">
        <f>(D3*D4*D5)^(1/3)</f>
        <v>0.99431314950108252</v>
      </c>
      <c r="M5" s="8">
        <f t="shared" si="1"/>
        <v>-0.5686850498917484</v>
      </c>
      <c r="N5" s="8">
        <f>B4*(1-B5)</f>
        <v>1.3804000000000012E-2</v>
      </c>
      <c r="O5" s="8">
        <f>(D4*D5)^0.5</f>
        <v>0.99373312140290881</v>
      </c>
      <c r="P5" s="8">
        <f>(O5-1)*100</f>
        <v>-0.62668785970911856</v>
      </c>
      <c r="Q5" s="8">
        <f>1-B5</f>
        <v>1.4000000000000012E-2</v>
      </c>
      <c r="R5" s="8">
        <f>D5</f>
        <v>0.99197976652864761</v>
      </c>
      <c r="S5" s="8">
        <f>(R5-1)*100</f>
        <v>-0.80202334713523893</v>
      </c>
    </row>
    <row r="6" spans="1:22" x14ac:dyDescent="0.2">
      <c r="A6" s="18">
        <v>12</v>
      </c>
      <c r="B6" s="11">
        <f>Meta!E6</f>
        <v>0.98599999999999999</v>
      </c>
      <c r="D6" s="8">
        <f>Grade12!T2</f>
        <v>0.99307941613238726</v>
      </c>
      <c r="F6" s="15">
        <f t="shared" si="0"/>
        <v>-0.69205838676127396</v>
      </c>
      <c r="G6" s="15">
        <f>T6*V6</f>
        <v>-0.69205838676127396</v>
      </c>
      <c r="H6" s="15"/>
      <c r="I6" s="15"/>
      <c r="K6" s="8">
        <f>B3*B4*B5</f>
        <v>0.95858525599999989</v>
      </c>
      <c r="L6" s="8">
        <f>(D3*D4*D5*D6)^0.25</f>
        <v>0.99400457254212049</v>
      </c>
      <c r="M6" s="8">
        <f t="shared" si="1"/>
        <v>-0.59954274578795097</v>
      </c>
      <c r="N6" s="8">
        <f>B4*B5</f>
        <v>0.97219599999999995</v>
      </c>
      <c r="O6" s="8">
        <f>(D4*D5*D6)^(1/3)</f>
        <v>0.99351517184798777</v>
      </c>
      <c r="P6" s="8">
        <f>(O6-1)*100</f>
        <v>-0.64848281520122342</v>
      </c>
      <c r="Q6" s="8">
        <f>B5</f>
        <v>0.98599999999999999</v>
      </c>
      <c r="R6" s="8">
        <f>(D5*D6)^0.5</f>
        <v>0.9925294390391709</v>
      </c>
      <c r="S6" s="8">
        <f>(R6-1)*100</f>
        <v>-0.74705609608290979</v>
      </c>
      <c r="T6" s="8">
        <v>1</v>
      </c>
      <c r="U6" s="8">
        <f>D6</f>
        <v>0.99307941613238726</v>
      </c>
      <c r="V6" s="8">
        <f>(U6-1)*100</f>
        <v>-0.69205838676127396</v>
      </c>
    </row>
    <row r="7" spans="1:22" x14ac:dyDescent="0.2">
      <c r="A7" s="18">
        <v>13</v>
      </c>
      <c r="B7" s="11">
        <f>Meta!E7</f>
        <v>0.90300000000000002</v>
      </c>
      <c r="D7" s="8">
        <f>Grade13!T2</f>
        <v>0.98589388475311734</v>
      </c>
      <c r="F7" s="15">
        <f t="shared" si="0"/>
        <v>-1.4106115246882656</v>
      </c>
      <c r="G7" s="15">
        <f>K7*M7+K8*M8+K9*M9+K10*M10</f>
        <v>-1.5258766395249475</v>
      </c>
      <c r="H7" s="15"/>
      <c r="I7" s="15"/>
      <c r="K7" s="8">
        <f>1-B7</f>
        <v>9.6999999999999975E-2</v>
      </c>
      <c r="L7" s="8">
        <f>D7</f>
        <v>0.98589388475311734</v>
      </c>
      <c r="M7" s="8">
        <f t="shared" si="1"/>
        <v>-1.4106115246882656</v>
      </c>
    </row>
    <row r="8" spans="1:22" x14ac:dyDescent="0.2">
      <c r="A8" s="18">
        <v>14</v>
      </c>
      <c r="B8" s="11">
        <f>Meta!E8</f>
        <v>0.90300000000000002</v>
      </c>
      <c r="D8" s="8">
        <f>Grade14!T2</f>
        <v>0.98751630160873205</v>
      </c>
      <c r="F8" s="15">
        <f t="shared" si="0"/>
        <v>-1.248369839126795</v>
      </c>
      <c r="G8" s="15">
        <f>N8*P8+N9*P9+N10*P10</f>
        <v>-1.5766048078572354</v>
      </c>
      <c r="H8" s="15"/>
      <c r="I8" s="15"/>
      <c r="K8" s="8">
        <f>B7*(1-B8)</f>
        <v>8.7590999999999974E-2</v>
      </c>
      <c r="L8" s="8">
        <f>(D7*D8)^0.5</f>
        <v>0.98670475971795335</v>
      </c>
      <c r="M8" s="8">
        <f t="shared" si="1"/>
        <v>-1.329524028204665</v>
      </c>
      <c r="N8" s="8">
        <f>1-B8</f>
        <v>9.6999999999999975E-2</v>
      </c>
      <c r="O8" s="8">
        <f>D8</f>
        <v>0.98751630160873205</v>
      </c>
      <c r="P8" s="8">
        <f>(O8-1)*100</f>
        <v>-1.248369839126795</v>
      </c>
    </row>
    <row r="9" spans="1:22" x14ac:dyDescent="0.2">
      <c r="A9" s="18">
        <v>15</v>
      </c>
      <c r="B9" s="11">
        <f>Meta!E9</f>
        <v>0.90300000000000002</v>
      </c>
      <c r="D9" s="8">
        <f>Grade15!T2</f>
        <v>0.98202839289086152</v>
      </c>
      <c r="F9" s="15">
        <f t="shared" si="0"/>
        <v>-1.7971607109138477</v>
      </c>
      <c r="G9" s="15">
        <f>Q9*S9+Q10*S10</f>
        <v>-1.8063857640913172</v>
      </c>
      <c r="H9" s="15"/>
      <c r="I9" s="15"/>
      <c r="K9" s="8">
        <f>B7*B8*(1-B9)</f>
        <v>7.909467299999999E-2</v>
      </c>
      <c r="L9" s="8">
        <f>(D7*D8*D9)^(1/3)</f>
        <v>0.98514350170779419</v>
      </c>
      <c r="M9" s="8">
        <f t="shared" si="1"/>
        <v>-1.4856498292205811</v>
      </c>
      <c r="N9" s="8">
        <f>B8*(1-B9)</f>
        <v>8.7590999999999974E-2</v>
      </c>
      <c r="O9" s="8">
        <f>(D8*D9)^0.5</f>
        <v>0.98476852438649276</v>
      </c>
      <c r="P9" s="8">
        <f>(O9-1)*100</f>
        <v>-1.5231475613507239</v>
      </c>
      <c r="Q9" s="8">
        <f>1-B9</f>
        <v>9.6999999999999975E-2</v>
      </c>
      <c r="R9" s="8">
        <f>D9</f>
        <v>0.98202839289086152</v>
      </c>
      <c r="S9" s="8">
        <f>(R9-1)*100</f>
        <v>-1.7971607109138477</v>
      </c>
    </row>
    <row r="10" spans="1:22" x14ac:dyDescent="0.2">
      <c r="A10" s="18">
        <v>16</v>
      </c>
      <c r="B10" s="11">
        <f>Meta!E10</f>
        <v>0.90300000000000002</v>
      </c>
      <c r="D10" s="8">
        <f>Grade16!T2</f>
        <v>0.98182408340386262</v>
      </c>
      <c r="F10" s="15">
        <f t="shared" si="0"/>
        <v>-1.8175916596137376</v>
      </c>
      <c r="G10" s="15">
        <f>T10*V10</f>
        <v>-1.8175916596137376</v>
      </c>
      <c r="H10" s="15"/>
      <c r="I10" s="15"/>
      <c r="K10" s="8">
        <f>B7*B8*B9</f>
        <v>0.7363143270000001</v>
      </c>
      <c r="L10" s="8">
        <f>(D7*D8*D9*D10)^0.25</f>
        <v>0.98431259650009495</v>
      </c>
      <c r="M10" s="8">
        <f t="shared" si="1"/>
        <v>-1.568740349990505</v>
      </c>
      <c r="N10" s="8">
        <f>B8*B9</f>
        <v>0.81540900000000005</v>
      </c>
      <c r="O10" s="8">
        <f>(D8*D9*D10)^(1/3)</f>
        <v>0.98378606422769843</v>
      </c>
      <c r="P10" s="8">
        <f>(O10-1)*100</f>
        <v>-1.6213935772301569</v>
      </c>
      <c r="Q10" s="8">
        <f>B9</f>
        <v>0.90300000000000002</v>
      </c>
      <c r="R10" s="8">
        <f>(D9*D10)^0.5</f>
        <v>0.9819262328335252</v>
      </c>
      <c r="S10" s="8">
        <f>(R10-1)*100</f>
        <v>-1.8073767166474797</v>
      </c>
      <c r="T10" s="8">
        <v>1</v>
      </c>
      <c r="U10" s="8">
        <f>D10</f>
        <v>0.98182408340386262</v>
      </c>
      <c r="V10" s="8">
        <f>(U10-1)*100</f>
        <v>-1.8175916596137376</v>
      </c>
    </row>
    <row r="11" spans="1:22" x14ac:dyDescent="0.2">
      <c r="A11" s="18">
        <v>17</v>
      </c>
      <c r="B11" s="11">
        <f>Meta!E11</f>
        <v>0.70699999999999996</v>
      </c>
      <c r="D11" s="8">
        <f>Grade17!T2</f>
        <v>0.95314046142906694</v>
      </c>
      <c r="F11" s="15">
        <f t="shared" si="0"/>
        <v>-4.6859538570933061</v>
      </c>
      <c r="G11" s="15">
        <f>K11*M11+K12*M12</f>
        <v>-4.9763218493903905</v>
      </c>
      <c r="H11" s="15"/>
      <c r="I11" s="15"/>
      <c r="K11" s="8">
        <f>1-B11</f>
        <v>0.29300000000000004</v>
      </c>
      <c r="L11" s="8">
        <f>D11</f>
        <v>0.95314046142906694</v>
      </c>
      <c r="M11" s="8">
        <f t="shared" si="1"/>
        <v>-4.6859538570933061</v>
      </c>
    </row>
    <row r="12" spans="1:22" x14ac:dyDescent="0.2">
      <c r="A12" s="18">
        <v>18</v>
      </c>
      <c r="B12" s="11">
        <f>Meta!E12</f>
        <v>0.70699999999999996</v>
      </c>
      <c r="D12" s="8">
        <f>Grade18!T2</f>
        <v>0.9449440710380177</v>
      </c>
      <c r="F12" s="15">
        <f t="shared" si="0"/>
        <v>-5.5055928961982303</v>
      </c>
      <c r="G12" s="15">
        <f>N12*P12</f>
        <v>-5.5055928961982303</v>
      </c>
      <c r="H12" s="15"/>
      <c r="I12" s="15"/>
      <c r="K12" s="8">
        <f>B11</f>
        <v>0.70699999999999996</v>
      </c>
      <c r="L12" s="8">
        <f>(D11*D12)^0.5</f>
        <v>0.9490334176907772</v>
      </c>
      <c r="M12" s="8">
        <f t="shared" si="1"/>
        <v>-5.0966582309222801</v>
      </c>
      <c r="N12" s="8">
        <v>1</v>
      </c>
      <c r="O12" s="8">
        <f>D12</f>
        <v>0.9449440710380177</v>
      </c>
      <c r="P12" s="8">
        <f>(O12-1)*100</f>
        <v>-5.5055928961982303</v>
      </c>
    </row>
    <row r="14" spans="1:22" x14ac:dyDescent="0.2">
      <c r="B14" s="16"/>
    </row>
    <row r="15" spans="1:22" x14ac:dyDescent="0.2">
      <c r="B15" s="16"/>
    </row>
    <row r="16" spans="1:22" x14ac:dyDescent="0.2">
      <c r="B16" s="16"/>
    </row>
    <row r="17" spans="2:4" x14ac:dyDescent="0.2">
      <c r="B17" s="16"/>
    </row>
    <row r="18" spans="2:4" x14ac:dyDescent="0.2">
      <c r="B18" s="16"/>
    </row>
    <row r="19" spans="2:4" x14ac:dyDescent="0.2">
      <c r="B19" s="16"/>
      <c r="D19" s="30"/>
    </row>
    <row r="20" spans="2:4" x14ac:dyDescent="0.2">
      <c r="B20" s="16"/>
    </row>
    <row r="21" spans="2:4" x14ac:dyDescent="0.2">
      <c r="B21" s="16"/>
    </row>
    <row r="22" spans="2:4" x14ac:dyDescent="0.2">
      <c r="B22" s="16"/>
    </row>
    <row r="23" spans="2:4" x14ac:dyDescent="0.2">
      <c r="B23" s="16"/>
    </row>
    <row r="24" spans="2:4" x14ac:dyDescent="0.2">
      <c r="B24" s="16"/>
    </row>
    <row r="25" spans="2:4" x14ac:dyDescent="0.2">
      <c r="B25" s="16"/>
    </row>
    <row r="26" spans="2:4" x14ac:dyDescent="0.2">
      <c r="B26" s="16"/>
    </row>
    <row r="27" spans="2:4" x14ac:dyDescent="0.2">
      <c r="B27" s="2"/>
    </row>
    <row r="28" spans="2:4" x14ac:dyDescent="0.2">
      <c r="B28" s="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R2" sqref="R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6384" width="9.140625" style="1"/>
  </cols>
  <sheetData>
    <row r="1" spans="1:18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</row>
    <row r="2" spans="1:18" x14ac:dyDescent="0.2">
      <c r="B2" s="5">
        <f>Meta!A2+6</f>
        <v>14</v>
      </c>
      <c r="C2" s="7">
        <f>Meta!B2</f>
        <v>42033</v>
      </c>
      <c r="D2" s="7">
        <f>Meta!C2</f>
        <v>18568</v>
      </c>
      <c r="E2" s="1">
        <f>Meta!D2</f>
        <v>5.7000000000000002E-2</v>
      </c>
      <c r="F2" s="1">
        <f>Meta!F2</f>
        <v>0.60199999999999998</v>
      </c>
      <c r="G2" s="1">
        <f>Meta!I2</f>
        <v>2.0085479604911836</v>
      </c>
      <c r="H2" s="1">
        <f>Meta!E2</f>
        <v>1</v>
      </c>
      <c r="I2" s="13"/>
      <c r="K2" s="1">
        <f>Meta!D2</f>
        <v>5.7000000000000002E-2</v>
      </c>
      <c r="L2" s="13"/>
      <c r="N2" s="22">
        <f>Meta!T2</f>
        <v>74565</v>
      </c>
      <c r="O2" s="22">
        <f>Meta!U2</f>
        <v>31134</v>
      </c>
      <c r="P2" s="1">
        <f>Meta!V2</f>
        <v>3.2000000000000001E-2</v>
      </c>
      <c r="Q2" s="1">
        <f>Meta!X2</f>
        <v>0.72799999999999998</v>
      </c>
      <c r="R2" s="22">
        <f>Meta!W2</f>
        <v>1113</v>
      </c>
    </row>
    <row r="3" spans="1:18" ht="14.25" x14ac:dyDescent="0.2">
      <c r="C3" s="3"/>
      <c r="G3" s="4"/>
      <c r="L3" s="1" t="s">
        <v>10</v>
      </c>
    </row>
    <row r="4" spans="1:18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</row>
    <row r="5" spans="1:18" x14ac:dyDescent="0.2">
      <c r="A5" s="5">
        <v>14</v>
      </c>
      <c r="B5" s="1">
        <f t="shared" ref="B5:B36" si="0">(1+experiencepremium)^(A5-startage)</f>
        <v>1</v>
      </c>
      <c r="C5" s="5">
        <f>pretaxincome*B5/expnorm</f>
        <v>20927.05816679676</v>
      </c>
      <c r="D5" s="5">
        <f>IF(A5&lt;startage,1,0)*(C5*(1-initialunempprob))+IF(A5=startage,1,0)*(C5*(1-unempprob))+IF(A5&gt;startage,1,0)*(C5*(1-unempprob)+unempprob*300*52)</f>
        <v>19734.215851289344</v>
      </c>
      <c r="E5" s="5">
        <f>IF(D5-9500&gt;0,1,0)*(D5-9500)</f>
        <v>10234.215851289344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3643.221475445971</v>
      </c>
      <c r="G5" s="5">
        <f>D5-F5</f>
        <v>16090.994375843373</v>
      </c>
      <c r="H5" s="22">
        <f t="shared" ref="H5:H36" si="1">benefits*B5/expnorm</f>
        <v>9244.4892356263463</v>
      </c>
      <c r="I5" s="5">
        <f>G5+IF(A5&lt;startage,1,0)*(H5*(1-initialunempprob))+IF(A5&gt;=startage,1,0)*(H5*(1-unempprob))</f>
        <v>24808.547725039018</v>
      </c>
      <c r="J5" s="26">
        <f t="shared" ref="J5:J36" si="2">(F5-(IF(A5&gt;startage,1,0)*(unempprob*300*52)))/(IF(A5&lt;startage,1,0)*((C5+H5)*(1-initialunempprob))+IF(A5&gt;=startage,1,0)*((C5+H5)*(1-unempprob)))</f>
        <v>0.12804903096795361</v>
      </c>
      <c r="L5" s="22">
        <f t="shared" ref="L5:L36" si="3">(sincome+sbenefits)*(1-sunemp)*B5/expnorm</f>
        <v>50940.59689517138</v>
      </c>
      <c r="M5" s="5">
        <f>scrimecost*Meta!O2</f>
        <v>1217.6220000000001</v>
      </c>
      <c r="N5" s="22"/>
    </row>
    <row r="6" spans="1:18" x14ac:dyDescent="0.2">
      <c r="A6" s="5">
        <v>15</v>
      </c>
      <c r="B6" s="1">
        <f t="shared" si="0"/>
        <v>1.0249999999999999</v>
      </c>
      <c r="C6" s="5">
        <f t="shared" ref="C6:C36" si="4">pretaxincome*B6/expnorm</f>
        <v>21450.234620966679</v>
      </c>
      <c r="D6" s="5">
        <f t="shared" ref="D6:D36" si="5">IF(A6&lt;startage,1,0)*(C6*(1-initialunempprob))+IF(A6=startage,1,0)*(C6*(1-unempprob))+IF(A6&gt;startage,1,0)*(C6*(1-unempprob)+unempprob*300*52)</f>
        <v>21116.771247571578</v>
      </c>
      <c r="E6" s="5">
        <f t="shared" ref="E6:E56" si="6">IF(D6-9500&gt;0,1,0)*(D6-9500)</f>
        <v>11616.771247571578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4094.6258123321204</v>
      </c>
      <c r="G6" s="5">
        <f t="shared" ref="G6:G56" si="8">D6-F6</f>
        <v>17022.145435239458</v>
      </c>
      <c r="H6" s="22">
        <f t="shared" si="1"/>
        <v>9475.6014665170042</v>
      </c>
      <c r="I6" s="5">
        <f t="shared" ref="I6:I36" si="9">G6+IF(A6&lt;startage,1,0)*(H6*(1-initialunempprob))+IF(A6&gt;=startage,1,0)*(H6*(1-unempprob))</f>
        <v>25957.63761816499</v>
      </c>
      <c r="J6" s="26">
        <f t="shared" si="2"/>
        <v>0.10991389227580475</v>
      </c>
      <c r="L6" s="22">
        <f t="shared" si="3"/>
        <v>52214.111817550664</v>
      </c>
      <c r="M6" s="5">
        <f>scrimecost*Meta!O3</f>
        <v>2065.7280000000001</v>
      </c>
      <c r="N6" s="22"/>
    </row>
    <row r="7" spans="1:18" x14ac:dyDescent="0.2">
      <c r="A7" s="5">
        <v>16</v>
      </c>
      <c r="B7" s="1">
        <f t="shared" si="0"/>
        <v>1.0506249999999999</v>
      </c>
      <c r="C7" s="5">
        <f t="shared" si="4"/>
        <v>21986.490486490846</v>
      </c>
      <c r="D7" s="5">
        <f t="shared" si="5"/>
        <v>21622.460528760868</v>
      </c>
      <c r="E7" s="5">
        <f t="shared" si="6"/>
        <v>12122.460528760868</v>
      </c>
      <c r="F7" s="5">
        <f t="shared" si="7"/>
        <v>4259.7333626404234</v>
      </c>
      <c r="G7" s="5">
        <f t="shared" si="8"/>
        <v>17362.727166120443</v>
      </c>
      <c r="H7" s="22">
        <f t="shared" si="1"/>
        <v>9712.4915031799301</v>
      </c>
      <c r="I7" s="5">
        <f t="shared" si="9"/>
        <v>26521.606653619117</v>
      </c>
      <c r="J7" s="26">
        <f t="shared" si="2"/>
        <v>0.11275650926320613</v>
      </c>
      <c r="L7" s="22">
        <f t="shared" si="3"/>
        <v>53519.464612989432</v>
      </c>
      <c r="M7" s="5">
        <f>scrimecost*Meta!O4</f>
        <v>2613.3240000000001</v>
      </c>
      <c r="N7" s="22"/>
    </row>
    <row r="8" spans="1:18" x14ac:dyDescent="0.2">
      <c r="A8" s="5">
        <v>17</v>
      </c>
      <c r="B8" s="1">
        <f t="shared" si="0"/>
        <v>1.0768906249999999</v>
      </c>
      <c r="C8" s="5">
        <f t="shared" si="4"/>
        <v>22536.152748653116</v>
      </c>
      <c r="D8" s="5">
        <f t="shared" si="5"/>
        <v>22140.792041979887</v>
      </c>
      <c r="E8" s="5">
        <f t="shared" si="6"/>
        <v>12640.792041979887</v>
      </c>
      <c r="F8" s="5">
        <f t="shared" si="7"/>
        <v>4428.9686017064332</v>
      </c>
      <c r="G8" s="5">
        <f t="shared" si="8"/>
        <v>17711.823440273452</v>
      </c>
      <c r="H8" s="22">
        <f t="shared" si="1"/>
        <v>9955.303790759428</v>
      </c>
      <c r="I8" s="5">
        <f t="shared" si="9"/>
        <v>27099.674914959593</v>
      </c>
      <c r="J8" s="26">
        <f t="shared" si="2"/>
        <v>0.11552979412896355</v>
      </c>
      <c r="L8" s="22">
        <f t="shared" si="3"/>
        <v>54857.451228314167</v>
      </c>
      <c r="M8" s="5">
        <f>scrimecost*Meta!O5</f>
        <v>3018.4560000000001</v>
      </c>
      <c r="N8" s="22"/>
    </row>
    <row r="9" spans="1:18" x14ac:dyDescent="0.2">
      <c r="A9" s="5">
        <v>18</v>
      </c>
      <c r="B9" s="1">
        <f t="shared" si="0"/>
        <v>1.1038128906249998</v>
      </c>
      <c r="C9" s="5">
        <f t="shared" si="4"/>
        <v>23099.55656736944</v>
      </c>
      <c r="D9" s="5">
        <f t="shared" si="5"/>
        <v>22672.08184302938</v>
      </c>
      <c r="E9" s="5">
        <f t="shared" si="6"/>
        <v>13172.08184302938</v>
      </c>
      <c r="F9" s="5">
        <f t="shared" si="7"/>
        <v>4602.4347217490922</v>
      </c>
      <c r="G9" s="5">
        <f t="shared" si="8"/>
        <v>18069.647121280286</v>
      </c>
      <c r="H9" s="22">
        <f t="shared" si="1"/>
        <v>10204.186385528412</v>
      </c>
      <c r="I9" s="5">
        <f t="shared" si="9"/>
        <v>27692.194882833581</v>
      </c>
      <c r="J9" s="26">
        <f t="shared" si="2"/>
        <v>0.1182354379004342</v>
      </c>
      <c r="L9" s="22">
        <f t="shared" si="3"/>
        <v>56228.88750902201</v>
      </c>
      <c r="M9" s="5">
        <f>scrimecost*Meta!O6</f>
        <v>3668.4479999999999</v>
      </c>
      <c r="N9" s="22"/>
    </row>
    <row r="10" spans="1:18" x14ac:dyDescent="0.2">
      <c r="A10" s="5">
        <v>19</v>
      </c>
      <c r="B10" s="1">
        <f t="shared" si="0"/>
        <v>1.1314082128906247</v>
      </c>
      <c r="C10" s="5">
        <f t="shared" si="4"/>
        <v>23677.045481553676</v>
      </c>
      <c r="D10" s="5">
        <f t="shared" si="5"/>
        <v>23216.653889105117</v>
      </c>
      <c r="E10" s="5">
        <f t="shared" si="6"/>
        <v>13716.653889105117</v>
      </c>
      <c r="F10" s="5">
        <f t="shared" si="7"/>
        <v>4780.2374947928201</v>
      </c>
      <c r="G10" s="5">
        <f t="shared" si="8"/>
        <v>18436.416394312299</v>
      </c>
      <c r="H10" s="22">
        <f t="shared" si="1"/>
        <v>10459.291045166621</v>
      </c>
      <c r="I10" s="5">
        <f t="shared" si="9"/>
        <v>28299.527849904422</v>
      </c>
      <c r="J10" s="26">
        <f t="shared" si="2"/>
        <v>0.12087509036040561</v>
      </c>
      <c r="L10" s="22">
        <f t="shared" si="3"/>
        <v>57634.609696747561</v>
      </c>
      <c r="M10" s="5">
        <f>scrimecost*Meta!O7</f>
        <v>3921.0990000000002</v>
      </c>
      <c r="N10" s="22"/>
    </row>
    <row r="11" spans="1:18" x14ac:dyDescent="0.2">
      <c r="A11" s="5">
        <v>20</v>
      </c>
      <c r="B11" s="1">
        <f t="shared" si="0"/>
        <v>1.1596934182128902</v>
      </c>
      <c r="C11" s="5">
        <f t="shared" si="4"/>
        <v>24268.971618592514</v>
      </c>
      <c r="D11" s="5">
        <f t="shared" si="5"/>
        <v>23774.84023633274</v>
      </c>
      <c r="E11" s="5">
        <f t="shared" si="6"/>
        <v>14274.84023633274</v>
      </c>
      <c r="F11" s="5">
        <f t="shared" si="7"/>
        <v>4962.4853371626396</v>
      </c>
      <c r="G11" s="5">
        <f t="shared" si="8"/>
        <v>18812.354899170103</v>
      </c>
      <c r="H11" s="22">
        <f t="shared" si="1"/>
        <v>10720.773321295786</v>
      </c>
      <c r="I11" s="5">
        <f t="shared" si="9"/>
        <v>28922.04414115203</v>
      </c>
      <c r="J11" s="26">
        <f t="shared" si="2"/>
        <v>0.12345036105306061</v>
      </c>
      <c r="L11" s="22">
        <f t="shared" si="3"/>
        <v>59075.474939166241</v>
      </c>
      <c r="M11" s="5">
        <f>scrimecost*Meta!O8</f>
        <v>3755.2620000000002</v>
      </c>
      <c r="N11" s="22"/>
    </row>
    <row r="12" spans="1:18" x14ac:dyDescent="0.2">
      <c r="A12" s="5">
        <v>21</v>
      </c>
      <c r="B12" s="1">
        <f t="shared" si="0"/>
        <v>1.1886857536682125</v>
      </c>
      <c r="C12" s="5">
        <f t="shared" si="4"/>
        <v>24875.695909057329</v>
      </c>
      <c r="D12" s="5">
        <f t="shared" si="5"/>
        <v>24346.981242241061</v>
      </c>
      <c r="E12" s="5">
        <f t="shared" si="6"/>
        <v>14846.981242241061</v>
      </c>
      <c r="F12" s="5">
        <f t="shared" si="7"/>
        <v>5149.2893755917066</v>
      </c>
      <c r="G12" s="5">
        <f t="shared" si="8"/>
        <v>19197.691866649355</v>
      </c>
      <c r="H12" s="22">
        <f t="shared" si="1"/>
        <v>10988.792654328181</v>
      </c>
      <c r="I12" s="5">
        <f t="shared" si="9"/>
        <v>29560.123339680831</v>
      </c>
      <c r="J12" s="26">
        <f t="shared" si="2"/>
        <v>0.12596282026540703</v>
      </c>
      <c r="L12" s="22">
        <f t="shared" si="3"/>
        <v>60552.361812645395</v>
      </c>
      <c r="M12" s="5">
        <f>scrimecost*Meta!O9</f>
        <v>3410.232</v>
      </c>
      <c r="N12" s="22"/>
    </row>
    <row r="13" spans="1:18" x14ac:dyDescent="0.2">
      <c r="A13" s="5">
        <v>22</v>
      </c>
      <c r="B13" s="1">
        <f t="shared" si="0"/>
        <v>1.2184028975099177</v>
      </c>
      <c r="C13" s="5">
        <f t="shared" si="4"/>
        <v>25497.58830678376</v>
      </c>
      <c r="D13" s="5">
        <f t="shared" si="5"/>
        <v>24933.425773297084</v>
      </c>
      <c r="E13" s="5">
        <f t="shared" si="6"/>
        <v>15433.425773297084</v>
      </c>
      <c r="F13" s="5">
        <f t="shared" si="7"/>
        <v>5340.7635149814978</v>
      </c>
      <c r="G13" s="5">
        <f t="shared" si="8"/>
        <v>19592.662258315584</v>
      </c>
      <c r="H13" s="22">
        <f t="shared" si="1"/>
        <v>11263.512470686386</v>
      </c>
      <c r="I13" s="5">
        <f t="shared" si="9"/>
        <v>30214.154518172843</v>
      </c>
      <c r="J13" s="26">
        <f t="shared" si="2"/>
        <v>0.12841399998476929</v>
      </c>
      <c r="L13" s="22">
        <f t="shared" si="3"/>
        <v>62066.17085796153</v>
      </c>
      <c r="M13" s="5">
        <f>scrimecost*Meta!O10</f>
        <v>3125.3039999999996</v>
      </c>
      <c r="N13" s="22"/>
    </row>
    <row r="14" spans="1:18" x14ac:dyDescent="0.2">
      <c r="A14" s="5">
        <v>23</v>
      </c>
      <c r="B14" s="1">
        <f t="shared" si="0"/>
        <v>1.2488629699476654</v>
      </c>
      <c r="C14" s="5">
        <f t="shared" si="4"/>
        <v>26135.02801445335</v>
      </c>
      <c r="D14" s="5">
        <f t="shared" si="5"/>
        <v>25534.531417629507</v>
      </c>
      <c r="E14" s="5">
        <f t="shared" si="6"/>
        <v>16034.531417629507</v>
      </c>
      <c r="F14" s="5">
        <f t="shared" si="7"/>
        <v>5537.0245078560338</v>
      </c>
      <c r="G14" s="5">
        <f t="shared" si="8"/>
        <v>19997.506909773474</v>
      </c>
      <c r="H14" s="22">
        <f t="shared" si="1"/>
        <v>11545.100282453544</v>
      </c>
      <c r="I14" s="5">
        <f t="shared" si="9"/>
        <v>30884.536476127167</v>
      </c>
      <c r="J14" s="26">
        <f t="shared" si="2"/>
        <v>0.13080539483292761</v>
      </c>
      <c r="L14" s="22">
        <f t="shared" si="3"/>
        <v>63617.825129410558</v>
      </c>
      <c r="M14" s="5">
        <f>scrimecost*Meta!O11</f>
        <v>2920.5120000000002</v>
      </c>
      <c r="N14" s="22"/>
    </row>
    <row r="15" spans="1:18" x14ac:dyDescent="0.2">
      <c r="A15" s="5">
        <v>24</v>
      </c>
      <c r="B15" s="1">
        <f t="shared" si="0"/>
        <v>1.2800845441963571</v>
      </c>
      <c r="C15" s="5">
        <f t="shared" si="4"/>
        <v>26788.403714814685</v>
      </c>
      <c r="D15" s="5">
        <f t="shared" si="5"/>
        <v>26150.664703070248</v>
      </c>
      <c r="E15" s="5">
        <f t="shared" si="6"/>
        <v>16650.664703070248</v>
      </c>
      <c r="F15" s="5">
        <f t="shared" si="7"/>
        <v>5738.1920255524365</v>
      </c>
      <c r="G15" s="5">
        <f t="shared" si="8"/>
        <v>20412.472677517813</v>
      </c>
      <c r="H15" s="22">
        <f t="shared" si="1"/>
        <v>11833.727789514884</v>
      </c>
      <c r="I15" s="5">
        <f t="shared" si="9"/>
        <v>31571.677983030349</v>
      </c>
      <c r="J15" s="26">
        <f t="shared" si="2"/>
        <v>0.13313846297747237</v>
      </c>
      <c r="L15" s="22">
        <f t="shared" si="3"/>
        <v>65208.27075764582</v>
      </c>
      <c r="M15" s="5">
        <f>scrimecost*Meta!O12</f>
        <v>2790.2910000000002</v>
      </c>
      <c r="N15" s="22"/>
    </row>
    <row r="16" spans="1:18" x14ac:dyDescent="0.2">
      <c r="A16" s="5">
        <v>25</v>
      </c>
      <c r="B16" s="1">
        <f t="shared" si="0"/>
        <v>1.312086657801266</v>
      </c>
      <c r="C16" s="5">
        <f t="shared" si="4"/>
        <v>27458.113807685048</v>
      </c>
      <c r="D16" s="5">
        <f t="shared" si="5"/>
        <v>26782.201320647</v>
      </c>
      <c r="E16" s="5">
        <f t="shared" si="6"/>
        <v>17282.201320647</v>
      </c>
      <c r="F16" s="5">
        <f t="shared" si="7"/>
        <v>5944.3887311912458</v>
      </c>
      <c r="G16" s="5">
        <f t="shared" si="8"/>
        <v>20837.812589455752</v>
      </c>
      <c r="H16" s="22">
        <f t="shared" si="1"/>
        <v>12129.570984252754</v>
      </c>
      <c r="I16" s="5">
        <f t="shared" si="9"/>
        <v>32275.9980276061</v>
      </c>
      <c r="J16" s="26">
        <f t="shared" si="2"/>
        <v>0.1354146270209306</v>
      </c>
      <c r="L16" s="22">
        <f t="shared" si="3"/>
        <v>66838.477526586968</v>
      </c>
      <c r="M16" s="5">
        <f>scrimecost*Meta!O13</f>
        <v>2342.8649999999998</v>
      </c>
      <c r="N16" s="22"/>
    </row>
    <row r="17" spans="1:14" x14ac:dyDescent="0.2">
      <c r="A17" s="5">
        <v>26</v>
      </c>
      <c r="B17" s="1">
        <f t="shared" si="0"/>
        <v>1.3448888242462975</v>
      </c>
      <c r="C17" s="5">
        <f t="shared" si="4"/>
        <v>28144.566652877173</v>
      </c>
      <c r="D17" s="5">
        <f t="shared" si="5"/>
        <v>27429.526353663172</v>
      </c>
      <c r="E17" s="5">
        <f t="shared" si="6"/>
        <v>17929.526353663172</v>
      </c>
      <c r="F17" s="5">
        <f t="shared" si="7"/>
        <v>6155.7403544710251</v>
      </c>
      <c r="G17" s="5">
        <f t="shared" si="8"/>
        <v>21273.785999192147</v>
      </c>
      <c r="H17" s="22">
        <f t="shared" si="1"/>
        <v>12432.810258859072</v>
      </c>
      <c r="I17" s="5">
        <f t="shared" si="9"/>
        <v>32997.92607329625</v>
      </c>
      <c r="J17" s="26">
        <f t="shared" si="2"/>
        <v>0.13763527486820692</v>
      </c>
      <c r="L17" s="22">
        <f t="shared" si="3"/>
        <v>68509.439464751631</v>
      </c>
      <c r="M17" s="5">
        <f>scrimecost*Meta!O14</f>
        <v>2342.8649999999998</v>
      </c>
      <c r="N17" s="22"/>
    </row>
    <row r="18" spans="1:14" x14ac:dyDescent="0.2">
      <c r="A18" s="5">
        <v>27</v>
      </c>
      <c r="B18" s="1">
        <f t="shared" si="0"/>
        <v>1.3785110448524549</v>
      </c>
      <c r="C18" s="5">
        <f t="shared" si="4"/>
        <v>28848.1808191991</v>
      </c>
      <c r="D18" s="5">
        <f t="shared" si="5"/>
        <v>28093.03451250475</v>
      </c>
      <c r="E18" s="5">
        <f t="shared" si="6"/>
        <v>18593.03451250475</v>
      </c>
      <c r="F18" s="5">
        <f t="shared" si="7"/>
        <v>6372.3757683328004</v>
      </c>
      <c r="G18" s="5">
        <f t="shared" si="8"/>
        <v>21720.658744171949</v>
      </c>
      <c r="H18" s="22">
        <f t="shared" si="1"/>
        <v>12743.630515330547</v>
      </c>
      <c r="I18" s="5">
        <f t="shared" si="9"/>
        <v>33737.902320128655</v>
      </c>
      <c r="J18" s="26">
        <f t="shared" si="2"/>
        <v>0.13980176057286681</v>
      </c>
      <c r="L18" s="22">
        <f t="shared" si="3"/>
        <v>70222.175451370422</v>
      </c>
      <c r="M18" s="5">
        <f>scrimecost*Meta!O15</f>
        <v>2342.8649999999998</v>
      </c>
      <c r="N18" s="22"/>
    </row>
    <row r="19" spans="1:14" x14ac:dyDescent="0.2">
      <c r="A19" s="5">
        <v>28</v>
      </c>
      <c r="B19" s="1">
        <f t="shared" si="0"/>
        <v>1.4129738209737661</v>
      </c>
      <c r="C19" s="5">
        <f t="shared" si="4"/>
        <v>29569.385339679076</v>
      </c>
      <c r="D19" s="5">
        <f t="shared" si="5"/>
        <v>28773.130375317367</v>
      </c>
      <c r="E19" s="5">
        <f t="shared" si="6"/>
        <v>19273.130375317367</v>
      </c>
      <c r="F19" s="5">
        <f t="shared" si="7"/>
        <v>6594.4270675411208</v>
      </c>
      <c r="G19" s="5">
        <f t="shared" si="8"/>
        <v>22178.703307776246</v>
      </c>
      <c r="H19" s="22">
        <f t="shared" si="1"/>
        <v>13062.22127821381</v>
      </c>
      <c r="I19" s="5">
        <f t="shared" si="9"/>
        <v>34496.377973131865</v>
      </c>
      <c r="J19" s="26">
        <f t="shared" si="2"/>
        <v>0.14191540516277887</v>
      </c>
      <c r="L19" s="22">
        <f t="shared" si="3"/>
        <v>71977.729837654668</v>
      </c>
      <c r="M19" s="5">
        <f>scrimecost*Meta!O16</f>
        <v>2342.8649999999998</v>
      </c>
      <c r="N19" s="22"/>
    </row>
    <row r="20" spans="1:14" x14ac:dyDescent="0.2">
      <c r="A20" s="5">
        <v>29</v>
      </c>
      <c r="B20" s="1">
        <f t="shared" si="0"/>
        <v>1.4482981664981105</v>
      </c>
      <c r="C20" s="5">
        <f t="shared" si="4"/>
        <v>30308.619973171055</v>
      </c>
      <c r="D20" s="5">
        <f t="shared" si="5"/>
        <v>29470.228634700303</v>
      </c>
      <c r="E20" s="5">
        <f t="shared" si="6"/>
        <v>19970.228634700303</v>
      </c>
      <c r="F20" s="5">
        <f t="shared" si="7"/>
        <v>6822.0296492296493</v>
      </c>
      <c r="G20" s="5">
        <f t="shared" si="8"/>
        <v>22648.198985470655</v>
      </c>
      <c r="H20" s="22">
        <f t="shared" si="1"/>
        <v>13388.776810169156</v>
      </c>
      <c r="I20" s="5">
        <f t="shared" si="9"/>
        <v>35273.815517460171</v>
      </c>
      <c r="J20" s="26">
        <f t="shared" si="2"/>
        <v>0.14397749744561991</v>
      </c>
      <c r="L20" s="22">
        <f t="shared" si="3"/>
        <v>73777.173083596048</v>
      </c>
      <c r="M20" s="5">
        <f>scrimecost*Meta!O17</f>
        <v>2342.8649999999998</v>
      </c>
      <c r="N20" s="22"/>
    </row>
    <row r="21" spans="1:14" x14ac:dyDescent="0.2">
      <c r="A21" s="5">
        <v>30</v>
      </c>
      <c r="B21" s="1">
        <f t="shared" si="0"/>
        <v>1.4845056206605631</v>
      </c>
      <c r="C21" s="5">
        <f t="shared" si="4"/>
        <v>31066.33547250033</v>
      </c>
      <c r="D21" s="5">
        <f t="shared" si="5"/>
        <v>30184.754350567811</v>
      </c>
      <c r="E21" s="5">
        <f t="shared" si="6"/>
        <v>20684.754350567811</v>
      </c>
      <c r="F21" s="5">
        <f t="shared" si="7"/>
        <v>7055.3222954603898</v>
      </c>
      <c r="G21" s="5">
        <f t="shared" si="8"/>
        <v>23129.43205510742</v>
      </c>
      <c r="H21" s="22">
        <f t="shared" si="1"/>
        <v>13723.496230423385</v>
      </c>
      <c r="I21" s="5">
        <f t="shared" si="9"/>
        <v>36070.689000396669</v>
      </c>
      <c r="J21" s="26">
        <f t="shared" si="2"/>
        <v>0.1459892947947331</v>
      </c>
      <c r="L21" s="22">
        <f t="shared" si="3"/>
        <v>75621.602410685955</v>
      </c>
      <c r="M21" s="5">
        <f>scrimecost*Meta!O18</f>
        <v>1888.761</v>
      </c>
      <c r="N21" s="22"/>
    </row>
    <row r="22" spans="1:14" x14ac:dyDescent="0.2">
      <c r="A22" s="5">
        <v>31</v>
      </c>
      <c r="B22" s="1">
        <f t="shared" si="0"/>
        <v>1.521618261177077</v>
      </c>
      <c r="C22" s="5">
        <f t="shared" si="4"/>
        <v>31842.993859312835</v>
      </c>
      <c r="D22" s="5">
        <f t="shared" si="5"/>
        <v>30917.143209332004</v>
      </c>
      <c r="E22" s="5">
        <f t="shared" si="6"/>
        <v>21417.143209332004</v>
      </c>
      <c r="F22" s="5">
        <f t="shared" si="7"/>
        <v>7294.4472578468994</v>
      </c>
      <c r="G22" s="5">
        <f t="shared" si="8"/>
        <v>23622.695951485104</v>
      </c>
      <c r="H22" s="22">
        <f t="shared" si="1"/>
        <v>14066.583636183968</v>
      </c>
      <c r="I22" s="5">
        <f t="shared" si="9"/>
        <v>36887.484320406584</v>
      </c>
      <c r="J22" s="26">
        <f t="shared" si="2"/>
        <v>0.14795202391581916</v>
      </c>
      <c r="L22" s="22">
        <f t="shared" si="3"/>
        <v>77512.142470953098</v>
      </c>
      <c r="M22" s="5">
        <f>scrimecost*Meta!O19</f>
        <v>1888.761</v>
      </c>
      <c r="N22" s="22"/>
    </row>
    <row r="23" spans="1:14" x14ac:dyDescent="0.2">
      <c r="A23" s="5">
        <v>32</v>
      </c>
      <c r="B23" s="1">
        <f t="shared" si="0"/>
        <v>1.559658717706504</v>
      </c>
      <c r="C23" s="5">
        <f t="shared" si="4"/>
        <v>32639.06870579566</v>
      </c>
      <c r="D23" s="5">
        <f t="shared" si="5"/>
        <v>31667.841789565307</v>
      </c>
      <c r="E23" s="5">
        <f t="shared" si="6"/>
        <v>22167.841789565307</v>
      </c>
      <c r="F23" s="5">
        <f t="shared" si="7"/>
        <v>7539.5503442930731</v>
      </c>
      <c r="G23" s="5">
        <f t="shared" si="8"/>
        <v>24128.291445272233</v>
      </c>
      <c r="H23" s="22">
        <f t="shared" si="1"/>
        <v>14418.248227088568</v>
      </c>
      <c r="I23" s="5">
        <f t="shared" si="9"/>
        <v>37724.699523416755</v>
      </c>
      <c r="J23" s="26">
        <f t="shared" si="2"/>
        <v>0.14986688159492756</v>
      </c>
      <c r="L23" s="22">
        <f t="shared" si="3"/>
        <v>79449.946032726919</v>
      </c>
      <c r="M23" s="5">
        <f>scrimecost*Meta!O20</f>
        <v>1888.761</v>
      </c>
      <c r="N23" s="22"/>
    </row>
    <row r="24" spans="1:14" x14ac:dyDescent="0.2">
      <c r="A24" s="5">
        <v>33</v>
      </c>
      <c r="B24" s="1">
        <f t="shared" si="0"/>
        <v>1.5986501856491666</v>
      </c>
      <c r="C24" s="5">
        <f t="shared" si="4"/>
        <v>33455.045423440548</v>
      </c>
      <c r="D24" s="5">
        <f t="shared" si="5"/>
        <v>32437.307834304436</v>
      </c>
      <c r="E24" s="5">
        <f t="shared" si="6"/>
        <v>22937.307834304436</v>
      </c>
      <c r="F24" s="5">
        <f t="shared" si="7"/>
        <v>7790.7810079003984</v>
      </c>
      <c r="G24" s="5">
        <f t="shared" si="8"/>
        <v>24646.526826404039</v>
      </c>
      <c r="H24" s="22">
        <f t="shared" si="1"/>
        <v>14778.704432765782</v>
      </c>
      <c r="I24" s="5">
        <f t="shared" si="9"/>
        <v>38582.845106502173</v>
      </c>
      <c r="J24" s="26">
        <f t="shared" si="2"/>
        <v>0.15173503542820396</v>
      </c>
      <c r="L24" s="22">
        <f t="shared" si="3"/>
        <v>81436.19468354508</v>
      </c>
      <c r="M24" s="5">
        <f>scrimecost*Meta!O21</f>
        <v>1888.761</v>
      </c>
      <c r="N24" s="22"/>
    </row>
    <row r="25" spans="1:14" x14ac:dyDescent="0.2">
      <c r="A25" s="5">
        <v>34</v>
      </c>
      <c r="B25" s="1">
        <f t="shared" si="0"/>
        <v>1.6386164402903955</v>
      </c>
      <c r="C25" s="5">
        <f t="shared" si="4"/>
        <v>34291.421559026559</v>
      </c>
      <c r="D25" s="5">
        <f t="shared" si="5"/>
        <v>33226.010530162042</v>
      </c>
      <c r="E25" s="5">
        <f t="shared" si="6"/>
        <v>23726.010530162042</v>
      </c>
      <c r="F25" s="5">
        <f t="shared" si="7"/>
        <v>8048.2924380979066</v>
      </c>
      <c r="G25" s="5">
        <f t="shared" si="8"/>
        <v>25177.718092064137</v>
      </c>
      <c r="H25" s="22">
        <f t="shared" si="1"/>
        <v>15148.172043584924</v>
      </c>
      <c r="I25" s="5">
        <f t="shared" si="9"/>
        <v>39462.444329164719</v>
      </c>
      <c r="J25" s="26">
        <f t="shared" si="2"/>
        <v>0.15355762453383948</v>
      </c>
      <c r="L25" s="22">
        <f t="shared" si="3"/>
        <v>83472.099550633706</v>
      </c>
      <c r="M25" s="5">
        <f>scrimecost*Meta!O22</f>
        <v>1888.761</v>
      </c>
      <c r="N25" s="22"/>
    </row>
    <row r="26" spans="1:14" x14ac:dyDescent="0.2">
      <c r="A26" s="5">
        <v>35</v>
      </c>
      <c r="B26" s="1">
        <f t="shared" si="0"/>
        <v>1.6795818512976552</v>
      </c>
      <c r="C26" s="5">
        <f t="shared" si="4"/>
        <v>35148.707098002218</v>
      </c>
      <c r="D26" s="5">
        <f t="shared" si="5"/>
        <v>34034.43079341609</v>
      </c>
      <c r="E26" s="5">
        <f t="shared" si="6"/>
        <v>24534.43079341609</v>
      </c>
      <c r="F26" s="5">
        <f t="shared" si="7"/>
        <v>8312.2416540503527</v>
      </c>
      <c r="G26" s="5">
        <f t="shared" si="8"/>
        <v>25722.189139365735</v>
      </c>
      <c r="H26" s="22">
        <f t="shared" si="1"/>
        <v>15526.876344674547</v>
      </c>
      <c r="I26" s="5">
        <f t="shared" si="9"/>
        <v>40364.033532393834</v>
      </c>
      <c r="J26" s="26">
        <f t="shared" si="2"/>
        <v>0.1553357602466546</v>
      </c>
      <c r="L26" s="22">
        <f t="shared" si="3"/>
        <v>85558.902039399545</v>
      </c>
      <c r="M26" s="5">
        <f>scrimecost*Meta!O23</f>
        <v>1465.8209999999999</v>
      </c>
      <c r="N26" s="22"/>
    </row>
    <row r="27" spans="1:14" x14ac:dyDescent="0.2">
      <c r="A27" s="5">
        <v>36</v>
      </c>
      <c r="B27" s="1">
        <f t="shared" si="0"/>
        <v>1.7215713975800966</v>
      </c>
      <c r="C27" s="5">
        <f t="shared" si="4"/>
        <v>36027.424775452273</v>
      </c>
      <c r="D27" s="5">
        <f t="shared" si="5"/>
        <v>34863.061563251489</v>
      </c>
      <c r="E27" s="5">
        <f t="shared" si="6"/>
        <v>25363.061563251489</v>
      </c>
      <c r="F27" s="5">
        <f t="shared" si="7"/>
        <v>8582.7896004016111</v>
      </c>
      <c r="G27" s="5">
        <f t="shared" si="8"/>
        <v>26280.271962849878</v>
      </c>
      <c r="H27" s="22">
        <f t="shared" si="1"/>
        <v>15915.04825329141</v>
      </c>
      <c r="I27" s="5">
        <f t="shared" si="9"/>
        <v>41288.162465703674</v>
      </c>
      <c r="J27" s="26">
        <f t="shared" si="2"/>
        <v>0.1570705267957426</v>
      </c>
      <c r="L27" s="22">
        <f t="shared" si="3"/>
        <v>87697.874590384527</v>
      </c>
      <c r="M27" s="5">
        <f>scrimecost*Meta!O24</f>
        <v>1465.8209999999999</v>
      </c>
      <c r="N27" s="22"/>
    </row>
    <row r="28" spans="1:14" x14ac:dyDescent="0.2">
      <c r="A28" s="5">
        <v>37</v>
      </c>
      <c r="B28" s="1">
        <f t="shared" si="0"/>
        <v>1.7646106825195991</v>
      </c>
      <c r="C28" s="5">
        <f t="shared" si="4"/>
        <v>36928.110394838586</v>
      </c>
      <c r="D28" s="5">
        <f t="shared" si="5"/>
        <v>35712.408102332782</v>
      </c>
      <c r="E28" s="5">
        <f t="shared" si="6"/>
        <v>26212.408102332782</v>
      </c>
      <c r="F28" s="5">
        <f t="shared" si="7"/>
        <v>8860.1012454116535</v>
      </c>
      <c r="G28" s="5">
        <f t="shared" si="8"/>
        <v>26852.306856921128</v>
      </c>
      <c r="H28" s="22">
        <f t="shared" si="1"/>
        <v>16312.924459623695</v>
      </c>
      <c r="I28" s="5">
        <f t="shared" si="9"/>
        <v>42235.39462234627</v>
      </c>
      <c r="J28" s="26">
        <f t="shared" si="2"/>
        <v>0.15876298196558453</v>
      </c>
      <c r="L28" s="22">
        <f t="shared" si="3"/>
        <v>89890.321455144149</v>
      </c>
      <c r="M28" s="5">
        <f>scrimecost*Meta!O25</f>
        <v>1465.8209999999999</v>
      </c>
      <c r="N28" s="22"/>
    </row>
    <row r="29" spans="1:14" x14ac:dyDescent="0.2">
      <c r="A29" s="5">
        <v>38</v>
      </c>
      <c r="B29" s="1">
        <f t="shared" si="0"/>
        <v>1.8087259495825889</v>
      </c>
      <c r="C29" s="5">
        <f t="shared" si="4"/>
        <v>37851.31315470954</v>
      </c>
      <c r="D29" s="5">
        <f t="shared" si="5"/>
        <v>36582.988304891092</v>
      </c>
      <c r="E29" s="5">
        <f t="shared" si="6"/>
        <v>27082.988304891092</v>
      </c>
      <c r="F29" s="5">
        <f t="shared" si="7"/>
        <v>9144.3456815469417</v>
      </c>
      <c r="G29" s="5">
        <f t="shared" si="8"/>
        <v>27438.642623344153</v>
      </c>
      <c r="H29" s="22">
        <f t="shared" si="1"/>
        <v>16720.747571114287</v>
      </c>
      <c r="I29" s="5">
        <f t="shared" si="9"/>
        <v>43206.307582904927</v>
      </c>
      <c r="J29" s="26">
        <f t="shared" si="2"/>
        <v>0.16041415774104001</v>
      </c>
      <c r="L29" s="22">
        <f t="shared" si="3"/>
        <v>92137.579491522745</v>
      </c>
      <c r="M29" s="5">
        <f>scrimecost*Meta!O26</f>
        <v>1465.8209999999999</v>
      </c>
      <c r="N29" s="22"/>
    </row>
    <row r="30" spans="1:14" x14ac:dyDescent="0.2">
      <c r="A30" s="5">
        <v>39</v>
      </c>
      <c r="B30" s="1">
        <f t="shared" si="0"/>
        <v>1.8539440983221533</v>
      </c>
      <c r="C30" s="5">
        <f t="shared" si="4"/>
        <v>38797.595983577274</v>
      </c>
      <c r="D30" s="5">
        <f t="shared" si="5"/>
        <v>37475.333012513365</v>
      </c>
      <c r="E30" s="5">
        <f t="shared" si="6"/>
        <v>27975.333012513365</v>
      </c>
      <c r="F30" s="5">
        <f t="shared" si="7"/>
        <v>9435.6962285856134</v>
      </c>
      <c r="G30" s="5">
        <f t="shared" si="8"/>
        <v>28039.636783927752</v>
      </c>
      <c r="H30" s="22">
        <f t="shared" si="1"/>
        <v>17138.766260392142</v>
      </c>
      <c r="I30" s="5">
        <f t="shared" si="9"/>
        <v>44201.493367477538</v>
      </c>
      <c r="J30" s="26">
        <f t="shared" si="2"/>
        <v>0.1620250609366064</v>
      </c>
      <c r="L30" s="22">
        <f t="shared" si="3"/>
        <v>94441.018978810796</v>
      </c>
      <c r="M30" s="5">
        <f>scrimecost*Meta!O27</f>
        <v>1465.8209999999999</v>
      </c>
      <c r="N30" s="22"/>
    </row>
    <row r="31" spans="1:14" x14ac:dyDescent="0.2">
      <c r="A31" s="5">
        <v>40</v>
      </c>
      <c r="B31" s="1">
        <f t="shared" si="0"/>
        <v>1.9002927007802071</v>
      </c>
      <c r="C31" s="5">
        <f t="shared" si="4"/>
        <v>39767.535883166704</v>
      </c>
      <c r="D31" s="5">
        <f t="shared" si="5"/>
        <v>38389.986337826194</v>
      </c>
      <c r="E31" s="5">
        <f t="shared" si="6"/>
        <v>28889.986337826194</v>
      </c>
      <c r="F31" s="5">
        <f t="shared" si="7"/>
        <v>9734.330539300252</v>
      </c>
      <c r="G31" s="5">
        <f t="shared" si="8"/>
        <v>28655.655798525942</v>
      </c>
      <c r="H31" s="22">
        <f t="shared" si="1"/>
        <v>17567.235416901942</v>
      </c>
      <c r="I31" s="5">
        <f t="shared" si="9"/>
        <v>45221.558796664474</v>
      </c>
      <c r="J31" s="26">
        <f t="shared" si="2"/>
        <v>0.16359667381032963</v>
      </c>
      <c r="L31" s="22">
        <f t="shared" si="3"/>
        <v>96802.044453281051</v>
      </c>
      <c r="M31" s="5">
        <f>scrimecost*Meta!O28</f>
        <v>1282.1759999999999</v>
      </c>
      <c r="N31" s="22"/>
    </row>
    <row r="32" spans="1:14" x14ac:dyDescent="0.2">
      <c r="A32" s="5">
        <v>41</v>
      </c>
      <c r="B32" s="1">
        <f t="shared" si="0"/>
        <v>1.9478000182997122</v>
      </c>
      <c r="C32" s="5">
        <f t="shared" si="4"/>
        <v>40761.724280245871</v>
      </c>
      <c r="D32" s="5">
        <f t="shared" si="5"/>
        <v>39327.505996271851</v>
      </c>
      <c r="E32" s="5">
        <f t="shared" si="6"/>
        <v>29827.505996271851</v>
      </c>
      <c r="F32" s="5">
        <f t="shared" si="7"/>
        <v>10040.43070778276</v>
      </c>
      <c r="G32" s="5">
        <f t="shared" si="8"/>
        <v>29287.07528848909</v>
      </c>
      <c r="H32" s="22">
        <f t="shared" si="1"/>
        <v>18006.416302324491</v>
      </c>
      <c r="I32" s="5">
        <f t="shared" si="9"/>
        <v>46267.12586158108</v>
      </c>
      <c r="J32" s="26">
        <f t="shared" si="2"/>
        <v>0.16512995466274263</v>
      </c>
      <c r="L32" s="22">
        <f t="shared" si="3"/>
        <v>99222.095564613075</v>
      </c>
      <c r="M32" s="5">
        <f>scrimecost*Meta!O29</f>
        <v>1282.1759999999999</v>
      </c>
      <c r="N32" s="22"/>
    </row>
    <row r="33" spans="1:14" x14ac:dyDescent="0.2">
      <c r="A33" s="5">
        <v>42</v>
      </c>
      <c r="B33" s="1">
        <f t="shared" si="0"/>
        <v>1.9964950187572048</v>
      </c>
      <c r="C33" s="5">
        <f t="shared" si="4"/>
        <v>41780.767387252017</v>
      </c>
      <c r="D33" s="5">
        <f t="shared" si="5"/>
        <v>40288.46364617865</v>
      </c>
      <c r="E33" s="5">
        <f t="shared" si="6"/>
        <v>30788.46364617865</v>
      </c>
      <c r="F33" s="5">
        <f t="shared" si="7"/>
        <v>10354.183380477329</v>
      </c>
      <c r="G33" s="5">
        <f t="shared" si="8"/>
        <v>29934.280265701324</v>
      </c>
      <c r="H33" s="22">
        <f t="shared" si="1"/>
        <v>18456.5767098826</v>
      </c>
      <c r="I33" s="5">
        <f t="shared" si="9"/>
        <v>47338.832103120614</v>
      </c>
      <c r="J33" s="26">
        <f t="shared" si="2"/>
        <v>0.16662583842119436</v>
      </c>
      <c r="L33" s="22">
        <f t="shared" si="3"/>
        <v>101702.6479537284</v>
      </c>
      <c r="M33" s="5">
        <f>scrimecost*Meta!O30</f>
        <v>1282.1759999999999</v>
      </c>
      <c r="N33" s="22"/>
    </row>
    <row r="34" spans="1:14" x14ac:dyDescent="0.2">
      <c r="A34" s="5">
        <v>43</v>
      </c>
      <c r="B34" s="1">
        <f t="shared" si="0"/>
        <v>2.0464073942261352</v>
      </c>
      <c r="C34" s="5">
        <f t="shared" si="4"/>
        <v>42825.28657193332</v>
      </c>
      <c r="D34" s="5">
        <f t="shared" si="5"/>
        <v>41273.445237333115</v>
      </c>
      <c r="E34" s="5">
        <f t="shared" si="6"/>
        <v>31773.445237333115</v>
      </c>
      <c r="F34" s="5">
        <f t="shared" si="7"/>
        <v>10675.779869989263</v>
      </c>
      <c r="G34" s="5">
        <f t="shared" si="8"/>
        <v>30597.665367343852</v>
      </c>
      <c r="H34" s="22">
        <f t="shared" si="1"/>
        <v>18917.99112762967</v>
      </c>
      <c r="I34" s="5">
        <f t="shared" si="9"/>
        <v>48437.331000698628</v>
      </c>
      <c r="J34" s="26">
        <f t="shared" si="2"/>
        <v>0.16808523720992768</v>
      </c>
      <c r="L34" s="22">
        <f t="shared" si="3"/>
        <v>104245.21415257161</v>
      </c>
      <c r="M34" s="5">
        <f>scrimecost*Meta!O31</f>
        <v>1282.1759999999999</v>
      </c>
      <c r="N34" s="22"/>
    </row>
    <row r="35" spans="1:14" x14ac:dyDescent="0.2">
      <c r="A35" s="5">
        <v>44</v>
      </c>
      <c r="B35" s="1">
        <f t="shared" si="0"/>
        <v>2.097567579081788</v>
      </c>
      <c r="C35" s="5">
        <f t="shared" si="4"/>
        <v>43895.918736231644</v>
      </c>
      <c r="D35" s="5">
        <f t="shared" si="5"/>
        <v>42283.051368266439</v>
      </c>
      <c r="E35" s="5">
        <f t="shared" si="6"/>
        <v>32783.051368266439</v>
      </c>
      <c r="F35" s="5">
        <f t="shared" si="7"/>
        <v>11005.416271738992</v>
      </c>
      <c r="G35" s="5">
        <f t="shared" si="8"/>
        <v>31277.635096527447</v>
      </c>
      <c r="H35" s="22">
        <f t="shared" si="1"/>
        <v>19390.940905820407</v>
      </c>
      <c r="I35" s="5">
        <f t="shared" si="9"/>
        <v>49563.292370716095</v>
      </c>
      <c r="J35" s="26">
        <f t="shared" si="2"/>
        <v>0.16950904090625291</v>
      </c>
      <c r="L35" s="22">
        <f t="shared" si="3"/>
        <v>106851.34450638588</v>
      </c>
      <c r="M35" s="5">
        <f>scrimecost*Meta!O32</f>
        <v>1282.1759999999999</v>
      </c>
      <c r="N35" s="22"/>
    </row>
    <row r="36" spans="1:14" x14ac:dyDescent="0.2">
      <c r="A36" s="5">
        <v>45</v>
      </c>
      <c r="B36" s="1">
        <f t="shared" si="0"/>
        <v>2.1500067685588333</v>
      </c>
      <c r="C36" s="5">
        <f t="shared" si="4"/>
        <v>44993.316704637444</v>
      </c>
      <c r="D36" s="5">
        <f t="shared" si="5"/>
        <v>43317.897652473104</v>
      </c>
      <c r="E36" s="5">
        <f t="shared" si="6"/>
        <v>33817.897652473104</v>
      </c>
      <c r="F36" s="5">
        <f t="shared" si="7"/>
        <v>11343.293583532468</v>
      </c>
      <c r="G36" s="5">
        <f t="shared" si="8"/>
        <v>31974.604068940636</v>
      </c>
      <c r="H36" s="22">
        <f t="shared" si="1"/>
        <v>19875.714428465923</v>
      </c>
      <c r="I36" s="5">
        <f t="shared" si="9"/>
        <v>50717.402774984002</v>
      </c>
      <c r="J36" s="26">
        <f t="shared" si="2"/>
        <v>0.17089811768315552</v>
      </c>
      <c r="L36" s="22">
        <f t="shared" si="3"/>
        <v>109522.62811904556</v>
      </c>
      <c r="M36" s="5">
        <f>scrimecost*Meta!O33</f>
        <v>1036.203</v>
      </c>
      <c r="N36" s="22"/>
    </row>
    <row r="37" spans="1:14" x14ac:dyDescent="0.2">
      <c r="A37" s="5">
        <v>46</v>
      </c>
      <c r="B37" s="1">
        <f t="shared" ref="B37:B56" si="10">(1+experiencepremium)^(A37-startage)</f>
        <v>2.2037569377728037</v>
      </c>
      <c r="C37" s="5">
        <f t="shared" ref="C37:C56" si="11">pretaxincome*B37/expnorm</f>
        <v>46118.149622253368</v>
      </c>
      <c r="D37" s="5">
        <f t="shared" ref="D37:D56" si="12">IF(A37&lt;startage,1,0)*(C37*(1-initialunempprob))+IF(A37=startage,1,0)*(C37*(1-unempprob))+IF(A37&gt;startage,1,0)*(C37*(1-unempprob)+unempprob*300*52)</f>
        <v>44378.615093784923</v>
      </c>
      <c r="E37" s="5">
        <f t="shared" si="6"/>
        <v>34878.615093784923</v>
      </c>
      <c r="F37" s="5">
        <f t="shared" si="7"/>
        <v>11727.47933749927</v>
      </c>
      <c r="G37" s="5">
        <f t="shared" si="8"/>
        <v>32651.135756285654</v>
      </c>
      <c r="H37" s="22">
        <f t="shared" ref="H37:H56" si="13">benefits*B37/expnorm</f>
        <v>20372.607289177566</v>
      </c>
      <c r="I37" s="5">
        <f t="shared" ref="I37:I56" si="14">G37+IF(A37&lt;startage,1,0)*(H37*(1-initialunempprob))+IF(A37&gt;=startage,1,0)*(H37*(1-unempprob))</f>
        <v>51862.504429980094</v>
      </c>
      <c r="J37" s="26">
        <f t="shared" ref="J37:J56" si="15">(F37-(IF(A37&gt;startage,1,0)*(unempprob*300*52)))/(IF(A37&lt;startage,1,0)*((C37+H37)*(1-initialunempprob))+IF(A37&gt;=startage,1,0)*((C37+H37)*(1-unempprob)))</f>
        <v>0.1728571588146669</v>
      </c>
      <c r="L37" s="22">
        <f t="shared" ref="L37:L56" si="16">(sincome+sbenefits)*(1-sunemp)*B37/expnorm</f>
        <v>112260.69382202168</v>
      </c>
      <c r="M37" s="5">
        <f>scrimecost*Meta!O34</f>
        <v>1036.203</v>
      </c>
      <c r="N37" s="22"/>
    </row>
    <row r="38" spans="1:14" x14ac:dyDescent="0.2">
      <c r="A38" s="5">
        <v>47</v>
      </c>
      <c r="B38" s="1">
        <f t="shared" si="10"/>
        <v>2.2588508612171236</v>
      </c>
      <c r="C38" s="5">
        <f t="shared" si="11"/>
        <v>47271.103362809707</v>
      </c>
      <c r="D38" s="5">
        <f t="shared" si="12"/>
        <v>45465.850471129546</v>
      </c>
      <c r="E38" s="5">
        <f t="shared" si="6"/>
        <v>35965.850471129546</v>
      </c>
      <c r="F38" s="5">
        <f t="shared" si="7"/>
        <v>12191.185225936752</v>
      </c>
      <c r="G38" s="5">
        <f t="shared" si="8"/>
        <v>33274.665245192795</v>
      </c>
      <c r="H38" s="22">
        <f t="shared" si="13"/>
        <v>20881.922471407004</v>
      </c>
      <c r="I38" s="5">
        <f t="shared" si="14"/>
        <v>52966.318135729598</v>
      </c>
      <c r="J38" s="26">
        <f t="shared" si="15"/>
        <v>0.1758562873884417</v>
      </c>
      <c r="L38" s="22">
        <f t="shared" si="16"/>
        <v>115067.21116757221</v>
      </c>
      <c r="M38" s="5">
        <f>scrimecost*Meta!O35</f>
        <v>1036.203</v>
      </c>
      <c r="N38" s="22"/>
    </row>
    <row r="39" spans="1:14" x14ac:dyDescent="0.2">
      <c r="A39" s="5">
        <v>48</v>
      </c>
      <c r="B39" s="1">
        <f t="shared" si="10"/>
        <v>2.3153221327475517</v>
      </c>
      <c r="C39" s="5">
        <f t="shared" si="11"/>
        <v>48452.880946879945</v>
      </c>
      <c r="D39" s="5">
        <f t="shared" si="12"/>
        <v>46580.266732907781</v>
      </c>
      <c r="E39" s="5">
        <f t="shared" si="6"/>
        <v>37080.266732907781</v>
      </c>
      <c r="F39" s="5">
        <f t="shared" si="7"/>
        <v>12666.483761585168</v>
      </c>
      <c r="G39" s="5">
        <f t="shared" si="8"/>
        <v>33913.782971322609</v>
      </c>
      <c r="H39" s="22">
        <f t="shared" si="13"/>
        <v>21403.97053319218</v>
      </c>
      <c r="I39" s="5">
        <f t="shared" si="14"/>
        <v>54097.727184122836</v>
      </c>
      <c r="J39" s="26">
        <f t="shared" si="15"/>
        <v>0.1787822664848073</v>
      </c>
      <c r="L39" s="22">
        <f t="shared" si="16"/>
        <v>117943.89144676153</v>
      </c>
      <c r="M39" s="5">
        <f>scrimecost*Meta!O36</f>
        <v>1036.203</v>
      </c>
      <c r="N39" s="22"/>
    </row>
    <row r="40" spans="1:14" x14ac:dyDescent="0.2">
      <c r="A40" s="5">
        <v>49</v>
      </c>
      <c r="B40" s="1">
        <f t="shared" si="10"/>
        <v>2.3732051860662402</v>
      </c>
      <c r="C40" s="5">
        <f t="shared" si="11"/>
        <v>49664.202970551938</v>
      </c>
      <c r="D40" s="5">
        <f t="shared" si="12"/>
        <v>47722.543401230469</v>
      </c>
      <c r="E40" s="5">
        <f t="shared" si="6"/>
        <v>38222.543401230469</v>
      </c>
      <c r="F40" s="5">
        <f t="shared" si="7"/>
        <v>13153.664760624795</v>
      </c>
      <c r="G40" s="5">
        <f t="shared" si="8"/>
        <v>34568.878640605675</v>
      </c>
      <c r="H40" s="22">
        <f t="shared" si="13"/>
        <v>21939.069796521977</v>
      </c>
      <c r="I40" s="5">
        <f t="shared" si="14"/>
        <v>55257.421458725898</v>
      </c>
      <c r="J40" s="26">
        <f t="shared" si="15"/>
        <v>0.18163688023735916</v>
      </c>
      <c r="L40" s="22">
        <f t="shared" si="16"/>
        <v>120892.48873293053</v>
      </c>
      <c r="M40" s="5">
        <f>scrimecost*Meta!O37</f>
        <v>1036.203</v>
      </c>
      <c r="N40" s="22"/>
    </row>
    <row r="41" spans="1:14" x14ac:dyDescent="0.2">
      <c r="A41" s="5">
        <v>50</v>
      </c>
      <c r="B41" s="1">
        <f t="shared" si="10"/>
        <v>2.4325353157178964</v>
      </c>
      <c r="C41" s="5">
        <f t="shared" si="11"/>
        <v>50905.808044815742</v>
      </c>
      <c r="D41" s="5">
        <f t="shared" si="12"/>
        <v>48893.376986261239</v>
      </c>
      <c r="E41" s="5">
        <f t="shared" si="6"/>
        <v>39393.376986261239</v>
      </c>
      <c r="F41" s="5">
        <f t="shared" si="7"/>
        <v>13653.025284640418</v>
      </c>
      <c r="G41" s="5">
        <f t="shared" si="8"/>
        <v>35240.351701620821</v>
      </c>
      <c r="H41" s="22">
        <f t="shared" si="13"/>
        <v>22487.546541435029</v>
      </c>
      <c r="I41" s="5">
        <f t="shared" si="14"/>
        <v>56446.108090194051</v>
      </c>
      <c r="J41" s="26">
        <f t="shared" si="15"/>
        <v>0.18442186926423904</v>
      </c>
      <c r="L41" s="22">
        <f t="shared" si="16"/>
        <v>123914.80095125381</v>
      </c>
      <c r="M41" s="5">
        <f>scrimecost*Meta!O38</f>
        <v>692.28599999999994</v>
      </c>
      <c r="N41" s="22"/>
    </row>
    <row r="42" spans="1:14" x14ac:dyDescent="0.2">
      <c r="A42" s="5">
        <v>51</v>
      </c>
      <c r="B42" s="1">
        <f t="shared" si="10"/>
        <v>2.4933486986108435</v>
      </c>
      <c r="C42" s="5">
        <f t="shared" si="11"/>
        <v>52178.453245936122</v>
      </c>
      <c r="D42" s="5">
        <f t="shared" si="12"/>
        <v>50093.481410917761</v>
      </c>
      <c r="E42" s="5">
        <f t="shared" si="6"/>
        <v>40593.481410917761</v>
      </c>
      <c r="F42" s="5">
        <f t="shared" si="7"/>
        <v>14164.869821756423</v>
      </c>
      <c r="G42" s="5">
        <f t="shared" si="8"/>
        <v>35928.611589161337</v>
      </c>
      <c r="H42" s="22">
        <f t="shared" si="13"/>
        <v>23049.735204970904</v>
      </c>
      <c r="I42" s="5">
        <f t="shared" si="14"/>
        <v>57664.511887448898</v>
      </c>
      <c r="J42" s="26">
        <f t="shared" si="15"/>
        <v>0.18713893172948765</v>
      </c>
      <c r="L42" s="22">
        <f t="shared" si="16"/>
        <v>127012.67097503514</v>
      </c>
      <c r="M42" s="5">
        <f>scrimecost*Meta!O39</f>
        <v>692.28599999999994</v>
      </c>
      <c r="N42" s="22"/>
    </row>
    <row r="43" spans="1:14" x14ac:dyDescent="0.2">
      <c r="A43" s="5">
        <v>52</v>
      </c>
      <c r="B43" s="1">
        <f t="shared" si="10"/>
        <v>2.555682416076114</v>
      </c>
      <c r="C43" s="5">
        <f t="shared" si="11"/>
        <v>53482.914577084521</v>
      </c>
      <c r="D43" s="5">
        <f t="shared" si="12"/>
        <v>51323.588446190697</v>
      </c>
      <c r="E43" s="5">
        <f t="shared" si="6"/>
        <v>41823.588446190697</v>
      </c>
      <c r="F43" s="5">
        <f t="shared" si="7"/>
        <v>14689.510472300331</v>
      </c>
      <c r="G43" s="5">
        <f t="shared" si="8"/>
        <v>36634.077973890366</v>
      </c>
      <c r="H43" s="22">
        <f t="shared" si="13"/>
        <v>23625.97858509517</v>
      </c>
      <c r="I43" s="5">
        <f t="shared" si="14"/>
        <v>58913.375779635113</v>
      </c>
      <c r="J43" s="26">
        <f t="shared" si="15"/>
        <v>0.18978972437851069</v>
      </c>
      <c r="L43" s="22">
        <f t="shared" si="16"/>
        <v>130187.98774941098</v>
      </c>
      <c r="M43" s="5">
        <f>scrimecost*Meta!O40</f>
        <v>692.28599999999994</v>
      </c>
      <c r="N43" s="22"/>
    </row>
    <row r="44" spans="1:14" x14ac:dyDescent="0.2">
      <c r="A44" s="5">
        <v>53</v>
      </c>
      <c r="B44" s="1">
        <f t="shared" si="10"/>
        <v>2.6195744764780171</v>
      </c>
      <c r="C44" s="5">
        <f t="shared" si="11"/>
        <v>54819.987441511636</v>
      </c>
      <c r="D44" s="5">
        <f t="shared" si="12"/>
        <v>52584.448157345469</v>
      </c>
      <c r="E44" s="5">
        <f t="shared" si="6"/>
        <v>43084.448157345469</v>
      </c>
      <c r="F44" s="5">
        <f t="shared" si="7"/>
        <v>15227.267139107842</v>
      </c>
      <c r="G44" s="5">
        <f t="shared" si="8"/>
        <v>37357.181018237628</v>
      </c>
      <c r="H44" s="22">
        <f t="shared" si="13"/>
        <v>24216.628049722553</v>
      </c>
      <c r="I44" s="5">
        <f t="shared" si="14"/>
        <v>60193.461269125997</v>
      </c>
      <c r="J44" s="26">
        <f t="shared" si="15"/>
        <v>0.19237586354828931</v>
      </c>
      <c r="L44" s="22">
        <f t="shared" si="16"/>
        <v>133442.68744314628</v>
      </c>
      <c r="M44" s="5">
        <f>scrimecost*Meta!O41</f>
        <v>692.28599999999994</v>
      </c>
      <c r="N44" s="22"/>
    </row>
    <row r="45" spans="1:14" x14ac:dyDescent="0.2">
      <c r="A45" s="5">
        <v>54</v>
      </c>
      <c r="B45" s="1">
        <f t="shared" si="10"/>
        <v>2.6850638383899672</v>
      </c>
      <c r="C45" s="5">
        <f t="shared" si="11"/>
        <v>56190.487127549422</v>
      </c>
      <c r="D45" s="5">
        <f t="shared" si="12"/>
        <v>53876.829361279102</v>
      </c>
      <c r="E45" s="5">
        <f t="shared" si="6"/>
        <v>44376.829361279102</v>
      </c>
      <c r="F45" s="5">
        <f t="shared" si="7"/>
        <v>15778.467722585538</v>
      </c>
      <c r="G45" s="5">
        <f t="shared" si="8"/>
        <v>38098.361638693561</v>
      </c>
      <c r="H45" s="22">
        <f t="shared" si="13"/>
        <v>24822.043750965611</v>
      </c>
      <c r="I45" s="5">
        <f t="shared" si="14"/>
        <v>61505.548895854132</v>
      </c>
      <c r="J45" s="26">
        <f t="shared" si="15"/>
        <v>0.19489892615295135</v>
      </c>
      <c r="L45" s="22">
        <f t="shared" si="16"/>
        <v>136778.75462922492</v>
      </c>
      <c r="M45" s="5">
        <f>scrimecost*Meta!O42</f>
        <v>692.28599999999994</v>
      </c>
      <c r="N45" s="22"/>
    </row>
    <row r="46" spans="1:14" x14ac:dyDescent="0.2">
      <c r="A46" s="5">
        <v>55</v>
      </c>
      <c r="B46" s="1">
        <f t="shared" si="10"/>
        <v>2.7521904343497163</v>
      </c>
      <c r="C46" s="5">
        <f t="shared" si="11"/>
        <v>57595.249305738158</v>
      </c>
      <c r="D46" s="5">
        <f t="shared" si="12"/>
        <v>55201.520095311076</v>
      </c>
      <c r="E46" s="5">
        <f t="shared" si="6"/>
        <v>45701.520095311076</v>
      </c>
      <c r="F46" s="5">
        <f t="shared" si="7"/>
        <v>16343.448320650175</v>
      </c>
      <c r="G46" s="5">
        <f t="shared" si="8"/>
        <v>38858.071774660901</v>
      </c>
      <c r="H46" s="22">
        <f t="shared" si="13"/>
        <v>25442.594844739753</v>
      </c>
      <c r="I46" s="5">
        <f t="shared" si="14"/>
        <v>62850.438713250485</v>
      </c>
      <c r="J46" s="26">
        <f t="shared" si="15"/>
        <v>0.19736045064530461</v>
      </c>
      <c r="L46" s="22">
        <f t="shared" si="16"/>
        <v>140198.22349495554</v>
      </c>
      <c r="M46" s="5">
        <f>scrimecost*Meta!O43</f>
        <v>383.98499999999996</v>
      </c>
      <c r="N46" s="22"/>
    </row>
    <row r="47" spans="1:14" x14ac:dyDescent="0.2">
      <c r="A47" s="5">
        <v>56</v>
      </c>
      <c r="B47" s="1">
        <f t="shared" si="10"/>
        <v>2.8209951952084591</v>
      </c>
      <c r="C47" s="5">
        <f t="shared" si="11"/>
        <v>59035.130538381607</v>
      </c>
      <c r="D47" s="5">
        <f t="shared" si="12"/>
        <v>56559.328097693848</v>
      </c>
      <c r="E47" s="5">
        <f t="shared" si="6"/>
        <v>47059.328097693848</v>
      </c>
      <c r="F47" s="5">
        <f t="shared" si="7"/>
        <v>16922.553433666428</v>
      </c>
      <c r="G47" s="5">
        <f t="shared" si="8"/>
        <v>39636.77466402742</v>
      </c>
      <c r="H47" s="22">
        <f t="shared" si="13"/>
        <v>26078.659715858244</v>
      </c>
      <c r="I47" s="5">
        <f t="shared" si="14"/>
        <v>64228.950776081743</v>
      </c>
      <c r="J47" s="26">
        <f t="shared" si="15"/>
        <v>0.19976193795491745</v>
      </c>
      <c r="L47" s="22">
        <f t="shared" si="16"/>
        <v>143703.17908232941</v>
      </c>
      <c r="M47" s="5">
        <f>scrimecost*Meta!O44</f>
        <v>383.98499999999996</v>
      </c>
      <c r="N47" s="22"/>
    </row>
    <row r="48" spans="1:14" x14ac:dyDescent="0.2">
      <c r="A48" s="5">
        <v>57</v>
      </c>
      <c r="B48" s="1">
        <f t="shared" si="10"/>
        <v>2.8915200750886707</v>
      </c>
      <c r="C48" s="5">
        <f t="shared" si="11"/>
        <v>60511.008801841148</v>
      </c>
      <c r="D48" s="5">
        <f t="shared" si="12"/>
        <v>57951.081300136197</v>
      </c>
      <c r="E48" s="5">
        <f t="shared" si="6"/>
        <v>48451.081300136197</v>
      </c>
      <c r="F48" s="5">
        <f t="shared" si="7"/>
        <v>17516.13617450809</v>
      </c>
      <c r="G48" s="5">
        <f t="shared" si="8"/>
        <v>40434.945125628103</v>
      </c>
      <c r="H48" s="22">
        <f t="shared" si="13"/>
        <v>26730.626208754704</v>
      </c>
      <c r="I48" s="5">
        <f t="shared" si="14"/>
        <v>65641.925640483794</v>
      </c>
      <c r="J48" s="26">
        <f t="shared" si="15"/>
        <v>0.2021048524033203</v>
      </c>
      <c r="L48" s="22">
        <f t="shared" si="16"/>
        <v>147295.75855938764</v>
      </c>
      <c r="M48" s="5">
        <f>scrimecost*Meta!O45</f>
        <v>383.98499999999996</v>
      </c>
      <c r="N48" s="22"/>
    </row>
    <row r="49" spans="1:14" x14ac:dyDescent="0.2">
      <c r="A49" s="5">
        <v>58</v>
      </c>
      <c r="B49" s="1">
        <f t="shared" si="10"/>
        <v>2.9638080769658868</v>
      </c>
      <c r="C49" s="5">
        <f t="shared" si="11"/>
        <v>62023.784021887157</v>
      </c>
      <c r="D49" s="5">
        <f t="shared" si="12"/>
        <v>59377.628332639586</v>
      </c>
      <c r="E49" s="5">
        <f t="shared" si="6"/>
        <v>49877.628332639586</v>
      </c>
      <c r="F49" s="5">
        <f t="shared" si="7"/>
        <v>18124.558483870784</v>
      </c>
      <c r="G49" s="5">
        <f t="shared" si="8"/>
        <v>41253.069848768806</v>
      </c>
      <c r="H49" s="22">
        <f t="shared" si="13"/>
        <v>27398.891863973564</v>
      </c>
      <c r="I49" s="5">
        <f t="shared" si="14"/>
        <v>67090.224876495879</v>
      </c>
      <c r="J49" s="26">
        <f t="shared" si="15"/>
        <v>0.20439062259688401</v>
      </c>
      <c r="L49" s="22">
        <f t="shared" si="16"/>
        <v>150978.15252337232</v>
      </c>
      <c r="M49" s="5">
        <f>scrimecost*Meta!O46</f>
        <v>383.98499999999996</v>
      </c>
      <c r="N49" s="22"/>
    </row>
    <row r="50" spans="1:14" x14ac:dyDescent="0.2">
      <c r="A50" s="5">
        <v>59</v>
      </c>
      <c r="B50" s="1">
        <f t="shared" si="10"/>
        <v>3.0379032788900342</v>
      </c>
      <c r="C50" s="5">
        <f t="shared" si="11"/>
        <v>63574.378622434342</v>
      </c>
      <c r="D50" s="5">
        <f t="shared" si="12"/>
        <v>60839.83904095558</v>
      </c>
      <c r="E50" s="5">
        <f t="shared" si="6"/>
        <v>51339.83904095558</v>
      </c>
      <c r="F50" s="5">
        <f t="shared" si="7"/>
        <v>18748.191350967554</v>
      </c>
      <c r="G50" s="5">
        <f t="shared" si="8"/>
        <v>42091.647689988022</v>
      </c>
      <c r="H50" s="22">
        <f t="shared" si="13"/>
        <v>28083.864160572906</v>
      </c>
      <c r="I50" s="5">
        <f t="shared" si="14"/>
        <v>68574.731593408273</v>
      </c>
      <c r="J50" s="26">
        <f t="shared" si="15"/>
        <v>0.20662064229792179</v>
      </c>
      <c r="L50" s="22">
        <f t="shared" si="16"/>
        <v>154752.60633645664</v>
      </c>
      <c r="M50" s="5">
        <f>scrimecost*Meta!O47</f>
        <v>383.98499999999996</v>
      </c>
      <c r="N50" s="22"/>
    </row>
    <row r="51" spans="1:14" x14ac:dyDescent="0.2">
      <c r="A51" s="5">
        <v>60</v>
      </c>
      <c r="B51" s="1">
        <f t="shared" si="10"/>
        <v>3.1138508608622844</v>
      </c>
      <c r="C51" s="5">
        <f t="shared" si="11"/>
        <v>65163.738087995196</v>
      </c>
      <c r="D51" s="5">
        <f t="shared" si="12"/>
        <v>62338.605016979462</v>
      </c>
      <c r="E51" s="5">
        <f t="shared" si="6"/>
        <v>52838.605016979462</v>
      </c>
      <c r="F51" s="5">
        <f t="shared" si="7"/>
        <v>19387.41503974174</v>
      </c>
      <c r="G51" s="5">
        <f t="shared" si="8"/>
        <v>42951.189977237722</v>
      </c>
      <c r="H51" s="22">
        <f t="shared" si="13"/>
        <v>28785.96076458722</v>
      </c>
      <c r="I51" s="5">
        <f t="shared" si="14"/>
        <v>70096.35097824347</v>
      </c>
      <c r="J51" s="26">
        <f t="shared" si="15"/>
        <v>0.208796271274544</v>
      </c>
      <c r="L51" s="22">
        <f t="shared" si="16"/>
        <v>158621.421494868</v>
      </c>
      <c r="M51" s="5">
        <f>scrimecost*Meta!O48</f>
        <v>202.566</v>
      </c>
      <c r="N51" s="22"/>
    </row>
    <row r="52" spans="1:14" x14ac:dyDescent="0.2">
      <c r="A52" s="5">
        <v>61</v>
      </c>
      <c r="B52" s="1">
        <f t="shared" si="10"/>
        <v>3.1916971323838421</v>
      </c>
      <c r="C52" s="5">
        <f t="shared" si="11"/>
        <v>66792.831540195082</v>
      </c>
      <c r="D52" s="5">
        <f t="shared" si="12"/>
        <v>63874.840142403955</v>
      </c>
      <c r="E52" s="5">
        <f t="shared" si="6"/>
        <v>54374.840142403955</v>
      </c>
      <c r="F52" s="5">
        <f t="shared" si="7"/>
        <v>20042.619320735284</v>
      </c>
      <c r="G52" s="5">
        <f t="shared" si="8"/>
        <v>43832.22082166867</v>
      </c>
      <c r="H52" s="22">
        <f t="shared" si="13"/>
        <v>29505.609783701908</v>
      </c>
      <c r="I52" s="5">
        <f t="shared" si="14"/>
        <v>71656.010847699567</v>
      </c>
      <c r="J52" s="26">
        <f t="shared" si="15"/>
        <v>0.21091883612978521</v>
      </c>
      <c r="L52" s="22">
        <f t="shared" si="16"/>
        <v>162586.95703223976</v>
      </c>
      <c r="M52" s="5">
        <f>scrimecost*Meta!O49</f>
        <v>202.566</v>
      </c>
      <c r="N52" s="22"/>
    </row>
    <row r="53" spans="1:14" x14ac:dyDescent="0.2">
      <c r="A53" s="5">
        <v>62</v>
      </c>
      <c r="B53" s="1">
        <f t="shared" si="10"/>
        <v>3.2714895606934378</v>
      </c>
      <c r="C53" s="5">
        <f t="shared" si="11"/>
        <v>68462.652328699958</v>
      </c>
      <c r="D53" s="5">
        <f t="shared" si="12"/>
        <v>65449.481145964055</v>
      </c>
      <c r="E53" s="5">
        <f t="shared" si="6"/>
        <v>55949.481145964055</v>
      </c>
      <c r="F53" s="5">
        <f t="shared" si="7"/>
        <v>20714.20370875367</v>
      </c>
      <c r="G53" s="5">
        <f t="shared" si="8"/>
        <v>44735.277437210389</v>
      </c>
      <c r="H53" s="22">
        <f t="shared" si="13"/>
        <v>30243.250028294453</v>
      </c>
      <c r="I53" s="5">
        <f t="shared" si="14"/>
        <v>73254.662213892065</v>
      </c>
      <c r="J53" s="26">
        <f t="shared" si="15"/>
        <v>0.21298963111050837</v>
      </c>
      <c r="L53" s="22">
        <f t="shared" si="16"/>
        <v>166651.63095804572</v>
      </c>
      <c r="M53" s="5">
        <f>scrimecost*Meta!O50</f>
        <v>202.566</v>
      </c>
      <c r="N53" s="22"/>
    </row>
    <row r="54" spans="1:14" x14ac:dyDescent="0.2">
      <c r="A54" s="5">
        <v>63</v>
      </c>
      <c r="B54" s="1">
        <f t="shared" si="10"/>
        <v>3.3532767997107733</v>
      </c>
      <c r="C54" s="5">
        <f t="shared" si="11"/>
        <v>70174.218636917431</v>
      </c>
      <c r="D54" s="5">
        <f t="shared" si="12"/>
        <v>67063.488174613129</v>
      </c>
      <c r="E54" s="5">
        <f t="shared" si="6"/>
        <v>57563.488174613129</v>
      </c>
      <c r="F54" s="5">
        <f t="shared" si="7"/>
        <v>21402.577706472497</v>
      </c>
      <c r="G54" s="5">
        <f t="shared" si="8"/>
        <v>45660.910468140632</v>
      </c>
      <c r="H54" s="22">
        <f t="shared" si="13"/>
        <v>30999.33127900181</v>
      </c>
      <c r="I54" s="5">
        <f t="shared" si="14"/>
        <v>74893.279864239332</v>
      </c>
      <c r="J54" s="26">
        <f t="shared" si="15"/>
        <v>0.21500991889657964</v>
      </c>
      <c r="L54" s="22">
        <f t="shared" si="16"/>
        <v>170817.92173199684</v>
      </c>
      <c r="M54" s="5">
        <f>scrimecost*Meta!O51</f>
        <v>202.566</v>
      </c>
      <c r="N54" s="22"/>
    </row>
    <row r="55" spans="1:14" x14ac:dyDescent="0.2">
      <c r="A55" s="5">
        <v>64</v>
      </c>
      <c r="B55" s="1">
        <f t="shared" si="10"/>
        <v>3.4371087197035428</v>
      </c>
      <c r="C55" s="5">
        <f t="shared" si="11"/>
        <v>71928.574102840386</v>
      </c>
      <c r="D55" s="5">
        <f t="shared" si="12"/>
        <v>68717.845378978483</v>
      </c>
      <c r="E55" s="5">
        <f t="shared" si="6"/>
        <v>59217.845378978483</v>
      </c>
      <c r="F55" s="5">
        <f t="shared" si="7"/>
        <v>22108.161054134325</v>
      </c>
      <c r="G55" s="5">
        <f t="shared" si="8"/>
        <v>46609.684324844158</v>
      </c>
      <c r="H55" s="22">
        <f t="shared" si="13"/>
        <v>31774.314560976858</v>
      </c>
      <c r="I55" s="5">
        <f t="shared" si="14"/>
        <v>76572.862955845339</v>
      </c>
      <c r="J55" s="26">
        <f t="shared" si="15"/>
        <v>0.21698093137079569</v>
      </c>
      <c r="L55" s="22">
        <f t="shared" si="16"/>
        <v>175088.36977529677</v>
      </c>
      <c r="M55" s="5">
        <f>scrimecost*Meta!O52</f>
        <v>202.566</v>
      </c>
      <c r="N55" s="22"/>
    </row>
    <row r="56" spans="1:14" x14ac:dyDescent="0.2">
      <c r="A56" s="5">
        <v>65</v>
      </c>
      <c r="B56" s="1">
        <f t="shared" si="10"/>
        <v>3.5230364376961316</v>
      </c>
      <c r="C56" s="5">
        <f t="shared" si="11"/>
        <v>73726.788455411399</v>
      </c>
      <c r="D56" s="5">
        <f t="shared" si="12"/>
        <v>70413.561513452936</v>
      </c>
      <c r="E56" s="5">
        <f t="shared" si="6"/>
        <v>60913.561513452936</v>
      </c>
      <c r="F56" s="5">
        <f t="shared" si="7"/>
        <v>22831.383985487679</v>
      </c>
      <c r="G56" s="5">
        <f t="shared" si="8"/>
        <v>47582.177527965257</v>
      </c>
      <c r="H56" s="22">
        <f t="shared" si="13"/>
        <v>32568.672425001281</v>
      </c>
      <c r="I56" s="5">
        <f t="shared" si="14"/>
        <v>78294.435624741469</v>
      </c>
      <c r="J56" s="26">
        <f t="shared" si="15"/>
        <v>0.2189038703700307</v>
      </c>
      <c r="L56" s="22">
        <f t="shared" si="16"/>
        <v>179465.57901967919</v>
      </c>
      <c r="M56" s="5">
        <f>scrimecost*Meta!O53</f>
        <v>61.215000000000003</v>
      </c>
      <c r="N56" s="22"/>
    </row>
    <row r="57" spans="1:14" x14ac:dyDescent="0.2">
      <c r="A57" s="5">
        <v>66</v>
      </c>
      <c r="C57" s="5"/>
      <c r="H57" s="21"/>
      <c r="I57" s="5"/>
      <c r="M57" s="5">
        <f>scrimecost*Meta!O54</f>
        <v>61.215000000000003</v>
      </c>
      <c r="N57" s="5"/>
    </row>
    <row r="58" spans="1:14" x14ac:dyDescent="0.2">
      <c r="A58" s="5">
        <v>67</v>
      </c>
      <c r="C58" s="5"/>
      <c r="H58" s="21"/>
      <c r="I58" s="5"/>
      <c r="M58" s="5">
        <f>scrimecost*Meta!O55</f>
        <v>61.215000000000003</v>
      </c>
      <c r="N58" s="5"/>
    </row>
    <row r="59" spans="1:14" x14ac:dyDescent="0.2">
      <c r="A59" s="5">
        <v>68</v>
      </c>
      <c r="H59" s="21"/>
      <c r="I59" s="5"/>
      <c r="M59" s="5">
        <f>scrimecost*Meta!O56</f>
        <v>61.215000000000003</v>
      </c>
      <c r="N59" s="5"/>
    </row>
    <row r="60" spans="1:14" x14ac:dyDescent="0.2">
      <c r="A60" s="5">
        <v>69</v>
      </c>
      <c r="H60" s="21"/>
      <c r="I60" s="5"/>
      <c r="M60" s="5">
        <f>scrimecost*Meta!O57</f>
        <v>61.215000000000003</v>
      </c>
      <c r="N60" s="5"/>
    </row>
    <row r="61" spans="1:14" x14ac:dyDescent="0.2">
      <c r="A61" s="5">
        <v>70</v>
      </c>
      <c r="H61" s="21"/>
      <c r="I61" s="5"/>
      <c r="M61" s="5">
        <f>scrimecost*Meta!O58</f>
        <v>61.215000000000003</v>
      </c>
      <c r="N61" s="5"/>
    </row>
    <row r="62" spans="1:14" x14ac:dyDescent="0.2">
      <c r="A62" s="5">
        <v>71</v>
      </c>
      <c r="H62" s="21"/>
      <c r="I62" s="5"/>
      <c r="M62" s="5">
        <f>scrimecost*Meta!O59</f>
        <v>61.215000000000003</v>
      </c>
      <c r="N62" s="5"/>
    </row>
    <row r="63" spans="1:14" x14ac:dyDescent="0.2">
      <c r="A63" s="5">
        <v>72</v>
      </c>
      <c r="H63" s="21"/>
      <c r="M63" s="5">
        <f>scrimecost*Meta!O60</f>
        <v>61.215000000000003</v>
      </c>
      <c r="N63" s="5"/>
    </row>
    <row r="64" spans="1:14" x14ac:dyDescent="0.2">
      <c r="A64" s="5">
        <v>73</v>
      </c>
      <c r="H64" s="21"/>
      <c r="M64" s="5">
        <f>scrimecost*Meta!O61</f>
        <v>61.215000000000003</v>
      </c>
      <c r="N64" s="5"/>
    </row>
    <row r="65" spans="1:14" x14ac:dyDescent="0.2">
      <c r="A65" s="5">
        <v>74</v>
      </c>
      <c r="H65" s="21"/>
      <c r="M65" s="5">
        <f>scrimecost*Meta!O62</f>
        <v>61.215000000000003</v>
      </c>
      <c r="N65" s="5"/>
    </row>
    <row r="66" spans="1:14" x14ac:dyDescent="0.2">
      <c r="A66" s="5">
        <v>75</v>
      </c>
      <c r="H66" s="21"/>
      <c r="M66" s="5">
        <f>scrimecost*Meta!O63</f>
        <v>61.215000000000003</v>
      </c>
      <c r="N66" s="5"/>
    </row>
    <row r="67" spans="1:14" x14ac:dyDescent="0.2">
      <c r="A67" s="5">
        <v>76</v>
      </c>
      <c r="H67" s="21"/>
      <c r="M67" s="5">
        <f>scrimecost*Meta!O64</f>
        <v>61.215000000000003</v>
      </c>
      <c r="N67" s="5"/>
    </row>
    <row r="68" spans="1:14" x14ac:dyDescent="0.2">
      <c r="A68" s="5">
        <v>77</v>
      </c>
      <c r="H68" s="21"/>
      <c r="M68" s="5">
        <f>scrimecost*Meta!O65</f>
        <v>61.215000000000003</v>
      </c>
      <c r="N68" s="5"/>
    </row>
    <row r="69" spans="1:14" x14ac:dyDescent="0.2">
      <c r="A69" s="5">
        <v>78</v>
      </c>
      <c r="H69" s="21"/>
      <c r="M69" s="5">
        <f>scrimecost*Meta!O66</f>
        <v>61.215000000000003</v>
      </c>
      <c r="N69" s="5"/>
    </row>
    <row r="70" spans="1:14" x14ac:dyDescent="0.2">
      <c r="A70" s="5">
        <v>79</v>
      </c>
      <c r="H70" s="21"/>
      <c r="M70" s="5"/>
    </row>
    <row r="71" spans="1:14" x14ac:dyDescent="0.2">
      <c r="A71" s="5">
        <v>80</v>
      </c>
      <c r="H71" s="21"/>
      <c r="M71" s="5"/>
    </row>
    <row r="72" spans="1:14" x14ac:dyDescent="0.2">
      <c r="A72" s="5">
        <v>81</v>
      </c>
      <c r="H72" s="21"/>
      <c r="M72" s="5"/>
    </row>
    <row r="73" spans="1:14" x14ac:dyDescent="0.2">
      <c r="A73" s="5">
        <v>82</v>
      </c>
      <c r="H73" s="21"/>
      <c r="M73" s="5"/>
    </row>
    <row r="74" spans="1:14" x14ac:dyDescent="0.2">
      <c r="A74" s="5">
        <v>83</v>
      </c>
      <c r="H74" s="21"/>
      <c r="M74" s="5"/>
    </row>
    <row r="75" spans="1:14" x14ac:dyDescent="0.2">
      <c r="A75" s="5">
        <v>84</v>
      </c>
      <c r="H75" s="21"/>
      <c r="M75" s="5"/>
    </row>
    <row r="76" spans="1:14" x14ac:dyDescent="0.2">
      <c r="A76" s="5">
        <v>85</v>
      </c>
      <c r="H76" s="21"/>
    </row>
    <row r="77" spans="1:14" x14ac:dyDescent="0.2">
      <c r="A77" s="5">
        <v>86</v>
      </c>
      <c r="H77" s="21"/>
    </row>
    <row r="78" spans="1:14" x14ac:dyDescent="0.2">
      <c r="A78" s="5">
        <v>87</v>
      </c>
      <c r="H78" s="21"/>
    </row>
    <row r="79" spans="1:14" x14ac:dyDescent="0.2">
      <c r="A79" s="5">
        <v>88</v>
      </c>
      <c r="H79" s="21"/>
    </row>
    <row r="80" spans="1:14" x14ac:dyDescent="0.2">
      <c r="A80" s="5">
        <v>89</v>
      </c>
      <c r="H80" s="21"/>
    </row>
    <row r="81" spans="1:8" x14ac:dyDescent="0.2">
      <c r="A81" s="5">
        <v>90</v>
      </c>
      <c r="H81" s="2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A5" sqref="A5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Meta!A3+6</f>
        <v>15</v>
      </c>
      <c r="C2" s="7">
        <f>Meta!B3</f>
        <v>43791</v>
      </c>
      <c r="D2" s="7">
        <f>Meta!C3</f>
        <v>19345</v>
      </c>
      <c r="E2" s="1">
        <f>Meta!D3</f>
        <v>5.3999999999999999E-2</v>
      </c>
      <c r="F2" s="1">
        <f>Meta!F3</f>
        <v>0.61799999999999999</v>
      </c>
      <c r="G2" s="1">
        <f>Meta!I3</f>
        <v>1.978852107996969</v>
      </c>
      <c r="H2" s="1">
        <f>Meta!E3</f>
        <v>0.98599999999999999</v>
      </c>
      <c r="I2" s="13"/>
      <c r="J2" s="1">
        <f>Meta!X2</f>
        <v>0.72799999999999998</v>
      </c>
      <c r="K2" s="1">
        <f>Meta!D2</f>
        <v>5.7000000000000002E-2</v>
      </c>
      <c r="L2" s="29"/>
      <c r="N2" s="22">
        <f>Meta!T3</f>
        <v>75969</v>
      </c>
      <c r="O2" s="22">
        <f>Meta!U3</f>
        <v>31720</v>
      </c>
      <c r="P2" s="1">
        <f>Meta!V3</f>
        <v>3.1E-2</v>
      </c>
      <c r="Q2" s="1">
        <f>Meta!X3</f>
        <v>0.73599999999999999</v>
      </c>
      <c r="R2" s="22">
        <f>Meta!W3</f>
        <v>1090</v>
      </c>
      <c r="T2" s="12">
        <f>IRR(S5:S69)+1</f>
        <v>0.99547422155785914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B5" s="1">
        <v>1</v>
      </c>
      <c r="C5" s="5">
        <f>0.1*Grade8!C5</f>
        <v>2092.705816679676</v>
      </c>
      <c r="D5" s="5">
        <f>IF(A5&lt;startage,1,0)*(C5*(1-initialunempprob))+IF(A5=startage,1,0)*(C5*(1-unempprob))+IF(A5&gt;startage,1,0)*(C5*(1-unempprob)+unempprob*300*52)</f>
        <v>1973.4215851289343</v>
      </c>
      <c r="E5" s="5">
        <f>IF(D5-9500&gt;0,1,0)*(D5-9500)</f>
        <v>0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150.96675126236349</v>
      </c>
      <c r="G5" s="5">
        <f>D5-F5</f>
        <v>1822.4548338665709</v>
      </c>
      <c r="H5" s="22">
        <f>0.1*Grade8!H5</f>
        <v>924.44892356263472</v>
      </c>
      <c r="I5" s="5">
        <f>G5+IF(A5&lt;startage,1,0)*(H5*(1-initialunempprob))+IF(A5&gt;=startage,1,0)*(H5*(1-unempprob))</f>
        <v>2694.2101687861355</v>
      </c>
      <c r="J5" s="26">
        <f t="shared" ref="J5:J36" si="0">(F5-(IF(A5&gt;startage,1,0)*(unempprob*300*52)))/(IF(A5&lt;startage,1,0)*((C5+H5)*(1-initialunempprob))+IF(A5&gt;=startage,1,0)*((C5+H5)*(1-unempprob)))</f>
        <v>5.3060584808831544E-2</v>
      </c>
      <c r="L5" s="22">
        <f>0.1*Grade8!L5</f>
        <v>5094.0596895171384</v>
      </c>
      <c r="M5" s="5"/>
      <c r="N5" s="5">
        <f>L5-Grade8!L5</f>
        <v>-45846.53720565424</v>
      </c>
      <c r="O5" s="5"/>
      <c r="P5" s="22"/>
      <c r="Q5" s="22">
        <f>0.05*feel*Grade8!G5</f>
        <v>225.27392126180726</v>
      </c>
      <c r="R5" s="22">
        <f>hstuition</f>
        <v>11298</v>
      </c>
      <c r="S5" s="22">
        <f t="shared" ref="S5:S36" si="1">IF(A5&lt;startage,1,0)*(N5-Q5-R5)+IF(A5&gt;=startage,1,0)*completionprob*(N5*spart+O5+P5)</f>
        <v>-57369.811126916051</v>
      </c>
      <c r="T5" s="22">
        <f t="shared" ref="T5:T36" si="2">S5/sreturn^(A5-startage+1)</f>
        <v>-57369.811126916051</v>
      </c>
    </row>
    <row r="6" spans="1:20" x14ac:dyDescent="0.2">
      <c r="A6" s="5">
        <v>15</v>
      </c>
      <c r="B6" s="1">
        <f t="shared" ref="B6:B36" si="3">(1+experiencepremium)^(A6-startage)</f>
        <v>1</v>
      </c>
      <c r="C6" s="5">
        <f t="shared" ref="C6:C36" si="4">pretaxincome*B6/expnorm</f>
        <v>22129.496096767973</v>
      </c>
      <c r="D6" s="5">
        <f t="shared" ref="D6:D36" si="5">IF(A6&lt;startage,1,0)*(C6*(1-initialunempprob))+IF(A6=startage,1,0)*(C6*(1-unempprob))+IF(A6&gt;startage,1,0)*(C6*(1-unempprob)+unempprob*300*52)</f>
        <v>20934.503307542502</v>
      </c>
      <c r="E6" s="5">
        <f t="shared" ref="E6:E56" si="6">IF(D6-9500&gt;0,1,0)*(D6-9500)</f>
        <v>11434.503307542502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4035.1153299126267</v>
      </c>
      <c r="G6" s="5">
        <f t="shared" ref="G6:G56" si="8">D6-F6</f>
        <v>16899.387977629875</v>
      </c>
      <c r="H6" s="22">
        <f t="shared" ref="H6:H36" si="9">benefits*B6/expnorm</f>
        <v>9775.8695163841076</v>
      </c>
      <c r="I6" s="5">
        <f t="shared" ref="I6:I36" si="10">G6+IF(A6&lt;startage,1,0)*(H6*(1-initialunempprob))+IF(A6&gt;=startage,1,0)*(H6*(1-unempprob))</f>
        <v>26147.360540129241</v>
      </c>
      <c r="J6" s="26">
        <f t="shared" si="0"/>
        <v>0.13369066697135173</v>
      </c>
      <c r="L6" s="22">
        <f t="shared" ref="L6:L36" si="11">(sincome+sbenefits)*(1-sunemp)*B6/expnorm</f>
        <v>52732.91550101016</v>
      </c>
      <c r="M6" s="5">
        <f>scrimecost*Meta!O3</f>
        <v>2023.0400000000002</v>
      </c>
      <c r="N6" s="5">
        <f>L6-Grade8!L6</f>
        <v>518.80368345949682</v>
      </c>
      <c r="O6" s="5">
        <f>Grade8!M6-M6</f>
        <v>42.687999999999874</v>
      </c>
      <c r="P6" s="22">
        <f t="shared" ref="P6:P37" si="12">(spart-initialspart)*(L6*J6+nptrans)</f>
        <v>108.83118915739193</v>
      </c>
      <c r="S6" s="22">
        <f t="shared" si="1"/>
        <v>525.89167838101139</v>
      </c>
      <c r="T6" s="22">
        <f t="shared" si="2"/>
        <v>528.28256823970946</v>
      </c>
    </row>
    <row r="7" spans="1:20" x14ac:dyDescent="0.2">
      <c r="A7" s="5">
        <v>16</v>
      </c>
      <c r="B7" s="1">
        <f t="shared" si="3"/>
        <v>1.0249999999999999</v>
      </c>
      <c r="C7" s="5">
        <f t="shared" si="4"/>
        <v>22682.733499187168</v>
      </c>
      <c r="D7" s="5">
        <f t="shared" si="5"/>
        <v>22300.265890231061</v>
      </c>
      <c r="E7" s="5">
        <f t="shared" si="6"/>
        <v>12800.265890231061</v>
      </c>
      <c r="F7" s="5">
        <f t="shared" si="7"/>
        <v>4481.0368131604409</v>
      </c>
      <c r="G7" s="5">
        <f t="shared" si="8"/>
        <v>17819.22907707062</v>
      </c>
      <c r="H7" s="22">
        <f t="shared" si="9"/>
        <v>10020.266254293711</v>
      </c>
      <c r="I7" s="5">
        <f t="shared" si="10"/>
        <v>27298.40095363247</v>
      </c>
      <c r="J7" s="26">
        <f t="shared" si="0"/>
        <v>0.1176142603111817</v>
      </c>
      <c r="L7" s="22">
        <f t="shared" si="11"/>
        <v>54051.238388535414</v>
      </c>
      <c r="M7" s="5">
        <f>scrimecost*Meta!O4</f>
        <v>2559.3199999999997</v>
      </c>
      <c r="N7" s="5">
        <f>L7-Grade8!L7</f>
        <v>531.77377554598206</v>
      </c>
      <c r="O7" s="5">
        <f>Grade8!M7-M7</f>
        <v>54.00400000000036</v>
      </c>
      <c r="P7" s="22">
        <f t="shared" si="12"/>
        <v>103.28957137576762</v>
      </c>
      <c r="S7" s="22">
        <f t="shared" si="1"/>
        <v>540.99756319512426</v>
      </c>
      <c r="T7" s="22">
        <f t="shared" si="2"/>
        <v>545.92787838014374</v>
      </c>
    </row>
    <row r="8" spans="1:20" x14ac:dyDescent="0.2">
      <c r="A8" s="5">
        <v>17</v>
      </c>
      <c r="B8" s="1">
        <f t="shared" si="3"/>
        <v>1.0506249999999999</v>
      </c>
      <c r="C8" s="5">
        <f t="shared" si="4"/>
        <v>23249.801836666851</v>
      </c>
      <c r="D8" s="5">
        <f t="shared" si="5"/>
        <v>22836.712537486841</v>
      </c>
      <c r="E8" s="5">
        <f t="shared" si="6"/>
        <v>13336.712537486841</v>
      </c>
      <c r="F8" s="5">
        <f t="shared" si="7"/>
        <v>4656.1866434894537</v>
      </c>
      <c r="G8" s="5">
        <f t="shared" si="8"/>
        <v>18180.525893997386</v>
      </c>
      <c r="H8" s="22">
        <f t="shared" si="9"/>
        <v>10270.772910651051</v>
      </c>
      <c r="I8" s="5">
        <f t="shared" si="10"/>
        <v>27896.67706747328</v>
      </c>
      <c r="J8" s="26">
        <f t="shared" si="0"/>
        <v>0.12026902785943734</v>
      </c>
      <c r="L8" s="22">
        <f t="shared" si="11"/>
        <v>55402.519348248796</v>
      </c>
      <c r="M8" s="5">
        <f>scrimecost*Meta!O5</f>
        <v>2956.0800000000004</v>
      </c>
      <c r="N8" s="5">
        <f>L8-Grade8!L8</f>
        <v>545.06811993462907</v>
      </c>
      <c r="O8" s="5">
        <f>Grade8!M8-M8</f>
        <v>62.375999999999749</v>
      </c>
      <c r="P8" s="22">
        <f t="shared" si="12"/>
        <v>105.73765714382048</v>
      </c>
      <c r="S8" s="22">
        <f t="shared" si="1"/>
        <v>561.31382030788734</v>
      </c>
      <c r="T8" s="22">
        <f t="shared" si="2"/>
        <v>569.00447339875018</v>
      </c>
    </row>
    <row r="9" spans="1:20" x14ac:dyDescent="0.2">
      <c r="A9" s="5">
        <v>18</v>
      </c>
      <c r="B9" s="1">
        <f t="shared" si="3"/>
        <v>1.0768906249999999</v>
      </c>
      <c r="C9" s="5">
        <f t="shared" si="4"/>
        <v>23831.04688258352</v>
      </c>
      <c r="D9" s="5">
        <f t="shared" si="5"/>
        <v>23386.570350924008</v>
      </c>
      <c r="E9" s="5">
        <f t="shared" si="6"/>
        <v>13886.570350924008</v>
      </c>
      <c r="F9" s="5">
        <f t="shared" si="7"/>
        <v>4835.7152195766885</v>
      </c>
      <c r="G9" s="5">
        <f t="shared" si="8"/>
        <v>18550.855131347322</v>
      </c>
      <c r="H9" s="22">
        <f t="shared" si="9"/>
        <v>10527.542233417327</v>
      </c>
      <c r="I9" s="5">
        <f t="shared" si="10"/>
        <v>28509.91008416011</v>
      </c>
      <c r="J9" s="26">
        <f t="shared" si="0"/>
        <v>0.12285904497968664</v>
      </c>
      <c r="L9" s="22">
        <f t="shared" si="11"/>
        <v>56787.582331955018</v>
      </c>
      <c r="M9" s="5">
        <f>scrimecost*Meta!O6</f>
        <v>3592.64</v>
      </c>
      <c r="N9" s="5">
        <f>L9-Grade8!L9</f>
        <v>558.69482293300825</v>
      </c>
      <c r="O9" s="5">
        <f>Grade8!M9-M9</f>
        <v>75.807999999999993</v>
      </c>
      <c r="P9" s="22">
        <f t="shared" si="12"/>
        <v>108.24694505607465</v>
      </c>
      <c r="S9" s="22">
        <f t="shared" si="1"/>
        <v>586.92077404848192</v>
      </c>
      <c r="T9" s="22">
        <f t="shared" si="2"/>
        <v>597.66718147506867</v>
      </c>
    </row>
    <row r="10" spans="1:20" x14ac:dyDescent="0.2">
      <c r="A10" s="5">
        <v>19</v>
      </c>
      <c r="B10" s="1">
        <f t="shared" si="3"/>
        <v>1.1038128906249998</v>
      </c>
      <c r="C10" s="5">
        <f t="shared" si="4"/>
        <v>24426.823054648106</v>
      </c>
      <c r="D10" s="5">
        <f t="shared" si="5"/>
        <v>23950.174609697107</v>
      </c>
      <c r="E10" s="5">
        <f t="shared" si="6"/>
        <v>14450.174609697107</v>
      </c>
      <c r="F10" s="5">
        <f t="shared" si="7"/>
        <v>5019.7320100661054</v>
      </c>
      <c r="G10" s="5">
        <f t="shared" si="8"/>
        <v>18930.442599631002</v>
      </c>
      <c r="H10" s="22">
        <f t="shared" si="9"/>
        <v>10790.730789252761</v>
      </c>
      <c r="I10" s="5">
        <f t="shared" si="10"/>
        <v>29138.473926264112</v>
      </c>
      <c r="J10" s="26">
        <f t="shared" si="0"/>
        <v>0.12538589095066163</v>
      </c>
      <c r="L10" s="22">
        <f t="shared" si="11"/>
        <v>58207.271890253884</v>
      </c>
      <c r="M10" s="5">
        <f>scrimecost*Meta!O7</f>
        <v>3840.07</v>
      </c>
      <c r="N10" s="5">
        <f>L10-Grade8!L10</f>
        <v>572.66219350632309</v>
      </c>
      <c r="O10" s="5">
        <f>Grade8!M10-M10</f>
        <v>81.028999999999996</v>
      </c>
      <c r="P10" s="22">
        <f t="shared" si="12"/>
        <v>110.81896516613517</v>
      </c>
      <c r="S10" s="22">
        <f t="shared" si="1"/>
        <v>604.74075683257388</v>
      </c>
      <c r="T10" s="22">
        <f t="shared" si="2"/>
        <v>618.61315080699285</v>
      </c>
    </row>
    <row r="11" spans="1:20" x14ac:dyDescent="0.2">
      <c r="A11" s="5">
        <v>20</v>
      </c>
      <c r="B11" s="1">
        <f t="shared" si="3"/>
        <v>1.1314082128906247</v>
      </c>
      <c r="C11" s="5">
        <f t="shared" si="4"/>
        <v>25037.493631014306</v>
      </c>
      <c r="D11" s="5">
        <f t="shared" si="5"/>
        <v>24527.868974939534</v>
      </c>
      <c r="E11" s="5">
        <f t="shared" si="6"/>
        <v>15027.868974939534</v>
      </c>
      <c r="F11" s="5">
        <f t="shared" si="7"/>
        <v>5208.3492203177575</v>
      </c>
      <c r="G11" s="5">
        <f t="shared" si="8"/>
        <v>19319.519754621775</v>
      </c>
      <c r="H11" s="22">
        <f t="shared" si="9"/>
        <v>11060.499058984078</v>
      </c>
      <c r="I11" s="5">
        <f t="shared" si="10"/>
        <v>29782.751864420712</v>
      </c>
      <c r="J11" s="26">
        <f t="shared" si="0"/>
        <v>0.12785110653210063</v>
      </c>
      <c r="L11" s="22">
        <f t="shared" si="11"/>
        <v>59662.453687510228</v>
      </c>
      <c r="M11" s="5">
        <f>scrimecost*Meta!O8</f>
        <v>3677.6600000000003</v>
      </c>
      <c r="N11" s="5">
        <f>L11-Grade8!L11</f>
        <v>586.97874834398681</v>
      </c>
      <c r="O11" s="5">
        <f>Grade8!M11-M11</f>
        <v>77.601999999999862</v>
      </c>
      <c r="P11" s="22">
        <f t="shared" si="12"/>
        <v>113.45528577894721</v>
      </c>
      <c r="S11" s="22">
        <f t="shared" si="1"/>
        <v>614.35061353627964</v>
      </c>
      <c r="T11" s="22">
        <f t="shared" si="2"/>
        <v>631.30057846739965</v>
      </c>
    </row>
    <row r="12" spans="1:20" x14ac:dyDescent="0.2">
      <c r="A12" s="5">
        <v>21</v>
      </c>
      <c r="B12" s="1">
        <f t="shared" si="3"/>
        <v>1.1596934182128902</v>
      </c>
      <c r="C12" s="5">
        <f t="shared" si="4"/>
        <v>25663.430971789661</v>
      </c>
      <c r="D12" s="5">
        <f t="shared" si="5"/>
        <v>25120.00569931302</v>
      </c>
      <c r="E12" s="5">
        <f t="shared" si="6"/>
        <v>15620.00569931302</v>
      </c>
      <c r="F12" s="5">
        <f t="shared" si="7"/>
        <v>5401.6818608257008</v>
      </c>
      <c r="G12" s="5">
        <f t="shared" si="8"/>
        <v>19718.323838487318</v>
      </c>
      <c r="H12" s="22">
        <f t="shared" si="9"/>
        <v>11337.01153545868</v>
      </c>
      <c r="I12" s="5">
        <f t="shared" si="10"/>
        <v>30443.136751031227</v>
      </c>
      <c r="J12" s="26">
        <f t="shared" si="0"/>
        <v>0.13025619490423621</v>
      </c>
      <c r="L12" s="22">
        <f t="shared" si="11"/>
        <v>61154.015029697985</v>
      </c>
      <c r="M12" s="5">
        <f>scrimecost*Meta!O9</f>
        <v>3339.76</v>
      </c>
      <c r="N12" s="5">
        <f>L12-Grade8!L12</f>
        <v>601.65321705258975</v>
      </c>
      <c r="O12" s="5">
        <f>Grade8!M12-M12</f>
        <v>70.471999999999753</v>
      </c>
      <c r="P12" s="22">
        <f t="shared" si="12"/>
        <v>116.15751440707955</v>
      </c>
      <c r="S12" s="22">
        <f t="shared" si="1"/>
        <v>620.63403420757641</v>
      </c>
      <c r="T12" s="22">
        <f t="shared" si="2"/>
        <v>640.65682990683138</v>
      </c>
    </row>
    <row r="13" spans="1:20" x14ac:dyDescent="0.2">
      <c r="A13" s="5">
        <v>22</v>
      </c>
      <c r="B13" s="1">
        <f t="shared" si="3"/>
        <v>1.1886857536682125</v>
      </c>
      <c r="C13" s="5">
        <f t="shared" si="4"/>
        <v>26305.016746084402</v>
      </c>
      <c r="D13" s="5">
        <f t="shared" si="5"/>
        <v>25726.945841795845</v>
      </c>
      <c r="E13" s="5">
        <f t="shared" si="6"/>
        <v>16226.945841795845</v>
      </c>
      <c r="F13" s="5">
        <f t="shared" si="7"/>
        <v>5599.8478173463436</v>
      </c>
      <c r="G13" s="5">
        <f t="shared" si="8"/>
        <v>20127.0980244495</v>
      </c>
      <c r="H13" s="22">
        <f t="shared" si="9"/>
        <v>11620.436823845146</v>
      </c>
      <c r="I13" s="5">
        <f t="shared" si="10"/>
        <v>31120.031259807009</v>
      </c>
      <c r="J13" s="26">
        <f t="shared" si="0"/>
        <v>0.13260262258436853</v>
      </c>
      <c r="L13" s="22">
        <f t="shared" si="11"/>
        <v>62682.865405440425</v>
      </c>
      <c r="M13" s="5">
        <f>scrimecost*Meta!O10</f>
        <v>3060.72</v>
      </c>
      <c r="N13" s="5">
        <f>L13-Grade8!L13</f>
        <v>616.6945474788954</v>
      </c>
      <c r="O13" s="5">
        <f>Grade8!M13-M13</f>
        <v>64.583999999999833</v>
      </c>
      <c r="P13" s="22">
        <f t="shared" si="12"/>
        <v>118.9272987509152</v>
      </c>
      <c r="S13" s="22">
        <f t="shared" si="1"/>
        <v>628.47490689564665</v>
      </c>
      <c r="T13" s="22">
        <f t="shared" si="2"/>
        <v>651.70011389858303</v>
      </c>
    </row>
    <row r="14" spans="1:20" x14ac:dyDescent="0.2">
      <c r="A14" s="5">
        <v>23</v>
      </c>
      <c r="B14" s="1">
        <f t="shared" si="3"/>
        <v>1.2184028975099177</v>
      </c>
      <c r="C14" s="5">
        <f t="shared" si="4"/>
        <v>26962.642164736513</v>
      </c>
      <c r="D14" s="5">
        <f t="shared" si="5"/>
        <v>26349.059487840743</v>
      </c>
      <c r="E14" s="5">
        <f t="shared" si="6"/>
        <v>16849.059487840743</v>
      </c>
      <c r="F14" s="5">
        <f t="shared" si="7"/>
        <v>5802.9679227800025</v>
      </c>
      <c r="G14" s="5">
        <f t="shared" si="8"/>
        <v>20546.091565060742</v>
      </c>
      <c r="H14" s="22">
        <f t="shared" si="9"/>
        <v>11910.947744441273</v>
      </c>
      <c r="I14" s="5">
        <f t="shared" si="10"/>
        <v>31813.848131302184</v>
      </c>
      <c r="J14" s="26">
        <f t="shared" si="0"/>
        <v>0.13489182032108296</v>
      </c>
      <c r="L14" s="22">
        <f t="shared" si="11"/>
        <v>64249.937040576435</v>
      </c>
      <c r="M14" s="5">
        <f>scrimecost*Meta!O11</f>
        <v>2860.1600000000003</v>
      </c>
      <c r="N14" s="5">
        <f>L14-Grade8!L14</f>
        <v>632.11191116587725</v>
      </c>
      <c r="O14" s="5">
        <f>Grade8!M14-M14</f>
        <v>60.351999999999862</v>
      </c>
      <c r="P14" s="22">
        <f t="shared" si="12"/>
        <v>121.76632770334673</v>
      </c>
      <c r="S14" s="22">
        <f t="shared" si="1"/>
        <v>638.28975660093226</v>
      </c>
      <c r="T14" s="22">
        <f t="shared" si="2"/>
        <v>664.88680042351007</v>
      </c>
    </row>
    <row r="15" spans="1:20" x14ac:dyDescent="0.2">
      <c r="A15" s="5">
        <v>24</v>
      </c>
      <c r="B15" s="1">
        <f t="shared" si="3"/>
        <v>1.2488629699476654</v>
      </c>
      <c r="C15" s="5">
        <f t="shared" si="4"/>
        <v>27636.708218854921</v>
      </c>
      <c r="D15" s="5">
        <f t="shared" si="5"/>
        <v>26986.725975036756</v>
      </c>
      <c r="E15" s="5">
        <f t="shared" si="6"/>
        <v>17486.725975036756</v>
      </c>
      <c r="F15" s="5">
        <f t="shared" si="7"/>
        <v>6011.1660308495011</v>
      </c>
      <c r="G15" s="5">
        <f t="shared" si="8"/>
        <v>20975.559944187255</v>
      </c>
      <c r="H15" s="22">
        <f t="shared" si="9"/>
        <v>12208.721438052304</v>
      </c>
      <c r="I15" s="5">
        <f t="shared" si="10"/>
        <v>32525.010424584732</v>
      </c>
      <c r="J15" s="26">
        <f t="shared" si="0"/>
        <v>0.13712518396665799</v>
      </c>
      <c r="L15" s="22">
        <f t="shared" si="11"/>
        <v>65856.185466590832</v>
      </c>
      <c r="M15" s="5">
        <f>scrimecost*Meta!O12</f>
        <v>2732.63</v>
      </c>
      <c r="N15" s="5">
        <f>L15-Grade8!L15</f>
        <v>647.91470894501253</v>
      </c>
      <c r="O15" s="5">
        <f>Grade8!M15-M15</f>
        <v>57.661000000000058</v>
      </c>
      <c r="P15" s="22">
        <f t="shared" si="12"/>
        <v>124.67633237958904</v>
      </c>
      <c r="S15" s="22">
        <f t="shared" si="1"/>
        <v>649.9737223488346</v>
      </c>
      <c r="T15" s="22">
        <f t="shared" si="2"/>
        <v>680.13577186251462</v>
      </c>
    </row>
    <row r="16" spans="1:20" x14ac:dyDescent="0.2">
      <c r="A16" s="5">
        <v>25</v>
      </c>
      <c r="B16" s="1">
        <f t="shared" si="3"/>
        <v>1.2800845441963571</v>
      </c>
      <c r="C16" s="5">
        <f t="shared" si="4"/>
        <v>28327.625924326294</v>
      </c>
      <c r="D16" s="5">
        <f t="shared" si="5"/>
        <v>27640.334124412675</v>
      </c>
      <c r="E16" s="5">
        <f t="shared" si="6"/>
        <v>18140.334124412675</v>
      </c>
      <c r="F16" s="5">
        <f t="shared" si="7"/>
        <v>6224.5690916207386</v>
      </c>
      <c r="G16" s="5">
        <f t="shared" si="8"/>
        <v>21415.765032791936</v>
      </c>
      <c r="H16" s="22">
        <f t="shared" si="9"/>
        <v>12513.939474003611</v>
      </c>
      <c r="I16" s="5">
        <f t="shared" si="10"/>
        <v>33253.951775199355</v>
      </c>
      <c r="J16" s="26">
        <f t="shared" si="0"/>
        <v>0.13930407532819467</v>
      </c>
      <c r="L16" s="22">
        <f t="shared" si="11"/>
        <v>67502.590103255614</v>
      </c>
      <c r="M16" s="5">
        <f>scrimecost*Meta!O13</f>
        <v>2294.4499999999998</v>
      </c>
      <c r="N16" s="5">
        <f>L16-Grade8!L16</f>
        <v>664.11257666864549</v>
      </c>
      <c r="O16" s="5">
        <f>Grade8!M16-M16</f>
        <v>48.414999999999964</v>
      </c>
      <c r="P16" s="22">
        <f t="shared" si="12"/>
        <v>127.65908717273746</v>
      </c>
      <c r="S16" s="22">
        <f t="shared" si="1"/>
        <v>655.55289039044851</v>
      </c>
      <c r="T16" s="22">
        <f t="shared" si="2"/>
        <v>689.09252143773574</v>
      </c>
    </row>
    <row r="17" spans="1:20" x14ac:dyDescent="0.2">
      <c r="A17" s="5">
        <v>26</v>
      </c>
      <c r="B17" s="1">
        <f t="shared" si="3"/>
        <v>1.312086657801266</v>
      </c>
      <c r="C17" s="5">
        <f t="shared" si="4"/>
        <v>29035.816572434451</v>
      </c>
      <c r="D17" s="5">
        <f t="shared" si="5"/>
        <v>28310.282477522989</v>
      </c>
      <c r="E17" s="5">
        <f t="shared" si="6"/>
        <v>18810.282477522989</v>
      </c>
      <c r="F17" s="5">
        <f t="shared" si="7"/>
        <v>6443.3072289112561</v>
      </c>
      <c r="G17" s="5">
        <f t="shared" si="8"/>
        <v>21866.975248611732</v>
      </c>
      <c r="H17" s="22">
        <f t="shared" si="9"/>
        <v>12826.7879608537</v>
      </c>
      <c r="I17" s="5">
        <f t="shared" si="10"/>
        <v>34001.116659579333</v>
      </c>
      <c r="J17" s="26">
        <f t="shared" si="0"/>
        <v>0.14142982299798651</v>
      </c>
      <c r="L17" s="22">
        <f t="shared" si="11"/>
        <v>69190.154855836983</v>
      </c>
      <c r="M17" s="5">
        <f>scrimecost*Meta!O14</f>
        <v>2294.4499999999998</v>
      </c>
      <c r="N17" s="5">
        <f>L17-Grade8!L17</f>
        <v>680.71539108535217</v>
      </c>
      <c r="O17" s="5">
        <f>Grade8!M17-M17</f>
        <v>48.414999999999964</v>
      </c>
      <c r="P17" s="22">
        <f t="shared" si="12"/>
        <v>130.71641083571453</v>
      </c>
      <c r="S17" s="22">
        <f t="shared" si="1"/>
        <v>670.61600753309028</v>
      </c>
      <c r="T17" s="22">
        <f t="shared" si="2"/>
        <v>708.1311478411144</v>
      </c>
    </row>
    <row r="18" spans="1:20" x14ac:dyDescent="0.2">
      <c r="A18" s="5">
        <v>27</v>
      </c>
      <c r="B18" s="1">
        <f t="shared" si="3"/>
        <v>1.3448888242462975</v>
      </c>
      <c r="C18" s="5">
        <f t="shared" si="4"/>
        <v>29761.711986745308</v>
      </c>
      <c r="D18" s="5">
        <f t="shared" si="5"/>
        <v>28996.979539461059</v>
      </c>
      <c r="E18" s="5">
        <f t="shared" si="6"/>
        <v>19496.979539461059</v>
      </c>
      <c r="F18" s="5">
        <f t="shared" si="7"/>
        <v>6667.5138196340358</v>
      </c>
      <c r="G18" s="5">
        <f t="shared" si="8"/>
        <v>22329.465719827022</v>
      </c>
      <c r="H18" s="22">
        <f t="shared" si="9"/>
        <v>13147.457659875043</v>
      </c>
      <c r="I18" s="5">
        <f t="shared" si="10"/>
        <v>34766.960666068815</v>
      </c>
      <c r="J18" s="26">
        <f t="shared" si="0"/>
        <v>0.14350372316363705</v>
      </c>
      <c r="L18" s="22">
        <f t="shared" si="11"/>
        <v>70919.90872723292</v>
      </c>
      <c r="M18" s="5">
        <f>scrimecost*Meta!O15</f>
        <v>2294.4499999999998</v>
      </c>
      <c r="N18" s="5">
        <f>L18-Grade8!L18</f>
        <v>697.73327586249798</v>
      </c>
      <c r="O18" s="5">
        <f>Grade8!M18-M18</f>
        <v>48.414999999999964</v>
      </c>
      <c r="P18" s="22">
        <f t="shared" si="12"/>
        <v>133.85016759026604</v>
      </c>
      <c r="S18" s="22">
        <f t="shared" si="1"/>
        <v>686.05570260431352</v>
      </c>
      <c r="T18" s="22">
        <f t="shared" si="2"/>
        <v>727.7280958624832</v>
      </c>
    </row>
    <row r="19" spans="1:20" x14ac:dyDescent="0.2">
      <c r="A19" s="5">
        <v>28</v>
      </c>
      <c r="B19" s="1">
        <f t="shared" si="3"/>
        <v>1.3785110448524549</v>
      </c>
      <c r="C19" s="5">
        <f t="shared" si="4"/>
        <v>30505.754786413941</v>
      </c>
      <c r="D19" s="5">
        <f t="shared" si="5"/>
        <v>29700.844027947587</v>
      </c>
      <c r="E19" s="5">
        <f t="shared" si="6"/>
        <v>20200.844027947587</v>
      </c>
      <c r="F19" s="5">
        <f t="shared" si="7"/>
        <v>6897.3255751248871</v>
      </c>
      <c r="G19" s="5">
        <f t="shared" si="8"/>
        <v>22803.5184528227</v>
      </c>
      <c r="H19" s="22">
        <f t="shared" si="9"/>
        <v>13476.144101371918</v>
      </c>
      <c r="I19" s="5">
        <f t="shared" si="10"/>
        <v>35551.950772720535</v>
      </c>
      <c r="J19" s="26">
        <f t="shared" si="0"/>
        <v>0.1455270403984181</v>
      </c>
      <c r="L19" s="22">
        <f t="shared" si="11"/>
        <v>72692.906445413741</v>
      </c>
      <c r="M19" s="5">
        <f>scrimecost*Meta!O16</f>
        <v>2294.4499999999998</v>
      </c>
      <c r="N19" s="5">
        <f>L19-Grade8!L19</f>
        <v>715.17660775907279</v>
      </c>
      <c r="O19" s="5">
        <f>Grade8!M19-M19</f>
        <v>48.414999999999964</v>
      </c>
      <c r="P19" s="22">
        <f t="shared" si="12"/>
        <v>137.06226826368132</v>
      </c>
      <c r="S19" s="22">
        <f t="shared" si="1"/>
        <v>701.88139005231778</v>
      </c>
      <c r="T19" s="22">
        <f t="shared" si="2"/>
        <v>747.89989639400596</v>
      </c>
    </row>
    <row r="20" spans="1:20" x14ac:dyDescent="0.2">
      <c r="A20" s="5">
        <v>29</v>
      </c>
      <c r="B20" s="1">
        <f t="shared" si="3"/>
        <v>1.4129738209737661</v>
      </c>
      <c r="C20" s="5">
        <f t="shared" si="4"/>
        <v>31268.398656074285</v>
      </c>
      <c r="D20" s="5">
        <f t="shared" si="5"/>
        <v>30422.305128646272</v>
      </c>
      <c r="E20" s="5">
        <f t="shared" si="6"/>
        <v>20922.305128646272</v>
      </c>
      <c r="F20" s="5">
        <f t="shared" si="7"/>
        <v>7132.8826245030077</v>
      </c>
      <c r="G20" s="5">
        <f t="shared" si="8"/>
        <v>23289.422504143266</v>
      </c>
      <c r="H20" s="22">
        <f t="shared" si="9"/>
        <v>13813.047703906215</v>
      </c>
      <c r="I20" s="5">
        <f t="shared" si="10"/>
        <v>36356.565632038546</v>
      </c>
      <c r="J20" s="26">
        <f t="shared" si="0"/>
        <v>0.14750100843235084</v>
      </c>
      <c r="L20" s="22">
        <f t="shared" si="11"/>
        <v>74510.229106549072</v>
      </c>
      <c r="M20" s="5">
        <f>scrimecost*Meta!O17</f>
        <v>2294.4499999999998</v>
      </c>
      <c r="N20" s="5">
        <f>L20-Grade8!L20</f>
        <v>733.05602295302378</v>
      </c>
      <c r="O20" s="5">
        <f>Grade8!M20-M20</f>
        <v>48.414999999999964</v>
      </c>
      <c r="P20" s="22">
        <f t="shared" si="12"/>
        <v>140.35467145393201</v>
      </c>
      <c r="S20" s="22">
        <f t="shared" si="1"/>
        <v>718.10271968649454</v>
      </c>
      <c r="T20" s="22">
        <f t="shared" si="2"/>
        <v>768.66357050276463</v>
      </c>
    </row>
    <row r="21" spans="1:20" x14ac:dyDescent="0.2">
      <c r="A21" s="5">
        <v>30</v>
      </c>
      <c r="B21" s="1">
        <f t="shared" si="3"/>
        <v>1.4482981664981105</v>
      </c>
      <c r="C21" s="5">
        <f t="shared" si="4"/>
        <v>32050.108622476149</v>
      </c>
      <c r="D21" s="5">
        <f t="shared" si="5"/>
        <v>31161.802756862438</v>
      </c>
      <c r="E21" s="5">
        <f t="shared" si="6"/>
        <v>21661.802756862438</v>
      </c>
      <c r="F21" s="5">
        <f t="shared" si="7"/>
        <v>7374.3286001155866</v>
      </c>
      <c r="G21" s="5">
        <f t="shared" si="8"/>
        <v>23787.474156746852</v>
      </c>
      <c r="H21" s="22">
        <f t="shared" si="9"/>
        <v>14158.373896503872</v>
      </c>
      <c r="I21" s="5">
        <f t="shared" si="10"/>
        <v>37181.295862839514</v>
      </c>
      <c r="J21" s="26">
        <f t="shared" si="0"/>
        <v>0.14942683090448042</v>
      </c>
      <c r="L21" s="22">
        <f t="shared" si="11"/>
        <v>76372.98483421281</v>
      </c>
      <c r="M21" s="5">
        <f>scrimecost*Meta!O18</f>
        <v>1849.73</v>
      </c>
      <c r="N21" s="5">
        <f>L21-Grade8!L21</f>
        <v>751.38242352685484</v>
      </c>
      <c r="O21" s="5">
        <f>Grade8!M21-M21</f>
        <v>39.030999999999949</v>
      </c>
      <c r="P21" s="22">
        <f t="shared" si="12"/>
        <v>143.72938472393903</v>
      </c>
      <c r="S21" s="22">
        <f t="shared" si="1"/>
        <v>725.47695856154826</v>
      </c>
      <c r="T21" s="22">
        <f t="shared" si="2"/>
        <v>780.08752501902075</v>
      </c>
    </row>
    <row r="22" spans="1:20" x14ac:dyDescent="0.2">
      <c r="A22" s="5">
        <v>31</v>
      </c>
      <c r="B22" s="1">
        <f t="shared" si="3"/>
        <v>1.4845056206605631</v>
      </c>
      <c r="C22" s="5">
        <f t="shared" si="4"/>
        <v>32851.361338038048</v>
      </c>
      <c r="D22" s="5">
        <f t="shared" si="5"/>
        <v>31919.787825783995</v>
      </c>
      <c r="E22" s="5">
        <f t="shared" si="6"/>
        <v>22419.787825783995</v>
      </c>
      <c r="F22" s="5">
        <f t="shared" si="7"/>
        <v>7621.8107251184738</v>
      </c>
      <c r="G22" s="5">
        <f t="shared" si="8"/>
        <v>24297.977100665521</v>
      </c>
      <c r="H22" s="22">
        <f t="shared" si="9"/>
        <v>14512.333243916468</v>
      </c>
      <c r="I22" s="5">
        <f t="shared" si="10"/>
        <v>38026.644349410497</v>
      </c>
      <c r="J22" s="26">
        <f t="shared" si="0"/>
        <v>0.15130568209680184</v>
      </c>
      <c r="L22" s="22">
        <f t="shared" si="11"/>
        <v>78282.309455068127</v>
      </c>
      <c r="M22" s="5">
        <f>scrimecost*Meta!O19</f>
        <v>1849.73</v>
      </c>
      <c r="N22" s="5">
        <f>L22-Grade8!L22</f>
        <v>770.16698411502875</v>
      </c>
      <c r="O22" s="5">
        <f>Grade8!M22-M22</f>
        <v>39.030999999999949</v>
      </c>
      <c r="P22" s="22">
        <f t="shared" si="12"/>
        <v>147.18846582569614</v>
      </c>
      <c r="S22" s="22">
        <f t="shared" si="1"/>
        <v>742.51949300847627</v>
      </c>
      <c r="T22" s="22">
        <f t="shared" si="2"/>
        <v>802.04281108551288</v>
      </c>
    </row>
    <row r="23" spans="1:20" x14ac:dyDescent="0.2">
      <c r="A23" s="5">
        <v>32</v>
      </c>
      <c r="B23" s="1">
        <f t="shared" si="3"/>
        <v>1.521618261177077</v>
      </c>
      <c r="C23" s="5">
        <f t="shared" si="4"/>
        <v>33672.645371488994</v>
      </c>
      <c r="D23" s="5">
        <f t="shared" si="5"/>
        <v>32696.722521428586</v>
      </c>
      <c r="E23" s="5">
        <f t="shared" si="6"/>
        <v>23196.722521428586</v>
      </c>
      <c r="F23" s="5">
        <f t="shared" si="7"/>
        <v>7875.4799032464334</v>
      </c>
      <c r="G23" s="5">
        <f t="shared" si="8"/>
        <v>24821.242618182154</v>
      </c>
      <c r="H23" s="22">
        <f t="shared" si="9"/>
        <v>14875.141575014377</v>
      </c>
      <c r="I23" s="5">
        <f t="shared" si="10"/>
        <v>38893.126548145752</v>
      </c>
      <c r="J23" s="26">
        <f t="shared" si="0"/>
        <v>0.15313870765028614</v>
      </c>
      <c r="L23" s="22">
        <f t="shared" si="11"/>
        <v>80239.367191444806</v>
      </c>
      <c r="M23" s="5">
        <f>scrimecost*Meta!O20</f>
        <v>1849.73</v>
      </c>
      <c r="N23" s="5">
        <f>L23-Grade8!L23</f>
        <v>789.42115871788701</v>
      </c>
      <c r="O23" s="5">
        <f>Grade8!M23-M23</f>
        <v>39.030999999999949</v>
      </c>
      <c r="P23" s="22">
        <f t="shared" si="12"/>
        <v>150.73402395499716</v>
      </c>
      <c r="S23" s="22">
        <f t="shared" si="1"/>
        <v>759.98809081656282</v>
      </c>
      <c r="T23" s="22">
        <f t="shared" si="2"/>
        <v>824.64391688722583</v>
      </c>
    </row>
    <row r="24" spans="1:20" x14ac:dyDescent="0.2">
      <c r="A24" s="5">
        <v>33</v>
      </c>
      <c r="B24" s="1">
        <f t="shared" si="3"/>
        <v>1.559658717706504</v>
      </c>
      <c r="C24" s="5">
        <f t="shared" si="4"/>
        <v>34514.46150577622</v>
      </c>
      <c r="D24" s="5">
        <f t="shared" si="5"/>
        <v>33493.080584464304</v>
      </c>
      <c r="E24" s="5">
        <f t="shared" si="6"/>
        <v>23993.080584464304</v>
      </c>
      <c r="F24" s="5">
        <f t="shared" si="7"/>
        <v>8135.4908108275949</v>
      </c>
      <c r="G24" s="5">
        <f t="shared" si="8"/>
        <v>25357.589773636708</v>
      </c>
      <c r="H24" s="22">
        <f t="shared" si="9"/>
        <v>15247.020114389738</v>
      </c>
      <c r="I24" s="5">
        <f t="shared" si="10"/>
        <v>39781.270801849401</v>
      </c>
      <c r="J24" s="26">
        <f t="shared" si="0"/>
        <v>0.15492702526344163</v>
      </c>
      <c r="L24" s="22">
        <f t="shared" si="11"/>
        <v>82245.351371230936</v>
      </c>
      <c r="M24" s="5">
        <f>scrimecost*Meta!O21</f>
        <v>1849.73</v>
      </c>
      <c r="N24" s="5">
        <f>L24-Grade8!L24</f>
        <v>809.15668768585601</v>
      </c>
      <c r="O24" s="5">
        <f>Grade8!M24-M24</f>
        <v>39.030999999999949</v>
      </c>
      <c r="P24" s="22">
        <f t="shared" si="12"/>
        <v>154.36822103753076</v>
      </c>
      <c r="S24" s="22">
        <f t="shared" si="1"/>
        <v>777.89340356988032</v>
      </c>
      <c r="T24" s="22">
        <f t="shared" si="2"/>
        <v>847.90997301236803</v>
      </c>
    </row>
    <row r="25" spans="1:20" x14ac:dyDescent="0.2">
      <c r="A25" s="5">
        <v>34</v>
      </c>
      <c r="B25" s="1">
        <f t="shared" si="3"/>
        <v>1.5986501856491666</v>
      </c>
      <c r="C25" s="5">
        <f t="shared" si="4"/>
        <v>35377.323043420627</v>
      </c>
      <c r="D25" s="5">
        <f t="shared" si="5"/>
        <v>34309.347599075911</v>
      </c>
      <c r="E25" s="5">
        <f t="shared" si="6"/>
        <v>24809.347599075911</v>
      </c>
      <c r="F25" s="5">
        <f t="shared" si="7"/>
        <v>8402.0019910982846</v>
      </c>
      <c r="G25" s="5">
        <f t="shared" si="8"/>
        <v>25907.345607977626</v>
      </c>
      <c r="H25" s="22">
        <f t="shared" si="9"/>
        <v>15628.195617249483</v>
      </c>
      <c r="I25" s="5">
        <f t="shared" si="10"/>
        <v>40691.618661895634</v>
      </c>
      <c r="J25" s="26">
        <f t="shared" si="0"/>
        <v>0.1566717253738372</v>
      </c>
      <c r="L25" s="22">
        <f t="shared" si="11"/>
        <v>84301.48515551172</v>
      </c>
      <c r="M25" s="5">
        <f>scrimecost*Meta!O22</f>
        <v>1849.73</v>
      </c>
      <c r="N25" s="5">
        <f>L25-Grade8!L25</f>
        <v>829.38560487801442</v>
      </c>
      <c r="O25" s="5">
        <f>Grade8!M25-M25</f>
        <v>39.030999999999949</v>
      </c>
      <c r="P25" s="22">
        <f t="shared" si="12"/>
        <v>158.0932730471277</v>
      </c>
      <c r="S25" s="22">
        <f t="shared" si="1"/>
        <v>796.2463491420234</v>
      </c>
      <c r="T25" s="22">
        <f t="shared" si="2"/>
        <v>871.86067735147378</v>
      </c>
    </row>
    <row r="26" spans="1:20" x14ac:dyDescent="0.2">
      <c r="A26" s="5">
        <v>35</v>
      </c>
      <c r="B26" s="1">
        <f t="shared" si="3"/>
        <v>1.6386164402903955</v>
      </c>
      <c r="C26" s="5">
        <f t="shared" si="4"/>
        <v>36261.756119506135</v>
      </c>
      <c r="D26" s="5">
        <f t="shared" si="5"/>
        <v>35146.021289052806</v>
      </c>
      <c r="E26" s="5">
        <f t="shared" si="6"/>
        <v>25646.021289052806</v>
      </c>
      <c r="F26" s="5">
        <f t="shared" si="7"/>
        <v>8675.1759508757405</v>
      </c>
      <c r="G26" s="5">
        <f t="shared" si="8"/>
        <v>26470.845338177067</v>
      </c>
      <c r="H26" s="22">
        <f t="shared" si="9"/>
        <v>16018.900507680717</v>
      </c>
      <c r="I26" s="5">
        <f t="shared" si="10"/>
        <v>41624.725218443025</v>
      </c>
      <c r="J26" s="26">
        <f t="shared" si="0"/>
        <v>0.15837387182300364</v>
      </c>
      <c r="L26" s="22">
        <f t="shared" si="11"/>
        <v>86409.0222843995</v>
      </c>
      <c r="M26" s="5">
        <f>scrimecost*Meta!O23</f>
        <v>1435.53</v>
      </c>
      <c r="N26" s="5">
        <f>L26-Grade8!L26</f>
        <v>850.12024499995459</v>
      </c>
      <c r="O26" s="5">
        <f>Grade8!M26-M26</f>
        <v>30.29099999999994</v>
      </c>
      <c r="P26" s="22">
        <f t="shared" si="12"/>
        <v>161.91145135696456</v>
      </c>
      <c r="S26" s="22">
        <f t="shared" si="1"/>
        <v>806.44047835345407</v>
      </c>
      <c r="T26" s="22">
        <f t="shared" si="2"/>
        <v>887.03741139291446</v>
      </c>
    </row>
    <row r="27" spans="1:20" x14ac:dyDescent="0.2">
      <c r="A27" s="5">
        <v>36</v>
      </c>
      <c r="B27" s="1">
        <f t="shared" si="3"/>
        <v>1.6795818512976552</v>
      </c>
      <c r="C27" s="5">
        <f t="shared" si="4"/>
        <v>37168.300022493786</v>
      </c>
      <c r="D27" s="5">
        <f t="shared" si="5"/>
        <v>36003.611821279119</v>
      </c>
      <c r="E27" s="5">
        <f t="shared" si="6"/>
        <v>26503.611821279119</v>
      </c>
      <c r="F27" s="5">
        <f t="shared" si="7"/>
        <v>8955.1792596476316</v>
      </c>
      <c r="G27" s="5">
        <f t="shared" si="8"/>
        <v>27048.432561631489</v>
      </c>
      <c r="H27" s="22">
        <f t="shared" si="9"/>
        <v>16419.373020372732</v>
      </c>
      <c r="I27" s="5">
        <f t="shared" si="10"/>
        <v>42581.159438904091</v>
      </c>
      <c r="J27" s="26">
        <f t="shared" si="0"/>
        <v>0.16003450250511717</v>
      </c>
      <c r="L27" s="22">
        <f t="shared" si="11"/>
        <v>88569.247841509481</v>
      </c>
      <c r="M27" s="5">
        <f>scrimecost*Meta!O24</f>
        <v>1435.53</v>
      </c>
      <c r="N27" s="5">
        <f>L27-Grade8!L27</f>
        <v>871.37325112495455</v>
      </c>
      <c r="O27" s="5">
        <f>Grade8!M27-M27</f>
        <v>30.29099999999994</v>
      </c>
      <c r="P27" s="22">
        <f t="shared" si="12"/>
        <v>165.82508412454729</v>
      </c>
      <c r="S27" s="22">
        <f t="shared" si="1"/>
        <v>825.72254179517859</v>
      </c>
      <c r="T27" s="22">
        <f t="shared" si="2"/>
        <v>912.37576522926486</v>
      </c>
    </row>
    <row r="28" spans="1:20" x14ac:dyDescent="0.2">
      <c r="A28" s="5">
        <v>37</v>
      </c>
      <c r="B28" s="1">
        <f t="shared" si="3"/>
        <v>1.7215713975800966</v>
      </c>
      <c r="C28" s="5">
        <f t="shared" si="4"/>
        <v>38097.507523056134</v>
      </c>
      <c r="D28" s="5">
        <f t="shared" si="5"/>
        <v>36882.642116811105</v>
      </c>
      <c r="E28" s="5">
        <f t="shared" si="6"/>
        <v>27382.642116811105</v>
      </c>
      <c r="F28" s="5">
        <f t="shared" si="7"/>
        <v>9242.1826511388263</v>
      </c>
      <c r="G28" s="5">
        <f t="shared" si="8"/>
        <v>27640.459465672277</v>
      </c>
      <c r="H28" s="22">
        <f t="shared" si="9"/>
        <v>16829.85734588205</v>
      </c>
      <c r="I28" s="5">
        <f t="shared" si="10"/>
        <v>43561.504514876695</v>
      </c>
      <c r="J28" s="26">
        <f t="shared" si="0"/>
        <v>0.16165462999986221</v>
      </c>
      <c r="L28" s="22">
        <f t="shared" si="11"/>
        <v>90783.479037547208</v>
      </c>
      <c r="M28" s="5">
        <f>scrimecost*Meta!O25</f>
        <v>1435.53</v>
      </c>
      <c r="N28" s="5">
        <f>L28-Grade8!L28</f>
        <v>893.15758240305877</v>
      </c>
      <c r="O28" s="5">
        <f>Grade8!M28-M28</f>
        <v>30.29099999999994</v>
      </c>
      <c r="P28" s="22">
        <f t="shared" si="12"/>
        <v>169.83655771131967</v>
      </c>
      <c r="S28" s="22">
        <f t="shared" si="1"/>
        <v>845.4866568229312</v>
      </c>
      <c r="T28" s="22">
        <f t="shared" si="2"/>
        <v>938.46123961012938</v>
      </c>
    </row>
    <row r="29" spans="1:20" x14ac:dyDescent="0.2">
      <c r="A29" s="5">
        <v>38</v>
      </c>
      <c r="B29" s="1">
        <f t="shared" si="3"/>
        <v>1.7646106825195991</v>
      </c>
      <c r="C29" s="5">
        <f t="shared" si="4"/>
        <v>39049.94521113253</v>
      </c>
      <c r="D29" s="5">
        <f t="shared" si="5"/>
        <v>37783.648169731372</v>
      </c>
      <c r="E29" s="5">
        <f t="shared" si="6"/>
        <v>28283.648169731372</v>
      </c>
      <c r="F29" s="5">
        <f t="shared" si="7"/>
        <v>9536.3611274172927</v>
      </c>
      <c r="G29" s="5">
        <f t="shared" si="8"/>
        <v>28247.287042314078</v>
      </c>
      <c r="H29" s="22">
        <f t="shared" si="9"/>
        <v>17250.603779529101</v>
      </c>
      <c r="I29" s="5">
        <f t="shared" si="10"/>
        <v>44566.35821774861</v>
      </c>
      <c r="J29" s="26">
        <f t="shared" si="0"/>
        <v>0.16323524218985722</v>
      </c>
      <c r="L29" s="22">
        <f t="shared" si="11"/>
        <v>93053.066013485892</v>
      </c>
      <c r="M29" s="5">
        <f>scrimecost*Meta!O26</f>
        <v>1435.53</v>
      </c>
      <c r="N29" s="5">
        <f>L29-Grade8!L29</f>
        <v>915.48652196314652</v>
      </c>
      <c r="O29" s="5">
        <f>Grade8!M29-M29</f>
        <v>30.29099999999994</v>
      </c>
      <c r="P29" s="22">
        <f t="shared" si="12"/>
        <v>173.94831813776131</v>
      </c>
      <c r="S29" s="22">
        <f t="shared" si="1"/>
        <v>865.7448747264001</v>
      </c>
      <c r="T29" s="22">
        <f t="shared" si="2"/>
        <v>965.31597406688036</v>
      </c>
    </row>
    <row r="30" spans="1:20" x14ac:dyDescent="0.2">
      <c r="A30" s="5">
        <v>39</v>
      </c>
      <c r="B30" s="1">
        <f t="shared" si="3"/>
        <v>1.8087259495825889</v>
      </c>
      <c r="C30" s="5">
        <f t="shared" si="4"/>
        <v>40026.193841410852</v>
      </c>
      <c r="D30" s="5">
        <f t="shared" si="5"/>
        <v>38707.179373974664</v>
      </c>
      <c r="E30" s="5">
        <f t="shared" si="6"/>
        <v>29207.179373974664</v>
      </c>
      <c r="F30" s="5">
        <f t="shared" si="7"/>
        <v>9837.894065602728</v>
      </c>
      <c r="G30" s="5">
        <f t="shared" si="8"/>
        <v>28869.285308371938</v>
      </c>
      <c r="H30" s="22">
        <f t="shared" si="9"/>
        <v>17681.868874017327</v>
      </c>
      <c r="I30" s="5">
        <f t="shared" si="10"/>
        <v>45596.333263192326</v>
      </c>
      <c r="J30" s="26">
        <f t="shared" si="0"/>
        <v>0.16477730286302317</v>
      </c>
      <c r="L30" s="22">
        <f t="shared" si="11"/>
        <v>95379.392663823033</v>
      </c>
      <c r="M30" s="5">
        <f>scrimecost*Meta!O27</f>
        <v>1435.53</v>
      </c>
      <c r="N30" s="5">
        <f>L30-Grade8!L30</f>
        <v>938.37368501223682</v>
      </c>
      <c r="O30" s="5">
        <f>Grade8!M30-M30</f>
        <v>30.29099999999994</v>
      </c>
      <c r="P30" s="22">
        <f t="shared" si="12"/>
        <v>178.162872574864</v>
      </c>
      <c r="S30" s="22">
        <f t="shared" si="1"/>
        <v>886.50954807745597</v>
      </c>
      <c r="T30" s="22">
        <f t="shared" si="2"/>
        <v>992.96276469835129</v>
      </c>
    </row>
    <row r="31" spans="1:20" x14ac:dyDescent="0.2">
      <c r="A31" s="5">
        <v>40</v>
      </c>
      <c r="B31" s="1">
        <f t="shared" si="3"/>
        <v>1.8539440983221533</v>
      </c>
      <c r="C31" s="5">
        <f t="shared" si="4"/>
        <v>41026.848687446109</v>
      </c>
      <c r="D31" s="5">
        <f t="shared" si="5"/>
        <v>39653.798858324015</v>
      </c>
      <c r="E31" s="5">
        <f t="shared" si="6"/>
        <v>30153.798858324015</v>
      </c>
      <c r="F31" s="5">
        <f t="shared" si="7"/>
        <v>10146.965327242791</v>
      </c>
      <c r="G31" s="5">
        <f t="shared" si="8"/>
        <v>29506.833531081225</v>
      </c>
      <c r="H31" s="22">
        <f t="shared" si="9"/>
        <v>18123.915595867758</v>
      </c>
      <c r="I31" s="5">
        <f t="shared" si="10"/>
        <v>46652.057684772124</v>
      </c>
      <c r="J31" s="26">
        <f t="shared" si="0"/>
        <v>0.16628175230025821</v>
      </c>
      <c r="L31" s="22">
        <f t="shared" si="11"/>
        <v>97763.877480418596</v>
      </c>
      <c r="M31" s="5">
        <f>scrimecost*Meta!O28</f>
        <v>1255.6799999999998</v>
      </c>
      <c r="N31" s="5">
        <f>L31-Grade8!L31</f>
        <v>961.83302713754529</v>
      </c>
      <c r="O31" s="5">
        <f>Grade8!M31-M31</f>
        <v>26.496000000000095</v>
      </c>
      <c r="P31" s="22">
        <f t="shared" si="12"/>
        <v>182.48279087289421</v>
      </c>
      <c r="S31" s="22">
        <f t="shared" si="1"/>
        <v>904.0514682622819</v>
      </c>
      <c r="T31" s="22">
        <f t="shared" si="2"/>
        <v>1017.2148303667784</v>
      </c>
    </row>
    <row r="32" spans="1:20" x14ac:dyDescent="0.2">
      <c r="A32" s="5">
        <v>41</v>
      </c>
      <c r="B32" s="1">
        <f t="shared" si="3"/>
        <v>1.9002927007802071</v>
      </c>
      <c r="C32" s="5">
        <f t="shared" si="4"/>
        <v>42052.51990463226</v>
      </c>
      <c r="D32" s="5">
        <f t="shared" si="5"/>
        <v>40624.083829782117</v>
      </c>
      <c r="E32" s="5">
        <f t="shared" si="6"/>
        <v>31124.083829782117</v>
      </c>
      <c r="F32" s="5">
        <f t="shared" si="7"/>
        <v>10463.763370423861</v>
      </c>
      <c r="G32" s="5">
        <f t="shared" si="8"/>
        <v>30160.320459358256</v>
      </c>
      <c r="H32" s="22">
        <f t="shared" si="9"/>
        <v>18577.013485764452</v>
      </c>
      <c r="I32" s="5">
        <f t="shared" si="10"/>
        <v>47734.175216891424</v>
      </c>
      <c r="J32" s="26">
        <f t="shared" si="0"/>
        <v>0.1677495078487802</v>
      </c>
      <c r="L32" s="22">
        <f t="shared" si="11"/>
        <v>100207.97441742904</v>
      </c>
      <c r="M32" s="5">
        <f>scrimecost*Meta!O29</f>
        <v>1255.6799999999998</v>
      </c>
      <c r="N32" s="5">
        <f>L32-Grade8!L32</f>
        <v>985.87885281596391</v>
      </c>
      <c r="O32" s="5">
        <f>Grade8!M32-M32</f>
        <v>26.496000000000095</v>
      </c>
      <c r="P32" s="22">
        <f t="shared" si="12"/>
        <v>186.91070712837521</v>
      </c>
      <c r="S32" s="22">
        <f t="shared" si="1"/>
        <v>925.86735320171181</v>
      </c>
      <c r="T32" s="22">
        <f t="shared" si="2"/>
        <v>1046.4977045560383</v>
      </c>
    </row>
    <row r="33" spans="1:20" x14ac:dyDescent="0.2">
      <c r="A33" s="5">
        <v>42</v>
      </c>
      <c r="B33" s="1">
        <f t="shared" si="3"/>
        <v>1.9478000182997122</v>
      </c>
      <c r="C33" s="5">
        <f t="shared" si="4"/>
        <v>43103.832902248068</v>
      </c>
      <c r="D33" s="5">
        <f t="shared" si="5"/>
        <v>41618.62592552667</v>
      </c>
      <c r="E33" s="5">
        <f t="shared" si="6"/>
        <v>32118.62592552667</v>
      </c>
      <c r="F33" s="5">
        <f t="shared" si="7"/>
        <v>10788.481364684458</v>
      </c>
      <c r="G33" s="5">
        <f t="shared" si="8"/>
        <v>30830.144560842215</v>
      </c>
      <c r="H33" s="22">
        <f t="shared" si="9"/>
        <v>19041.438822908563</v>
      </c>
      <c r="I33" s="5">
        <f t="shared" si="10"/>
        <v>48843.345687313718</v>
      </c>
      <c r="J33" s="26">
        <f t="shared" si="0"/>
        <v>0.16918146448148458</v>
      </c>
      <c r="L33" s="22">
        <f t="shared" si="11"/>
        <v>102713.17377786478</v>
      </c>
      <c r="M33" s="5">
        <f>scrimecost*Meta!O30</f>
        <v>1255.6799999999998</v>
      </c>
      <c r="N33" s="5">
        <f>L33-Grade8!L33</f>
        <v>1010.5258241363772</v>
      </c>
      <c r="O33" s="5">
        <f>Grade8!M33-M33</f>
        <v>26.496000000000095</v>
      </c>
      <c r="P33" s="22">
        <f t="shared" si="12"/>
        <v>191.44932129024323</v>
      </c>
      <c r="S33" s="22">
        <f t="shared" si="1"/>
        <v>948.22863526465221</v>
      </c>
      <c r="T33" s="22">
        <f t="shared" si="2"/>
        <v>1076.6450732375251</v>
      </c>
    </row>
    <row r="34" spans="1:20" x14ac:dyDescent="0.2">
      <c r="A34" s="5">
        <v>43</v>
      </c>
      <c r="B34" s="1">
        <f t="shared" si="3"/>
        <v>1.9964950187572048</v>
      </c>
      <c r="C34" s="5">
        <f t="shared" si="4"/>
        <v>44181.428724804267</v>
      </c>
      <c r="D34" s="5">
        <f t="shared" si="5"/>
        <v>42638.031573664834</v>
      </c>
      <c r="E34" s="5">
        <f t="shared" si="6"/>
        <v>33138.031573664834</v>
      </c>
      <c r="F34" s="5">
        <f t="shared" si="7"/>
        <v>11121.317308801568</v>
      </c>
      <c r="G34" s="5">
        <f t="shared" si="8"/>
        <v>31516.714264863265</v>
      </c>
      <c r="H34" s="22">
        <f t="shared" si="9"/>
        <v>19517.474793481273</v>
      </c>
      <c r="I34" s="5">
        <f t="shared" si="10"/>
        <v>49980.245419496554</v>
      </c>
      <c r="J34" s="26">
        <f t="shared" si="0"/>
        <v>0.17057849534265962</v>
      </c>
      <c r="L34" s="22">
        <f t="shared" si="11"/>
        <v>105281.00312231139</v>
      </c>
      <c r="M34" s="5">
        <f>scrimecost*Meta!O31</f>
        <v>1255.6799999999998</v>
      </c>
      <c r="N34" s="5">
        <f>L34-Grade8!L34</f>
        <v>1035.7889697397768</v>
      </c>
      <c r="O34" s="5">
        <f>Grade8!M34-M34</f>
        <v>26.496000000000095</v>
      </c>
      <c r="P34" s="22">
        <f t="shared" si="12"/>
        <v>196.10140080615798</v>
      </c>
      <c r="S34" s="22">
        <f t="shared" si="1"/>
        <v>971.14894937914892</v>
      </c>
      <c r="T34" s="22">
        <f t="shared" si="2"/>
        <v>1107.6825589803364</v>
      </c>
    </row>
    <row r="35" spans="1:20" x14ac:dyDescent="0.2">
      <c r="A35" s="5">
        <v>44</v>
      </c>
      <c r="B35" s="1">
        <f t="shared" si="3"/>
        <v>2.0464073942261352</v>
      </c>
      <c r="C35" s="5">
        <f t="shared" si="4"/>
        <v>45285.964442924378</v>
      </c>
      <c r="D35" s="5">
        <f t="shared" si="5"/>
        <v>43682.922363006459</v>
      </c>
      <c r="E35" s="5">
        <f t="shared" si="6"/>
        <v>34182.922363006459</v>
      </c>
      <c r="F35" s="5">
        <f t="shared" si="7"/>
        <v>11462.474151521608</v>
      </c>
      <c r="G35" s="5">
        <f t="shared" si="8"/>
        <v>32220.448211484851</v>
      </c>
      <c r="H35" s="22">
        <f t="shared" si="9"/>
        <v>20005.411663318308</v>
      </c>
      <c r="I35" s="5">
        <f t="shared" si="10"/>
        <v>51145.567644983967</v>
      </c>
      <c r="J35" s="26">
        <f t="shared" si="0"/>
        <v>0.17194145228039134</v>
      </c>
      <c r="L35" s="22">
        <f t="shared" si="11"/>
        <v>107913.02820036917</v>
      </c>
      <c r="M35" s="5">
        <f>scrimecost*Meta!O32</f>
        <v>1255.6799999999998</v>
      </c>
      <c r="N35" s="5">
        <f>L35-Grade8!L35</f>
        <v>1061.6836939832865</v>
      </c>
      <c r="O35" s="5">
        <f>Grade8!M35-M35</f>
        <v>26.496000000000095</v>
      </c>
      <c r="P35" s="22">
        <f t="shared" si="12"/>
        <v>200.86978230997059</v>
      </c>
      <c r="S35" s="22">
        <f t="shared" si="1"/>
        <v>994.64227134652606</v>
      </c>
      <c r="T35" s="22">
        <f t="shared" si="2"/>
        <v>1139.6365442359711</v>
      </c>
    </row>
    <row r="36" spans="1:20" x14ac:dyDescent="0.2">
      <c r="A36" s="5">
        <v>45</v>
      </c>
      <c r="B36" s="1">
        <f t="shared" si="3"/>
        <v>2.097567579081788</v>
      </c>
      <c r="C36" s="5">
        <f t="shared" si="4"/>
        <v>46418.113553997471</v>
      </c>
      <c r="D36" s="5">
        <f t="shared" si="5"/>
        <v>44753.935422081609</v>
      </c>
      <c r="E36" s="5">
        <f t="shared" si="6"/>
        <v>35253.935422081609</v>
      </c>
      <c r="F36" s="5">
        <f t="shared" si="7"/>
        <v>11887.553457517806</v>
      </c>
      <c r="G36" s="5">
        <f t="shared" si="8"/>
        <v>32866.3819645638</v>
      </c>
      <c r="H36" s="22">
        <f t="shared" si="9"/>
        <v>20505.546954901263</v>
      </c>
      <c r="I36" s="5">
        <f t="shared" si="10"/>
        <v>52264.629383900392</v>
      </c>
      <c r="J36" s="26">
        <f t="shared" si="0"/>
        <v>0.17446203354044526</v>
      </c>
      <c r="L36" s="22">
        <f t="shared" si="11"/>
        <v>110610.85390537839</v>
      </c>
      <c r="M36" s="5">
        <f>scrimecost*Meta!O33</f>
        <v>1014.7900000000001</v>
      </c>
      <c r="N36" s="5">
        <f>L36-Grade8!L36</f>
        <v>1088.2257863328268</v>
      </c>
      <c r="O36" s="5">
        <f>Grade8!M36-M36</f>
        <v>21.412999999999897</v>
      </c>
      <c r="P36" s="22">
        <f t="shared" si="12"/>
        <v>206.81115603181951</v>
      </c>
      <c r="S36" s="22">
        <f t="shared" si="1"/>
        <v>1014.7501180859609</v>
      </c>
      <c r="T36" s="22">
        <f t="shared" si="2"/>
        <v>1167.9615535336939</v>
      </c>
    </row>
    <row r="37" spans="1:20" x14ac:dyDescent="0.2">
      <c r="A37" s="5">
        <v>46</v>
      </c>
      <c r="B37" s="1">
        <f t="shared" ref="B37:B56" si="13">(1+experiencepremium)^(A37-startage)</f>
        <v>2.1500067685588333</v>
      </c>
      <c r="C37" s="5">
        <f t="shared" ref="C37:C56" si="14">pretaxincome*B37/expnorm</f>
        <v>47578.566392847424</v>
      </c>
      <c r="D37" s="5">
        <f t="shared" ref="D37:D56" si="15">IF(A37&lt;startage,1,0)*(C37*(1-initialunempprob))+IF(A37=startage,1,0)*(C37*(1-unempprob))+IF(A37&gt;startage,1,0)*(C37*(1-unempprob)+unempprob*300*52)</f>
        <v>45851.723807633665</v>
      </c>
      <c r="E37" s="5">
        <f t="shared" si="6"/>
        <v>36351.723807633665</v>
      </c>
      <c r="F37" s="5">
        <f t="shared" si="7"/>
        <v>12355.760203955757</v>
      </c>
      <c r="G37" s="5">
        <f t="shared" si="8"/>
        <v>33495.963603677912</v>
      </c>
      <c r="H37" s="22">
        <f t="shared" ref="H37:H56" si="16">benefits*B37/expnorm</f>
        <v>21018.185628773797</v>
      </c>
      <c r="I37" s="5">
        <f t="shared" ref="I37:I56" si="17">G37+IF(A37&lt;startage,1,0)*(H37*(1-initialunempprob))+IF(A37&gt;=startage,1,0)*(H37*(1-unempprob))</f>
        <v>53379.167208497922</v>
      </c>
      <c r="J37" s="26">
        <f t="shared" ref="J37:J56" si="18">(F37-(IF(A37&gt;startage,1,0)*(unempprob*300*52)))/(IF(A37&lt;startage,1,0)*((C37+H37)*(1-initialunempprob))+IF(A37&gt;=startage,1,0)*((C37+H37)*(1-unempprob)))</f>
        <v>0.1774219723447881</v>
      </c>
      <c r="L37" s="22">
        <f t="shared" ref="L37:L56" si="19">(sincome+sbenefits)*(1-sunemp)*B37/expnorm</f>
        <v>113376.12525301287</v>
      </c>
      <c r="M37" s="5">
        <f>scrimecost*Meta!O34</f>
        <v>1014.7900000000001</v>
      </c>
      <c r="N37" s="5">
        <f>L37-Grade8!L37</f>
        <v>1115.4314309911861</v>
      </c>
      <c r="O37" s="5">
        <f>Grade8!M37-M37</f>
        <v>21.412999999999897</v>
      </c>
      <c r="P37" s="22">
        <f t="shared" si="12"/>
        <v>213.35532607359443</v>
      </c>
      <c r="S37" s="22">
        <f t="shared" ref="S37:S68" si="20">IF(A37&lt;startage,1,0)*(N37-Q37-R37)+IF(A37&gt;=startage,1,0)*completionprob*(N37*spart+O37+P37)</f>
        <v>1040.9456972531436</v>
      </c>
      <c r="T37" s="22">
        <f t="shared" ref="T37:T68" si="21">S37/sreturn^(A37-startage+1)</f>
        <v>1203.5592991752374</v>
      </c>
    </row>
    <row r="38" spans="1:20" x14ac:dyDescent="0.2">
      <c r="A38" s="5">
        <v>47</v>
      </c>
      <c r="B38" s="1">
        <f t="shared" si="13"/>
        <v>2.2037569377728037</v>
      </c>
      <c r="C38" s="5">
        <f t="shared" si="14"/>
        <v>48768.030552668599</v>
      </c>
      <c r="D38" s="5">
        <f t="shared" si="15"/>
        <v>46976.956902824495</v>
      </c>
      <c r="E38" s="5">
        <f t="shared" si="6"/>
        <v>37476.956902824495</v>
      </c>
      <c r="F38" s="5">
        <f t="shared" si="7"/>
        <v>12835.672119054647</v>
      </c>
      <c r="G38" s="5">
        <f t="shared" si="8"/>
        <v>34141.28478376985</v>
      </c>
      <c r="H38" s="22">
        <f t="shared" si="16"/>
        <v>21543.640269493138</v>
      </c>
      <c r="I38" s="5">
        <f t="shared" si="17"/>
        <v>54521.568478710353</v>
      </c>
      <c r="J38" s="26">
        <f t="shared" si="18"/>
        <v>0.18030971751975661</v>
      </c>
      <c r="L38" s="22">
        <f t="shared" si="19"/>
        <v>116210.52838433818</v>
      </c>
      <c r="M38" s="5">
        <f>scrimecost*Meta!O35</f>
        <v>1014.7900000000001</v>
      </c>
      <c r="N38" s="5">
        <f>L38-Grade8!L38</f>
        <v>1143.317216765965</v>
      </c>
      <c r="O38" s="5">
        <f>Grade8!M38-M38</f>
        <v>21.412999999999897</v>
      </c>
      <c r="P38" s="22">
        <f t="shared" ref="P38:P56" si="22">(spart-initialspart)*(L38*J38+nptrans)</f>
        <v>220.06310036641358</v>
      </c>
      <c r="S38" s="22">
        <f t="shared" si="20"/>
        <v>1067.7961658994775</v>
      </c>
      <c r="T38" s="22">
        <f t="shared" si="21"/>
        <v>1240.2172206907037</v>
      </c>
    </row>
    <row r="39" spans="1:20" x14ac:dyDescent="0.2">
      <c r="A39" s="5">
        <v>48</v>
      </c>
      <c r="B39" s="1">
        <f t="shared" si="13"/>
        <v>2.2588508612171236</v>
      </c>
      <c r="C39" s="5">
        <f t="shared" si="14"/>
        <v>49987.231316485311</v>
      </c>
      <c r="D39" s="5">
        <f t="shared" si="15"/>
        <v>48130.320825395102</v>
      </c>
      <c r="E39" s="5">
        <f t="shared" si="6"/>
        <v>38630.320825395102</v>
      </c>
      <c r="F39" s="5">
        <f t="shared" si="7"/>
        <v>13327.58183203101</v>
      </c>
      <c r="G39" s="5">
        <f t="shared" si="8"/>
        <v>34802.738993364095</v>
      </c>
      <c r="H39" s="22">
        <f t="shared" si="16"/>
        <v>22082.231276230468</v>
      </c>
      <c r="I39" s="5">
        <f t="shared" si="17"/>
        <v>55692.529780678116</v>
      </c>
      <c r="J39" s="26">
        <f t="shared" si="18"/>
        <v>0.18312702988557961</v>
      </c>
      <c r="L39" s="22">
        <f t="shared" si="19"/>
        <v>119115.7915939466</v>
      </c>
      <c r="M39" s="5">
        <f>scrimecost*Meta!O36</f>
        <v>1014.7900000000001</v>
      </c>
      <c r="N39" s="5">
        <f>L39-Grade8!L39</f>
        <v>1171.9001471850788</v>
      </c>
      <c r="O39" s="5">
        <f>Grade8!M39-M39</f>
        <v>21.412999999999897</v>
      </c>
      <c r="P39" s="22">
        <f t="shared" si="22"/>
        <v>226.93856901655326</v>
      </c>
      <c r="S39" s="22">
        <f t="shared" si="20"/>
        <v>1095.3178962619443</v>
      </c>
      <c r="T39" s="22">
        <f t="shared" si="21"/>
        <v>1277.9667826700872</v>
      </c>
    </row>
    <row r="40" spans="1:20" x14ac:dyDescent="0.2">
      <c r="A40" s="5">
        <v>49</v>
      </c>
      <c r="B40" s="1">
        <f t="shared" si="13"/>
        <v>2.3153221327475517</v>
      </c>
      <c r="C40" s="5">
        <f t="shared" si="14"/>
        <v>51236.912099397443</v>
      </c>
      <c r="D40" s="5">
        <f t="shared" si="15"/>
        <v>49312.518846029983</v>
      </c>
      <c r="E40" s="5">
        <f t="shared" si="6"/>
        <v>39812.518846029983</v>
      </c>
      <c r="F40" s="5">
        <f t="shared" si="7"/>
        <v>13831.789287831787</v>
      </c>
      <c r="G40" s="5">
        <f t="shared" si="8"/>
        <v>35480.729558198196</v>
      </c>
      <c r="H40" s="22">
        <f t="shared" si="16"/>
        <v>22634.287058136229</v>
      </c>
      <c r="I40" s="5">
        <f t="shared" si="17"/>
        <v>56892.76511519507</v>
      </c>
      <c r="J40" s="26">
        <f t="shared" si="18"/>
        <v>0.18587562731565083</v>
      </c>
      <c r="L40" s="22">
        <f t="shared" si="19"/>
        <v>122093.68638379528</v>
      </c>
      <c r="M40" s="5">
        <f>scrimecost*Meta!O37</f>
        <v>1014.7900000000001</v>
      </c>
      <c r="N40" s="5">
        <f>L40-Grade8!L40</f>
        <v>1201.1976508647494</v>
      </c>
      <c r="O40" s="5">
        <f>Grade8!M40-M40</f>
        <v>21.412999999999897</v>
      </c>
      <c r="P40" s="22">
        <f t="shared" si="22"/>
        <v>233.98592438294648</v>
      </c>
      <c r="S40" s="22">
        <f t="shared" si="20"/>
        <v>1123.5276698835303</v>
      </c>
      <c r="T40" s="22">
        <f t="shared" si="21"/>
        <v>1316.8403830334623</v>
      </c>
    </row>
    <row r="41" spans="1:20" x14ac:dyDescent="0.2">
      <c r="A41" s="5">
        <v>50</v>
      </c>
      <c r="B41" s="1">
        <f t="shared" si="13"/>
        <v>2.3732051860662402</v>
      </c>
      <c r="C41" s="5">
        <f t="shared" si="14"/>
        <v>52517.834901882379</v>
      </c>
      <c r="D41" s="5">
        <f t="shared" si="15"/>
        <v>50524.271817180728</v>
      </c>
      <c r="E41" s="5">
        <f t="shared" si="6"/>
        <v>41024.271817180728</v>
      </c>
      <c r="F41" s="5">
        <f t="shared" si="7"/>
        <v>14348.60193002758</v>
      </c>
      <c r="G41" s="5">
        <f t="shared" si="8"/>
        <v>36175.669887153148</v>
      </c>
      <c r="H41" s="22">
        <f t="shared" si="16"/>
        <v>23200.144234589632</v>
      </c>
      <c r="I41" s="5">
        <f t="shared" si="17"/>
        <v>58123.00633307494</v>
      </c>
      <c r="J41" s="26">
        <f t="shared" si="18"/>
        <v>0.18855718578401298</v>
      </c>
      <c r="L41" s="22">
        <f t="shared" si="19"/>
        <v>125146.02854339014</v>
      </c>
      <c r="M41" s="5">
        <f>scrimecost*Meta!O38</f>
        <v>677.98</v>
      </c>
      <c r="N41" s="5">
        <f>L41-Grade8!L41</f>
        <v>1231.2275921363325</v>
      </c>
      <c r="O41" s="5">
        <f>Grade8!M41-M41</f>
        <v>14.305999999999926</v>
      </c>
      <c r="P41" s="22">
        <f t="shared" si="22"/>
        <v>241.20946363349947</v>
      </c>
      <c r="S41" s="22">
        <f t="shared" si="20"/>
        <v>1145.4351858455982</v>
      </c>
      <c r="T41" s="22">
        <f t="shared" si="21"/>
        <v>1348.6208368780412</v>
      </c>
    </row>
    <row r="42" spans="1:20" x14ac:dyDescent="0.2">
      <c r="A42" s="5">
        <v>51</v>
      </c>
      <c r="B42" s="1">
        <f t="shared" si="13"/>
        <v>2.4325353157178964</v>
      </c>
      <c r="C42" s="5">
        <f t="shared" si="14"/>
        <v>53830.78077442944</v>
      </c>
      <c r="D42" s="5">
        <f t="shared" si="15"/>
        <v>51766.318612610252</v>
      </c>
      <c r="E42" s="5">
        <f t="shared" si="6"/>
        <v>42266.318612610252</v>
      </c>
      <c r="F42" s="5">
        <f t="shared" si="7"/>
        <v>14878.334888278274</v>
      </c>
      <c r="G42" s="5">
        <f t="shared" si="8"/>
        <v>36887.983724331978</v>
      </c>
      <c r="H42" s="22">
        <f t="shared" si="16"/>
        <v>23780.14784045437</v>
      </c>
      <c r="I42" s="5">
        <f t="shared" si="17"/>
        <v>59384.003581401812</v>
      </c>
      <c r="J42" s="26">
        <f t="shared" si="18"/>
        <v>0.19117334038729322</v>
      </c>
      <c r="L42" s="22">
        <f t="shared" si="19"/>
        <v>128274.67925697492</v>
      </c>
      <c r="M42" s="5">
        <f>scrimecost*Meta!O39</f>
        <v>677.98</v>
      </c>
      <c r="N42" s="5">
        <f>L42-Grade8!L42</f>
        <v>1262.0082819397794</v>
      </c>
      <c r="O42" s="5">
        <f>Grade8!M42-M42</f>
        <v>14.305999999999926</v>
      </c>
      <c r="P42" s="22">
        <f t="shared" si="22"/>
        <v>248.61359136531644</v>
      </c>
      <c r="S42" s="22">
        <f t="shared" si="20"/>
        <v>1175.073079256772</v>
      </c>
      <c r="T42" s="22">
        <f t="shared" si="21"/>
        <v>1389.8060704302577</v>
      </c>
    </row>
    <row r="43" spans="1:20" x14ac:dyDescent="0.2">
      <c r="A43" s="5">
        <v>52</v>
      </c>
      <c r="B43" s="1">
        <f t="shared" si="13"/>
        <v>2.4933486986108435</v>
      </c>
      <c r="C43" s="5">
        <f t="shared" si="14"/>
        <v>55176.550293790162</v>
      </c>
      <c r="D43" s="5">
        <f t="shared" si="15"/>
        <v>53039.416577925491</v>
      </c>
      <c r="E43" s="5">
        <f t="shared" si="6"/>
        <v>43539.416577925491</v>
      </c>
      <c r="F43" s="5">
        <f t="shared" si="7"/>
        <v>15421.311170485222</v>
      </c>
      <c r="G43" s="5">
        <f t="shared" si="8"/>
        <v>37618.105407440271</v>
      </c>
      <c r="H43" s="22">
        <f t="shared" si="16"/>
        <v>24374.651536465728</v>
      </c>
      <c r="I43" s="5">
        <f t="shared" si="17"/>
        <v>60676.525760936849</v>
      </c>
      <c r="J43" s="26">
        <f t="shared" si="18"/>
        <v>0.1937256863417128</v>
      </c>
      <c r="L43" s="22">
        <f t="shared" si="19"/>
        <v>131481.54623839929</v>
      </c>
      <c r="M43" s="5">
        <f>scrimecost*Meta!O40</f>
        <v>677.98</v>
      </c>
      <c r="N43" s="5">
        <f>L43-Grade8!L43</f>
        <v>1293.558488988303</v>
      </c>
      <c r="O43" s="5">
        <f>Grade8!M43-M43</f>
        <v>14.305999999999926</v>
      </c>
      <c r="P43" s="22">
        <f t="shared" si="22"/>
        <v>256.20282229042863</v>
      </c>
      <c r="S43" s="22">
        <f t="shared" si="20"/>
        <v>1205.4519200032182</v>
      </c>
      <c r="T43" s="22">
        <f t="shared" si="21"/>
        <v>1432.2182465326023</v>
      </c>
    </row>
    <row r="44" spans="1:20" x14ac:dyDescent="0.2">
      <c r="A44" s="5">
        <v>53</v>
      </c>
      <c r="B44" s="1">
        <f t="shared" si="13"/>
        <v>2.555682416076114</v>
      </c>
      <c r="C44" s="5">
        <f t="shared" si="14"/>
        <v>56555.964051134906</v>
      </c>
      <c r="D44" s="5">
        <f t="shared" si="15"/>
        <v>54344.341992373622</v>
      </c>
      <c r="E44" s="5">
        <f t="shared" si="6"/>
        <v>44844.341992373622</v>
      </c>
      <c r="F44" s="5">
        <f t="shared" si="7"/>
        <v>15977.861859747351</v>
      </c>
      <c r="G44" s="5">
        <f t="shared" si="8"/>
        <v>38366.480132626268</v>
      </c>
      <c r="H44" s="22">
        <f t="shared" si="16"/>
        <v>24984.017824877366</v>
      </c>
      <c r="I44" s="5">
        <f t="shared" si="17"/>
        <v>62001.360994960254</v>
      </c>
      <c r="J44" s="26">
        <f t="shared" si="18"/>
        <v>0.19621577995578082</v>
      </c>
      <c r="L44" s="22">
        <f t="shared" si="19"/>
        <v>134768.58489435923</v>
      </c>
      <c r="M44" s="5">
        <f>scrimecost*Meta!O41</f>
        <v>677.98</v>
      </c>
      <c r="N44" s="5">
        <f>L44-Grade8!L44</f>
        <v>1325.8974512129498</v>
      </c>
      <c r="O44" s="5">
        <f>Grade8!M44-M44</f>
        <v>14.305999999999926</v>
      </c>
      <c r="P44" s="22">
        <f t="shared" si="22"/>
        <v>263.98178398866872</v>
      </c>
      <c r="S44" s="22">
        <f t="shared" si="20"/>
        <v>1236.5902317682601</v>
      </c>
      <c r="T44" s="22">
        <f t="shared" si="21"/>
        <v>1475.8937808127848</v>
      </c>
    </row>
    <row r="45" spans="1:20" x14ac:dyDescent="0.2">
      <c r="A45" s="5">
        <v>54</v>
      </c>
      <c r="B45" s="1">
        <f t="shared" si="13"/>
        <v>2.6195744764780171</v>
      </c>
      <c r="C45" s="5">
        <f t="shared" si="14"/>
        <v>57969.863152413287</v>
      </c>
      <c r="D45" s="5">
        <f t="shared" si="15"/>
        <v>55681.89054218297</v>
      </c>
      <c r="E45" s="5">
        <f t="shared" si="6"/>
        <v>46181.89054218297</v>
      </c>
      <c r="F45" s="5">
        <f t="shared" si="7"/>
        <v>16548.326316241037</v>
      </c>
      <c r="G45" s="5">
        <f t="shared" si="8"/>
        <v>39133.564225941933</v>
      </c>
      <c r="H45" s="22">
        <f t="shared" si="16"/>
        <v>25608.618270499304</v>
      </c>
      <c r="I45" s="5">
        <f t="shared" si="17"/>
        <v>63359.317109834272</v>
      </c>
      <c r="J45" s="26">
        <f t="shared" si="18"/>
        <v>0.19864513957926175</v>
      </c>
      <c r="L45" s="22">
        <f t="shared" si="19"/>
        <v>138137.79951671822</v>
      </c>
      <c r="M45" s="5">
        <f>scrimecost*Meta!O42</f>
        <v>677.98</v>
      </c>
      <c r="N45" s="5">
        <f>L45-Grade8!L45</f>
        <v>1359.0448874933063</v>
      </c>
      <c r="O45" s="5">
        <f>Grade8!M45-M45</f>
        <v>14.305999999999926</v>
      </c>
      <c r="P45" s="22">
        <f t="shared" si="22"/>
        <v>271.95521972936473</v>
      </c>
      <c r="S45" s="22">
        <f t="shared" si="20"/>
        <v>1268.5070013274958</v>
      </c>
      <c r="T45" s="22">
        <f t="shared" si="21"/>
        <v>1520.8701690981068</v>
      </c>
    </row>
    <row r="46" spans="1:20" x14ac:dyDescent="0.2">
      <c r="A46" s="5">
        <v>55</v>
      </c>
      <c r="B46" s="1">
        <f t="shared" si="13"/>
        <v>2.6850638383899672</v>
      </c>
      <c r="C46" s="5">
        <f t="shared" si="14"/>
        <v>59419.109731223609</v>
      </c>
      <c r="D46" s="5">
        <f t="shared" si="15"/>
        <v>57052.877805737531</v>
      </c>
      <c r="E46" s="5">
        <f t="shared" si="6"/>
        <v>47552.877805737531</v>
      </c>
      <c r="F46" s="5">
        <f t="shared" si="7"/>
        <v>17133.052384147057</v>
      </c>
      <c r="G46" s="5">
        <f t="shared" si="8"/>
        <v>39919.825421590474</v>
      </c>
      <c r="H46" s="22">
        <f t="shared" si="16"/>
        <v>26248.833727261783</v>
      </c>
      <c r="I46" s="5">
        <f t="shared" si="17"/>
        <v>64751.22212758012</v>
      </c>
      <c r="J46" s="26">
        <f t="shared" si="18"/>
        <v>0.20101524652899921</v>
      </c>
      <c r="L46" s="22">
        <f t="shared" si="19"/>
        <v>141591.24450463615</v>
      </c>
      <c r="M46" s="5">
        <f>scrimecost*Meta!O43</f>
        <v>376.04999999999995</v>
      </c>
      <c r="N46" s="5">
        <f>L46-Grade8!L46</f>
        <v>1393.0210096806113</v>
      </c>
      <c r="O46" s="5">
        <f>Grade8!M46-M46</f>
        <v>7.9350000000000023</v>
      </c>
      <c r="P46" s="22">
        <f t="shared" si="22"/>
        <v>280.12799136357813</v>
      </c>
      <c r="S46" s="22">
        <f t="shared" si="20"/>
        <v>1294.9398841256689</v>
      </c>
      <c r="T46" s="22">
        <f t="shared" si="21"/>
        <v>1559.620238300334</v>
      </c>
    </row>
    <row r="47" spans="1:20" x14ac:dyDescent="0.2">
      <c r="A47" s="5">
        <v>56</v>
      </c>
      <c r="B47" s="1">
        <f t="shared" si="13"/>
        <v>2.7521904343497163</v>
      </c>
      <c r="C47" s="5">
        <f t="shared" si="14"/>
        <v>60904.587474504195</v>
      </c>
      <c r="D47" s="5">
        <f t="shared" si="15"/>
        <v>58458.139750880968</v>
      </c>
      <c r="E47" s="5">
        <f t="shared" si="6"/>
        <v>48958.139750880968</v>
      </c>
      <c r="F47" s="5">
        <f t="shared" si="7"/>
        <v>17732.396603750734</v>
      </c>
      <c r="G47" s="5">
        <f t="shared" si="8"/>
        <v>40725.743147130233</v>
      </c>
      <c r="H47" s="22">
        <f t="shared" si="16"/>
        <v>26905.054570443328</v>
      </c>
      <c r="I47" s="5">
        <f t="shared" si="17"/>
        <v>66177.924770769619</v>
      </c>
      <c r="J47" s="26">
        <f t="shared" si="18"/>
        <v>0.20332754599215777</v>
      </c>
      <c r="L47" s="22">
        <f t="shared" si="19"/>
        <v>145131.02561725205</v>
      </c>
      <c r="M47" s="5">
        <f>scrimecost*Meta!O44</f>
        <v>376.04999999999995</v>
      </c>
      <c r="N47" s="5">
        <f>L47-Grade8!L47</f>
        <v>1427.8465349226317</v>
      </c>
      <c r="O47" s="5">
        <f>Grade8!M47-M47</f>
        <v>7.9350000000000023</v>
      </c>
      <c r="P47" s="22">
        <f t="shared" si="22"/>
        <v>288.50508228864697</v>
      </c>
      <c r="S47" s="22">
        <f t="shared" si="20"/>
        <v>1328.4724401438198</v>
      </c>
      <c r="T47" s="22">
        <f t="shared" si="21"/>
        <v>1607.280907299903</v>
      </c>
    </row>
    <row r="48" spans="1:20" x14ac:dyDescent="0.2">
      <c r="A48" s="5">
        <v>57</v>
      </c>
      <c r="B48" s="1">
        <f t="shared" si="13"/>
        <v>2.8209951952084591</v>
      </c>
      <c r="C48" s="5">
        <f t="shared" si="14"/>
        <v>62427.202161366804</v>
      </c>
      <c r="D48" s="5">
        <f t="shared" si="15"/>
        <v>59898.533244652994</v>
      </c>
      <c r="E48" s="5">
        <f t="shared" si="6"/>
        <v>50398.533244652994</v>
      </c>
      <c r="F48" s="5">
        <f t="shared" si="7"/>
        <v>18346.724428844504</v>
      </c>
      <c r="G48" s="5">
        <f t="shared" si="8"/>
        <v>41551.808815808487</v>
      </c>
      <c r="H48" s="22">
        <f t="shared" si="16"/>
        <v>27577.680934704407</v>
      </c>
      <c r="I48" s="5">
        <f t="shared" si="17"/>
        <v>67640.29498003886</v>
      </c>
      <c r="J48" s="26">
        <f t="shared" si="18"/>
        <v>0.20558344790743444</v>
      </c>
      <c r="L48" s="22">
        <f t="shared" si="19"/>
        <v>148759.30125768334</v>
      </c>
      <c r="M48" s="5">
        <f>scrimecost*Meta!O45</f>
        <v>376.04999999999995</v>
      </c>
      <c r="N48" s="5">
        <f>L48-Grade8!L48</f>
        <v>1463.5426982956997</v>
      </c>
      <c r="O48" s="5">
        <f>Grade8!M48-M48</f>
        <v>7.9350000000000023</v>
      </c>
      <c r="P48" s="22">
        <f t="shared" si="22"/>
        <v>297.09160048684259</v>
      </c>
      <c r="S48" s="22">
        <f t="shared" si="20"/>
        <v>1362.8433100624229</v>
      </c>
      <c r="T48" s="22">
        <f t="shared" si="21"/>
        <v>1656.3615677744108</v>
      </c>
    </row>
    <row r="49" spans="1:20" x14ac:dyDescent="0.2">
      <c r="A49" s="5">
        <v>58</v>
      </c>
      <c r="B49" s="1">
        <f t="shared" si="13"/>
        <v>2.8915200750886707</v>
      </c>
      <c r="C49" s="5">
        <f t="shared" si="14"/>
        <v>63987.882215400976</v>
      </c>
      <c r="D49" s="5">
        <f t="shared" si="15"/>
        <v>61374.936575769323</v>
      </c>
      <c r="E49" s="5">
        <f t="shared" si="6"/>
        <v>51874.936575769323</v>
      </c>
      <c r="F49" s="5">
        <f t="shared" si="7"/>
        <v>18976.410449565617</v>
      </c>
      <c r="G49" s="5">
        <f t="shared" si="8"/>
        <v>42398.526126203709</v>
      </c>
      <c r="H49" s="22">
        <f t="shared" si="16"/>
        <v>28267.122958072021</v>
      </c>
      <c r="I49" s="5">
        <f t="shared" si="17"/>
        <v>69139.224444539839</v>
      </c>
      <c r="J49" s="26">
        <f t="shared" si="18"/>
        <v>0.20778432782477749</v>
      </c>
      <c r="L49" s="22">
        <f t="shared" si="19"/>
        <v>152478.28378912542</v>
      </c>
      <c r="M49" s="5">
        <f>scrimecost*Meta!O46</f>
        <v>376.04999999999995</v>
      </c>
      <c r="N49" s="5">
        <f>L49-Grade8!L49</f>
        <v>1500.1312657530943</v>
      </c>
      <c r="O49" s="5">
        <f>Grade8!M49-M49</f>
        <v>7.9350000000000023</v>
      </c>
      <c r="P49" s="22">
        <f t="shared" si="22"/>
        <v>305.89278163999302</v>
      </c>
      <c r="S49" s="22">
        <f t="shared" si="20"/>
        <v>1398.0734517289907</v>
      </c>
      <c r="T49" s="22">
        <f t="shared" si="21"/>
        <v>1706.9043656744584</v>
      </c>
    </row>
    <row r="50" spans="1:20" x14ac:dyDescent="0.2">
      <c r="A50" s="5">
        <v>59</v>
      </c>
      <c r="B50" s="1">
        <f t="shared" si="13"/>
        <v>2.9638080769658868</v>
      </c>
      <c r="C50" s="5">
        <f t="shared" si="14"/>
        <v>65587.57927078598</v>
      </c>
      <c r="D50" s="5">
        <f t="shared" si="15"/>
        <v>62888.249990163538</v>
      </c>
      <c r="E50" s="5">
        <f t="shared" si="6"/>
        <v>53388.249990163538</v>
      </c>
      <c r="F50" s="5">
        <f t="shared" si="7"/>
        <v>19621.838620804752</v>
      </c>
      <c r="G50" s="5">
        <f t="shared" si="8"/>
        <v>43266.411369358786</v>
      </c>
      <c r="H50" s="22">
        <f t="shared" si="16"/>
        <v>28973.801032023814</v>
      </c>
      <c r="I50" s="5">
        <f t="shared" si="17"/>
        <v>70675.627145653314</v>
      </c>
      <c r="J50" s="26">
        <f t="shared" si="18"/>
        <v>0.20993152774413659</v>
      </c>
      <c r="L50" s="22">
        <f t="shared" si="19"/>
        <v>156290.24088385352</v>
      </c>
      <c r="M50" s="5">
        <f>scrimecost*Meta!O47</f>
        <v>376.04999999999995</v>
      </c>
      <c r="N50" s="5">
        <f>L50-Grade8!L50</f>
        <v>1537.6345473968831</v>
      </c>
      <c r="O50" s="5">
        <f>Grade8!M50-M50</f>
        <v>7.9350000000000023</v>
      </c>
      <c r="P50" s="22">
        <f t="shared" si="22"/>
        <v>314.91399232197216</v>
      </c>
      <c r="S50" s="22">
        <f t="shared" si="20"/>
        <v>1434.1843469371931</v>
      </c>
      <c r="T50" s="22">
        <f t="shared" si="21"/>
        <v>1758.9526971318326</v>
      </c>
    </row>
    <row r="51" spans="1:20" x14ac:dyDescent="0.2">
      <c r="A51" s="5">
        <v>60</v>
      </c>
      <c r="B51" s="1">
        <f t="shared" si="13"/>
        <v>3.0379032788900342</v>
      </c>
      <c r="C51" s="5">
        <f t="shared" si="14"/>
        <v>67227.268752555639</v>
      </c>
      <c r="D51" s="5">
        <f t="shared" si="15"/>
        <v>64439.396239917631</v>
      </c>
      <c r="E51" s="5">
        <f t="shared" si="6"/>
        <v>54939.396239917631</v>
      </c>
      <c r="F51" s="5">
        <f t="shared" si="7"/>
        <v>20283.40249632487</v>
      </c>
      <c r="G51" s="5">
        <f t="shared" si="8"/>
        <v>44155.993743592757</v>
      </c>
      <c r="H51" s="22">
        <f t="shared" si="16"/>
        <v>29698.146057824415</v>
      </c>
      <c r="I51" s="5">
        <f t="shared" si="17"/>
        <v>72250.439914294649</v>
      </c>
      <c r="J51" s="26">
        <f t="shared" si="18"/>
        <v>0.21202635693375516</v>
      </c>
      <c r="L51" s="22">
        <f t="shared" si="19"/>
        <v>160197.4969059499</v>
      </c>
      <c r="M51" s="5">
        <f>scrimecost*Meta!O48</f>
        <v>198.38</v>
      </c>
      <c r="N51" s="5">
        <f>L51-Grade8!L51</f>
        <v>1576.0754110818962</v>
      </c>
      <c r="O51" s="5">
        <f>Grade8!M51-M51</f>
        <v>4.186000000000007</v>
      </c>
      <c r="P51" s="22">
        <f t="shared" si="22"/>
        <v>324.16073327100082</v>
      </c>
      <c r="S51" s="22">
        <f t="shared" si="20"/>
        <v>1467.5015005256942</v>
      </c>
      <c r="T51" s="22">
        <f t="shared" si="21"/>
        <v>1807.9970516193646</v>
      </c>
    </row>
    <row r="52" spans="1:20" x14ac:dyDescent="0.2">
      <c r="A52" s="5">
        <v>61</v>
      </c>
      <c r="B52" s="1">
        <f t="shared" si="13"/>
        <v>3.1138508608622844</v>
      </c>
      <c r="C52" s="5">
        <f t="shared" si="14"/>
        <v>68907.950471369506</v>
      </c>
      <c r="D52" s="5">
        <f t="shared" si="15"/>
        <v>66029.321145915543</v>
      </c>
      <c r="E52" s="5">
        <f t="shared" si="6"/>
        <v>56529.321145915543</v>
      </c>
      <c r="F52" s="5">
        <f t="shared" si="7"/>
        <v>20961.505468732979</v>
      </c>
      <c r="G52" s="5">
        <f t="shared" si="8"/>
        <v>45067.81567718256</v>
      </c>
      <c r="H52" s="22">
        <f t="shared" si="16"/>
        <v>30440.599709270016</v>
      </c>
      <c r="I52" s="5">
        <f t="shared" si="17"/>
        <v>73864.623002151988</v>
      </c>
      <c r="J52" s="26">
        <f t="shared" si="18"/>
        <v>0.21407009272850494</v>
      </c>
      <c r="L52" s="22">
        <f t="shared" si="19"/>
        <v>164202.43432859861</v>
      </c>
      <c r="M52" s="5">
        <f>scrimecost*Meta!O49</f>
        <v>198.38</v>
      </c>
      <c r="N52" s="5">
        <f>L52-Grade8!L52</f>
        <v>1615.4772963588475</v>
      </c>
      <c r="O52" s="5">
        <f>Grade8!M52-M52</f>
        <v>4.186000000000007</v>
      </c>
      <c r="P52" s="22">
        <f t="shared" si="22"/>
        <v>333.6386427437551</v>
      </c>
      <c r="S52" s="22">
        <f t="shared" si="20"/>
        <v>1505.4405098037726</v>
      </c>
      <c r="T52" s="22">
        <f t="shared" si="21"/>
        <v>1863.1711208377269</v>
      </c>
    </row>
    <row r="53" spans="1:20" x14ac:dyDescent="0.2">
      <c r="A53" s="5">
        <v>62</v>
      </c>
      <c r="B53" s="1">
        <f t="shared" si="13"/>
        <v>3.1916971323838421</v>
      </c>
      <c r="C53" s="5">
        <f t="shared" si="14"/>
        <v>70630.649233153759</v>
      </c>
      <c r="D53" s="5">
        <f t="shared" si="15"/>
        <v>67658.994174563442</v>
      </c>
      <c r="E53" s="5">
        <f t="shared" si="6"/>
        <v>58158.994174563442</v>
      </c>
      <c r="F53" s="5">
        <f t="shared" si="7"/>
        <v>21656.561015451309</v>
      </c>
      <c r="G53" s="5">
        <f t="shared" si="8"/>
        <v>46002.43315911213</v>
      </c>
      <c r="H53" s="22">
        <f t="shared" si="16"/>
        <v>31201.614702001774</v>
      </c>
      <c r="I53" s="5">
        <f t="shared" si="17"/>
        <v>75519.160667205811</v>
      </c>
      <c r="J53" s="26">
        <f t="shared" si="18"/>
        <v>0.21606398130874871</v>
      </c>
      <c r="L53" s="22">
        <f t="shared" si="19"/>
        <v>168307.49518681358</v>
      </c>
      <c r="M53" s="5">
        <f>scrimecost*Meta!O50</f>
        <v>198.38</v>
      </c>
      <c r="N53" s="5">
        <f>L53-Grade8!L53</f>
        <v>1655.8642287678667</v>
      </c>
      <c r="O53" s="5">
        <f>Grade8!M53-M53</f>
        <v>4.186000000000007</v>
      </c>
      <c r="P53" s="22">
        <f t="shared" si="22"/>
        <v>343.35349995332837</v>
      </c>
      <c r="S53" s="22">
        <f t="shared" si="20"/>
        <v>1544.3279943139075</v>
      </c>
      <c r="T53" s="22">
        <f t="shared" si="21"/>
        <v>1919.9886953058608</v>
      </c>
    </row>
    <row r="54" spans="1:20" x14ac:dyDescent="0.2">
      <c r="A54" s="5">
        <v>63</v>
      </c>
      <c r="B54" s="1">
        <f t="shared" si="13"/>
        <v>3.2714895606934378</v>
      </c>
      <c r="C54" s="5">
        <f t="shared" si="14"/>
        <v>72396.415463982601</v>
      </c>
      <c r="D54" s="5">
        <f t="shared" si="15"/>
        <v>69329.409028927534</v>
      </c>
      <c r="E54" s="5">
        <f t="shared" si="6"/>
        <v>59829.409028927534</v>
      </c>
      <c r="F54" s="5">
        <f t="shared" si="7"/>
        <v>22368.992950837594</v>
      </c>
      <c r="G54" s="5">
        <f t="shared" si="8"/>
        <v>46960.41607808994</v>
      </c>
      <c r="H54" s="22">
        <f t="shared" si="16"/>
        <v>31981.655069551809</v>
      </c>
      <c r="I54" s="5">
        <f t="shared" si="17"/>
        <v>77215.061773885944</v>
      </c>
      <c r="J54" s="26">
        <f t="shared" si="18"/>
        <v>0.21800923846020612</v>
      </c>
      <c r="L54" s="22">
        <f t="shared" si="19"/>
        <v>172515.18256648391</v>
      </c>
      <c r="M54" s="5">
        <f>scrimecost*Meta!O51</f>
        <v>198.38</v>
      </c>
      <c r="N54" s="5">
        <f>L54-Grade8!L54</f>
        <v>1697.2608344870678</v>
      </c>
      <c r="O54" s="5">
        <f>Grade8!M54-M54</f>
        <v>4.186000000000007</v>
      </c>
      <c r="P54" s="22">
        <f t="shared" si="22"/>
        <v>353.31122859314098</v>
      </c>
      <c r="S54" s="22">
        <f t="shared" si="20"/>
        <v>1584.187665936764</v>
      </c>
      <c r="T54" s="22">
        <f t="shared" si="21"/>
        <v>1978.4985534245832</v>
      </c>
    </row>
    <row r="55" spans="1:20" x14ac:dyDescent="0.2">
      <c r="A55" s="5">
        <v>64</v>
      </c>
      <c r="B55" s="1">
        <f t="shared" si="13"/>
        <v>3.3532767997107733</v>
      </c>
      <c r="C55" s="5">
        <f t="shared" si="14"/>
        <v>74206.325850582158</v>
      </c>
      <c r="D55" s="5">
        <f t="shared" si="15"/>
        <v>71041.584254650705</v>
      </c>
      <c r="E55" s="5">
        <f t="shared" si="6"/>
        <v>61541.584254650705</v>
      </c>
      <c r="F55" s="5">
        <f t="shared" si="7"/>
        <v>23099.235684608524</v>
      </c>
      <c r="G55" s="5">
        <f t="shared" si="8"/>
        <v>47942.348570042181</v>
      </c>
      <c r="H55" s="22">
        <f t="shared" si="16"/>
        <v>32781.196446290603</v>
      </c>
      <c r="I55" s="5">
        <f t="shared" si="17"/>
        <v>78953.360408233086</v>
      </c>
      <c r="J55" s="26">
        <f t="shared" si="18"/>
        <v>0.21990705031528637</v>
      </c>
      <c r="L55" s="22">
        <f t="shared" si="19"/>
        <v>176828.06213064597</v>
      </c>
      <c r="M55" s="5">
        <f>scrimecost*Meta!O52</f>
        <v>198.38</v>
      </c>
      <c r="N55" s="5">
        <f>L55-Grade8!L55</f>
        <v>1739.6923553491943</v>
      </c>
      <c r="O55" s="5">
        <f>Grade8!M55-M55</f>
        <v>4.186000000000007</v>
      </c>
      <c r="P55" s="22">
        <f t="shared" si="22"/>
        <v>363.51790044894869</v>
      </c>
      <c r="S55" s="22">
        <f t="shared" si="20"/>
        <v>1625.043829350152</v>
      </c>
      <c r="T55" s="22">
        <f t="shared" si="21"/>
        <v>2038.7509205084223</v>
      </c>
    </row>
    <row r="56" spans="1:20" x14ac:dyDescent="0.2">
      <c r="A56" s="5">
        <v>65</v>
      </c>
      <c r="B56" s="1">
        <f t="shared" si="13"/>
        <v>3.4371087197035428</v>
      </c>
      <c r="C56" s="5">
        <f t="shared" si="14"/>
        <v>76061.483996846713</v>
      </c>
      <c r="D56" s="5">
        <f t="shared" si="15"/>
        <v>72796.563861016984</v>
      </c>
      <c r="E56" s="5">
        <f t="shared" si="6"/>
        <v>63296.563861016984</v>
      </c>
      <c r="F56" s="5">
        <f t="shared" si="7"/>
        <v>23847.734486723744</v>
      </c>
      <c r="G56" s="5">
        <f t="shared" si="8"/>
        <v>48948.829374293244</v>
      </c>
      <c r="H56" s="22">
        <f t="shared" si="16"/>
        <v>33600.726357447871</v>
      </c>
      <c r="I56" s="5">
        <f t="shared" si="17"/>
        <v>80735.116508438921</v>
      </c>
      <c r="J56" s="26">
        <f t="shared" si="18"/>
        <v>0.22175857407634042</v>
      </c>
      <c r="L56" s="22">
        <f t="shared" si="19"/>
        <v>181248.76368391214</v>
      </c>
      <c r="M56" s="5">
        <f>scrimecost*Meta!O53</f>
        <v>59.95</v>
      </c>
      <c r="N56" s="5">
        <f>L56-Grade8!L56</f>
        <v>1783.1846642329474</v>
      </c>
      <c r="O56" s="5">
        <f>Grade8!M56-M56</f>
        <v>1.2650000000000006</v>
      </c>
      <c r="P56" s="22">
        <f t="shared" si="22"/>
        <v>373.97973910115189</v>
      </c>
      <c r="S56" s="22">
        <f t="shared" si="20"/>
        <v>1664.0412908489288</v>
      </c>
      <c r="T56" s="22">
        <f t="shared" si="21"/>
        <v>2097.1677547559757</v>
      </c>
    </row>
    <row r="57" spans="1:20" x14ac:dyDescent="0.2">
      <c r="A57" s="5">
        <v>66</v>
      </c>
      <c r="C57" s="5"/>
      <c r="H57" s="21"/>
      <c r="I57" s="5"/>
      <c r="M57" s="5">
        <f>scrimecost*Meta!O54</f>
        <v>59.95</v>
      </c>
      <c r="N57" s="5">
        <f>L57-Grade8!L57</f>
        <v>0</v>
      </c>
      <c r="O57" s="5">
        <f>Grade8!M57-M57</f>
        <v>1.2650000000000006</v>
      </c>
      <c r="S57" s="22">
        <f t="shared" si="20"/>
        <v>1.2472900000000005</v>
      </c>
      <c r="T57" s="22">
        <f t="shared" si="21"/>
        <v>1.5790885894778475</v>
      </c>
    </row>
    <row r="58" spans="1:20" x14ac:dyDescent="0.2">
      <c r="A58" s="5">
        <v>67</v>
      </c>
      <c r="C58" s="5"/>
      <c r="H58" s="21"/>
      <c r="I58" s="5"/>
      <c r="M58" s="5">
        <f>scrimecost*Meta!O55</f>
        <v>59.95</v>
      </c>
      <c r="N58" s="5">
        <f>L58-Grade8!L58</f>
        <v>0</v>
      </c>
      <c r="O58" s="5">
        <f>Grade8!M58-M58</f>
        <v>1.2650000000000006</v>
      </c>
      <c r="S58" s="22">
        <f t="shared" si="20"/>
        <v>1.2472900000000005</v>
      </c>
      <c r="T58" s="22">
        <f t="shared" si="21"/>
        <v>1.5862676855726769</v>
      </c>
    </row>
    <row r="59" spans="1:20" x14ac:dyDescent="0.2">
      <c r="A59" s="5">
        <v>68</v>
      </c>
      <c r="H59" s="21"/>
      <c r="I59" s="5"/>
      <c r="M59" s="5">
        <f>scrimecost*Meta!O56</f>
        <v>59.95</v>
      </c>
      <c r="N59" s="5">
        <f>L59-Grade8!L59</f>
        <v>0</v>
      </c>
      <c r="O59" s="5">
        <f>Grade8!M59-M59</f>
        <v>1.2650000000000006</v>
      </c>
      <c r="S59" s="22">
        <f t="shared" si="20"/>
        <v>1.2472900000000005</v>
      </c>
      <c r="T59" s="22">
        <f t="shared" si="21"/>
        <v>1.5934794203814342</v>
      </c>
    </row>
    <row r="60" spans="1:20" x14ac:dyDescent="0.2">
      <c r="A60" s="5">
        <v>69</v>
      </c>
      <c r="H60" s="21"/>
      <c r="I60" s="5"/>
      <c r="M60" s="5">
        <f>scrimecost*Meta!O57</f>
        <v>59.95</v>
      </c>
      <c r="N60" s="5">
        <f>L60-Grade8!L60</f>
        <v>0</v>
      </c>
      <c r="O60" s="5">
        <f>Grade8!M60-M60</f>
        <v>1.2650000000000006</v>
      </c>
      <c r="S60" s="22">
        <f t="shared" si="20"/>
        <v>1.2472900000000005</v>
      </c>
      <c r="T60" s="22">
        <f t="shared" si="21"/>
        <v>1.6007239422912749</v>
      </c>
    </row>
    <row r="61" spans="1:20" x14ac:dyDescent="0.2">
      <c r="A61" s="5">
        <v>70</v>
      </c>
      <c r="H61" s="21"/>
      <c r="I61" s="5"/>
      <c r="M61" s="5">
        <f>scrimecost*Meta!O58</f>
        <v>59.95</v>
      </c>
      <c r="N61" s="5">
        <f>L61-Grade8!L61</f>
        <v>0</v>
      </c>
      <c r="O61" s="5">
        <f>Grade8!M61-M61</f>
        <v>1.2650000000000006</v>
      </c>
      <c r="S61" s="22">
        <f t="shared" si="20"/>
        <v>1.2472900000000005</v>
      </c>
      <c r="T61" s="22">
        <f t="shared" si="21"/>
        <v>1.6080014003639747</v>
      </c>
    </row>
    <row r="62" spans="1:20" x14ac:dyDescent="0.2">
      <c r="A62" s="5">
        <v>71</v>
      </c>
      <c r="H62" s="21"/>
      <c r="I62" s="5"/>
      <c r="M62" s="5">
        <f>scrimecost*Meta!O59</f>
        <v>59.95</v>
      </c>
      <c r="N62" s="5">
        <f>L62-Grade8!L62</f>
        <v>0</v>
      </c>
      <c r="O62" s="5">
        <f>Grade8!M62-M62</f>
        <v>1.2650000000000006</v>
      </c>
      <c r="S62" s="22">
        <f t="shared" si="20"/>
        <v>1.2472900000000005</v>
      </c>
      <c r="T62" s="22">
        <f t="shared" si="21"/>
        <v>1.6153119443389965</v>
      </c>
    </row>
    <row r="63" spans="1:20" x14ac:dyDescent="0.2">
      <c r="A63" s="5">
        <v>72</v>
      </c>
      <c r="H63" s="21"/>
      <c r="M63" s="5">
        <f>scrimecost*Meta!O60</f>
        <v>59.95</v>
      </c>
      <c r="N63" s="5">
        <f>L63-Grade8!L63</f>
        <v>0</v>
      </c>
      <c r="O63" s="5">
        <f>Grade8!M63-M63</f>
        <v>1.2650000000000006</v>
      </c>
      <c r="S63" s="22">
        <f t="shared" si="20"/>
        <v>1.2472900000000005</v>
      </c>
      <c r="T63" s="22">
        <f t="shared" si="21"/>
        <v>1.6226557246365731</v>
      </c>
    </row>
    <row r="64" spans="1:20" x14ac:dyDescent="0.2">
      <c r="A64" s="5">
        <v>73</v>
      </c>
      <c r="H64" s="21"/>
      <c r="M64" s="5">
        <f>scrimecost*Meta!O61</f>
        <v>59.95</v>
      </c>
      <c r="N64" s="5">
        <f>L64-Grade8!L64</f>
        <v>0</v>
      </c>
      <c r="O64" s="5">
        <f>Grade8!M64-M64</f>
        <v>1.2650000000000006</v>
      </c>
      <c r="S64" s="22">
        <f t="shared" si="20"/>
        <v>1.2472900000000005</v>
      </c>
      <c r="T64" s="22">
        <f t="shared" si="21"/>
        <v>1.6300328923608003</v>
      </c>
    </row>
    <row r="65" spans="1:20" x14ac:dyDescent="0.2">
      <c r="A65" s="5">
        <v>74</v>
      </c>
      <c r="H65" s="21"/>
      <c r="M65" s="5">
        <f>scrimecost*Meta!O62</f>
        <v>59.95</v>
      </c>
      <c r="N65" s="5">
        <f>L65-Grade8!L65</f>
        <v>0</v>
      </c>
      <c r="O65" s="5">
        <f>Grade8!M65-M65</f>
        <v>1.2650000000000006</v>
      </c>
      <c r="S65" s="22">
        <f t="shared" si="20"/>
        <v>1.2472900000000005</v>
      </c>
      <c r="T65" s="22">
        <f t="shared" si="21"/>
        <v>1.6374435993027461</v>
      </c>
    </row>
    <row r="66" spans="1:20" x14ac:dyDescent="0.2">
      <c r="A66" s="5">
        <v>75</v>
      </c>
      <c r="H66" s="21"/>
      <c r="M66" s="5">
        <f>scrimecost*Meta!O63</f>
        <v>59.95</v>
      </c>
      <c r="N66" s="5">
        <f>L66-Grade8!L66</f>
        <v>0</v>
      </c>
      <c r="O66" s="5">
        <f>Grade8!M66-M66</f>
        <v>1.2650000000000006</v>
      </c>
      <c r="S66" s="22">
        <f t="shared" si="20"/>
        <v>1.2472900000000005</v>
      </c>
      <c r="T66" s="22">
        <f t="shared" si="21"/>
        <v>1.6448879979435753</v>
      </c>
    </row>
    <row r="67" spans="1:20" x14ac:dyDescent="0.2">
      <c r="A67" s="5">
        <v>76</v>
      </c>
      <c r="H67" s="21"/>
      <c r="M67" s="5">
        <f>scrimecost*Meta!O64</f>
        <v>59.95</v>
      </c>
      <c r="N67" s="5">
        <f>L67-Grade8!L67</f>
        <v>0</v>
      </c>
      <c r="O67" s="5">
        <f>Grade8!M67-M67</f>
        <v>1.2650000000000006</v>
      </c>
      <c r="S67" s="22">
        <f t="shared" si="20"/>
        <v>1.2472900000000005</v>
      </c>
      <c r="T67" s="22">
        <f t="shared" si="21"/>
        <v>1.6523662414576861</v>
      </c>
    </row>
    <row r="68" spans="1:20" x14ac:dyDescent="0.2">
      <c r="A68" s="5">
        <v>77</v>
      </c>
      <c r="H68" s="21"/>
      <c r="M68" s="5">
        <f>scrimecost*Meta!O65</f>
        <v>59.95</v>
      </c>
      <c r="N68" s="5">
        <f>L68-Grade8!L68</f>
        <v>0</v>
      </c>
      <c r="O68" s="5">
        <f>Grade8!M68-M68</f>
        <v>1.2650000000000006</v>
      </c>
      <c r="S68" s="22">
        <f t="shared" si="20"/>
        <v>1.2472900000000005</v>
      </c>
      <c r="T68" s="22">
        <f t="shared" si="21"/>
        <v>1.6598784837158609</v>
      </c>
    </row>
    <row r="69" spans="1:20" x14ac:dyDescent="0.2">
      <c r="A69" s="5">
        <v>78</v>
      </c>
      <c r="H69" s="21"/>
      <c r="M69" s="5">
        <f>scrimecost*Meta!O66</f>
        <v>59.95</v>
      </c>
      <c r="N69" s="5">
        <f>L69-Grade8!L69</f>
        <v>0</v>
      </c>
      <c r="O69" s="5">
        <f>Grade8!M69-M69</f>
        <v>1.2650000000000006</v>
      </c>
      <c r="S69" s="22">
        <f>IF(A69&lt;startage,1,0)*(N69-Q69-R69)+IF(A69&gt;=startage,1,0)*completionprob*(N69*spart+O69+P69)</f>
        <v>1.2472900000000005</v>
      </c>
      <c r="T69" s="22">
        <f>S69/sreturn^(A69-startage+1)</f>
        <v>1.6674248792884334</v>
      </c>
    </row>
    <row r="70" spans="1:20" x14ac:dyDescent="0.2">
      <c r="A70" s="5">
        <v>79</v>
      </c>
      <c r="H70" s="21"/>
      <c r="M70" s="5"/>
      <c r="S70" s="22">
        <f>SUM(T5:T69)</f>
        <v>3.2186964205038748E-10</v>
      </c>
    </row>
    <row r="71" spans="1:20" x14ac:dyDescent="0.2">
      <c r="A71" s="5">
        <v>80</v>
      </c>
      <c r="H71" s="21"/>
      <c r="M71" s="5"/>
    </row>
    <row r="72" spans="1:20" x14ac:dyDescent="0.2">
      <c r="A72" s="5">
        <v>81</v>
      </c>
      <c r="H72" s="21"/>
      <c r="M72" s="5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6" sqref="S6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Meta!A4+6</f>
        <v>16</v>
      </c>
      <c r="C2" s="7">
        <f>Meta!B4</f>
        <v>45623</v>
      </c>
      <c r="D2" s="7">
        <f>Meta!C4</f>
        <v>20154</v>
      </c>
      <c r="E2" s="1">
        <f>Meta!D4</f>
        <v>5.0999999999999997E-2</v>
      </c>
      <c r="F2" s="1">
        <f>Meta!F4</f>
        <v>0.63400000000000001</v>
      </c>
      <c r="G2" s="1">
        <f>Meta!I4</f>
        <v>1.9496869757628374</v>
      </c>
      <c r="H2" s="1">
        <f>Meta!E4</f>
        <v>0.98599999999999999</v>
      </c>
      <c r="I2" s="13"/>
      <c r="J2" s="1">
        <f>Meta!X3</f>
        <v>0.73599999999999999</v>
      </c>
      <c r="K2" s="1">
        <f>Meta!D3</f>
        <v>5.3999999999999999E-2</v>
      </c>
      <c r="L2" s="29"/>
      <c r="N2" s="22">
        <f>Meta!T4</f>
        <v>77399</v>
      </c>
      <c r="O2" s="22">
        <f>Meta!U4</f>
        <v>32318</v>
      </c>
      <c r="P2" s="1">
        <f>Meta!V4</f>
        <v>0.03</v>
      </c>
      <c r="Q2" s="1">
        <f>Meta!X4</f>
        <v>0.745</v>
      </c>
      <c r="R2" s="22">
        <f>Meta!W4</f>
        <v>1068</v>
      </c>
      <c r="T2" s="12">
        <f>IRR(S5:S69)+1</f>
        <v>0.99548957538606186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B6" s="1">
        <v>1</v>
      </c>
      <c r="C6" s="5">
        <f>0.1*Grade9!C6</f>
        <v>2212.9496096767975</v>
      </c>
      <c r="D6" s="5">
        <f t="shared" ref="D6:D36" si="0">IF(A6&lt;startage,1,0)*(C6*(1-initialunempprob))+IF(A6=startage,1,0)*(C6*(1-unempprob))+IF(A6&gt;startage,1,0)*(C6*(1-unempprob)+unempprob*300*52)</f>
        <v>2093.4503307542504</v>
      </c>
      <c r="E6" s="5">
        <f t="shared" ref="E6:E56" si="1">IF(D6-9500&gt;0,1,0)*(D6-9500)</f>
        <v>0</v>
      </c>
      <c r="F6" s="5">
        <f t="shared" ref="F6:F56" si="2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160.14895030270014</v>
      </c>
      <c r="G6" s="5">
        <f t="shared" ref="G6:G56" si="3">D6-F6</f>
        <v>1933.3013804515504</v>
      </c>
      <c r="H6" s="22">
        <f>0.1*Grade9!H6</f>
        <v>977.58695163841082</v>
      </c>
      <c r="I6" s="5">
        <f t="shared" ref="I6:I36" si="4">G6+IF(A6&lt;startage,1,0)*(H6*(1-initialunempprob))+IF(A6&gt;=startage,1,0)*(H6*(1-unempprob))</f>
        <v>2858.0986367014871</v>
      </c>
      <c r="J6" s="26">
        <f t="shared" ref="J6:J37" si="5">(F6-(IF(A6&gt;startage,1,0)*(unempprob*300*52)))/(IF(A6&lt;startage,1,0)*((C6+H6)*(1-initialunempprob))+IF(A6&gt;=startage,1,0)*((C6+H6)*(1-unempprob)))</f>
        <v>5.306024296756208E-2</v>
      </c>
      <c r="L6" s="22">
        <f>0.1*Grade9!L6</f>
        <v>5273.2915501010166</v>
      </c>
      <c r="M6" s="5">
        <f>scrimecost*Meta!O3</f>
        <v>1982.2080000000001</v>
      </c>
      <c r="N6" s="5">
        <f>L6-Grade9!L6</f>
        <v>-47459.623950909147</v>
      </c>
      <c r="O6" s="5"/>
      <c r="P6" s="22"/>
      <c r="Q6" s="22">
        <f>0.05*feel*Grade9!G6</f>
        <v>236.59143168681828</v>
      </c>
      <c r="R6" s="22">
        <f>hstuition</f>
        <v>11298</v>
      </c>
      <c r="S6" s="22">
        <f t="shared" ref="S6:S37" si="6">IF(A6&lt;startage,1,0)*(N6-Q6-R6)+IF(A6&gt;=startage,1,0)*completionprob*(N6*spart+O6+P6)</f>
        <v>-58994.215382595961</v>
      </c>
      <c r="T6" s="22">
        <f t="shared" ref="T6:T37" si="7">S6/sreturn^(A6-startage+1)</f>
        <v>-58994.215382595961</v>
      </c>
    </row>
    <row r="7" spans="1:20" x14ac:dyDescent="0.2">
      <c r="A7" s="5">
        <v>16</v>
      </c>
      <c r="B7" s="1">
        <f t="shared" ref="B7:B36" si="8">(1+experiencepremium)^(A7-startage)</f>
        <v>1</v>
      </c>
      <c r="C7" s="5">
        <f t="shared" ref="C7:C36" si="9">pretaxincome*B7/expnorm</f>
        <v>23400.166573995539</v>
      </c>
      <c r="D7" s="5">
        <f t="shared" si="0"/>
        <v>22206.758078721767</v>
      </c>
      <c r="E7" s="5">
        <f t="shared" si="1"/>
        <v>12706.758078721767</v>
      </c>
      <c r="F7" s="5">
        <f t="shared" si="2"/>
        <v>4450.5065127026573</v>
      </c>
      <c r="G7" s="5">
        <f t="shared" si="3"/>
        <v>17756.251566019109</v>
      </c>
      <c r="H7" s="22">
        <f t="shared" ref="H7:H36" si="10">benefits*B7/expnorm</f>
        <v>10337.043971950685</v>
      </c>
      <c r="I7" s="5">
        <f t="shared" si="4"/>
        <v>27566.106295400306</v>
      </c>
      <c r="J7" s="26">
        <f t="shared" si="5"/>
        <v>0.13900616343701089</v>
      </c>
      <c r="L7" s="22">
        <f t="shared" ref="L7:L36" si="11">(sincome+sbenefits)*(1-sunemp)*B7/expnorm</f>
        <v>54585.936780113021</v>
      </c>
      <c r="M7" s="5">
        <f>scrimecost*Meta!O4</f>
        <v>2507.6639999999998</v>
      </c>
      <c r="N7" s="5">
        <f>L7-Grade9!L7</f>
        <v>534.69839157760725</v>
      </c>
      <c r="O7" s="5">
        <f>Grade9!M7-M7</f>
        <v>51.655999999999949</v>
      </c>
      <c r="P7" s="22">
        <f t="shared" ref="P7:P38" si="12">(spart-initialspart)*(L7*J7+nptrans)</f>
        <v>127.27603484476873</v>
      </c>
      <c r="Q7" s="22"/>
      <c r="R7" s="22"/>
      <c r="S7" s="22">
        <f t="shared" si="6"/>
        <v>569.20038385810483</v>
      </c>
      <c r="T7" s="22">
        <f t="shared" si="7"/>
        <v>571.77935151893746</v>
      </c>
    </row>
    <row r="8" spans="1:20" x14ac:dyDescent="0.2">
      <c r="A8" s="5">
        <v>17</v>
      </c>
      <c r="B8" s="1">
        <f t="shared" si="8"/>
        <v>1.0249999999999999</v>
      </c>
      <c r="C8" s="5">
        <f t="shared" si="9"/>
        <v>23985.170738345427</v>
      </c>
      <c r="D8" s="5">
        <f t="shared" si="0"/>
        <v>23557.527030689809</v>
      </c>
      <c r="E8" s="5">
        <f t="shared" si="1"/>
        <v>14057.527030689809</v>
      </c>
      <c r="F8" s="5">
        <f t="shared" si="2"/>
        <v>4891.532575520223</v>
      </c>
      <c r="G8" s="5">
        <f t="shared" si="3"/>
        <v>18665.994455169588</v>
      </c>
      <c r="H8" s="22">
        <f t="shared" si="10"/>
        <v>10595.47007124945</v>
      </c>
      <c r="I8" s="5">
        <f t="shared" si="4"/>
        <v>28721.095552785315</v>
      </c>
      <c r="J8" s="26">
        <f t="shared" si="5"/>
        <v>0.12481119739137424</v>
      </c>
      <c r="L8" s="22">
        <f t="shared" si="11"/>
        <v>55950.585199615838</v>
      </c>
      <c r="M8" s="5">
        <f>scrimecost*Meta!O5</f>
        <v>2896.4160000000002</v>
      </c>
      <c r="N8" s="5">
        <f>L8-Grade9!L8</f>
        <v>548.06585136704234</v>
      </c>
      <c r="O8" s="5">
        <f>Grade9!M8-M8</f>
        <v>59.664000000000215</v>
      </c>
      <c r="P8" s="22">
        <f t="shared" si="12"/>
        <v>121.8353358016095</v>
      </c>
      <c r="Q8" s="22"/>
      <c r="R8" s="22"/>
      <c r="S8" s="22">
        <f t="shared" si="6"/>
        <v>581.55107753907544</v>
      </c>
      <c r="T8" s="22">
        <f t="shared" si="7"/>
        <v>586.83286989340274</v>
      </c>
    </row>
    <row r="9" spans="1:20" x14ac:dyDescent="0.2">
      <c r="A9" s="5">
        <v>18</v>
      </c>
      <c r="B9" s="1">
        <f t="shared" si="8"/>
        <v>1.0506249999999999</v>
      </c>
      <c r="C9" s="5">
        <f t="shared" si="9"/>
        <v>24584.80000680406</v>
      </c>
      <c r="D9" s="5">
        <f t="shared" si="0"/>
        <v>24126.575206457052</v>
      </c>
      <c r="E9" s="5">
        <f t="shared" si="1"/>
        <v>14626.575206457052</v>
      </c>
      <c r="F9" s="5">
        <f t="shared" si="2"/>
        <v>5077.3268049082271</v>
      </c>
      <c r="G9" s="5">
        <f t="shared" si="3"/>
        <v>19049.248401548823</v>
      </c>
      <c r="H9" s="22">
        <f t="shared" si="10"/>
        <v>10860.356823030688</v>
      </c>
      <c r="I9" s="5">
        <f t="shared" si="4"/>
        <v>29355.727026604945</v>
      </c>
      <c r="J9" s="26">
        <f t="shared" si="5"/>
        <v>0.12729045504915418</v>
      </c>
      <c r="L9" s="22">
        <f t="shared" si="11"/>
        <v>57349.349829606239</v>
      </c>
      <c r="M9" s="5">
        <f>scrimecost*Meta!O6</f>
        <v>3520.1279999999997</v>
      </c>
      <c r="N9" s="5">
        <f>L9-Grade9!L9</f>
        <v>561.76749765122076</v>
      </c>
      <c r="O9" s="5">
        <f>Grade9!M9-M9</f>
        <v>72.512000000000171</v>
      </c>
      <c r="P9" s="22">
        <f t="shared" si="12"/>
        <v>124.68622352925351</v>
      </c>
      <c r="Q9" s="22"/>
      <c r="R9" s="22"/>
      <c r="S9" s="22">
        <f t="shared" si="6"/>
        <v>607.0949991495014</v>
      </c>
      <c r="T9" s="22">
        <f t="shared" si="7"/>
        <v>615.38443288251187</v>
      </c>
    </row>
    <row r="10" spans="1:20" x14ac:dyDescent="0.2">
      <c r="A10" s="5">
        <v>19</v>
      </c>
      <c r="B10" s="1">
        <f t="shared" si="8"/>
        <v>1.0768906249999999</v>
      </c>
      <c r="C10" s="5">
        <f t="shared" si="9"/>
        <v>25199.420006974164</v>
      </c>
      <c r="D10" s="5">
        <f t="shared" si="0"/>
        <v>24709.849586618478</v>
      </c>
      <c r="E10" s="5">
        <f t="shared" si="1"/>
        <v>15209.849586618478</v>
      </c>
      <c r="F10" s="5">
        <f t="shared" si="2"/>
        <v>5267.7658900309334</v>
      </c>
      <c r="G10" s="5">
        <f t="shared" si="3"/>
        <v>19442.083696587546</v>
      </c>
      <c r="H10" s="22">
        <f t="shared" si="10"/>
        <v>11131.865743606453</v>
      </c>
      <c r="I10" s="5">
        <f t="shared" si="4"/>
        <v>30006.22428727007</v>
      </c>
      <c r="J10" s="26">
        <f t="shared" si="5"/>
        <v>0.12970924300796399</v>
      </c>
      <c r="L10" s="22">
        <f t="shared" si="11"/>
        <v>58783.083575346391</v>
      </c>
      <c r="M10" s="5">
        <f>scrimecost*Meta!O7</f>
        <v>3762.5640000000003</v>
      </c>
      <c r="N10" s="5">
        <f>L10-Grade9!L10</f>
        <v>575.8116850925071</v>
      </c>
      <c r="O10" s="5">
        <f>Grade9!M10-M10</f>
        <v>77.505999999999858</v>
      </c>
      <c r="P10" s="22">
        <f t="shared" si="12"/>
        <v>127.60838345008868</v>
      </c>
      <c r="Q10" s="22"/>
      <c r="R10" s="22"/>
      <c r="S10" s="22">
        <f t="shared" si="6"/>
        <v>625.21677160019021</v>
      </c>
      <c r="T10" s="22">
        <f t="shared" si="7"/>
        <v>636.62509424381335</v>
      </c>
    </row>
    <row r="11" spans="1:20" x14ac:dyDescent="0.2">
      <c r="A11" s="5">
        <v>20</v>
      </c>
      <c r="B11" s="1">
        <f t="shared" si="8"/>
        <v>1.1038128906249998</v>
      </c>
      <c r="C11" s="5">
        <f t="shared" si="9"/>
        <v>25829.405507148516</v>
      </c>
      <c r="D11" s="5">
        <f t="shared" si="0"/>
        <v>25307.705826283938</v>
      </c>
      <c r="E11" s="5">
        <f t="shared" si="1"/>
        <v>15807.705826283938</v>
      </c>
      <c r="F11" s="5">
        <f t="shared" si="2"/>
        <v>5462.9659522817055</v>
      </c>
      <c r="G11" s="5">
        <f t="shared" si="3"/>
        <v>19844.739874002233</v>
      </c>
      <c r="H11" s="22">
        <f t="shared" si="10"/>
        <v>11410.162387196615</v>
      </c>
      <c r="I11" s="5">
        <f t="shared" si="4"/>
        <v>30672.983979451819</v>
      </c>
      <c r="J11" s="26">
        <f t="shared" si="5"/>
        <v>0.13206903613851001</v>
      </c>
      <c r="L11" s="22">
        <f t="shared" si="11"/>
        <v>60252.660664730043</v>
      </c>
      <c r="M11" s="5">
        <f>scrimecost*Meta!O8</f>
        <v>3603.4320000000002</v>
      </c>
      <c r="N11" s="5">
        <f>L11-Grade9!L11</f>
        <v>590.2069772198156</v>
      </c>
      <c r="O11" s="5">
        <f>Grade9!M11-M11</f>
        <v>74.228000000000065</v>
      </c>
      <c r="P11" s="22">
        <f t="shared" si="12"/>
        <v>130.60359736894463</v>
      </c>
      <c r="Q11" s="22"/>
      <c r="R11" s="22"/>
      <c r="S11" s="22">
        <f t="shared" si="6"/>
        <v>635.51229426213945</v>
      </c>
      <c r="T11" s="22">
        <f t="shared" si="7"/>
        <v>650.04043756920044</v>
      </c>
    </row>
    <row r="12" spans="1:20" x14ac:dyDescent="0.2">
      <c r="A12" s="5">
        <v>21</v>
      </c>
      <c r="B12" s="1">
        <f t="shared" si="8"/>
        <v>1.1314082128906247</v>
      </c>
      <c r="C12" s="5">
        <f t="shared" si="9"/>
        <v>26475.140644827225</v>
      </c>
      <c r="D12" s="5">
        <f t="shared" si="0"/>
        <v>25920.508471941033</v>
      </c>
      <c r="E12" s="5">
        <f t="shared" si="1"/>
        <v>16420.508471941033</v>
      </c>
      <c r="F12" s="5">
        <f t="shared" si="2"/>
        <v>5663.0460160887469</v>
      </c>
      <c r="G12" s="5">
        <f t="shared" si="3"/>
        <v>20257.462455852285</v>
      </c>
      <c r="H12" s="22">
        <f t="shared" si="10"/>
        <v>11695.416446876528</v>
      </c>
      <c r="I12" s="5">
        <f t="shared" si="4"/>
        <v>31356.41266393811</v>
      </c>
      <c r="J12" s="26">
        <f t="shared" si="5"/>
        <v>0.13437127333904278</v>
      </c>
      <c r="L12" s="22">
        <f t="shared" si="11"/>
        <v>61758.977181348288</v>
      </c>
      <c r="M12" s="5">
        <f>scrimecost*Meta!O9</f>
        <v>3272.3519999999999</v>
      </c>
      <c r="N12" s="5">
        <f>L12-Grade9!L12</f>
        <v>604.96215165030299</v>
      </c>
      <c r="O12" s="5">
        <f>Grade9!M12-M12</f>
        <v>67.408000000000357</v>
      </c>
      <c r="P12" s="22">
        <f t="shared" si="12"/>
        <v>133.67369163577203</v>
      </c>
      <c r="Q12" s="22"/>
      <c r="R12" s="22"/>
      <c r="S12" s="22">
        <f t="shared" si="6"/>
        <v>642.65359569063457</v>
      </c>
      <c r="T12" s="22">
        <f t="shared" si="7"/>
        <v>660.32333148949294</v>
      </c>
    </row>
    <row r="13" spans="1:20" x14ac:dyDescent="0.2">
      <c r="A13" s="5">
        <v>22</v>
      </c>
      <c r="B13" s="1">
        <f t="shared" si="8"/>
        <v>1.1596934182128902</v>
      </c>
      <c r="C13" s="5">
        <f t="shared" si="9"/>
        <v>27137.019160947901</v>
      </c>
      <c r="D13" s="5">
        <f t="shared" si="0"/>
        <v>26548.631183739555</v>
      </c>
      <c r="E13" s="5">
        <f t="shared" si="1"/>
        <v>17048.631183739555</v>
      </c>
      <c r="F13" s="5">
        <f t="shared" si="2"/>
        <v>5868.1280814909642</v>
      </c>
      <c r="G13" s="5">
        <f t="shared" si="3"/>
        <v>20680.503102248593</v>
      </c>
      <c r="H13" s="22">
        <f t="shared" si="10"/>
        <v>11987.80185804844</v>
      </c>
      <c r="I13" s="5">
        <f t="shared" si="4"/>
        <v>32056.927065536562</v>
      </c>
      <c r="J13" s="26">
        <f t="shared" si="5"/>
        <v>0.13661735841273329</v>
      </c>
      <c r="L13" s="22">
        <f t="shared" si="11"/>
        <v>63302.951610881995</v>
      </c>
      <c r="M13" s="5">
        <f>scrimecost*Meta!O10</f>
        <v>2998.944</v>
      </c>
      <c r="N13" s="5">
        <f>L13-Grade9!L13</f>
        <v>620.0862054415702</v>
      </c>
      <c r="O13" s="5">
        <f>Grade9!M13-M13</f>
        <v>61.77599999999984</v>
      </c>
      <c r="P13" s="22">
        <f t="shared" si="12"/>
        <v>136.82053825927014</v>
      </c>
      <c r="Q13" s="22"/>
      <c r="R13" s="22"/>
      <c r="S13" s="22">
        <f t="shared" si="6"/>
        <v>651.31291065485448</v>
      </c>
      <c r="T13" s="22">
        <f t="shared" si="7"/>
        <v>672.25287992067865</v>
      </c>
    </row>
    <row r="14" spans="1:20" x14ac:dyDescent="0.2">
      <c r="A14" s="5">
        <v>23</v>
      </c>
      <c r="B14" s="1">
        <f t="shared" si="8"/>
        <v>1.1886857536682125</v>
      </c>
      <c r="C14" s="5">
        <f t="shared" si="9"/>
        <v>27815.4446399716</v>
      </c>
      <c r="D14" s="5">
        <f t="shared" si="0"/>
        <v>27192.456963333047</v>
      </c>
      <c r="E14" s="5">
        <f t="shared" si="1"/>
        <v>17692.456963333047</v>
      </c>
      <c r="F14" s="5">
        <f t="shared" si="2"/>
        <v>6078.3371985282392</v>
      </c>
      <c r="G14" s="5">
        <f t="shared" si="3"/>
        <v>21114.119764804807</v>
      </c>
      <c r="H14" s="22">
        <f t="shared" si="10"/>
        <v>12287.496904499654</v>
      </c>
      <c r="I14" s="5">
        <f t="shared" si="4"/>
        <v>32774.954327174979</v>
      </c>
      <c r="J14" s="26">
        <f t="shared" si="5"/>
        <v>0.13880866092365088</v>
      </c>
      <c r="L14" s="22">
        <f t="shared" si="11"/>
        <v>64885.525401154046</v>
      </c>
      <c r="M14" s="5">
        <f>scrimecost*Meta!O11</f>
        <v>2802.4320000000002</v>
      </c>
      <c r="N14" s="5">
        <f>L14-Grade9!L14</f>
        <v>635.58836057761073</v>
      </c>
      <c r="O14" s="5">
        <f>Grade9!M14-M14</f>
        <v>57.728000000000065</v>
      </c>
      <c r="P14" s="22">
        <f t="shared" si="12"/>
        <v>140.04605604835567</v>
      </c>
      <c r="Q14" s="22"/>
      <c r="R14" s="22"/>
      <c r="S14" s="22">
        <f t="shared" si="6"/>
        <v>661.88936129317437</v>
      </c>
      <c r="T14" s="22">
        <f t="shared" si="7"/>
        <v>686.26471290867198</v>
      </c>
    </row>
    <row r="15" spans="1:20" x14ac:dyDescent="0.2">
      <c r="A15" s="5">
        <v>24</v>
      </c>
      <c r="B15" s="1">
        <f t="shared" si="8"/>
        <v>1.2184028975099177</v>
      </c>
      <c r="C15" s="5">
        <f t="shared" si="9"/>
        <v>28510.830755970888</v>
      </c>
      <c r="D15" s="5">
        <f t="shared" si="0"/>
        <v>27852.378387416371</v>
      </c>
      <c r="E15" s="5">
        <f t="shared" si="1"/>
        <v>18352.378387416371</v>
      </c>
      <c r="F15" s="5">
        <f t="shared" si="2"/>
        <v>6293.801543491445</v>
      </c>
      <c r="G15" s="5">
        <f t="shared" si="3"/>
        <v>21558.576843924926</v>
      </c>
      <c r="H15" s="22">
        <f t="shared" si="10"/>
        <v>12594.684327112142</v>
      </c>
      <c r="I15" s="5">
        <f t="shared" si="4"/>
        <v>33510.932270354344</v>
      </c>
      <c r="J15" s="26">
        <f t="shared" si="5"/>
        <v>0.14094651703186314</v>
      </c>
      <c r="L15" s="22">
        <f t="shared" si="11"/>
        <v>66507.663536182881</v>
      </c>
      <c r="M15" s="5">
        <f>scrimecost*Meta!O12</f>
        <v>2677.4760000000001</v>
      </c>
      <c r="N15" s="5">
        <f>L15-Grade9!L15</f>
        <v>651.478069592049</v>
      </c>
      <c r="O15" s="5">
        <f>Grade9!M15-M15</f>
        <v>55.153999999999996</v>
      </c>
      <c r="P15" s="22">
        <f t="shared" si="12"/>
        <v>143.35221178216835</v>
      </c>
      <c r="Q15" s="22"/>
      <c r="R15" s="22"/>
      <c r="S15" s="22">
        <f t="shared" si="6"/>
        <v>674.2833703974494</v>
      </c>
      <c r="T15" s="22">
        <f t="shared" si="7"/>
        <v>702.28274868504025</v>
      </c>
    </row>
    <row r="16" spans="1:20" x14ac:dyDescent="0.2">
      <c r="A16" s="5">
        <v>25</v>
      </c>
      <c r="B16" s="1">
        <f t="shared" si="8"/>
        <v>1.2488629699476654</v>
      </c>
      <c r="C16" s="5">
        <f t="shared" si="9"/>
        <v>29223.601524870159</v>
      </c>
      <c r="D16" s="5">
        <f t="shared" si="0"/>
        <v>28528.797847101778</v>
      </c>
      <c r="E16" s="5">
        <f t="shared" si="1"/>
        <v>19028.797847101778</v>
      </c>
      <c r="F16" s="5">
        <f t="shared" si="2"/>
        <v>6514.6524970787304</v>
      </c>
      <c r="G16" s="5">
        <f t="shared" si="3"/>
        <v>22014.145350023049</v>
      </c>
      <c r="H16" s="22">
        <f t="shared" si="10"/>
        <v>12909.551435289944</v>
      </c>
      <c r="I16" s="5">
        <f t="shared" si="4"/>
        <v>34265.309662113206</v>
      </c>
      <c r="J16" s="26">
        <f t="shared" si="5"/>
        <v>0.14303223030816778</v>
      </c>
      <c r="L16" s="22">
        <f t="shared" si="11"/>
        <v>68170.355124587455</v>
      </c>
      <c r="M16" s="5">
        <f>scrimecost*Meta!O13</f>
        <v>2248.14</v>
      </c>
      <c r="N16" s="5">
        <f>L16-Grade9!L16</f>
        <v>667.76502133184113</v>
      </c>
      <c r="O16" s="5">
        <f>Grade9!M16-M16</f>
        <v>46.309999999999945</v>
      </c>
      <c r="P16" s="22">
        <f t="shared" si="12"/>
        <v>146.74102140932635</v>
      </c>
      <c r="Q16" s="22"/>
      <c r="R16" s="22"/>
      <c r="S16" s="22">
        <f t="shared" si="6"/>
        <v>680.86845882932619</v>
      </c>
      <c r="T16" s="22">
        <f t="shared" si="7"/>
        <v>712.35430095608137</v>
      </c>
    </row>
    <row r="17" spans="1:20" x14ac:dyDescent="0.2">
      <c r="A17" s="5">
        <v>26</v>
      </c>
      <c r="B17" s="1">
        <f t="shared" si="8"/>
        <v>1.2800845441963571</v>
      </c>
      <c r="C17" s="5">
        <f t="shared" si="9"/>
        <v>29954.191562991913</v>
      </c>
      <c r="D17" s="5">
        <f t="shared" si="0"/>
        <v>29222.127793279324</v>
      </c>
      <c r="E17" s="5">
        <f t="shared" si="1"/>
        <v>19722.127793279324</v>
      </c>
      <c r="F17" s="5">
        <f t="shared" si="2"/>
        <v>6741.0247245056989</v>
      </c>
      <c r="G17" s="5">
        <f t="shared" si="3"/>
        <v>22481.103068773624</v>
      </c>
      <c r="H17" s="22">
        <f t="shared" si="10"/>
        <v>13232.290221172194</v>
      </c>
      <c r="I17" s="5">
        <f t="shared" si="4"/>
        <v>35038.546488666034</v>
      </c>
      <c r="J17" s="26">
        <f t="shared" si="5"/>
        <v>0.14506707252895285</v>
      </c>
      <c r="L17" s="22">
        <f t="shared" si="11"/>
        <v>69874.614002702132</v>
      </c>
      <c r="M17" s="5">
        <f>scrimecost*Meta!O14</f>
        <v>2248.14</v>
      </c>
      <c r="N17" s="5">
        <f>L17-Grade9!L17</f>
        <v>684.4591468651488</v>
      </c>
      <c r="O17" s="5">
        <f>Grade9!M17-M17</f>
        <v>46.309999999999945</v>
      </c>
      <c r="P17" s="22">
        <f t="shared" si="12"/>
        <v>150.21455127716334</v>
      </c>
      <c r="Q17" s="22"/>
      <c r="R17" s="22"/>
      <c r="S17" s="22">
        <f t="shared" si="6"/>
        <v>696.5563630720153</v>
      </c>
      <c r="T17" s="22">
        <f t="shared" si="7"/>
        <v>732.06961595336543</v>
      </c>
    </row>
    <row r="18" spans="1:20" x14ac:dyDescent="0.2">
      <c r="A18" s="5">
        <v>27</v>
      </c>
      <c r="B18" s="1">
        <f t="shared" si="8"/>
        <v>1.312086657801266</v>
      </c>
      <c r="C18" s="5">
        <f t="shared" si="9"/>
        <v>30703.046352066707</v>
      </c>
      <c r="D18" s="5">
        <f t="shared" si="0"/>
        <v>29932.790988111301</v>
      </c>
      <c r="E18" s="5">
        <f t="shared" si="1"/>
        <v>20432.790988111301</v>
      </c>
      <c r="F18" s="5">
        <f t="shared" si="2"/>
        <v>6973.0562576183402</v>
      </c>
      <c r="G18" s="5">
        <f t="shared" si="3"/>
        <v>22959.734730492961</v>
      </c>
      <c r="H18" s="22">
        <f t="shared" si="10"/>
        <v>13563.097476701498</v>
      </c>
      <c r="I18" s="5">
        <f t="shared" si="4"/>
        <v>35831.114235882684</v>
      </c>
      <c r="J18" s="26">
        <f t="shared" si="5"/>
        <v>0.1470522844516699</v>
      </c>
      <c r="L18" s="22">
        <f t="shared" si="11"/>
        <v>71621.479352769704</v>
      </c>
      <c r="M18" s="5">
        <f>scrimecost*Meta!O15</f>
        <v>2248.14</v>
      </c>
      <c r="N18" s="5">
        <f>L18-Grade9!L18</f>
        <v>701.57062553678406</v>
      </c>
      <c r="O18" s="5">
        <f>Grade9!M18-M18</f>
        <v>46.309999999999945</v>
      </c>
      <c r="P18" s="22">
        <f t="shared" si="12"/>
        <v>153.77491939169616</v>
      </c>
      <c r="Q18" s="22"/>
      <c r="R18" s="22"/>
      <c r="S18" s="22">
        <f t="shared" si="6"/>
        <v>712.63646492076782</v>
      </c>
      <c r="T18" s="22">
        <f t="shared" si="7"/>
        <v>752.363022949212</v>
      </c>
    </row>
    <row r="19" spans="1:20" x14ac:dyDescent="0.2">
      <c r="A19" s="5">
        <v>28</v>
      </c>
      <c r="B19" s="1">
        <f t="shared" si="8"/>
        <v>1.3448888242462975</v>
      </c>
      <c r="C19" s="5">
        <f t="shared" si="9"/>
        <v>31470.622510868372</v>
      </c>
      <c r="D19" s="5">
        <f t="shared" si="0"/>
        <v>30661.220762814082</v>
      </c>
      <c r="E19" s="5">
        <f t="shared" si="1"/>
        <v>21161.220762814082</v>
      </c>
      <c r="F19" s="5">
        <f t="shared" si="2"/>
        <v>7210.8885790587974</v>
      </c>
      <c r="G19" s="5">
        <f t="shared" si="3"/>
        <v>23450.332183755287</v>
      </c>
      <c r="H19" s="22">
        <f t="shared" si="10"/>
        <v>13902.174913619036</v>
      </c>
      <c r="I19" s="5">
        <f t="shared" si="4"/>
        <v>36643.49617677975</v>
      </c>
      <c r="J19" s="26">
        <f t="shared" si="5"/>
        <v>0.14898907657139387</v>
      </c>
      <c r="L19" s="22">
        <f t="shared" si="11"/>
        <v>73412.016336588931</v>
      </c>
      <c r="M19" s="5">
        <f>scrimecost*Meta!O16</f>
        <v>2248.14</v>
      </c>
      <c r="N19" s="5">
        <f>L19-Grade9!L19</f>
        <v>719.10989117519057</v>
      </c>
      <c r="O19" s="5">
        <f>Grade9!M19-M19</f>
        <v>46.309999999999945</v>
      </c>
      <c r="P19" s="22">
        <f t="shared" si="12"/>
        <v>157.42429670909232</v>
      </c>
      <c r="Q19" s="22"/>
      <c r="R19" s="22"/>
      <c r="S19" s="22">
        <f t="shared" si="6"/>
        <v>729.1185693157247</v>
      </c>
      <c r="T19" s="22">
        <f t="shared" si="7"/>
        <v>773.25163020192304</v>
      </c>
    </row>
    <row r="20" spans="1:20" x14ac:dyDescent="0.2">
      <c r="A20" s="5">
        <v>29</v>
      </c>
      <c r="B20" s="1">
        <f t="shared" si="8"/>
        <v>1.3785110448524549</v>
      </c>
      <c r="C20" s="5">
        <f t="shared" si="9"/>
        <v>32257.388073640082</v>
      </c>
      <c r="D20" s="5">
        <f t="shared" si="0"/>
        <v>31407.861281884434</v>
      </c>
      <c r="E20" s="5">
        <f t="shared" si="1"/>
        <v>21907.861281884434</v>
      </c>
      <c r="F20" s="5">
        <f t="shared" si="2"/>
        <v>7454.6667085352674</v>
      </c>
      <c r="G20" s="5">
        <f t="shared" si="3"/>
        <v>23953.194573349167</v>
      </c>
      <c r="H20" s="22">
        <f t="shared" si="10"/>
        <v>14249.729286459507</v>
      </c>
      <c r="I20" s="5">
        <f t="shared" si="4"/>
        <v>37476.187666199243</v>
      </c>
      <c r="J20" s="26">
        <f t="shared" si="5"/>
        <v>0.1508786298589295</v>
      </c>
      <c r="L20" s="22">
        <f t="shared" si="11"/>
        <v>75247.316745003642</v>
      </c>
      <c r="M20" s="5">
        <f>scrimecost*Meta!O17</f>
        <v>2248.14</v>
      </c>
      <c r="N20" s="5">
        <f>L20-Grade9!L20</f>
        <v>737.08763845456997</v>
      </c>
      <c r="O20" s="5">
        <f>Grade9!M20-M20</f>
        <v>46.309999999999945</v>
      </c>
      <c r="P20" s="22">
        <f t="shared" si="12"/>
        <v>161.16490845942346</v>
      </c>
      <c r="Q20" s="22"/>
      <c r="R20" s="22"/>
      <c r="S20" s="22">
        <f t="shared" si="6"/>
        <v>746.01272632056498</v>
      </c>
      <c r="T20" s="22">
        <f t="shared" si="7"/>
        <v>794.75305299892261</v>
      </c>
    </row>
    <row r="21" spans="1:20" x14ac:dyDescent="0.2">
      <c r="A21" s="5">
        <v>30</v>
      </c>
      <c r="B21" s="1">
        <f t="shared" si="8"/>
        <v>1.4129738209737661</v>
      </c>
      <c r="C21" s="5">
        <f t="shared" si="9"/>
        <v>33063.82277548108</v>
      </c>
      <c r="D21" s="5">
        <f t="shared" si="0"/>
        <v>32173.167813931541</v>
      </c>
      <c r="E21" s="5">
        <f t="shared" si="1"/>
        <v>22673.167813931541</v>
      </c>
      <c r="F21" s="5">
        <f t="shared" si="2"/>
        <v>7704.5392912486477</v>
      </c>
      <c r="G21" s="5">
        <f t="shared" si="3"/>
        <v>24468.628522682891</v>
      </c>
      <c r="H21" s="22">
        <f t="shared" si="10"/>
        <v>14605.972518620996</v>
      </c>
      <c r="I21" s="5">
        <f t="shared" si="4"/>
        <v>38329.696442854212</v>
      </c>
      <c r="J21" s="26">
        <f t="shared" si="5"/>
        <v>0.15272209648091545</v>
      </c>
      <c r="L21" s="22">
        <f t="shared" si="11"/>
        <v>77128.499663628725</v>
      </c>
      <c r="M21" s="5">
        <f>scrimecost*Meta!O18</f>
        <v>1812.396</v>
      </c>
      <c r="N21" s="5">
        <f>L21-Grade9!L21</f>
        <v>755.5148294159153</v>
      </c>
      <c r="O21" s="5">
        <f>Grade9!M21-M21</f>
        <v>37.33400000000006</v>
      </c>
      <c r="P21" s="22">
        <f t="shared" si="12"/>
        <v>164.9990355035128</v>
      </c>
      <c r="Q21" s="22"/>
      <c r="R21" s="22"/>
      <c r="S21" s="22">
        <f t="shared" si="6"/>
        <v>754.47890125051254</v>
      </c>
      <c r="T21" s="22">
        <f t="shared" si="7"/>
        <v>807.41414137749143</v>
      </c>
    </row>
    <row r="22" spans="1:20" x14ac:dyDescent="0.2">
      <c r="A22" s="5">
        <v>31</v>
      </c>
      <c r="B22" s="1">
        <f t="shared" si="8"/>
        <v>1.4482981664981105</v>
      </c>
      <c r="C22" s="5">
        <f t="shared" si="9"/>
        <v>33890.418344868114</v>
      </c>
      <c r="D22" s="5">
        <f t="shared" si="0"/>
        <v>32957.60700927984</v>
      </c>
      <c r="E22" s="5">
        <f t="shared" si="1"/>
        <v>23457.60700927984</v>
      </c>
      <c r="F22" s="5">
        <f t="shared" si="2"/>
        <v>7960.6586885298675</v>
      </c>
      <c r="G22" s="5">
        <f t="shared" si="3"/>
        <v>24996.948320749972</v>
      </c>
      <c r="H22" s="22">
        <f t="shared" si="10"/>
        <v>14971.121831586523</v>
      </c>
      <c r="I22" s="5">
        <f t="shared" si="4"/>
        <v>39204.542938925581</v>
      </c>
      <c r="J22" s="26">
        <f t="shared" si="5"/>
        <v>0.15452060050236521</v>
      </c>
      <c r="L22" s="22">
        <f t="shared" si="11"/>
        <v>79056.712155219473</v>
      </c>
      <c r="M22" s="5">
        <f>scrimecost*Meta!O19</f>
        <v>1812.396</v>
      </c>
      <c r="N22" s="5">
        <f>L22-Grade9!L22</f>
        <v>774.40270015134593</v>
      </c>
      <c r="O22" s="5">
        <f>Grade9!M22-M22</f>
        <v>37.33400000000006</v>
      </c>
      <c r="P22" s="22">
        <f t="shared" si="12"/>
        <v>168.92901572370445</v>
      </c>
      <c r="Q22" s="22"/>
      <c r="R22" s="22"/>
      <c r="S22" s="22">
        <f t="shared" si="6"/>
        <v>772.22832495374689</v>
      </c>
      <c r="T22" s="22">
        <f t="shared" si="7"/>
        <v>830.1532317527591</v>
      </c>
    </row>
    <row r="23" spans="1:20" x14ac:dyDescent="0.2">
      <c r="A23" s="5">
        <v>32</v>
      </c>
      <c r="B23" s="1">
        <f t="shared" si="8"/>
        <v>1.4845056206605631</v>
      </c>
      <c r="C23" s="5">
        <f t="shared" si="9"/>
        <v>34737.678803489813</v>
      </c>
      <c r="D23" s="5">
        <f t="shared" si="0"/>
        <v>33761.657184511831</v>
      </c>
      <c r="E23" s="5">
        <f t="shared" si="1"/>
        <v>24261.657184511831</v>
      </c>
      <c r="F23" s="5">
        <f t="shared" si="2"/>
        <v>8223.1810707431123</v>
      </c>
      <c r="G23" s="5">
        <f t="shared" si="3"/>
        <v>25538.476113768716</v>
      </c>
      <c r="H23" s="22">
        <f t="shared" si="10"/>
        <v>15345.399877376185</v>
      </c>
      <c r="I23" s="5">
        <f t="shared" si="4"/>
        <v>40101.260597398716</v>
      </c>
      <c r="J23" s="26">
        <f t="shared" si="5"/>
        <v>0.15627523857207223</v>
      </c>
      <c r="L23" s="22">
        <f t="shared" si="11"/>
        <v>81033.129959099941</v>
      </c>
      <c r="M23" s="5">
        <f>scrimecost*Meta!O20</f>
        <v>1812.396</v>
      </c>
      <c r="N23" s="5">
        <f>L23-Grade9!L23</f>
        <v>793.76276765513467</v>
      </c>
      <c r="O23" s="5">
        <f>Grade9!M23-M23</f>
        <v>37.33400000000006</v>
      </c>
      <c r="P23" s="22">
        <f t="shared" si="12"/>
        <v>172.95724544940086</v>
      </c>
      <c r="Q23" s="22"/>
      <c r="R23" s="22"/>
      <c r="S23" s="22">
        <f t="shared" si="6"/>
        <v>790.42148424954155</v>
      </c>
      <c r="T23" s="22">
        <f t="shared" si="7"/>
        <v>853.56098381518461</v>
      </c>
    </row>
    <row r="24" spans="1:20" x14ac:dyDescent="0.2">
      <c r="A24" s="5">
        <v>33</v>
      </c>
      <c r="B24" s="1">
        <f t="shared" si="8"/>
        <v>1.521618261177077</v>
      </c>
      <c r="C24" s="5">
        <f t="shared" si="9"/>
        <v>35606.120773577051</v>
      </c>
      <c r="D24" s="5">
        <f t="shared" si="0"/>
        <v>34585.808614124617</v>
      </c>
      <c r="E24" s="5">
        <f t="shared" si="1"/>
        <v>25085.808614124617</v>
      </c>
      <c r="F24" s="5">
        <f t="shared" si="2"/>
        <v>8492.2665125116873</v>
      </c>
      <c r="G24" s="5">
        <f t="shared" si="3"/>
        <v>26093.542101612929</v>
      </c>
      <c r="H24" s="22">
        <f t="shared" si="10"/>
        <v>15729.034874310586</v>
      </c>
      <c r="I24" s="5">
        <f t="shared" si="4"/>
        <v>41020.396197333677</v>
      </c>
      <c r="J24" s="26">
        <f t="shared" si="5"/>
        <v>0.1579870805912986</v>
      </c>
      <c r="L24" s="22">
        <f t="shared" si="11"/>
        <v>83058.958208077427</v>
      </c>
      <c r="M24" s="5">
        <f>scrimecost*Meta!O21</f>
        <v>1812.396</v>
      </c>
      <c r="N24" s="5">
        <f>L24-Grade9!L24</f>
        <v>813.60683684649121</v>
      </c>
      <c r="O24" s="5">
        <f>Grade9!M24-M24</f>
        <v>37.33400000000006</v>
      </c>
      <c r="P24" s="22">
        <f t="shared" si="12"/>
        <v>177.08618091823962</v>
      </c>
      <c r="Q24" s="22"/>
      <c r="R24" s="22"/>
      <c r="S24" s="22">
        <f t="shared" si="6"/>
        <v>809.06947252771135</v>
      </c>
      <c r="T24" s="22">
        <f t="shared" si="7"/>
        <v>877.6571949078965</v>
      </c>
    </row>
    <row r="25" spans="1:20" x14ac:dyDescent="0.2">
      <c r="A25" s="5">
        <v>34</v>
      </c>
      <c r="B25" s="1">
        <f t="shared" si="8"/>
        <v>1.559658717706504</v>
      </c>
      <c r="C25" s="5">
        <f t="shared" si="9"/>
        <v>36496.27379291648</v>
      </c>
      <c r="D25" s="5">
        <f t="shared" si="0"/>
        <v>35430.563829477738</v>
      </c>
      <c r="E25" s="5">
        <f t="shared" si="1"/>
        <v>25930.563829477738</v>
      </c>
      <c r="F25" s="5">
        <f t="shared" si="2"/>
        <v>8768.0790903244815</v>
      </c>
      <c r="G25" s="5">
        <f t="shared" si="3"/>
        <v>26662.484739153257</v>
      </c>
      <c r="H25" s="22">
        <f t="shared" si="10"/>
        <v>16122.260746168353</v>
      </c>
      <c r="I25" s="5">
        <f t="shared" si="4"/>
        <v>41962.51018726702</v>
      </c>
      <c r="J25" s="26">
        <f t="shared" si="5"/>
        <v>0.15965717036615365</v>
      </c>
      <c r="L25" s="22">
        <f t="shared" si="11"/>
        <v>85135.432163279373</v>
      </c>
      <c r="M25" s="5">
        <f>scrimecost*Meta!O22</f>
        <v>1812.396</v>
      </c>
      <c r="N25" s="5">
        <f>L25-Grade9!L25</f>
        <v>833.94700776765239</v>
      </c>
      <c r="O25" s="5">
        <f>Grade9!M25-M25</f>
        <v>37.33400000000006</v>
      </c>
      <c r="P25" s="22">
        <f t="shared" si="12"/>
        <v>181.31833977379947</v>
      </c>
      <c r="Q25" s="22"/>
      <c r="R25" s="22"/>
      <c r="S25" s="22">
        <f t="shared" si="6"/>
        <v>828.18366051285079</v>
      </c>
      <c r="T25" s="22">
        <f t="shared" si="7"/>
        <v>902.46224913787523</v>
      </c>
    </row>
    <row r="26" spans="1:20" x14ac:dyDescent="0.2">
      <c r="A26" s="5">
        <v>35</v>
      </c>
      <c r="B26" s="1">
        <f t="shared" si="8"/>
        <v>1.5986501856491666</v>
      </c>
      <c r="C26" s="5">
        <f t="shared" si="9"/>
        <v>37408.680637739395</v>
      </c>
      <c r="D26" s="5">
        <f t="shared" si="0"/>
        <v>36296.437925214683</v>
      </c>
      <c r="E26" s="5">
        <f t="shared" si="1"/>
        <v>26796.437925214683</v>
      </c>
      <c r="F26" s="5">
        <f t="shared" si="2"/>
        <v>9050.7869825825946</v>
      </c>
      <c r="G26" s="5">
        <f t="shared" si="3"/>
        <v>27245.650942632088</v>
      </c>
      <c r="H26" s="22">
        <f t="shared" si="10"/>
        <v>16525.317264822559</v>
      </c>
      <c r="I26" s="5">
        <f t="shared" si="4"/>
        <v>42928.177026948695</v>
      </c>
      <c r="J26" s="26">
        <f t="shared" si="5"/>
        <v>0.16128652624406095</v>
      </c>
      <c r="L26" s="22">
        <f t="shared" si="11"/>
        <v>87263.817967361349</v>
      </c>
      <c r="M26" s="5">
        <f>scrimecost*Meta!O23</f>
        <v>1406.556</v>
      </c>
      <c r="N26" s="5">
        <f>L26-Grade9!L26</f>
        <v>854.7956829618488</v>
      </c>
      <c r="O26" s="5">
        <f>Grade9!M26-M26</f>
        <v>28.973999999999933</v>
      </c>
      <c r="P26" s="22">
        <f t="shared" si="12"/>
        <v>185.65630260074821</v>
      </c>
      <c r="Q26" s="22"/>
      <c r="R26" s="22"/>
      <c r="S26" s="22">
        <f t="shared" si="6"/>
        <v>839.53274319762295</v>
      </c>
      <c r="T26" s="22">
        <f t="shared" si="7"/>
        <v>918.97417830448717</v>
      </c>
    </row>
    <row r="27" spans="1:20" x14ac:dyDescent="0.2">
      <c r="A27" s="5">
        <v>36</v>
      </c>
      <c r="B27" s="1">
        <f t="shared" si="8"/>
        <v>1.6386164402903955</v>
      </c>
      <c r="C27" s="5">
        <f t="shared" si="9"/>
        <v>38343.89765368287</v>
      </c>
      <c r="D27" s="5">
        <f t="shared" si="0"/>
        <v>37183.958873345044</v>
      </c>
      <c r="E27" s="5">
        <f t="shared" si="1"/>
        <v>27683.958873345044</v>
      </c>
      <c r="F27" s="5">
        <f t="shared" si="2"/>
        <v>9340.562572147157</v>
      </c>
      <c r="G27" s="5">
        <f t="shared" si="3"/>
        <v>27843.396301197885</v>
      </c>
      <c r="H27" s="22">
        <f t="shared" si="10"/>
        <v>16938.450196443122</v>
      </c>
      <c r="I27" s="5">
        <f t="shared" si="4"/>
        <v>43917.985537622408</v>
      </c>
      <c r="J27" s="26">
        <f t="shared" si="5"/>
        <v>0.16287614173470222</v>
      </c>
      <c r="L27" s="22">
        <f t="shared" si="11"/>
        <v>89445.413416545372</v>
      </c>
      <c r="M27" s="5">
        <f>scrimecost*Meta!O24</f>
        <v>1406.556</v>
      </c>
      <c r="N27" s="5">
        <f>L27-Grade9!L27</f>
        <v>876.16557503589138</v>
      </c>
      <c r="O27" s="5">
        <f>Grade9!M27-M27</f>
        <v>28.973999999999933</v>
      </c>
      <c r="P27" s="22">
        <f t="shared" si="12"/>
        <v>190.10271449837066</v>
      </c>
      <c r="Q27" s="22"/>
      <c r="R27" s="22"/>
      <c r="S27" s="22">
        <f t="shared" si="6"/>
        <v>859.61458694950818</v>
      </c>
      <c r="T27" s="22">
        <f t="shared" si="7"/>
        <v>945.21962390964495</v>
      </c>
    </row>
    <row r="28" spans="1:20" x14ac:dyDescent="0.2">
      <c r="A28" s="5">
        <v>37</v>
      </c>
      <c r="B28" s="1">
        <f t="shared" si="8"/>
        <v>1.6795818512976552</v>
      </c>
      <c r="C28" s="5">
        <f t="shared" si="9"/>
        <v>39302.49509502494</v>
      </c>
      <c r="D28" s="5">
        <f t="shared" si="0"/>
        <v>38093.667845178665</v>
      </c>
      <c r="E28" s="5">
        <f t="shared" si="1"/>
        <v>28593.667845178665</v>
      </c>
      <c r="F28" s="5">
        <f t="shared" si="2"/>
        <v>9637.5825514508342</v>
      </c>
      <c r="G28" s="5">
        <f t="shared" si="3"/>
        <v>28456.085293727832</v>
      </c>
      <c r="H28" s="22">
        <f t="shared" si="10"/>
        <v>17361.911451354197</v>
      </c>
      <c r="I28" s="5">
        <f t="shared" si="4"/>
        <v>44932.539261062964</v>
      </c>
      <c r="J28" s="26">
        <f t="shared" si="5"/>
        <v>0.16442698611581569</v>
      </c>
      <c r="L28" s="22">
        <f t="shared" si="11"/>
        <v>91681.54875195901</v>
      </c>
      <c r="M28" s="5">
        <f>scrimecost*Meta!O25</f>
        <v>1406.556</v>
      </c>
      <c r="N28" s="5">
        <f>L28-Grade9!L28</f>
        <v>898.06971441180212</v>
      </c>
      <c r="O28" s="5">
        <f>Grade9!M28-M28</f>
        <v>28.973999999999933</v>
      </c>
      <c r="P28" s="22">
        <f t="shared" si="12"/>
        <v>194.66028669343376</v>
      </c>
      <c r="Q28" s="22"/>
      <c r="R28" s="22"/>
      <c r="S28" s="22">
        <f t="shared" si="6"/>
        <v>880.19847679520319</v>
      </c>
      <c r="T28" s="22">
        <f t="shared" si="7"/>
        <v>972.23857685559108</v>
      </c>
    </row>
    <row r="29" spans="1:20" x14ac:dyDescent="0.2">
      <c r="A29" s="5">
        <v>38</v>
      </c>
      <c r="B29" s="1">
        <f t="shared" si="8"/>
        <v>1.7215713975800966</v>
      </c>
      <c r="C29" s="5">
        <f t="shared" si="9"/>
        <v>40285.057472400564</v>
      </c>
      <c r="D29" s="5">
        <f t="shared" si="0"/>
        <v>39026.11954130813</v>
      </c>
      <c r="E29" s="5">
        <f t="shared" si="1"/>
        <v>29526.11954130813</v>
      </c>
      <c r="F29" s="5">
        <f t="shared" si="2"/>
        <v>9942.0280302371048</v>
      </c>
      <c r="G29" s="5">
        <f t="shared" si="3"/>
        <v>29084.091511071027</v>
      </c>
      <c r="H29" s="22">
        <f t="shared" si="10"/>
        <v>17795.959237638053</v>
      </c>
      <c r="I29" s="5">
        <f t="shared" si="4"/>
        <v>45972.456827589544</v>
      </c>
      <c r="J29" s="26">
        <f t="shared" si="5"/>
        <v>0.16594000502421904</v>
      </c>
      <c r="L29" s="22">
        <f t="shared" si="11"/>
        <v>93973.587470757979</v>
      </c>
      <c r="M29" s="5">
        <f>scrimecost*Meta!O26</f>
        <v>1406.556</v>
      </c>
      <c r="N29" s="5">
        <f>L29-Grade9!L29</f>
        <v>920.52145727208699</v>
      </c>
      <c r="O29" s="5">
        <f>Grade9!M29-M29</f>
        <v>28.973999999999933</v>
      </c>
      <c r="P29" s="22">
        <f t="shared" si="12"/>
        <v>199.33179819337337</v>
      </c>
      <c r="Q29" s="22"/>
      <c r="R29" s="22"/>
      <c r="S29" s="22">
        <f t="shared" si="6"/>
        <v>901.29696388702303</v>
      </c>
      <c r="T29" s="22">
        <f t="shared" si="7"/>
        <v>1000.0539466342814</v>
      </c>
    </row>
    <row r="30" spans="1:20" x14ac:dyDescent="0.2">
      <c r="A30" s="5">
        <v>39</v>
      </c>
      <c r="B30" s="1">
        <f t="shared" si="8"/>
        <v>1.7646106825195991</v>
      </c>
      <c r="C30" s="5">
        <f t="shared" si="9"/>
        <v>41292.183909210573</v>
      </c>
      <c r="D30" s="5">
        <f t="shared" si="0"/>
        <v>39981.882529840834</v>
      </c>
      <c r="E30" s="5">
        <f t="shared" si="1"/>
        <v>30481.882529840834</v>
      </c>
      <c r="F30" s="5">
        <f t="shared" si="2"/>
        <v>10254.084645993033</v>
      </c>
      <c r="G30" s="5">
        <f t="shared" si="3"/>
        <v>29727.797883847801</v>
      </c>
      <c r="H30" s="22">
        <f t="shared" si="10"/>
        <v>18240.858218579007</v>
      </c>
      <c r="I30" s="5">
        <f t="shared" si="4"/>
        <v>47038.37233327928</v>
      </c>
      <c r="J30" s="26">
        <f t="shared" si="5"/>
        <v>0.16741612103241746</v>
      </c>
      <c r="L30" s="22">
        <f t="shared" si="11"/>
        <v>96322.927157526923</v>
      </c>
      <c r="M30" s="5">
        <f>scrimecost*Meta!O27</f>
        <v>1406.556</v>
      </c>
      <c r="N30" s="5">
        <f>L30-Grade9!L30</f>
        <v>943.53449370388989</v>
      </c>
      <c r="O30" s="5">
        <f>Grade9!M30-M30</f>
        <v>28.973999999999933</v>
      </c>
      <c r="P30" s="22">
        <f t="shared" si="12"/>
        <v>204.12009748081152</v>
      </c>
      <c r="Q30" s="22"/>
      <c r="R30" s="22"/>
      <c r="S30" s="22">
        <f t="shared" si="6"/>
        <v>922.92291315614648</v>
      </c>
      <c r="T30" s="22">
        <f t="shared" si="7"/>
        <v>1028.6893217770325</v>
      </c>
    </row>
    <row r="31" spans="1:20" x14ac:dyDescent="0.2">
      <c r="A31" s="5">
        <v>40</v>
      </c>
      <c r="B31" s="1">
        <f t="shared" si="8"/>
        <v>1.8087259495825889</v>
      </c>
      <c r="C31" s="5">
        <f t="shared" si="9"/>
        <v>42324.488506940841</v>
      </c>
      <c r="D31" s="5">
        <f t="shared" si="0"/>
        <v>40961.539593086854</v>
      </c>
      <c r="E31" s="5">
        <f t="shared" si="1"/>
        <v>31461.539593086854</v>
      </c>
      <c r="F31" s="5">
        <f t="shared" si="2"/>
        <v>10573.942677142859</v>
      </c>
      <c r="G31" s="5">
        <f t="shared" si="3"/>
        <v>30387.596915943996</v>
      </c>
      <c r="H31" s="22">
        <f t="shared" si="10"/>
        <v>18696.879674043477</v>
      </c>
      <c r="I31" s="5">
        <f t="shared" si="4"/>
        <v>48130.935726611249</v>
      </c>
      <c r="J31" s="26">
        <f t="shared" si="5"/>
        <v>0.16885623421114765</v>
      </c>
      <c r="L31" s="22">
        <f t="shared" si="11"/>
        <v>98731.000336465091</v>
      </c>
      <c r="M31" s="5">
        <f>scrimecost*Meta!O28</f>
        <v>1230.336</v>
      </c>
      <c r="N31" s="5">
        <f>L31-Grade9!L31</f>
        <v>967.12285604649514</v>
      </c>
      <c r="O31" s="5">
        <f>Grade9!M31-M31</f>
        <v>25.343999999999824</v>
      </c>
      <c r="P31" s="22">
        <f t="shared" si="12"/>
        <v>209.0281042504356</v>
      </c>
      <c r="Q31" s="22"/>
      <c r="R31" s="22"/>
      <c r="S31" s="22">
        <f t="shared" si="6"/>
        <v>941.51033115700329</v>
      </c>
      <c r="T31" s="22">
        <f t="shared" si="7"/>
        <v>1054.161562918847</v>
      </c>
    </row>
    <row r="32" spans="1:20" x14ac:dyDescent="0.2">
      <c r="A32" s="5">
        <v>41</v>
      </c>
      <c r="B32" s="1">
        <f t="shared" si="8"/>
        <v>1.8539440983221533</v>
      </c>
      <c r="C32" s="5">
        <f t="shared" si="9"/>
        <v>43382.600719614355</v>
      </c>
      <c r="D32" s="5">
        <f t="shared" si="0"/>
        <v>41965.688082914021</v>
      </c>
      <c r="E32" s="5">
        <f t="shared" si="1"/>
        <v>32465.688082914021</v>
      </c>
      <c r="F32" s="5">
        <f t="shared" si="2"/>
        <v>10901.797159071428</v>
      </c>
      <c r="G32" s="5">
        <f t="shared" si="3"/>
        <v>31063.890923842591</v>
      </c>
      <c r="H32" s="22">
        <f t="shared" si="10"/>
        <v>19164.301665894563</v>
      </c>
      <c r="I32" s="5">
        <f t="shared" si="4"/>
        <v>49250.813204776532</v>
      </c>
      <c r="J32" s="26">
        <f t="shared" si="5"/>
        <v>0.17026122267820143</v>
      </c>
      <c r="L32" s="22">
        <f t="shared" si="11"/>
        <v>101199.2753448767</v>
      </c>
      <c r="M32" s="5">
        <f>scrimecost*Meta!O29</f>
        <v>1230.336</v>
      </c>
      <c r="N32" s="5">
        <f>L32-Grade9!L32</f>
        <v>991.30092744766444</v>
      </c>
      <c r="O32" s="5">
        <f>Grade9!M32-M32</f>
        <v>25.343999999999824</v>
      </c>
      <c r="P32" s="22">
        <f t="shared" si="12"/>
        <v>214.05881118930026</v>
      </c>
      <c r="Q32" s="22"/>
      <c r="R32" s="22"/>
      <c r="S32" s="22">
        <f t="shared" si="6"/>
        <v>964.23109410788072</v>
      </c>
      <c r="T32" s="22">
        <f t="shared" si="7"/>
        <v>1084.4923746891614</v>
      </c>
    </row>
    <row r="33" spans="1:20" x14ac:dyDescent="0.2">
      <c r="A33" s="5">
        <v>42</v>
      </c>
      <c r="B33" s="1">
        <f t="shared" si="8"/>
        <v>1.9002927007802071</v>
      </c>
      <c r="C33" s="5">
        <f t="shared" si="9"/>
        <v>44467.165737604715</v>
      </c>
      <c r="D33" s="5">
        <f t="shared" si="0"/>
        <v>42994.940284986871</v>
      </c>
      <c r="E33" s="5">
        <f t="shared" si="1"/>
        <v>33494.940284986871</v>
      </c>
      <c r="F33" s="5">
        <f t="shared" si="2"/>
        <v>11237.848003048213</v>
      </c>
      <c r="G33" s="5">
        <f t="shared" si="3"/>
        <v>31757.092281938658</v>
      </c>
      <c r="H33" s="22">
        <f t="shared" si="10"/>
        <v>19643.409207541928</v>
      </c>
      <c r="I33" s="5">
        <f t="shared" si="4"/>
        <v>50398.687619895951</v>
      </c>
      <c r="J33" s="26">
        <f t="shared" si="5"/>
        <v>0.17163194313386368</v>
      </c>
      <c r="L33" s="22">
        <f t="shared" si="11"/>
        <v>103729.25722849861</v>
      </c>
      <c r="M33" s="5">
        <f>scrimecost*Meta!O30</f>
        <v>1230.336</v>
      </c>
      <c r="N33" s="5">
        <f>L33-Grade9!L33</f>
        <v>1016.0834506338288</v>
      </c>
      <c r="O33" s="5">
        <f>Grade9!M33-M33</f>
        <v>25.343999999999824</v>
      </c>
      <c r="P33" s="22">
        <f t="shared" si="12"/>
        <v>219.2152858016365</v>
      </c>
      <c r="Q33" s="22"/>
      <c r="R33" s="22"/>
      <c r="S33" s="22">
        <f t="shared" si="6"/>
        <v>987.51987613250503</v>
      </c>
      <c r="T33" s="22">
        <f t="shared" si="7"/>
        <v>1115.7181536782391</v>
      </c>
    </row>
    <row r="34" spans="1:20" x14ac:dyDescent="0.2">
      <c r="A34" s="5">
        <v>43</v>
      </c>
      <c r="B34" s="1">
        <f t="shared" si="8"/>
        <v>1.9478000182997122</v>
      </c>
      <c r="C34" s="5">
        <f t="shared" si="9"/>
        <v>45578.844881044824</v>
      </c>
      <c r="D34" s="5">
        <f t="shared" si="0"/>
        <v>44049.923792111535</v>
      </c>
      <c r="E34" s="5">
        <f t="shared" si="1"/>
        <v>34549.923792111535</v>
      </c>
      <c r="F34" s="5">
        <f t="shared" si="2"/>
        <v>11587.292497335569</v>
      </c>
      <c r="G34" s="5">
        <f t="shared" si="3"/>
        <v>32462.631294775965</v>
      </c>
      <c r="H34" s="22">
        <f t="shared" si="10"/>
        <v>20134.494437730471</v>
      </c>
      <c r="I34" s="5">
        <f t="shared" si="4"/>
        <v>51570.266516182179</v>
      </c>
      <c r="J34" s="26">
        <f t="shared" si="5"/>
        <v>0.17304928626434476</v>
      </c>
      <c r="L34" s="22">
        <f t="shared" si="11"/>
        <v>106322.48865921107</v>
      </c>
      <c r="M34" s="5">
        <f>scrimecost*Meta!O31</f>
        <v>1230.336</v>
      </c>
      <c r="N34" s="5">
        <f>L34-Grade9!L34</f>
        <v>1041.4855368996796</v>
      </c>
      <c r="O34" s="5">
        <f>Grade9!M34-M34</f>
        <v>25.343999999999824</v>
      </c>
      <c r="P34" s="22">
        <f t="shared" si="12"/>
        <v>224.5772769869285</v>
      </c>
      <c r="Q34" s="22"/>
      <c r="R34" s="22"/>
      <c r="S34" s="22">
        <f t="shared" si="6"/>
        <v>1011.4664099495089</v>
      </c>
      <c r="T34" s="22">
        <f t="shared" si="7"/>
        <v>1147.9511359209528</v>
      </c>
    </row>
    <row r="35" spans="1:20" x14ac:dyDescent="0.2">
      <c r="A35" s="5">
        <v>44</v>
      </c>
      <c r="B35" s="1">
        <f t="shared" si="8"/>
        <v>1.9964950187572048</v>
      </c>
      <c r="C35" s="5">
        <f t="shared" si="9"/>
        <v>46718.31600307094</v>
      </c>
      <c r="D35" s="5">
        <f t="shared" si="0"/>
        <v>45131.281886914316</v>
      </c>
      <c r="E35" s="5">
        <f t="shared" si="1"/>
        <v>35631.281886914316</v>
      </c>
      <c r="F35" s="5">
        <f t="shared" si="2"/>
        <v>12048.491724768955</v>
      </c>
      <c r="G35" s="5">
        <f t="shared" si="3"/>
        <v>33082.790162145364</v>
      </c>
      <c r="H35" s="22">
        <f t="shared" si="10"/>
        <v>20637.856798673736</v>
      </c>
      <c r="I35" s="5">
        <f t="shared" si="4"/>
        <v>52668.116264086741</v>
      </c>
      <c r="J35" s="26">
        <f t="shared" si="5"/>
        <v>0.17604371518563725</v>
      </c>
      <c r="L35" s="22">
        <f t="shared" si="11"/>
        <v>108980.55087569135</v>
      </c>
      <c r="M35" s="5">
        <f>scrimecost*Meta!O32</f>
        <v>1230.336</v>
      </c>
      <c r="N35" s="5">
        <f>L35-Grade9!L35</f>
        <v>1067.5226753221796</v>
      </c>
      <c r="O35" s="5">
        <f>Grade9!M35-M35</f>
        <v>25.343999999999824</v>
      </c>
      <c r="P35" s="22">
        <f t="shared" si="12"/>
        <v>231.65406953220673</v>
      </c>
      <c r="Q35" s="22"/>
      <c r="R35" s="22"/>
      <c r="S35" s="22">
        <f t="shared" si="6"/>
        <v>1037.5702281701692</v>
      </c>
      <c r="T35" s="22">
        <f t="shared" si="7"/>
        <v>1182.912776429328</v>
      </c>
    </row>
    <row r="36" spans="1:20" x14ac:dyDescent="0.2">
      <c r="A36" s="5">
        <v>45</v>
      </c>
      <c r="B36" s="1">
        <f t="shared" si="8"/>
        <v>2.0464073942261352</v>
      </c>
      <c r="C36" s="5">
        <f t="shared" si="9"/>
        <v>47886.273903147718</v>
      </c>
      <c r="D36" s="5">
        <f t="shared" si="0"/>
        <v>46239.673934087179</v>
      </c>
      <c r="E36" s="5">
        <f t="shared" si="1"/>
        <v>36739.673934087179</v>
      </c>
      <c r="F36" s="5">
        <f t="shared" si="2"/>
        <v>12521.220932888184</v>
      </c>
      <c r="G36" s="5">
        <f t="shared" si="3"/>
        <v>33718.453001198999</v>
      </c>
      <c r="H36" s="22">
        <f t="shared" si="10"/>
        <v>21153.80321864058</v>
      </c>
      <c r="I36" s="5">
        <f t="shared" si="4"/>
        <v>53793.412255688905</v>
      </c>
      <c r="J36" s="26">
        <f t="shared" si="5"/>
        <v>0.17896510925519099</v>
      </c>
      <c r="L36" s="22">
        <f t="shared" si="11"/>
        <v>111705.06464758363</v>
      </c>
      <c r="M36" s="5">
        <f>scrimecost*Meta!O33</f>
        <v>994.30800000000011</v>
      </c>
      <c r="N36" s="5">
        <f>L36-Grade9!L36</f>
        <v>1094.2107422052359</v>
      </c>
      <c r="O36" s="5">
        <f>Grade9!M36-M36</f>
        <v>20.481999999999971</v>
      </c>
      <c r="P36" s="22">
        <f t="shared" si="12"/>
        <v>238.907781891117</v>
      </c>
      <c r="Q36" s="22"/>
      <c r="R36" s="22"/>
      <c r="S36" s="22">
        <f t="shared" si="6"/>
        <v>1059.5327098463413</v>
      </c>
      <c r="T36" s="22">
        <f t="shared" si="7"/>
        <v>1213.4248175793314</v>
      </c>
    </row>
    <row r="37" spans="1:20" x14ac:dyDescent="0.2">
      <c r="A37" s="5">
        <v>46</v>
      </c>
      <c r="B37" s="1">
        <f t="shared" ref="B37:B56" si="13">(1+experiencepremium)^(A37-startage)</f>
        <v>2.097567579081788</v>
      </c>
      <c r="C37" s="5">
        <f t="shared" ref="C37:C56" si="14">pretaxincome*B37/expnorm</f>
        <v>49083.430750726402</v>
      </c>
      <c r="D37" s="5">
        <f t="shared" ref="D37:D56" si="15">IF(A37&lt;startage,1,0)*(C37*(1-initialunempprob))+IF(A37=startage,1,0)*(C37*(1-unempprob))+IF(A37&gt;startage,1,0)*(C37*(1-unempprob)+unempprob*300*52)</f>
        <v>47375.775782439348</v>
      </c>
      <c r="E37" s="5">
        <f t="shared" si="1"/>
        <v>37875.775782439348</v>
      </c>
      <c r="F37" s="5">
        <f t="shared" si="2"/>
        <v>13005.768371210381</v>
      </c>
      <c r="G37" s="5">
        <f t="shared" si="3"/>
        <v>34370.007411228966</v>
      </c>
      <c r="H37" s="22">
        <f t="shared" ref="H37:H56" si="16">benefits*B37/expnorm</f>
        <v>21682.64829910659</v>
      </c>
      <c r="I37" s="5">
        <f t="shared" ref="I37:I56" si="17">G37+IF(A37&lt;startage,1,0)*(H37*(1-initialunempprob))+IF(A37&gt;=startage,1,0)*(H37*(1-unempprob))</f>
        <v>54946.840647081117</v>
      </c>
      <c r="J37" s="26">
        <f t="shared" si="5"/>
        <v>0.18181524981085306</v>
      </c>
      <c r="L37" s="22">
        <f t="shared" ref="L37:L56" si="18">(sincome+sbenefits)*(1-sunemp)*B37/expnorm</f>
        <v>114497.6912637732</v>
      </c>
      <c r="M37" s="5">
        <f>scrimecost*Meta!O34</f>
        <v>994.30800000000011</v>
      </c>
      <c r="N37" s="5">
        <f>L37-Grade9!L37</f>
        <v>1121.5660107603326</v>
      </c>
      <c r="O37" s="5">
        <f>Grade9!M37-M37</f>
        <v>20.481999999999971</v>
      </c>
      <c r="P37" s="22">
        <f t="shared" si="12"/>
        <v>246.34283705899992</v>
      </c>
      <c r="Q37" s="22"/>
      <c r="R37" s="22"/>
      <c r="S37" s="22">
        <f t="shared" si="6"/>
        <v>1086.9580338643914</v>
      </c>
      <c r="T37" s="22">
        <f t="shared" si="7"/>
        <v>1250.473707402612</v>
      </c>
    </row>
    <row r="38" spans="1:20" x14ac:dyDescent="0.2">
      <c r="A38" s="5">
        <v>47</v>
      </c>
      <c r="B38" s="1">
        <f t="shared" si="13"/>
        <v>2.1500067685588333</v>
      </c>
      <c r="C38" s="5">
        <f t="shared" si="14"/>
        <v>50310.51651949458</v>
      </c>
      <c r="D38" s="5">
        <f t="shared" si="15"/>
        <v>48540.28017700035</v>
      </c>
      <c r="E38" s="5">
        <f t="shared" si="1"/>
        <v>39040.28017700035</v>
      </c>
      <c r="F38" s="5">
        <f t="shared" si="2"/>
        <v>13502.429495490649</v>
      </c>
      <c r="G38" s="5">
        <f t="shared" si="3"/>
        <v>35037.850681509699</v>
      </c>
      <c r="H38" s="22">
        <f t="shared" si="16"/>
        <v>22224.714506584256</v>
      </c>
      <c r="I38" s="5">
        <f t="shared" si="17"/>
        <v>56129.104748258156</v>
      </c>
      <c r="J38" s="26">
        <f t="shared" ref="J38:J56" si="19">(F38-(IF(A38&gt;startage,1,0)*(unempprob*300*52)))/(IF(A38&lt;startage,1,0)*((C38+H38)*(1-initialunempprob))+IF(A38&gt;=startage,1,0)*((C38+H38)*(1-unempprob)))</f>
        <v>0.18459587474320643</v>
      </c>
      <c r="L38" s="22">
        <f t="shared" si="18"/>
        <v>117360.13354536756</v>
      </c>
      <c r="M38" s="5">
        <f>scrimecost*Meta!O35</f>
        <v>994.30800000000011</v>
      </c>
      <c r="N38" s="5">
        <f>L38-Grade9!L38</f>
        <v>1149.6051610293798</v>
      </c>
      <c r="O38" s="5">
        <f>Grade9!M38-M38</f>
        <v>20.481999999999971</v>
      </c>
      <c r="P38" s="22">
        <f t="shared" si="12"/>
        <v>253.96376860608007</v>
      </c>
      <c r="Q38" s="22"/>
      <c r="R38" s="22"/>
      <c r="S38" s="22">
        <f t="shared" ref="S38:S69" si="20">IF(A38&lt;startage,1,0)*(N38-Q38-R38)+IF(A38&gt;=startage,1,0)*completionprob*(N38*spart+O38+P38)</f>
        <v>1115.0689909829464</v>
      </c>
      <c r="T38" s="22">
        <f t="shared" ref="T38:T69" si="21">S38/sreturn^(A38-startage+1)</f>
        <v>1288.625763520198</v>
      </c>
    </row>
    <row r="39" spans="1:20" x14ac:dyDescent="0.2">
      <c r="A39" s="5">
        <v>48</v>
      </c>
      <c r="B39" s="1">
        <f t="shared" si="13"/>
        <v>2.2037569377728037</v>
      </c>
      <c r="C39" s="5">
        <f t="shared" si="14"/>
        <v>51568.279432481926</v>
      </c>
      <c r="D39" s="5">
        <f t="shared" si="15"/>
        <v>49733.897181425345</v>
      </c>
      <c r="E39" s="5">
        <f t="shared" si="1"/>
        <v>40233.897181425345</v>
      </c>
      <c r="F39" s="5">
        <f t="shared" si="2"/>
        <v>14011.50714787791</v>
      </c>
      <c r="G39" s="5">
        <f t="shared" si="3"/>
        <v>35722.390033547432</v>
      </c>
      <c r="H39" s="22">
        <f t="shared" si="16"/>
        <v>22780.332369248863</v>
      </c>
      <c r="I39" s="5">
        <f t="shared" si="17"/>
        <v>57340.925451964606</v>
      </c>
      <c r="J39" s="26">
        <f t="shared" si="19"/>
        <v>0.18730867955525837</v>
      </c>
      <c r="L39" s="22">
        <f t="shared" si="18"/>
        <v>120294.13688400172</v>
      </c>
      <c r="M39" s="5">
        <f>scrimecost*Meta!O36</f>
        <v>994.30800000000011</v>
      </c>
      <c r="N39" s="5">
        <f>L39-Grade9!L39</f>
        <v>1178.3452900551201</v>
      </c>
      <c r="O39" s="5">
        <f>Grade9!M39-M39</f>
        <v>20.481999999999971</v>
      </c>
      <c r="P39" s="22">
        <f t="shared" ref="P39:P56" si="22">(spart-initialspart)*(L39*J39+nptrans)</f>
        <v>261.775223441837</v>
      </c>
      <c r="Q39" s="22"/>
      <c r="R39" s="22"/>
      <c r="S39" s="22">
        <f t="shared" si="20"/>
        <v>1143.8827220294406</v>
      </c>
      <c r="T39" s="22">
        <f t="shared" si="21"/>
        <v>1327.9137104687074</v>
      </c>
    </row>
    <row r="40" spans="1:20" x14ac:dyDescent="0.2">
      <c r="A40" s="5">
        <v>49</v>
      </c>
      <c r="B40" s="1">
        <f t="shared" si="13"/>
        <v>2.2588508612171236</v>
      </c>
      <c r="C40" s="5">
        <f t="shared" si="14"/>
        <v>52857.486418293971</v>
      </c>
      <c r="D40" s="5">
        <f t="shared" si="15"/>
        <v>50957.354610960974</v>
      </c>
      <c r="E40" s="5">
        <f t="shared" si="1"/>
        <v>41457.354610960974</v>
      </c>
      <c r="F40" s="5">
        <f t="shared" si="2"/>
        <v>14533.311741574857</v>
      </c>
      <c r="G40" s="5">
        <f t="shared" si="3"/>
        <v>36424.042869386118</v>
      </c>
      <c r="H40" s="22">
        <f t="shared" si="16"/>
        <v>23349.840678480083</v>
      </c>
      <c r="I40" s="5">
        <f t="shared" si="17"/>
        <v>58583.041673263717</v>
      </c>
      <c r="J40" s="26">
        <f t="shared" si="19"/>
        <v>0.18995531839628471</v>
      </c>
      <c r="L40" s="22">
        <f t="shared" si="18"/>
        <v>123301.49030610175</v>
      </c>
      <c r="M40" s="5">
        <f>scrimecost*Meta!O37</f>
        <v>994.30800000000011</v>
      </c>
      <c r="N40" s="5">
        <f>L40-Grade9!L40</f>
        <v>1207.8039223064698</v>
      </c>
      <c r="O40" s="5">
        <f>Grade9!M40-M40</f>
        <v>20.481999999999971</v>
      </c>
      <c r="P40" s="22">
        <f t="shared" si="22"/>
        <v>269.78196464848799</v>
      </c>
      <c r="Q40" s="22"/>
      <c r="R40" s="22"/>
      <c r="S40" s="22">
        <f t="shared" si="20"/>
        <v>1173.4167963520727</v>
      </c>
      <c r="T40" s="22">
        <f t="shared" si="21"/>
        <v>1368.3712429756035</v>
      </c>
    </row>
    <row r="41" spans="1:20" x14ac:dyDescent="0.2">
      <c r="A41" s="5">
        <v>50</v>
      </c>
      <c r="B41" s="1">
        <f t="shared" si="13"/>
        <v>2.3153221327475517</v>
      </c>
      <c r="C41" s="5">
        <f t="shared" si="14"/>
        <v>54178.923578751317</v>
      </c>
      <c r="D41" s="5">
        <f t="shared" si="15"/>
        <v>52211.398476234994</v>
      </c>
      <c r="E41" s="5">
        <f t="shared" si="1"/>
        <v>42711.398476234994</v>
      </c>
      <c r="F41" s="5">
        <f t="shared" si="2"/>
        <v>15068.161450114225</v>
      </c>
      <c r="G41" s="5">
        <f t="shared" si="3"/>
        <v>37143.237026120769</v>
      </c>
      <c r="H41" s="22">
        <f t="shared" si="16"/>
        <v>23933.586695442082</v>
      </c>
      <c r="I41" s="5">
        <f t="shared" si="17"/>
        <v>59856.210800095301</v>
      </c>
      <c r="J41" s="26">
        <f t="shared" si="19"/>
        <v>0.19253740507045675</v>
      </c>
      <c r="L41" s="22">
        <f t="shared" si="18"/>
        <v>126384.02756375431</v>
      </c>
      <c r="M41" s="5">
        <f>scrimecost*Meta!O38</f>
        <v>664.29600000000005</v>
      </c>
      <c r="N41" s="5">
        <f>L41-Grade9!L41</f>
        <v>1237.9990203641646</v>
      </c>
      <c r="O41" s="5">
        <f>Grade9!M41-M41</f>
        <v>13.683999999999969</v>
      </c>
      <c r="P41" s="22">
        <f t="shared" si="22"/>
        <v>277.98887438530528</v>
      </c>
      <c r="Q41" s="22"/>
      <c r="R41" s="22"/>
      <c r="S41" s="22">
        <f t="shared" si="20"/>
        <v>1196.9863945328154</v>
      </c>
      <c r="T41" s="22">
        <f t="shared" si="21"/>
        <v>1402.1811865940331</v>
      </c>
    </row>
    <row r="42" spans="1:20" x14ac:dyDescent="0.2">
      <c r="A42" s="5">
        <v>51</v>
      </c>
      <c r="B42" s="1">
        <f t="shared" si="13"/>
        <v>2.3732051860662402</v>
      </c>
      <c r="C42" s="5">
        <f t="shared" si="14"/>
        <v>55533.396668220099</v>
      </c>
      <c r="D42" s="5">
        <f t="shared" si="15"/>
        <v>53496.79343814087</v>
      </c>
      <c r="E42" s="5">
        <f t="shared" si="1"/>
        <v>43996.79343814087</v>
      </c>
      <c r="F42" s="5">
        <f t="shared" si="2"/>
        <v>15616.382401367082</v>
      </c>
      <c r="G42" s="5">
        <f t="shared" si="3"/>
        <v>37880.411036773789</v>
      </c>
      <c r="H42" s="22">
        <f t="shared" si="16"/>
        <v>24531.926362828133</v>
      </c>
      <c r="I42" s="5">
        <f t="shared" si="17"/>
        <v>61161.209155097691</v>
      </c>
      <c r="J42" s="26">
        <f t="shared" si="19"/>
        <v>0.19505651402086849</v>
      </c>
      <c r="L42" s="22">
        <f t="shared" si="18"/>
        <v>129543.62825284815</v>
      </c>
      <c r="M42" s="5">
        <f>scrimecost*Meta!O39</f>
        <v>664.29600000000005</v>
      </c>
      <c r="N42" s="5">
        <f>L42-Grade9!L42</f>
        <v>1268.9489958732302</v>
      </c>
      <c r="O42" s="5">
        <f>Grade9!M42-M42</f>
        <v>13.683999999999969</v>
      </c>
      <c r="P42" s="22">
        <f t="shared" si="22"/>
        <v>286.40095686554292</v>
      </c>
      <c r="Q42" s="22"/>
      <c r="R42" s="22"/>
      <c r="S42" s="22">
        <f t="shared" si="20"/>
        <v>1228.0156313680238</v>
      </c>
      <c r="T42" s="22">
        <f t="shared" si="21"/>
        <v>1445.0474240994884</v>
      </c>
    </row>
    <row r="43" spans="1:20" x14ac:dyDescent="0.2">
      <c r="A43" s="5">
        <v>52</v>
      </c>
      <c r="B43" s="1">
        <f t="shared" si="13"/>
        <v>2.4325353157178964</v>
      </c>
      <c r="C43" s="5">
        <f t="shared" si="14"/>
        <v>56921.731584925605</v>
      </c>
      <c r="D43" s="5">
        <f t="shared" si="15"/>
        <v>54814.323274094393</v>
      </c>
      <c r="E43" s="5">
        <f t="shared" si="1"/>
        <v>45314.323274094393</v>
      </c>
      <c r="F43" s="5">
        <f t="shared" si="2"/>
        <v>16178.308876401257</v>
      </c>
      <c r="G43" s="5">
        <f t="shared" si="3"/>
        <v>38636.014397693136</v>
      </c>
      <c r="H43" s="22">
        <f t="shared" si="16"/>
        <v>25145.224521898836</v>
      </c>
      <c r="I43" s="5">
        <f t="shared" si="17"/>
        <v>62498.832468975132</v>
      </c>
      <c r="J43" s="26">
        <f t="shared" si="19"/>
        <v>0.19751418128956286</v>
      </c>
      <c r="L43" s="22">
        <f t="shared" si="18"/>
        <v>132782.21895916935</v>
      </c>
      <c r="M43" s="5">
        <f>scrimecost*Meta!O40</f>
        <v>664.29600000000005</v>
      </c>
      <c r="N43" s="5">
        <f>L43-Grade9!L43</f>
        <v>1300.6727207700606</v>
      </c>
      <c r="O43" s="5">
        <f>Grade9!M43-M43</f>
        <v>13.683999999999969</v>
      </c>
      <c r="P43" s="22">
        <f t="shared" si="22"/>
        <v>295.02334140778652</v>
      </c>
      <c r="Q43" s="22"/>
      <c r="R43" s="22"/>
      <c r="S43" s="22">
        <f t="shared" si="20"/>
        <v>1259.8205991241407</v>
      </c>
      <c r="T43" s="22">
        <f t="shared" si="21"/>
        <v>1489.1902831991156</v>
      </c>
    </row>
    <row r="44" spans="1:20" x14ac:dyDescent="0.2">
      <c r="A44" s="5">
        <v>53</v>
      </c>
      <c r="B44" s="1">
        <f t="shared" si="13"/>
        <v>2.4933486986108435</v>
      </c>
      <c r="C44" s="5">
        <f t="shared" si="14"/>
        <v>58344.774874548741</v>
      </c>
      <c r="D44" s="5">
        <f t="shared" si="15"/>
        <v>56164.791355946749</v>
      </c>
      <c r="E44" s="5">
        <f t="shared" si="1"/>
        <v>46664.791355946749</v>
      </c>
      <c r="F44" s="5">
        <f t="shared" si="2"/>
        <v>16754.283513311289</v>
      </c>
      <c r="G44" s="5">
        <f t="shared" si="3"/>
        <v>39410.507842635459</v>
      </c>
      <c r="H44" s="22">
        <f t="shared" si="16"/>
        <v>25773.855134946305</v>
      </c>
      <c r="I44" s="5">
        <f t="shared" si="17"/>
        <v>63869.896365699504</v>
      </c>
      <c r="J44" s="26">
        <f t="shared" si="19"/>
        <v>0.19991190545414275</v>
      </c>
      <c r="L44" s="22">
        <f t="shared" si="18"/>
        <v>136101.77443314856</v>
      </c>
      <c r="M44" s="5">
        <f>scrimecost*Meta!O41</f>
        <v>664.29600000000005</v>
      </c>
      <c r="N44" s="5">
        <f>L44-Grade9!L44</f>
        <v>1333.189538789331</v>
      </c>
      <c r="O44" s="5">
        <f>Grade9!M44-M44</f>
        <v>13.683999999999969</v>
      </c>
      <c r="P44" s="22">
        <f t="shared" si="22"/>
        <v>303.86128556358619</v>
      </c>
      <c r="Q44" s="22"/>
      <c r="R44" s="22"/>
      <c r="S44" s="22">
        <f t="shared" si="20"/>
        <v>1292.4206910741748</v>
      </c>
      <c r="T44" s="22">
        <f t="shared" si="21"/>
        <v>1534.6476349153133</v>
      </c>
    </row>
    <row r="45" spans="1:20" x14ac:dyDescent="0.2">
      <c r="A45" s="5">
        <v>54</v>
      </c>
      <c r="B45" s="1">
        <f t="shared" si="13"/>
        <v>2.555682416076114</v>
      </c>
      <c r="C45" s="5">
        <f t="shared" si="14"/>
        <v>59803.394246412441</v>
      </c>
      <c r="D45" s="5">
        <f t="shared" si="15"/>
        <v>57549.021139845405</v>
      </c>
      <c r="E45" s="5">
        <f t="shared" si="1"/>
        <v>48049.021139845405</v>
      </c>
      <c r="F45" s="5">
        <f t="shared" si="2"/>
        <v>17344.657516144063</v>
      </c>
      <c r="G45" s="5">
        <f t="shared" si="3"/>
        <v>40204.363623701342</v>
      </c>
      <c r="H45" s="22">
        <f t="shared" si="16"/>
        <v>26418.201513319957</v>
      </c>
      <c r="I45" s="5">
        <f t="shared" si="17"/>
        <v>65275.236859841978</v>
      </c>
      <c r="J45" s="26">
        <f t="shared" si="19"/>
        <v>0.20225114854153772</v>
      </c>
      <c r="L45" s="22">
        <f t="shared" si="18"/>
        <v>139504.31879397726</v>
      </c>
      <c r="M45" s="5">
        <f>scrimecost*Meta!O42</f>
        <v>664.29600000000005</v>
      </c>
      <c r="N45" s="5">
        <f>L45-Grade9!L45</f>
        <v>1366.5192772590381</v>
      </c>
      <c r="O45" s="5">
        <f>Grade9!M45-M45</f>
        <v>13.683999999999969</v>
      </c>
      <c r="P45" s="22">
        <f t="shared" si="22"/>
        <v>312.92017832328082</v>
      </c>
      <c r="Q45" s="22"/>
      <c r="R45" s="22"/>
      <c r="S45" s="22">
        <f t="shared" si="20"/>
        <v>1325.8357853229265</v>
      </c>
      <c r="T45" s="22">
        <f t="shared" si="21"/>
        <v>1581.4584730449315</v>
      </c>
    </row>
    <row r="46" spans="1:20" x14ac:dyDescent="0.2">
      <c r="A46" s="5">
        <v>55</v>
      </c>
      <c r="B46" s="1">
        <f t="shared" si="13"/>
        <v>2.6195744764780171</v>
      </c>
      <c r="C46" s="5">
        <f t="shared" si="14"/>
        <v>61298.479102572761</v>
      </c>
      <c r="D46" s="5">
        <f t="shared" si="15"/>
        <v>58967.856668341548</v>
      </c>
      <c r="E46" s="5">
        <f t="shared" si="1"/>
        <v>49467.856668341548</v>
      </c>
      <c r="F46" s="5">
        <f t="shared" si="2"/>
        <v>17949.790869047669</v>
      </c>
      <c r="G46" s="5">
        <f t="shared" si="3"/>
        <v>41018.06579929388</v>
      </c>
      <c r="H46" s="22">
        <f t="shared" si="16"/>
        <v>27078.656551152959</v>
      </c>
      <c r="I46" s="5">
        <f t="shared" si="17"/>
        <v>66715.710866338035</v>
      </c>
      <c r="J46" s="26">
        <f t="shared" si="19"/>
        <v>0.20453333691948411</v>
      </c>
      <c r="L46" s="22">
        <f t="shared" si="18"/>
        <v>142991.92676382672</v>
      </c>
      <c r="M46" s="5">
        <f>scrimecost*Meta!O43</f>
        <v>368.46</v>
      </c>
      <c r="N46" s="5">
        <f>L46-Grade9!L46</f>
        <v>1400.6822591905657</v>
      </c>
      <c r="O46" s="5">
        <f>Grade9!M46-M46</f>
        <v>7.589999999999975</v>
      </c>
      <c r="P46" s="22">
        <f t="shared" si="22"/>
        <v>322.20554340196793</v>
      </c>
      <c r="Q46" s="22"/>
      <c r="R46" s="22"/>
      <c r="S46" s="22">
        <f t="shared" si="20"/>
        <v>1354.077572927954</v>
      </c>
      <c r="T46" s="22">
        <f t="shared" si="21"/>
        <v>1622.4633087238626</v>
      </c>
    </row>
    <row r="47" spans="1:20" x14ac:dyDescent="0.2">
      <c r="A47" s="5">
        <v>56</v>
      </c>
      <c r="B47" s="1">
        <f t="shared" si="13"/>
        <v>2.6850638383899672</v>
      </c>
      <c r="C47" s="5">
        <f t="shared" si="14"/>
        <v>62830.941080137069</v>
      </c>
      <c r="D47" s="5">
        <f t="shared" si="15"/>
        <v>60422.163085050073</v>
      </c>
      <c r="E47" s="5">
        <f t="shared" si="1"/>
        <v>50922.163085050073</v>
      </c>
      <c r="F47" s="5">
        <f t="shared" si="2"/>
        <v>18570.052555773855</v>
      </c>
      <c r="G47" s="5">
        <f t="shared" si="3"/>
        <v>41852.110529276222</v>
      </c>
      <c r="H47" s="22">
        <f t="shared" si="16"/>
        <v>27755.622964931779</v>
      </c>
      <c r="I47" s="5">
        <f t="shared" si="17"/>
        <v>68192.196722996479</v>
      </c>
      <c r="J47" s="26">
        <f t="shared" si="19"/>
        <v>0.20675986216626102</v>
      </c>
      <c r="L47" s="22">
        <f t="shared" si="18"/>
        <v>146566.72493292237</v>
      </c>
      <c r="M47" s="5">
        <f>scrimecost*Meta!O44</f>
        <v>368.46</v>
      </c>
      <c r="N47" s="5">
        <f>L47-Grade9!L47</f>
        <v>1435.6993156703247</v>
      </c>
      <c r="O47" s="5">
        <f>Grade9!M47-M47</f>
        <v>7.589999999999975</v>
      </c>
      <c r="P47" s="22">
        <f t="shared" si="22"/>
        <v>331.72304260762218</v>
      </c>
      <c r="Q47" s="22"/>
      <c r="R47" s="22"/>
      <c r="S47" s="22">
        <f t="shared" si="20"/>
        <v>1389.1843063230658</v>
      </c>
      <c r="T47" s="22">
        <f t="shared" si="21"/>
        <v>1672.0701390166437</v>
      </c>
    </row>
    <row r="48" spans="1:20" x14ac:dyDescent="0.2">
      <c r="A48" s="5">
        <v>57</v>
      </c>
      <c r="B48" s="1">
        <f t="shared" si="13"/>
        <v>2.7521904343497163</v>
      </c>
      <c r="C48" s="5">
        <f t="shared" si="14"/>
        <v>64401.714607140493</v>
      </c>
      <c r="D48" s="5">
        <f t="shared" si="15"/>
        <v>61912.827162176327</v>
      </c>
      <c r="E48" s="5">
        <f t="shared" si="1"/>
        <v>52412.827162176327</v>
      </c>
      <c r="F48" s="5">
        <f t="shared" si="2"/>
        <v>19205.820784668205</v>
      </c>
      <c r="G48" s="5">
        <f t="shared" si="3"/>
        <v>42707.006377508122</v>
      </c>
      <c r="H48" s="22">
        <f t="shared" si="16"/>
        <v>28449.513539055071</v>
      </c>
      <c r="I48" s="5">
        <f t="shared" si="17"/>
        <v>69705.594726071387</v>
      </c>
      <c r="J48" s="26">
        <f t="shared" si="19"/>
        <v>0.20893208191921422</v>
      </c>
      <c r="L48" s="22">
        <f t="shared" si="18"/>
        <v>150230.89305624543</v>
      </c>
      <c r="M48" s="5">
        <f>scrimecost*Meta!O45</f>
        <v>368.46</v>
      </c>
      <c r="N48" s="5">
        <f>L48-Grade9!L48</f>
        <v>1471.5917985620908</v>
      </c>
      <c r="O48" s="5">
        <f>Grade9!M48-M48</f>
        <v>7.589999999999975</v>
      </c>
      <c r="P48" s="22">
        <f t="shared" si="22"/>
        <v>341.47847929341793</v>
      </c>
      <c r="Q48" s="22"/>
      <c r="R48" s="22"/>
      <c r="S48" s="22">
        <f t="shared" si="20"/>
        <v>1425.1687080530651</v>
      </c>
      <c r="T48" s="22">
        <f t="shared" si="21"/>
        <v>1723.1543637662667</v>
      </c>
    </row>
    <row r="49" spans="1:20" x14ac:dyDescent="0.2">
      <c r="A49" s="5">
        <v>58</v>
      </c>
      <c r="B49" s="1">
        <f t="shared" si="13"/>
        <v>2.8209951952084591</v>
      </c>
      <c r="C49" s="5">
        <f t="shared" si="14"/>
        <v>66011.757472319005</v>
      </c>
      <c r="D49" s="5">
        <f t="shared" si="15"/>
        <v>63440.757841230734</v>
      </c>
      <c r="E49" s="5">
        <f t="shared" si="1"/>
        <v>53940.757841230734</v>
      </c>
      <c r="F49" s="5">
        <f t="shared" si="2"/>
        <v>19857.483219284906</v>
      </c>
      <c r="G49" s="5">
        <f t="shared" si="3"/>
        <v>43583.274621945828</v>
      </c>
      <c r="H49" s="22">
        <f t="shared" si="16"/>
        <v>29160.751377531447</v>
      </c>
      <c r="I49" s="5">
        <f t="shared" si="17"/>
        <v>71256.827679223177</v>
      </c>
      <c r="J49" s="26">
        <f t="shared" si="19"/>
        <v>0.21105132070258303</v>
      </c>
      <c r="L49" s="22">
        <f t="shared" si="18"/>
        <v>153986.66538265155</v>
      </c>
      <c r="M49" s="5">
        <f>scrimecost*Meta!O46</f>
        <v>368.46</v>
      </c>
      <c r="N49" s="5">
        <f>L49-Grade9!L49</f>
        <v>1508.3815935261373</v>
      </c>
      <c r="O49" s="5">
        <f>Grade9!M49-M49</f>
        <v>7.589999999999975</v>
      </c>
      <c r="P49" s="22">
        <f t="shared" si="22"/>
        <v>351.47780189635836</v>
      </c>
      <c r="Q49" s="22"/>
      <c r="R49" s="22"/>
      <c r="S49" s="22">
        <f t="shared" si="20"/>
        <v>1462.0527198263039</v>
      </c>
      <c r="T49" s="22">
        <f t="shared" si="21"/>
        <v>1775.7598100541229</v>
      </c>
    </row>
    <row r="50" spans="1:20" x14ac:dyDescent="0.2">
      <c r="A50" s="5">
        <v>59</v>
      </c>
      <c r="B50" s="1">
        <f t="shared" si="13"/>
        <v>2.8915200750886707</v>
      </c>
      <c r="C50" s="5">
        <f t="shared" si="14"/>
        <v>67662.051409126987</v>
      </c>
      <c r="D50" s="5">
        <f t="shared" si="15"/>
        <v>65006.886787261508</v>
      </c>
      <c r="E50" s="5">
        <f t="shared" si="1"/>
        <v>55506.886787261508</v>
      </c>
      <c r="F50" s="5">
        <f t="shared" si="2"/>
        <v>20525.437214767033</v>
      </c>
      <c r="G50" s="5">
        <f t="shared" si="3"/>
        <v>44481.449572494472</v>
      </c>
      <c r="H50" s="22">
        <f t="shared" si="16"/>
        <v>29889.770161969736</v>
      </c>
      <c r="I50" s="5">
        <f t="shared" si="17"/>
        <v>72846.841456203751</v>
      </c>
      <c r="J50" s="26">
        <f t="shared" si="19"/>
        <v>0.21311887073513805</v>
      </c>
      <c r="L50" s="22">
        <f t="shared" si="18"/>
        <v>157836.33201721785</v>
      </c>
      <c r="M50" s="5">
        <f>scrimecost*Meta!O47</f>
        <v>368.46</v>
      </c>
      <c r="N50" s="5">
        <f>L50-Grade9!L50</f>
        <v>1546.0911333643307</v>
      </c>
      <c r="O50" s="5">
        <f>Grade9!M50-M50</f>
        <v>7.589999999999975</v>
      </c>
      <c r="P50" s="22">
        <f t="shared" si="22"/>
        <v>361.72710756437237</v>
      </c>
      <c r="Q50" s="22"/>
      <c r="R50" s="22"/>
      <c r="S50" s="22">
        <f t="shared" si="20"/>
        <v>1499.8588318939076</v>
      </c>
      <c r="T50" s="22">
        <f t="shared" si="21"/>
        <v>1829.931604317956</v>
      </c>
    </row>
    <row r="51" spans="1:20" x14ac:dyDescent="0.2">
      <c r="A51" s="5">
        <v>60</v>
      </c>
      <c r="B51" s="1">
        <f t="shared" si="13"/>
        <v>2.9638080769658868</v>
      </c>
      <c r="C51" s="5">
        <f t="shared" si="14"/>
        <v>69353.602694355141</v>
      </c>
      <c r="D51" s="5">
        <f t="shared" si="15"/>
        <v>66612.168956943031</v>
      </c>
      <c r="E51" s="5">
        <f t="shared" si="1"/>
        <v>57112.168956943031</v>
      </c>
      <c r="F51" s="5">
        <f t="shared" si="2"/>
        <v>21210.090060136201</v>
      </c>
      <c r="G51" s="5">
        <f t="shared" si="3"/>
        <v>45402.07889680683</v>
      </c>
      <c r="H51" s="22">
        <f t="shared" si="16"/>
        <v>30637.01441601897</v>
      </c>
      <c r="I51" s="5">
        <f t="shared" si="17"/>
        <v>74476.605577608832</v>
      </c>
      <c r="J51" s="26">
        <f t="shared" si="19"/>
        <v>0.21513599271811853</v>
      </c>
      <c r="L51" s="22">
        <f t="shared" si="18"/>
        <v>161782.24031764825</v>
      </c>
      <c r="M51" s="5">
        <f>scrimecost*Meta!O48</f>
        <v>194.376</v>
      </c>
      <c r="N51" s="5">
        <f>L51-Grade9!L51</f>
        <v>1584.7434116983495</v>
      </c>
      <c r="O51" s="5">
        <f>Grade9!M51-M51</f>
        <v>4.0039999999999907</v>
      </c>
      <c r="P51" s="22">
        <f t="shared" si="22"/>
        <v>372.23264587408664</v>
      </c>
      <c r="Q51" s="22"/>
      <c r="R51" s="22"/>
      <c r="S51" s="22">
        <f t="shared" si="20"/>
        <v>1535.0743007631058</v>
      </c>
      <c r="T51" s="22">
        <f t="shared" si="21"/>
        <v>1881.3827492290109</v>
      </c>
    </row>
    <row r="52" spans="1:20" x14ac:dyDescent="0.2">
      <c r="A52" s="5">
        <v>61</v>
      </c>
      <c r="B52" s="1">
        <f t="shared" si="13"/>
        <v>3.0379032788900342</v>
      </c>
      <c r="C52" s="5">
        <f t="shared" si="14"/>
        <v>71087.442761714017</v>
      </c>
      <c r="D52" s="5">
        <f t="shared" si="15"/>
        <v>68257.583180866612</v>
      </c>
      <c r="E52" s="5">
        <f t="shared" si="1"/>
        <v>58757.583180866612</v>
      </c>
      <c r="F52" s="5">
        <f t="shared" si="2"/>
        <v>21911.859226639608</v>
      </c>
      <c r="G52" s="5">
        <f t="shared" si="3"/>
        <v>46345.723954227004</v>
      </c>
      <c r="H52" s="22">
        <f t="shared" si="16"/>
        <v>31402.939776419451</v>
      </c>
      <c r="I52" s="5">
        <f t="shared" si="17"/>
        <v>76147.113802049062</v>
      </c>
      <c r="J52" s="26">
        <f t="shared" si="19"/>
        <v>0.21710391660395317</v>
      </c>
      <c r="L52" s="22">
        <f t="shared" si="18"/>
        <v>165826.79632558947</v>
      </c>
      <c r="M52" s="5">
        <f>scrimecost*Meta!O49</f>
        <v>194.376</v>
      </c>
      <c r="N52" s="5">
        <f>L52-Grade9!L52</f>
        <v>1624.3619969908614</v>
      </c>
      <c r="O52" s="5">
        <f>Grade9!M52-M52</f>
        <v>4.0039999999999907</v>
      </c>
      <c r="P52" s="22">
        <f t="shared" si="22"/>
        <v>383.00082264154389</v>
      </c>
      <c r="Q52" s="22"/>
      <c r="R52" s="22"/>
      <c r="S52" s="22">
        <f t="shared" si="20"/>
        <v>1574.7943472541392</v>
      </c>
      <c r="T52" s="22">
        <f t="shared" si="21"/>
        <v>1938.8083756082576</v>
      </c>
    </row>
    <row r="53" spans="1:20" x14ac:dyDescent="0.2">
      <c r="A53" s="5">
        <v>62</v>
      </c>
      <c r="B53" s="1">
        <f t="shared" si="13"/>
        <v>3.1138508608622844</v>
      </c>
      <c r="C53" s="5">
        <f t="shared" si="14"/>
        <v>72864.628830756861</v>
      </c>
      <c r="D53" s="5">
        <f t="shared" si="15"/>
        <v>69944.132760388267</v>
      </c>
      <c r="E53" s="5">
        <f t="shared" si="1"/>
        <v>60444.132760388267</v>
      </c>
      <c r="F53" s="5">
        <f t="shared" si="2"/>
        <v>22631.172622305596</v>
      </c>
      <c r="G53" s="5">
        <f t="shared" si="3"/>
        <v>47312.960138082672</v>
      </c>
      <c r="H53" s="22">
        <f t="shared" si="16"/>
        <v>32188.013270829928</v>
      </c>
      <c r="I53" s="5">
        <f t="shared" si="17"/>
        <v>77859.384732100269</v>
      </c>
      <c r="J53" s="26">
        <f t="shared" si="19"/>
        <v>0.21902384234623085</v>
      </c>
      <c r="L53" s="22">
        <f t="shared" si="18"/>
        <v>169972.46623372918</v>
      </c>
      <c r="M53" s="5">
        <f>scrimecost*Meta!O50</f>
        <v>194.376</v>
      </c>
      <c r="N53" s="5">
        <f>L53-Grade9!L53</f>
        <v>1664.971046915598</v>
      </c>
      <c r="O53" s="5">
        <f>Grade9!M53-M53</f>
        <v>4.0039999999999907</v>
      </c>
      <c r="P53" s="22">
        <f t="shared" si="22"/>
        <v>394.03820382818748</v>
      </c>
      <c r="Q53" s="22"/>
      <c r="R53" s="22"/>
      <c r="S53" s="22">
        <f t="shared" si="20"/>
        <v>1615.5073949073835</v>
      </c>
      <c r="T53" s="22">
        <f t="shared" si="21"/>
        <v>1997.9438273861772</v>
      </c>
    </row>
    <row r="54" spans="1:20" x14ac:dyDescent="0.2">
      <c r="A54" s="5">
        <v>63</v>
      </c>
      <c r="B54" s="1">
        <f t="shared" si="13"/>
        <v>3.1916971323838421</v>
      </c>
      <c r="C54" s="5">
        <f t="shared" si="14"/>
        <v>74686.2445515258</v>
      </c>
      <c r="D54" s="5">
        <f t="shared" si="15"/>
        <v>71672.84607939799</v>
      </c>
      <c r="E54" s="5">
        <f t="shared" si="1"/>
        <v>62172.84607939799</v>
      </c>
      <c r="F54" s="5">
        <f t="shared" si="2"/>
        <v>23368.468852863243</v>
      </c>
      <c r="G54" s="5">
        <f t="shared" si="3"/>
        <v>48304.377226534751</v>
      </c>
      <c r="H54" s="22">
        <f t="shared" si="16"/>
        <v>32992.713602600685</v>
      </c>
      <c r="I54" s="5">
        <f t="shared" si="17"/>
        <v>79614.462435402791</v>
      </c>
      <c r="J54" s="26">
        <f t="shared" si="19"/>
        <v>0.22089694063137985</v>
      </c>
      <c r="L54" s="22">
        <f t="shared" si="18"/>
        <v>174221.7778895724</v>
      </c>
      <c r="M54" s="5">
        <f>scrimecost*Meta!O51</f>
        <v>194.376</v>
      </c>
      <c r="N54" s="5">
        <f>L54-Grade9!L54</f>
        <v>1706.5953230884916</v>
      </c>
      <c r="O54" s="5">
        <f>Grade9!M54-M54</f>
        <v>4.0039999999999907</v>
      </c>
      <c r="P54" s="22">
        <f t="shared" si="22"/>
        <v>405.35151954449725</v>
      </c>
      <c r="Q54" s="22"/>
      <c r="R54" s="22"/>
      <c r="S54" s="22">
        <f t="shared" si="20"/>
        <v>1657.2382687519873</v>
      </c>
      <c r="T54" s="22">
        <f t="shared" si="21"/>
        <v>2058.8398248007452</v>
      </c>
    </row>
    <row r="55" spans="1:20" x14ac:dyDescent="0.2">
      <c r="A55" s="5">
        <v>64</v>
      </c>
      <c r="B55" s="1">
        <f t="shared" si="13"/>
        <v>3.2714895606934378</v>
      </c>
      <c r="C55" s="5">
        <f t="shared" si="14"/>
        <v>76553.400665313937</v>
      </c>
      <c r="D55" s="5">
        <f t="shared" si="15"/>
        <v>73444.777231382934</v>
      </c>
      <c r="E55" s="5">
        <f t="shared" si="1"/>
        <v>63944.777231382934</v>
      </c>
      <c r="F55" s="5">
        <f t="shared" si="2"/>
        <v>24124.197489184822</v>
      </c>
      <c r="G55" s="5">
        <f t="shared" si="3"/>
        <v>49320.579742198111</v>
      </c>
      <c r="H55" s="22">
        <f t="shared" si="16"/>
        <v>33817.531442665699</v>
      </c>
      <c r="I55" s="5">
        <f t="shared" si="17"/>
        <v>81413.417081287858</v>
      </c>
      <c r="J55" s="26">
        <f t="shared" si="19"/>
        <v>0.22272435359250076</v>
      </c>
      <c r="L55" s="22">
        <f t="shared" si="18"/>
        <v>178577.32233681172</v>
      </c>
      <c r="M55" s="5">
        <f>scrimecost*Meta!O52</f>
        <v>194.376</v>
      </c>
      <c r="N55" s="5">
        <f>L55-Grade9!L55</f>
        <v>1749.2602061657526</v>
      </c>
      <c r="O55" s="5">
        <f>Grade9!M55-M55</f>
        <v>4.0039999999999907</v>
      </c>
      <c r="P55" s="22">
        <f t="shared" si="22"/>
        <v>416.94766815371469</v>
      </c>
      <c r="Q55" s="22"/>
      <c r="R55" s="22"/>
      <c r="S55" s="22">
        <f t="shared" si="20"/>
        <v>1700.0124144427393</v>
      </c>
      <c r="T55" s="22">
        <f t="shared" si="21"/>
        <v>2121.5485918010827</v>
      </c>
    </row>
    <row r="56" spans="1:20" x14ac:dyDescent="0.2">
      <c r="A56" s="5">
        <v>65</v>
      </c>
      <c r="B56" s="1">
        <f t="shared" si="13"/>
        <v>3.3532767997107733</v>
      </c>
      <c r="C56" s="5">
        <f t="shared" si="14"/>
        <v>78467.235681946768</v>
      </c>
      <c r="D56" s="5">
        <f t="shared" si="15"/>
        <v>75261.006662167478</v>
      </c>
      <c r="E56" s="5">
        <f t="shared" si="1"/>
        <v>65761.006662167478</v>
      </c>
      <c r="F56" s="5">
        <f t="shared" si="2"/>
        <v>24898.81934141443</v>
      </c>
      <c r="G56" s="5">
        <f t="shared" si="3"/>
        <v>50362.187320753044</v>
      </c>
      <c r="H56" s="22">
        <f t="shared" si="16"/>
        <v>34662.969728732336</v>
      </c>
      <c r="I56" s="5">
        <f t="shared" si="17"/>
        <v>83257.345593320031</v>
      </c>
      <c r="J56" s="26">
        <f t="shared" si="19"/>
        <v>0.22450719550578943</v>
      </c>
      <c r="L56" s="22">
        <f t="shared" si="18"/>
        <v>183041.75539523197</v>
      </c>
      <c r="M56" s="5">
        <f>scrimecost*Meta!O53</f>
        <v>58.74</v>
      </c>
      <c r="N56" s="5">
        <f>L56-Grade9!L56</f>
        <v>1792.9917113198317</v>
      </c>
      <c r="O56" s="5">
        <f>Grade9!M56-M56</f>
        <v>1.2100000000000009</v>
      </c>
      <c r="P56" s="22">
        <f t="shared" si="22"/>
        <v>428.83372047816249</v>
      </c>
      <c r="Q56" s="22"/>
      <c r="R56" s="22"/>
      <c r="S56" s="22">
        <f t="shared" si="20"/>
        <v>1741.101029775677</v>
      </c>
      <c r="T56" s="22">
        <f t="shared" si="21"/>
        <v>2182.6703367671976</v>
      </c>
    </row>
    <row r="57" spans="1:20" x14ac:dyDescent="0.2">
      <c r="A57" s="5">
        <v>66</v>
      </c>
      <c r="C57" s="5"/>
      <c r="H57" s="21"/>
      <c r="I57" s="5"/>
      <c r="M57" s="5">
        <f>scrimecost*Meta!O54</f>
        <v>58.74</v>
      </c>
      <c r="N57" s="5">
        <f>L57-Grade9!L57</f>
        <v>0</v>
      </c>
      <c r="O57" s="5">
        <f>Grade9!M57-M57</f>
        <v>1.2100000000000009</v>
      </c>
      <c r="Q57" s="22"/>
      <c r="R57" s="22"/>
      <c r="S57" s="22">
        <f t="shared" si="20"/>
        <v>1.1930600000000009</v>
      </c>
      <c r="T57" s="22">
        <f t="shared" si="21"/>
        <v>1.5024144178510619</v>
      </c>
    </row>
    <row r="58" spans="1:20" x14ac:dyDescent="0.2">
      <c r="A58" s="5">
        <v>67</v>
      </c>
      <c r="C58" s="5"/>
      <c r="H58" s="21"/>
      <c r="I58" s="5"/>
      <c r="M58" s="5">
        <f>scrimecost*Meta!O55</f>
        <v>58.74</v>
      </c>
      <c r="N58" s="5">
        <f>L58-Grade9!L58</f>
        <v>0</v>
      </c>
      <c r="O58" s="5">
        <f>Grade9!M58-M58</f>
        <v>1.2100000000000009</v>
      </c>
      <c r="Q58" s="22"/>
      <c r="R58" s="22"/>
      <c r="S58" s="22">
        <f t="shared" si="20"/>
        <v>1.1930600000000009</v>
      </c>
      <c r="T58" s="22">
        <f t="shared" si="21"/>
        <v>1.5092216483215397</v>
      </c>
    </row>
    <row r="59" spans="1:20" x14ac:dyDescent="0.2">
      <c r="A59" s="5">
        <v>68</v>
      </c>
      <c r="H59" s="21"/>
      <c r="I59" s="5"/>
      <c r="M59" s="5">
        <f>scrimecost*Meta!O56</f>
        <v>58.74</v>
      </c>
      <c r="N59" s="5">
        <f>L59-Grade9!L59</f>
        <v>0</v>
      </c>
      <c r="O59" s="5">
        <f>Grade9!M59-M59</f>
        <v>1.2100000000000009</v>
      </c>
      <c r="Q59" s="22"/>
      <c r="R59" s="22"/>
      <c r="S59" s="22">
        <f t="shared" si="20"/>
        <v>1.1930600000000009</v>
      </c>
      <c r="T59" s="22">
        <f t="shared" si="21"/>
        <v>1.5160597214051657</v>
      </c>
    </row>
    <row r="60" spans="1:20" x14ac:dyDescent="0.2">
      <c r="A60" s="5">
        <v>69</v>
      </c>
      <c r="H60" s="21"/>
      <c r="I60" s="5"/>
      <c r="M60" s="5">
        <f>scrimecost*Meta!O57</f>
        <v>58.74</v>
      </c>
      <c r="N60" s="5">
        <f>L60-Grade9!L60</f>
        <v>0</v>
      </c>
      <c r="O60" s="5">
        <f>Grade9!M60-M60</f>
        <v>1.2100000000000009</v>
      </c>
      <c r="Q60" s="22"/>
      <c r="R60" s="22"/>
      <c r="S60" s="22">
        <f t="shared" si="20"/>
        <v>1.1930600000000009</v>
      </c>
      <c r="T60" s="22">
        <f t="shared" si="21"/>
        <v>1.5229287768455244</v>
      </c>
    </row>
    <row r="61" spans="1:20" x14ac:dyDescent="0.2">
      <c r="A61" s="5">
        <v>70</v>
      </c>
      <c r="H61" s="21"/>
      <c r="I61" s="5"/>
      <c r="M61" s="5">
        <f>scrimecost*Meta!O58</f>
        <v>58.74</v>
      </c>
      <c r="N61" s="5">
        <f>L61-Grade9!L61</f>
        <v>0</v>
      </c>
      <c r="O61" s="5">
        <f>Grade9!M61-M61</f>
        <v>1.2100000000000009</v>
      </c>
      <c r="Q61" s="22"/>
      <c r="R61" s="22"/>
      <c r="S61" s="22">
        <f t="shared" si="20"/>
        <v>1.1930600000000009</v>
      </c>
      <c r="T61" s="22">
        <f t="shared" si="21"/>
        <v>1.5298289550193589</v>
      </c>
    </row>
    <row r="62" spans="1:20" x14ac:dyDescent="0.2">
      <c r="A62" s="5">
        <v>71</v>
      </c>
      <c r="H62" s="21"/>
      <c r="I62" s="5"/>
      <c r="M62" s="5">
        <f>scrimecost*Meta!O59</f>
        <v>58.74</v>
      </c>
      <c r="N62" s="5">
        <f>L62-Grade9!L62</f>
        <v>0</v>
      </c>
      <c r="O62" s="5">
        <f>Grade9!M62-M62</f>
        <v>1.2100000000000009</v>
      </c>
      <c r="Q62" s="22"/>
      <c r="R62" s="22"/>
      <c r="S62" s="22">
        <f t="shared" si="20"/>
        <v>1.1930600000000009</v>
      </c>
      <c r="T62" s="22">
        <f t="shared" si="21"/>
        <v>1.5367603969394399</v>
      </c>
    </row>
    <row r="63" spans="1:20" x14ac:dyDescent="0.2">
      <c r="A63" s="5">
        <v>72</v>
      </c>
      <c r="H63" s="21"/>
      <c r="M63" s="5">
        <f>scrimecost*Meta!O60</f>
        <v>58.74</v>
      </c>
      <c r="N63" s="5">
        <f>L63-Grade9!L63</f>
        <v>0</v>
      </c>
      <c r="O63" s="5">
        <f>Grade9!M63-M63</f>
        <v>1.2100000000000009</v>
      </c>
      <c r="Q63" s="22"/>
      <c r="R63" s="22"/>
      <c r="S63" s="22">
        <f t="shared" si="20"/>
        <v>1.1930600000000009</v>
      </c>
      <c r="T63" s="22">
        <f t="shared" si="21"/>
        <v>1.5437232442574473</v>
      </c>
    </row>
    <row r="64" spans="1:20" x14ac:dyDescent="0.2">
      <c r="A64" s="5">
        <v>73</v>
      </c>
      <c r="H64" s="21"/>
      <c r="M64" s="5">
        <f>scrimecost*Meta!O61</f>
        <v>58.74</v>
      </c>
      <c r="N64" s="5">
        <f>L64-Grade9!L64</f>
        <v>0</v>
      </c>
      <c r="O64" s="5">
        <f>Grade9!M64-M64</f>
        <v>1.2100000000000009</v>
      </c>
      <c r="Q64" s="22"/>
      <c r="R64" s="22"/>
      <c r="S64" s="22">
        <f t="shared" si="20"/>
        <v>1.1930600000000009</v>
      </c>
      <c r="T64" s="22">
        <f t="shared" si="21"/>
        <v>1.5507176392668647</v>
      </c>
    </row>
    <row r="65" spans="1:20" x14ac:dyDescent="0.2">
      <c r="A65" s="5">
        <v>74</v>
      </c>
      <c r="H65" s="21"/>
      <c r="M65" s="5">
        <f>scrimecost*Meta!O62</f>
        <v>58.74</v>
      </c>
      <c r="N65" s="5">
        <f>L65-Grade9!L65</f>
        <v>0</v>
      </c>
      <c r="O65" s="5">
        <f>Grade9!M65-M65</f>
        <v>1.2100000000000009</v>
      </c>
      <c r="Q65" s="22"/>
      <c r="R65" s="22"/>
      <c r="S65" s="22">
        <f t="shared" si="20"/>
        <v>1.1930600000000009</v>
      </c>
      <c r="T65" s="22">
        <f t="shared" si="21"/>
        <v>1.5577437249058879</v>
      </c>
    </row>
    <row r="66" spans="1:20" x14ac:dyDescent="0.2">
      <c r="A66" s="5">
        <v>75</v>
      </c>
      <c r="H66" s="21"/>
      <c r="M66" s="5">
        <f>scrimecost*Meta!O63</f>
        <v>58.74</v>
      </c>
      <c r="N66" s="5">
        <f>L66-Grade9!L66</f>
        <v>0</v>
      </c>
      <c r="O66" s="5">
        <f>Grade9!M66-M66</f>
        <v>1.2100000000000009</v>
      </c>
      <c r="Q66" s="22"/>
      <c r="R66" s="22"/>
      <c r="S66" s="22">
        <f t="shared" si="20"/>
        <v>1.1930600000000009</v>
      </c>
      <c r="T66" s="22">
        <f t="shared" si="21"/>
        <v>1.5648016447603459</v>
      </c>
    </row>
    <row r="67" spans="1:20" x14ac:dyDescent="0.2">
      <c r="A67" s="5">
        <v>76</v>
      </c>
      <c r="H67" s="21"/>
      <c r="M67" s="5">
        <f>scrimecost*Meta!O64</f>
        <v>58.74</v>
      </c>
      <c r="N67" s="5">
        <f>L67-Grade9!L67</f>
        <v>0</v>
      </c>
      <c r="O67" s="5">
        <f>Grade9!M67-M67</f>
        <v>1.2100000000000009</v>
      </c>
      <c r="Q67" s="22"/>
      <c r="R67" s="22"/>
      <c r="S67" s="22">
        <f t="shared" si="20"/>
        <v>1.1930600000000009</v>
      </c>
      <c r="T67" s="22">
        <f t="shared" si="21"/>
        <v>1.5718915430666349</v>
      </c>
    </row>
    <row r="68" spans="1:20" x14ac:dyDescent="0.2">
      <c r="A68" s="5">
        <v>77</v>
      </c>
      <c r="H68" s="21"/>
      <c r="M68" s="5">
        <f>scrimecost*Meta!O65</f>
        <v>58.74</v>
      </c>
      <c r="N68" s="5">
        <f>L68-Grade9!L68</f>
        <v>0</v>
      </c>
      <c r="O68" s="5">
        <f>Grade9!M68-M68</f>
        <v>1.2100000000000009</v>
      </c>
      <c r="Q68" s="22"/>
      <c r="R68" s="22"/>
      <c r="S68" s="22">
        <f t="shared" si="20"/>
        <v>1.1930600000000009</v>
      </c>
      <c r="T68" s="22">
        <f t="shared" si="21"/>
        <v>1.5790135647146659</v>
      </c>
    </row>
    <row r="69" spans="1:20" x14ac:dyDescent="0.2">
      <c r="A69" s="5">
        <v>78</v>
      </c>
      <c r="H69" s="21"/>
      <c r="M69" s="5">
        <f>scrimecost*Meta!O66</f>
        <v>58.74</v>
      </c>
      <c r="N69" s="5">
        <f>L69-Grade9!L69</f>
        <v>0</v>
      </c>
      <c r="O69" s="5">
        <f>Grade9!M69-M69</f>
        <v>1.2100000000000009</v>
      </c>
      <c r="Q69" s="22"/>
      <c r="R69" s="22"/>
      <c r="S69" s="22">
        <f t="shared" si="20"/>
        <v>1.1930600000000009</v>
      </c>
      <c r="T69" s="22">
        <f t="shared" si="21"/>
        <v>1.5861678552508269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8.7324641517838586E-8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8" sqref="P8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Meta!A5+6</f>
        <v>17</v>
      </c>
      <c r="C2" s="7">
        <f>Meta!B5</f>
        <v>47531</v>
      </c>
      <c r="D2" s="7">
        <f>Meta!C5</f>
        <v>20997</v>
      </c>
      <c r="E2" s="1">
        <f>Meta!D5</f>
        <v>4.9000000000000002E-2</v>
      </c>
      <c r="F2" s="1">
        <f>Meta!F5</f>
        <v>0.65100000000000002</v>
      </c>
      <c r="G2" s="1">
        <f>Meta!I5</f>
        <v>1.9210422854781857</v>
      </c>
      <c r="H2" s="1">
        <f>Meta!E5</f>
        <v>0.98599999999999999</v>
      </c>
      <c r="I2" s="13"/>
      <c r="J2" s="1">
        <f>Meta!X4</f>
        <v>0.745</v>
      </c>
      <c r="K2" s="1">
        <f>Meta!D4</f>
        <v>5.0999999999999997E-2</v>
      </c>
      <c r="L2" s="29"/>
      <c r="N2" s="22">
        <f>Meta!T5</f>
        <v>78856</v>
      </c>
      <c r="O2" s="22">
        <f>Meta!U5</f>
        <v>32926</v>
      </c>
      <c r="P2" s="1">
        <f>Meta!V5</f>
        <v>0.03</v>
      </c>
      <c r="Q2" s="1">
        <f>Meta!X5</f>
        <v>0.754</v>
      </c>
      <c r="R2" s="22">
        <f>Meta!W5</f>
        <v>1046</v>
      </c>
      <c r="T2" s="12">
        <f>IRR(S5:S69)+1</f>
        <v>0.99197976652864761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B7" s="1">
        <v>1</v>
      </c>
      <c r="C7" s="5">
        <f>0.1*Grade10!C7</f>
        <v>2340.0166573995539</v>
      </c>
      <c r="D7" s="5">
        <f t="shared" ref="D7:D36" si="0">IF(A7&lt;startage,1,0)*(C7*(1-initialunempprob))+IF(A7=startage,1,0)*(C7*(1-unempprob))+IF(A7&gt;startage,1,0)*(C7*(1-unempprob)+unempprob*300*52)</f>
        <v>2220.6758078721764</v>
      </c>
      <c r="E7" s="5">
        <f t="shared" ref="E7:E56" si="1">IF(D7-9500&gt;0,1,0)*(D7-9500)</f>
        <v>0</v>
      </c>
      <c r="F7" s="5">
        <f t="shared" ref="F7:F56" si="2">IF(E7&lt;=8500,1,0)*(0.1*E7+0.1*E7+0.0765*D7)+IF(AND(E7&gt;8500,E7&lt;=34500),1,0)*(850+0.15*(E7-8500)+0.1*E7+0.0765*D7)+IF(AND(E7&gt;34500,E7&lt;=83600),1,0)*(4750+0.25*(E7-34500)+0.1*E7+0.0765*D7)+IF(AND(E7&gt;83600,E7&lt;=174400,D7&lt;=106800),1,0)*(17025+0.28*(E7-83600)+0.1*E7+0.0765*D7)+IF(AND(E7&gt;83600,E7&lt;=174400,D7&gt;106800),1,0)*(17025+0.28*(E7-83600)+0.1*E7+8170.2+0.0145*(D7-106800))+IF(AND(E7&gt;174400,E7&lt;=379150),1,0)*(42449+0.33*(E7-174400)+0.1*E7+8170.2+0.0145*(D7-106800))+IF(E7&gt;379150,1,0)*(110016.5+0.35*(E7-379150)+0.1*E7+8170.2+0.0145*(D7-106800))</f>
        <v>169.88169930222148</v>
      </c>
      <c r="G7" s="5">
        <f t="shared" ref="G7:G56" si="3">D7-F7</f>
        <v>2050.7941085699549</v>
      </c>
      <c r="H7" s="22">
        <f>0.1*Grade10!H7</f>
        <v>1033.7043971950686</v>
      </c>
      <c r="I7" s="5">
        <f t="shared" ref="I7:I36" si="4">G7+IF(A7&lt;startage,1,0)*(H7*(1-initialunempprob))+IF(A7&gt;=startage,1,0)*(H7*(1-unempprob))</f>
        <v>3031.7795815080749</v>
      </c>
      <c r="J7" s="26">
        <f t="shared" ref="J7:J38" si="5">(F7-(IF(A7&gt;startage,1,0)*(unempprob*300*52)))/(IF(A7&lt;startage,1,0)*((C7+H7)*(1-initialunempprob))+IF(A7&gt;=startage,1,0)*((C7+H7)*(1-unempprob)))</f>
        <v>5.3060484667893017E-2</v>
      </c>
      <c r="L7" s="22">
        <f>0.1*Grade10!L7</f>
        <v>5458.5936780113025</v>
      </c>
      <c r="M7" s="5">
        <f>scrimecost*Meta!O4</f>
        <v>2456.0079999999998</v>
      </c>
      <c r="N7" s="5">
        <f>L7-Grade10!L7</f>
        <v>-49127.343102101717</v>
      </c>
      <c r="O7" s="5"/>
      <c r="P7" s="22"/>
      <c r="Q7" s="22">
        <f>0.05*feel*Grade10!G7</f>
        <v>248.58752192426758</v>
      </c>
      <c r="R7" s="22">
        <f>hstuition</f>
        <v>11298</v>
      </c>
      <c r="S7" s="22">
        <f t="shared" ref="S7:S38" si="6">IF(A7&lt;startage,1,0)*(N7-Q7-R7)+IF(A7&gt;=startage,1,0)*completionprob*(N7*spart+O7+P7)</f>
        <v>-60673.930624025983</v>
      </c>
      <c r="T7" s="22">
        <f t="shared" ref="T7:T38" si="7">S7/sreturn^(A7-startage+1)</f>
        <v>-60673.930624025983</v>
      </c>
    </row>
    <row r="8" spans="1:20" x14ac:dyDescent="0.2">
      <c r="A8" s="5">
        <v>17</v>
      </c>
      <c r="B8" s="1">
        <f t="shared" ref="B8:B36" si="8">(1+experiencepremium)^(A8-startage)</f>
        <v>1</v>
      </c>
      <c r="C8" s="5">
        <f t="shared" ref="C8:C36" si="9">pretaxincome*B8/expnorm</f>
        <v>24742.297636706415</v>
      </c>
      <c r="D8" s="5">
        <f t="shared" si="0"/>
        <v>23529.925052507799</v>
      </c>
      <c r="E8" s="5">
        <f t="shared" si="1"/>
        <v>14029.925052507799</v>
      </c>
      <c r="F8" s="5">
        <f t="shared" si="2"/>
        <v>4882.5205296437962</v>
      </c>
      <c r="G8" s="5">
        <f t="shared" si="3"/>
        <v>18647.404522864003</v>
      </c>
      <c r="H8" s="22">
        <f t="shared" ref="H8:H36" si="10">benefits*B8/expnorm</f>
        <v>10930.004070562887</v>
      </c>
      <c r="I8" s="5">
        <f t="shared" si="4"/>
        <v>29041.838393969309</v>
      </c>
      <c r="J8" s="26">
        <f t="shared" si="5"/>
        <v>0.14392373753142051</v>
      </c>
      <c r="L8" s="22">
        <f t="shared" ref="L8:L36" si="11">(sincome+sbenefits)*(1-sunemp)*B8/expnorm</f>
        <v>56442.5576780107</v>
      </c>
      <c r="M8" s="5">
        <f>scrimecost*Meta!O5</f>
        <v>2836.7520000000004</v>
      </c>
      <c r="N8" s="5">
        <f>L8-Grade10!L8</f>
        <v>491.97247839486226</v>
      </c>
      <c r="O8" s="5">
        <f>Grade10!M8-M8</f>
        <v>59.66399999999976</v>
      </c>
      <c r="P8" s="22">
        <f t="shared" ref="P8:P39" si="12">(spart-initialspart)*(L8*J8+nptrans)</f>
        <v>132.0968147116688</v>
      </c>
      <c r="Q8" s="22"/>
      <c r="R8" s="22"/>
      <c r="S8" s="22">
        <f t="shared" si="6"/>
        <v>554.83015053349504</v>
      </c>
      <c r="T8" s="22">
        <f t="shared" si="7"/>
        <v>559.31599540087188</v>
      </c>
    </row>
    <row r="9" spans="1:20" x14ac:dyDescent="0.2">
      <c r="A9" s="5">
        <v>18</v>
      </c>
      <c r="B9" s="1">
        <f t="shared" si="8"/>
        <v>1.0249999999999999</v>
      </c>
      <c r="C9" s="5">
        <f t="shared" si="9"/>
        <v>25360.85507762407</v>
      </c>
      <c r="D9" s="5">
        <f t="shared" si="0"/>
        <v>24882.57317882049</v>
      </c>
      <c r="E9" s="5">
        <f t="shared" si="1"/>
        <v>15382.57317882049</v>
      </c>
      <c r="F9" s="5">
        <f t="shared" si="2"/>
        <v>5324.1601428848899</v>
      </c>
      <c r="G9" s="5">
        <f t="shared" si="3"/>
        <v>19558.413035935599</v>
      </c>
      <c r="H9" s="22">
        <f t="shared" si="10"/>
        <v>11203.254172326959</v>
      </c>
      <c r="I9" s="5">
        <f t="shared" si="4"/>
        <v>30212.707753818537</v>
      </c>
      <c r="J9" s="26">
        <f t="shared" si="5"/>
        <v>0.13113133518248712</v>
      </c>
      <c r="L9" s="22">
        <f t="shared" si="11"/>
        <v>57853.621619960963</v>
      </c>
      <c r="M9" s="5">
        <f>scrimecost*Meta!O6</f>
        <v>3447.616</v>
      </c>
      <c r="N9" s="5">
        <f>L9-Grade10!L9</f>
        <v>504.27179035472363</v>
      </c>
      <c r="O9" s="5">
        <f>Grade10!M9-M9</f>
        <v>72.511999999999716</v>
      </c>
      <c r="P9" s="22">
        <f t="shared" si="12"/>
        <v>127.26380383351108</v>
      </c>
      <c r="Q9" s="22"/>
      <c r="R9" s="22"/>
      <c r="S9" s="22">
        <f t="shared" si="6"/>
        <v>571.87677948831868</v>
      </c>
      <c r="T9" s="22">
        <f t="shared" si="7"/>
        <v>581.16149857816936</v>
      </c>
    </row>
    <row r="10" spans="1:20" x14ac:dyDescent="0.2">
      <c r="A10" s="5">
        <v>19</v>
      </c>
      <c r="B10" s="1">
        <f t="shared" si="8"/>
        <v>1.0506249999999999</v>
      </c>
      <c r="C10" s="5">
        <f t="shared" si="9"/>
        <v>25994.876454564674</v>
      </c>
      <c r="D10" s="5">
        <f t="shared" si="0"/>
        <v>25485.527508291005</v>
      </c>
      <c r="E10" s="5">
        <f t="shared" si="1"/>
        <v>15985.527508291005</v>
      </c>
      <c r="F10" s="5">
        <f t="shared" si="2"/>
        <v>5521.0247314570133</v>
      </c>
      <c r="G10" s="5">
        <f t="shared" si="3"/>
        <v>19964.502776833993</v>
      </c>
      <c r="H10" s="22">
        <f t="shared" si="10"/>
        <v>11483.335526635132</v>
      </c>
      <c r="I10" s="5">
        <f t="shared" si="4"/>
        <v>30885.154862664003</v>
      </c>
      <c r="J10" s="26">
        <f t="shared" si="5"/>
        <v>0.13345643190727777</v>
      </c>
      <c r="L10" s="22">
        <f t="shared" si="11"/>
        <v>59299.962160459989</v>
      </c>
      <c r="M10" s="5">
        <f>scrimecost*Meta!O7</f>
        <v>3685.058</v>
      </c>
      <c r="N10" s="5">
        <f>L10-Grade10!L10</f>
        <v>516.87858511359809</v>
      </c>
      <c r="O10" s="5">
        <f>Grade10!M10-M10</f>
        <v>77.506000000000313</v>
      </c>
      <c r="P10" s="22">
        <f t="shared" si="12"/>
        <v>130.21165225954431</v>
      </c>
      <c r="Q10" s="22"/>
      <c r="R10" s="22"/>
      <c r="S10" s="22">
        <f t="shared" si="6"/>
        <v>589.07988795910478</v>
      </c>
      <c r="T10" s="22">
        <f t="shared" si="7"/>
        <v>603.48399103103554</v>
      </c>
    </row>
    <row r="11" spans="1:20" x14ac:dyDescent="0.2">
      <c r="A11" s="5">
        <v>20</v>
      </c>
      <c r="B11" s="1">
        <f t="shared" si="8"/>
        <v>1.0768906249999999</v>
      </c>
      <c r="C11" s="5">
        <f t="shared" si="9"/>
        <v>26644.74836592879</v>
      </c>
      <c r="D11" s="5">
        <f t="shared" si="0"/>
        <v>26103.555695998279</v>
      </c>
      <c r="E11" s="5">
        <f t="shared" si="1"/>
        <v>16603.555695998279</v>
      </c>
      <c r="F11" s="5">
        <f t="shared" si="2"/>
        <v>5722.8109347434383</v>
      </c>
      <c r="G11" s="5">
        <f t="shared" si="3"/>
        <v>20380.744761254842</v>
      </c>
      <c r="H11" s="22">
        <f t="shared" si="10"/>
        <v>11770.418914801008</v>
      </c>
      <c r="I11" s="5">
        <f t="shared" si="4"/>
        <v>31574.413149230601</v>
      </c>
      <c r="J11" s="26">
        <f t="shared" si="5"/>
        <v>0.13572481895585398</v>
      </c>
      <c r="L11" s="22">
        <f t="shared" si="11"/>
        <v>60782.461214471492</v>
      </c>
      <c r="M11" s="5">
        <f>scrimecost*Meta!O8</f>
        <v>3529.2040000000002</v>
      </c>
      <c r="N11" s="5">
        <f>L11-Grade10!L11</f>
        <v>529.80054974144878</v>
      </c>
      <c r="O11" s="5">
        <f>Grade10!M11-M11</f>
        <v>74.228000000000065</v>
      </c>
      <c r="P11" s="22">
        <f t="shared" si="12"/>
        <v>133.23319689622835</v>
      </c>
      <c r="Q11" s="22"/>
      <c r="R11" s="22"/>
      <c r="S11" s="22">
        <f t="shared" si="6"/>
        <v>598.43378004166289</v>
      </c>
      <c r="T11" s="22">
        <f t="shared" si="7"/>
        <v>618.02329435013814</v>
      </c>
    </row>
    <row r="12" spans="1:20" x14ac:dyDescent="0.2">
      <c r="A12" s="5">
        <v>21</v>
      </c>
      <c r="B12" s="1">
        <f t="shared" si="8"/>
        <v>1.1038128906249998</v>
      </c>
      <c r="C12" s="5">
        <f t="shared" si="9"/>
        <v>27310.867075077007</v>
      </c>
      <c r="D12" s="5">
        <f t="shared" si="0"/>
        <v>26737.034588398234</v>
      </c>
      <c r="E12" s="5">
        <f t="shared" si="1"/>
        <v>17237.034588398234</v>
      </c>
      <c r="F12" s="5">
        <f t="shared" si="2"/>
        <v>5929.6417931120232</v>
      </c>
      <c r="G12" s="5">
        <f t="shared" si="3"/>
        <v>20807.39279528621</v>
      </c>
      <c r="H12" s="22">
        <f t="shared" si="10"/>
        <v>12064.679387671034</v>
      </c>
      <c r="I12" s="5">
        <f t="shared" si="4"/>
        <v>32280.902892961363</v>
      </c>
      <c r="J12" s="26">
        <f t="shared" si="5"/>
        <v>0.1379378794910503</v>
      </c>
      <c r="L12" s="22">
        <f t="shared" si="11"/>
        <v>62302.022744833266</v>
      </c>
      <c r="M12" s="5">
        <f>scrimecost*Meta!O9</f>
        <v>3204.944</v>
      </c>
      <c r="N12" s="5">
        <f>L12-Grade10!L12</f>
        <v>543.04556348497863</v>
      </c>
      <c r="O12" s="5">
        <f>Grade10!M12-M12</f>
        <v>67.407999999999902</v>
      </c>
      <c r="P12" s="22">
        <f t="shared" si="12"/>
        <v>136.33028014882947</v>
      </c>
      <c r="Q12" s="22"/>
      <c r="R12" s="22"/>
      <c r="S12" s="22">
        <f t="shared" si="6"/>
        <v>604.60991012627221</v>
      </c>
      <c r="T12" s="22">
        <f t="shared" si="7"/>
        <v>629.44993325240705</v>
      </c>
    </row>
    <row r="13" spans="1:20" x14ac:dyDescent="0.2">
      <c r="A13" s="5">
        <v>22</v>
      </c>
      <c r="B13" s="1">
        <f t="shared" si="8"/>
        <v>1.1314082128906247</v>
      </c>
      <c r="C13" s="5">
        <f t="shared" si="9"/>
        <v>27993.638751953928</v>
      </c>
      <c r="D13" s="5">
        <f t="shared" si="0"/>
        <v>27386.350453108185</v>
      </c>
      <c r="E13" s="5">
        <f t="shared" si="1"/>
        <v>17886.350453108185</v>
      </c>
      <c r="F13" s="5">
        <f t="shared" si="2"/>
        <v>6141.6434229398219</v>
      </c>
      <c r="G13" s="5">
        <f t="shared" si="3"/>
        <v>21244.707030168363</v>
      </c>
      <c r="H13" s="22">
        <f t="shared" si="10"/>
        <v>12366.296372362809</v>
      </c>
      <c r="I13" s="5">
        <f t="shared" si="4"/>
        <v>33005.054880285395</v>
      </c>
      <c r="J13" s="26">
        <f t="shared" si="5"/>
        <v>0.14009696294002227</v>
      </c>
      <c r="L13" s="22">
        <f t="shared" si="11"/>
        <v>63859.573313454093</v>
      </c>
      <c r="M13" s="5">
        <f>scrimecost*Meta!O10</f>
        <v>2937.1679999999997</v>
      </c>
      <c r="N13" s="5">
        <f>L13-Grade10!L13</f>
        <v>556.621702572098</v>
      </c>
      <c r="O13" s="5">
        <f>Grade10!M13-M13</f>
        <v>61.776000000000295</v>
      </c>
      <c r="P13" s="22">
        <f t="shared" si="12"/>
        <v>139.50479048274565</v>
      </c>
      <c r="Q13" s="22"/>
      <c r="R13" s="22"/>
      <c r="S13" s="22">
        <f t="shared" si="6"/>
        <v>612.27992446299834</v>
      </c>
      <c r="T13" s="22">
        <f t="shared" si="7"/>
        <v>642.58877739130003</v>
      </c>
    </row>
    <row r="14" spans="1:20" x14ac:dyDescent="0.2">
      <c r="A14" s="5">
        <v>23</v>
      </c>
      <c r="B14" s="1">
        <f t="shared" si="8"/>
        <v>1.1596934182128902</v>
      </c>
      <c r="C14" s="5">
        <f t="shared" si="9"/>
        <v>28693.479720752774</v>
      </c>
      <c r="D14" s="5">
        <f t="shared" si="0"/>
        <v>28051.899214435889</v>
      </c>
      <c r="E14" s="5">
        <f t="shared" si="1"/>
        <v>18551.899214435889</v>
      </c>
      <c r="F14" s="5">
        <f t="shared" si="2"/>
        <v>6358.9450935133173</v>
      </c>
      <c r="G14" s="5">
        <f t="shared" si="3"/>
        <v>21692.954120922572</v>
      </c>
      <c r="H14" s="22">
        <f t="shared" si="10"/>
        <v>12675.453781671878</v>
      </c>
      <c r="I14" s="5">
        <f t="shared" si="4"/>
        <v>33747.310667292528</v>
      </c>
      <c r="J14" s="26">
        <f t="shared" si="5"/>
        <v>0.14220338581706812</v>
      </c>
      <c r="L14" s="22">
        <f t="shared" si="11"/>
        <v>65456.06264629044</v>
      </c>
      <c r="M14" s="5">
        <f>scrimecost*Meta!O11</f>
        <v>2744.7040000000002</v>
      </c>
      <c r="N14" s="5">
        <f>L14-Grade10!L14</f>
        <v>570.53724513639463</v>
      </c>
      <c r="O14" s="5">
        <f>Grade10!M14-M14</f>
        <v>57.728000000000065</v>
      </c>
      <c r="P14" s="22">
        <f t="shared" si="12"/>
        <v>142.75866357500971</v>
      </c>
      <c r="Q14" s="22"/>
      <c r="R14" s="22"/>
      <c r="S14" s="22">
        <f t="shared" si="6"/>
        <v>621.84234195814133</v>
      </c>
      <c r="T14" s="22">
        <f t="shared" si="7"/>
        <v>657.90107030300908</v>
      </c>
    </row>
    <row r="15" spans="1:20" x14ac:dyDescent="0.2">
      <c r="A15" s="5">
        <v>24</v>
      </c>
      <c r="B15" s="1">
        <f t="shared" si="8"/>
        <v>1.1886857536682125</v>
      </c>
      <c r="C15" s="5">
        <f t="shared" si="9"/>
        <v>29410.816713771597</v>
      </c>
      <c r="D15" s="5">
        <f t="shared" si="0"/>
        <v>28734.086694796788</v>
      </c>
      <c r="E15" s="5">
        <f t="shared" si="1"/>
        <v>19234.086694796788</v>
      </c>
      <c r="F15" s="5">
        <f t="shared" si="2"/>
        <v>6581.6793058511512</v>
      </c>
      <c r="G15" s="5">
        <f t="shared" si="3"/>
        <v>22152.407388945638</v>
      </c>
      <c r="H15" s="22">
        <f t="shared" si="10"/>
        <v>12992.340126213674</v>
      </c>
      <c r="I15" s="5">
        <f t="shared" si="4"/>
        <v>34508.122848974839</v>
      </c>
      <c r="J15" s="26">
        <f t="shared" si="5"/>
        <v>0.14425843252638115</v>
      </c>
      <c r="L15" s="22">
        <f t="shared" si="11"/>
        <v>67092.46421244771</v>
      </c>
      <c r="M15" s="5">
        <f>scrimecost*Meta!O12</f>
        <v>2622.3220000000001</v>
      </c>
      <c r="N15" s="5">
        <f>L15-Grade10!L15</f>
        <v>584.80067626482924</v>
      </c>
      <c r="O15" s="5">
        <f>Grade10!M15-M15</f>
        <v>55.153999999999996</v>
      </c>
      <c r="P15" s="22">
        <f t="shared" si="12"/>
        <v>146.09388349458041</v>
      </c>
      <c r="Q15" s="22"/>
      <c r="R15" s="22"/>
      <c r="S15" s="22">
        <f t="shared" si="6"/>
        <v>633.19696709068603</v>
      </c>
      <c r="T15" s="22">
        <f t="shared" si="7"/>
        <v>675.33042295049142</v>
      </c>
    </row>
    <row r="16" spans="1:20" x14ac:dyDescent="0.2">
      <c r="A16" s="5">
        <v>25</v>
      </c>
      <c r="B16" s="1">
        <f t="shared" si="8"/>
        <v>1.2184028975099177</v>
      </c>
      <c r="C16" s="5">
        <f t="shared" si="9"/>
        <v>30146.087131615885</v>
      </c>
      <c r="D16" s="5">
        <f t="shared" si="0"/>
        <v>29433.328862166705</v>
      </c>
      <c r="E16" s="5">
        <f t="shared" si="1"/>
        <v>19933.328862166705</v>
      </c>
      <c r="F16" s="5">
        <f t="shared" si="2"/>
        <v>6809.9818734974288</v>
      </c>
      <c r="G16" s="5">
        <f t="shared" si="3"/>
        <v>22623.346988669276</v>
      </c>
      <c r="H16" s="22">
        <f t="shared" si="10"/>
        <v>13317.148629369016</v>
      </c>
      <c r="I16" s="5">
        <f t="shared" si="4"/>
        <v>35287.955335199207</v>
      </c>
      <c r="J16" s="26">
        <f t="shared" si="5"/>
        <v>0.14626335614522315</v>
      </c>
      <c r="L16" s="22">
        <f t="shared" si="11"/>
        <v>68769.775817758898</v>
      </c>
      <c r="M16" s="5">
        <f>scrimecost*Meta!O13</f>
        <v>2201.83</v>
      </c>
      <c r="N16" s="5">
        <f>L16-Grade10!L16</f>
        <v>599.42069317144342</v>
      </c>
      <c r="O16" s="5">
        <f>Grade10!M16-M16</f>
        <v>46.309999999999945</v>
      </c>
      <c r="P16" s="22">
        <f t="shared" si="12"/>
        <v>149.51248391214037</v>
      </c>
      <c r="Q16" s="22"/>
      <c r="R16" s="22"/>
      <c r="S16" s="22">
        <f t="shared" si="6"/>
        <v>638.71668695152084</v>
      </c>
      <c r="T16" s="22">
        <f t="shared" si="7"/>
        <v>686.72512542466416</v>
      </c>
    </row>
    <row r="17" spans="1:20" x14ac:dyDescent="0.2">
      <c r="A17" s="5">
        <v>26</v>
      </c>
      <c r="B17" s="1">
        <f t="shared" si="8"/>
        <v>1.2488629699476654</v>
      </c>
      <c r="C17" s="5">
        <f t="shared" si="9"/>
        <v>30899.739309906276</v>
      </c>
      <c r="D17" s="5">
        <f t="shared" si="0"/>
        <v>30150.052083720868</v>
      </c>
      <c r="E17" s="5">
        <f t="shared" si="1"/>
        <v>20650.052083720868</v>
      </c>
      <c r="F17" s="5">
        <f t="shared" si="2"/>
        <v>7043.9920053348633</v>
      </c>
      <c r="G17" s="5">
        <f t="shared" si="3"/>
        <v>23106.060078386006</v>
      </c>
      <c r="H17" s="22">
        <f t="shared" si="10"/>
        <v>13650.07734510324</v>
      </c>
      <c r="I17" s="5">
        <f t="shared" si="4"/>
        <v>36087.283633579187</v>
      </c>
      <c r="J17" s="26">
        <f t="shared" si="5"/>
        <v>0.1482193791879958</v>
      </c>
      <c r="L17" s="22">
        <f t="shared" si="11"/>
        <v>70489.02021320285</v>
      </c>
      <c r="M17" s="5">
        <f>scrimecost*Meta!O14</f>
        <v>2201.83</v>
      </c>
      <c r="N17" s="5">
        <f>L17-Grade10!L17</f>
        <v>614.40621050071786</v>
      </c>
      <c r="O17" s="5">
        <f>Grade10!M17-M17</f>
        <v>46.309999999999945</v>
      </c>
      <c r="P17" s="22">
        <f t="shared" si="12"/>
        <v>153.01654934013925</v>
      </c>
      <c r="Q17" s="22"/>
      <c r="R17" s="22"/>
      <c r="S17" s="22">
        <f t="shared" si="6"/>
        <v>653.31258840887301</v>
      </c>
      <c r="T17" s="22">
        <f t="shared" si="7"/>
        <v>708.09721678802703</v>
      </c>
    </row>
    <row r="18" spans="1:20" x14ac:dyDescent="0.2">
      <c r="A18" s="5">
        <v>27</v>
      </c>
      <c r="B18" s="1">
        <f t="shared" si="8"/>
        <v>1.2800845441963571</v>
      </c>
      <c r="C18" s="5">
        <f t="shared" si="9"/>
        <v>31672.232792653933</v>
      </c>
      <c r="D18" s="5">
        <f t="shared" si="0"/>
        <v>30884.693385813891</v>
      </c>
      <c r="E18" s="5">
        <f t="shared" si="1"/>
        <v>21384.693385813891</v>
      </c>
      <c r="F18" s="5">
        <f t="shared" si="2"/>
        <v>7283.8523904682361</v>
      </c>
      <c r="G18" s="5">
        <f t="shared" si="3"/>
        <v>23600.840995345654</v>
      </c>
      <c r="H18" s="22">
        <f t="shared" si="10"/>
        <v>13991.32927873082</v>
      </c>
      <c r="I18" s="5">
        <f t="shared" si="4"/>
        <v>36906.595139418663</v>
      </c>
      <c r="J18" s="26">
        <f t="shared" si="5"/>
        <v>0.15012769435167647</v>
      </c>
      <c r="L18" s="22">
        <f t="shared" si="11"/>
        <v>72251.245718532926</v>
      </c>
      <c r="M18" s="5">
        <f>scrimecost*Meta!O15</f>
        <v>2201.83</v>
      </c>
      <c r="N18" s="5">
        <f>L18-Grade10!L18</f>
        <v>629.76636576322198</v>
      </c>
      <c r="O18" s="5">
        <f>Grade10!M18-M18</f>
        <v>46.309999999999945</v>
      </c>
      <c r="P18" s="22">
        <f t="shared" si="12"/>
        <v>156.60821640383818</v>
      </c>
      <c r="Q18" s="22"/>
      <c r="R18" s="22"/>
      <c r="S18" s="22">
        <f t="shared" si="6"/>
        <v>668.27338740265714</v>
      </c>
      <c r="T18" s="22">
        <f t="shared" si="7"/>
        <v>730.16870226625394</v>
      </c>
    </row>
    <row r="19" spans="1:20" x14ac:dyDescent="0.2">
      <c r="A19" s="5">
        <v>28</v>
      </c>
      <c r="B19" s="1">
        <f t="shared" si="8"/>
        <v>1.312086657801266</v>
      </c>
      <c r="C19" s="5">
        <f t="shared" si="9"/>
        <v>32464.038612470282</v>
      </c>
      <c r="D19" s="5">
        <f t="shared" si="0"/>
        <v>31637.700720459237</v>
      </c>
      <c r="E19" s="5">
        <f t="shared" si="1"/>
        <v>22137.700720459237</v>
      </c>
      <c r="F19" s="5">
        <f t="shared" si="2"/>
        <v>7529.7092852299411</v>
      </c>
      <c r="G19" s="5">
        <f t="shared" si="3"/>
        <v>24107.991435229298</v>
      </c>
      <c r="H19" s="22">
        <f t="shared" si="10"/>
        <v>14341.112510699091</v>
      </c>
      <c r="I19" s="5">
        <f t="shared" si="4"/>
        <v>37746.389432904136</v>
      </c>
      <c r="J19" s="26">
        <f t="shared" si="5"/>
        <v>0.15198946524307222</v>
      </c>
      <c r="L19" s="22">
        <f t="shared" si="11"/>
        <v>74057.526861496241</v>
      </c>
      <c r="M19" s="5">
        <f>scrimecost*Meta!O16</f>
        <v>2201.83</v>
      </c>
      <c r="N19" s="5">
        <f>L19-Grade10!L19</f>
        <v>645.51052490730945</v>
      </c>
      <c r="O19" s="5">
        <f>Grade10!M19-M19</f>
        <v>46.309999999999945</v>
      </c>
      <c r="P19" s="22">
        <f t="shared" si="12"/>
        <v>160.28967514412957</v>
      </c>
      <c r="Q19" s="22"/>
      <c r="R19" s="22"/>
      <c r="S19" s="22">
        <f t="shared" si="6"/>
        <v>683.60820637130143</v>
      </c>
      <c r="T19" s="22">
        <f t="shared" si="7"/>
        <v>752.9627655269752</v>
      </c>
    </row>
    <row r="20" spans="1:20" x14ac:dyDescent="0.2">
      <c r="A20" s="5">
        <v>29</v>
      </c>
      <c r="B20" s="1">
        <f t="shared" si="8"/>
        <v>1.3448888242462975</v>
      </c>
      <c r="C20" s="5">
        <f t="shared" si="9"/>
        <v>33275.639577782036</v>
      </c>
      <c r="D20" s="5">
        <f t="shared" si="0"/>
        <v>32409.533238470718</v>
      </c>
      <c r="E20" s="5">
        <f t="shared" si="1"/>
        <v>22909.533238470718</v>
      </c>
      <c r="F20" s="5">
        <f t="shared" si="2"/>
        <v>7781.7126023606888</v>
      </c>
      <c r="G20" s="5">
        <f t="shared" si="3"/>
        <v>24627.820636110031</v>
      </c>
      <c r="H20" s="22">
        <f t="shared" si="10"/>
        <v>14699.640323466567</v>
      </c>
      <c r="I20" s="5">
        <f t="shared" si="4"/>
        <v>38607.178583726738</v>
      </c>
      <c r="J20" s="26">
        <f t="shared" si="5"/>
        <v>0.1538058270883364</v>
      </c>
      <c r="L20" s="22">
        <f t="shared" si="11"/>
        <v>75908.965033033644</v>
      </c>
      <c r="M20" s="5">
        <f>scrimecost*Meta!O17</f>
        <v>2201.83</v>
      </c>
      <c r="N20" s="5">
        <f>L20-Grade10!L20</f>
        <v>661.64828803000273</v>
      </c>
      <c r="O20" s="5">
        <f>Grade10!M20-M20</f>
        <v>46.309999999999945</v>
      </c>
      <c r="P20" s="22">
        <f t="shared" si="12"/>
        <v>164.06317035292827</v>
      </c>
      <c r="Q20" s="22"/>
      <c r="R20" s="22"/>
      <c r="S20" s="22">
        <f t="shared" si="6"/>
        <v>699.32639581416458</v>
      </c>
      <c r="T20" s="22">
        <f t="shared" si="7"/>
        <v>776.50336117134702</v>
      </c>
    </row>
    <row r="21" spans="1:20" x14ac:dyDescent="0.2">
      <c r="A21" s="5">
        <v>30</v>
      </c>
      <c r="B21" s="1">
        <f t="shared" si="8"/>
        <v>1.3785110448524549</v>
      </c>
      <c r="C21" s="5">
        <f t="shared" si="9"/>
        <v>34107.530567226582</v>
      </c>
      <c r="D21" s="5">
        <f t="shared" si="0"/>
        <v>33200.661569432479</v>
      </c>
      <c r="E21" s="5">
        <f t="shared" si="1"/>
        <v>23700.661569432479</v>
      </c>
      <c r="F21" s="5">
        <f t="shared" si="2"/>
        <v>8040.0160024197048</v>
      </c>
      <c r="G21" s="5">
        <f t="shared" si="3"/>
        <v>25160.645567012776</v>
      </c>
      <c r="H21" s="22">
        <f t="shared" si="10"/>
        <v>15067.13133155323</v>
      </c>
      <c r="I21" s="5">
        <f t="shared" si="4"/>
        <v>39489.4874633199</v>
      </c>
      <c r="J21" s="26">
        <f t="shared" si="5"/>
        <v>0.15557788742517945</v>
      </c>
      <c r="L21" s="22">
        <f t="shared" si="11"/>
        <v>77806.689158859474</v>
      </c>
      <c r="M21" s="5">
        <f>scrimecost*Meta!O18</f>
        <v>1775.0620000000001</v>
      </c>
      <c r="N21" s="5">
        <f>L21-Grade10!L21</f>
        <v>678.18949523074843</v>
      </c>
      <c r="O21" s="5">
        <f>Grade10!M21-M21</f>
        <v>37.333999999999833</v>
      </c>
      <c r="P21" s="22">
        <f t="shared" si="12"/>
        <v>167.93100294194687</v>
      </c>
      <c r="Q21" s="22"/>
      <c r="R21" s="22"/>
      <c r="S21" s="22">
        <f t="shared" si="6"/>
        <v>706.587203993088</v>
      </c>
      <c r="T21" s="22">
        <f t="shared" si="7"/>
        <v>790.90873764836931</v>
      </c>
    </row>
    <row r="22" spans="1:20" x14ac:dyDescent="0.2">
      <c r="A22" s="5">
        <v>31</v>
      </c>
      <c r="B22" s="1">
        <f t="shared" si="8"/>
        <v>1.4129738209737661</v>
      </c>
      <c r="C22" s="5">
        <f t="shared" si="9"/>
        <v>34960.218831407248</v>
      </c>
      <c r="D22" s="5">
        <f t="shared" si="0"/>
        <v>34011.568108668296</v>
      </c>
      <c r="E22" s="5">
        <f t="shared" si="1"/>
        <v>24511.568108668296</v>
      </c>
      <c r="F22" s="5">
        <f t="shared" si="2"/>
        <v>8304.7769874801998</v>
      </c>
      <c r="G22" s="5">
        <f t="shared" si="3"/>
        <v>25706.791121188096</v>
      </c>
      <c r="H22" s="22">
        <f t="shared" si="10"/>
        <v>15443.809614842059</v>
      </c>
      <c r="I22" s="5">
        <f t="shared" si="4"/>
        <v>40393.854064902895</v>
      </c>
      <c r="J22" s="26">
        <f t="shared" si="5"/>
        <v>0.15730672677819715</v>
      </c>
      <c r="L22" s="22">
        <f t="shared" si="11"/>
        <v>79751.856387830965</v>
      </c>
      <c r="M22" s="5">
        <f>scrimecost*Meta!O19</f>
        <v>1775.0620000000001</v>
      </c>
      <c r="N22" s="5">
        <f>L22-Grade10!L22</f>
        <v>695.14423261149204</v>
      </c>
      <c r="O22" s="5">
        <f>Grade10!M22-M22</f>
        <v>37.333999999999833</v>
      </c>
      <c r="P22" s="22">
        <f t="shared" si="12"/>
        <v>171.89553134569104</v>
      </c>
      <c r="Q22" s="22"/>
      <c r="R22" s="22"/>
      <c r="S22" s="22">
        <f t="shared" si="6"/>
        <v>723.1011267764693</v>
      </c>
      <c r="T22" s="22">
        <f t="shared" si="7"/>
        <v>815.93737988683051</v>
      </c>
    </row>
    <row r="23" spans="1:20" x14ac:dyDescent="0.2">
      <c r="A23" s="5">
        <v>32</v>
      </c>
      <c r="B23" s="1">
        <f t="shared" si="8"/>
        <v>1.4482981664981105</v>
      </c>
      <c r="C23" s="5">
        <f t="shared" si="9"/>
        <v>35834.22430219243</v>
      </c>
      <c r="D23" s="5">
        <f t="shared" si="0"/>
        <v>34842.747311384999</v>
      </c>
      <c r="E23" s="5">
        <f t="shared" si="1"/>
        <v>25342.747311384999</v>
      </c>
      <c r="F23" s="5">
        <f t="shared" si="2"/>
        <v>8576.1569971672016</v>
      </c>
      <c r="G23" s="5">
        <f t="shared" si="3"/>
        <v>26266.590314217799</v>
      </c>
      <c r="H23" s="22">
        <f t="shared" si="10"/>
        <v>15829.904855213113</v>
      </c>
      <c r="I23" s="5">
        <f t="shared" si="4"/>
        <v>41320.829831525472</v>
      </c>
      <c r="J23" s="26">
        <f t="shared" si="5"/>
        <v>0.15899339931772646</v>
      </c>
      <c r="L23" s="22">
        <f t="shared" si="11"/>
        <v>81745.652797526738</v>
      </c>
      <c r="M23" s="5">
        <f>scrimecost*Meta!O20</f>
        <v>1775.0620000000001</v>
      </c>
      <c r="N23" s="5">
        <f>L23-Grade10!L23</f>
        <v>712.52283842679753</v>
      </c>
      <c r="O23" s="5">
        <f>Grade10!M23-M23</f>
        <v>37.333999999999833</v>
      </c>
      <c r="P23" s="22">
        <f t="shared" si="12"/>
        <v>175.95917295952867</v>
      </c>
      <c r="Q23" s="22"/>
      <c r="R23" s="22"/>
      <c r="S23" s="22">
        <f t="shared" si="6"/>
        <v>740.02789762946713</v>
      </c>
      <c r="T23" s="22">
        <f t="shared" si="7"/>
        <v>841.78865719771341</v>
      </c>
    </row>
    <row r="24" spans="1:20" x14ac:dyDescent="0.2">
      <c r="A24" s="5">
        <v>33</v>
      </c>
      <c r="B24" s="1">
        <f t="shared" si="8"/>
        <v>1.4845056206605631</v>
      </c>
      <c r="C24" s="5">
        <f t="shared" si="9"/>
        <v>36730.079909747234</v>
      </c>
      <c r="D24" s="5">
        <f t="shared" si="0"/>
        <v>35694.705994169621</v>
      </c>
      <c r="E24" s="5">
        <f t="shared" si="1"/>
        <v>26194.705994169621</v>
      </c>
      <c r="F24" s="5">
        <f t="shared" si="2"/>
        <v>8854.3215070963815</v>
      </c>
      <c r="G24" s="5">
        <f t="shared" si="3"/>
        <v>26840.384487073239</v>
      </c>
      <c r="H24" s="22">
        <f t="shared" si="10"/>
        <v>16225.652476593439</v>
      </c>
      <c r="I24" s="5">
        <f t="shared" si="4"/>
        <v>42270.979992313602</v>
      </c>
      <c r="J24" s="26">
        <f t="shared" si="5"/>
        <v>0.16063893350263322</v>
      </c>
      <c r="L24" s="22">
        <f t="shared" si="11"/>
        <v>83789.294117464917</v>
      </c>
      <c r="M24" s="5">
        <f>scrimecost*Meta!O21</f>
        <v>1775.0620000000001</v>
      </c>
      <c r="N24" s="5">
        <f>L24-Grade10!L24</f>
        <v>730.33590938748966</v>
      </c>
      <c r="O24" s="5">
        <f>Grade10!M24-M24</f>
        <v>37.333999999999833</v>
      </c>
      <c r="P24" s="22">
        <f t="shared" si="12"/>
        <v>180.12440561371238</v>
      </c>
      <c r="Q24" s="22"/>
      <c r="R24" s="22"/>
      <c r="S24" s="22">
        <f t="shared" si="6"/>
        <v>757.37783775379307</v>
      </c>
      <c r="T24" s="22">
        <f t="shared" si="7"/>
        <v>868.48986792208098</v>
      </c>
    </row>
    <row r="25" spans="1:20" x14ac:dyDescent="0.2">
      <c r="A25" s="5">
        <v>34</v>
      </c>
      <c r="B25" s="1">
        <f t="shared" si="8"/>
        <v>1.521618261177077</v>
      </c>
      <c r="C25" s="5">
        <f t="shared" si="9"/>
        <v>37648.331907490909</v>
      </c>
      <c r="D25" s="5">
        <f t="shared" si="0"/>
        <v>36567.963644023854</v>
      </c>
      <c r="E25" s="5">
        <f t="shared" si="1"/>
        <v>27067.963644023854</v>
      </c>
      <c r="F25" s="5">
        <f t="shared" si="2"/>
        <v>9139.4401297737877</v>
      </c>
      <c r="G25" s="5">
        <f t="shared" si="3"/>
        <v>27428.523514250068</v>
      </c>
      <c r="H25" s="22">
        <f t="shared" si="10"/>
        <v>16631.293788508272</v>
      </c>
      <c r="I25" s="5">
        <f t="shared" si="4"/>
        <v>43244.883907121432</v>
      </c>
      <c r="J25" s="26">
        <f t="shared" si="5"/>
        <v>0.16224433270742025</v>
      </c>
      <c r="L25" s="22">
        <f t="shared" si="11"/>
        <v>85884.026470401528</v>
      </c>
      <c r="M25" s="5">
        <f>scrimecost*Meta!O22</f>
        <v>1775.0620000000001</v>
      </c>
      <c r="N25" s="5">
        <f>L25-Grade10!L25</f>
        <v>748.59430712215544</v>
      </c>
      <c r="O25" s="5">
        <f>Grade10!M25-M25</f>
        <v>37.333999999999833</v>
      </c>
      <c r="P25" s="22">
        <f t="shared" si="12"/>
        <v>184.39376908425058</v>
      </c>
      <c r="Q25" s="22"/>
      <c r="R25" s="22"/>
      <c r="S25" s="22">
        <f t="shared" si="6"/>
        <v>775.16152638119468</v>
      </c>
      <c r="T25" s="22">
        <f t="shared" si="7"/>
        <v>896.06921840018401</v>
      </c>
    </row>
    <row r="26" spans="1:20" x14ac:dyDescent="0.2">
      <c r="A26" s="5">
        <v>35</v>
      </c>
      <c r="B26" s="1">
        <f t="shared" si="8"/>
        <v>1.559658717706504</v>
      </c>
      <c r="C26" s="5">
        <f t="shared" si="9"/>
        <v>38589.540205178193</v>
      </c>
      <c r="D26" s="5">
        <f t="shared" si="0"/>
        <v>37463.05273512446</v>
      </c>
      <c r="E26" s="5">
        <f t="shared" si="1"/>
        <v>27963.05273512446</v>
      </c>
      <c r="F26" s="5">
        <f t="shared" si="2"/>
        <v>9431.6867180181362</v>
      </c>
      <c r="G26" s="5">
        <f t="shared" si="3"/>
        <v>28031.366017106324</v>
      </c>
      <c r="H26" s="22">
        <f t="shared" si="10"/>
        <v>17047.07613322098</v>
      </c>
      <c r="I26" s="5">
        <f t="shared" si="4"/>
        <v>44243.135419799473</v>
      </c>
      <c r="J26" s="26">
        <f t="shared" si="5"/>
        <v>0.16381057583404182</v>
      </c>
      <c r="L26" s="22">
        <f t="shared" si="11"/>
        <v>88031.127132161564</v>
      </c>
      <c r="M26" s="5">
        <f>scrimecost*Meta!O23</f>
        <v>1377.5819999999999</v>
      </c>
      <c r="N26" s="5">
        <f>L26-Grade10!L26</f>
        <v>767.30916480021551</v>
      </c>
      <c r="O26" s="5">
        <f>Grade10!M26-M26</f>
        <v>28.97400000000016</v>
      </c>
      <c r="P26" s="22">
        <f t="shared" si="12"/>
        <v>188.76986664155231</v>
      </c>
      <c r="Q26" s="22"/>
      <c r="R26" s="22"/>
      <c r="S26" s="22">
        <f t="shared" si="6"/>
        <v>785.14684722430218</v>
      </c>
      <c r="T26" s="22">
        <f t="shared" si="7"/>
        <v>914.95013750572309</v>
      </c>
    </row>
    <row r="27" spans="1:20" x14ac:dyDescent="0.2">
      <c r="A27" s="5">
        <v>36</v>
      </c>
      <c r="B27" s="1">
        <f t="shared" si="8"/>
        <v>1.5986501856491666</v>
      </c>
      <c r="C27" s="5">
        <f t="shared" si="9"/>
        <v>39554.278710307648</v>
      </c>
      <c r="D27" s="5">
        <f t="shared" si="0"/>
        <v>38380.519053502576</v>
      </c>
      <c r="E27" s="5">
        <f t="shared" si="1"/>
        <v>28880.519053502576</v>
      </c>
      <c r="F27" s="5">
        <f t="shared" si="2"/>
        <v>9731.2394709685905</v>
      </c>
      <c r="G27" s="5">
        <f t="shared" si="3"/>
        <v>28649.279582533985</v>
      </c>
      <c r="H27" s="22">
        <f t="shared" si="10"/>
        <v>17473.253036551505</v>
      </c>
      <c r="I27" s="5">
        <f t="shared" si="4"/>
        <v>45266.343220294468</v>
      </c>
      <c r="J27" s="26">
        <f t="shared" si="5"/>
        <v>0.16533861790879453</v>
      </c>
      <c r="L27" s="22">
        <f t="shared" si="11"/>
        <v>90231.905310465605</v>
      </c>
      <c r="M27" s="5">
        <f>scrimecost*Meta!O24</f>
        <v>1377.5819999999999</v>
      </c>
      <c r="N27" s="5">
        <f>L27-Grade10!L27</f>
        <v>786.49189392023254</v>
      </c>
      <c r="O27" s="5">
        <f>Grade10!M27-M27</f>
        <v>28.97400000000016</v>
      </c>
      <c r="P27" s="22">
        <f t="shared" si="12"/>
        <v>193.25536663778655</v>
      </c>
      <c r="Q27" s="22"/>
      <c r="R27" s="22"/>
      <c r="S27" s="22">
        <f t="shared" si="6"/>
        <v>803.83083508849109</v>
      </c>
      <c r="T27" s="22">
        <f t="shared" si="7"/>
        <v>944.29650765345866</v>
      </c>
    </row>
    <row r="28" spans="1:20" x14ac:dyDescent="0.2">
      <c r="A28" s="5">
        <v>37</v>
      </c>
      <c r="B28" s="1">
        <f t="shared" si="8"/>
        <v>1.6386164402903955</v>
      </c>
      <c r="C28" s="5">
        <f t="shared" si="9"/>
        <v>40543.13567806533</v>
      </c>
      <c r="D28" s="5">
        <f t="shared" si="0"/>
        <v>39320.922029840127</v>
      </c>
      <c r="E28" s="5">
        <f t="shared" si="1"/>
        <v>29820.922029840127</v>
      </c>
      <c r="F28" s="5">
        <f t="shared" si="2"/>
        <v>10038.281042742801</v>
      </c>
      <c r="G28" s="5">
        <f t="shared" si="3"/>
        <v>29282.640987097326</v>
      </c>
      <c r="H28" s="22">
        <f t="shared" si="10"/>
        <v>17910.084362465288</v>
      </c>
      <c r="I28" s="5">
        <f t="shared" si="4"/>
        <v>46315.131215801812</v>
      </c>
      <c r="J28" s="26">
        <f t="shared" si="5"/>
        <v>0.1668293906646508</v>
      </c>
      <c r="L28" s="22">
        <f t="shared" si="11"/>
        <v>92487.702943227225</v>
      </c>
      <c r="M28" s="5">
        <f>scrimecost*Meta!O25</f>
        <v>1377.5819999999999</v>
      </c>
      <c r="N28" s="5">
        <f>L28-Grade10!L28</f>
        <v>806.15419126821507</v>
      </c>
      <c r="O28" s="5">
        <f>Grade10!M28-M28</f>
        <v>28.97400000000016</v>
      </c>
      <c r="P28" s="22">
        <f t="shared" si="12"/>
        <v>197.85300413392665</v>
      </c>
      <c r="Q28" s="22"/>
      <c r="R28" s="22"/>
      <c r="S28" s="22">
        <f t="shared" si="6"/>
        <v>822.98192264925865</v>
      </c>
      <c r="T28" s="22">
        <f t="shared" si="7"/>
        <v>974.61076391483834</v>
      </c>
    </row>
    <row r="29" spans="1:20" x14ac:dyDescent="0.2">
      <c r="A29" s="5">
        <v>38</v>
      </c>
      <c r="B29" s="1">
        <f t="shared" si="8"/>
        <v>1.6795818512976552</v>
      </c>
      <c r="C29" s="5">
        <f t="shared" si="9"/>
        <v>41556.714070016955</v>
      </c>
      <c r="D29" s="5">
        <f t="shared" si="0"/>
        <v>40284.835080586126</v>
      </c>
      <c r="E29" s="5">
        <f t="shared" si="1"/>
        <v>30784.835080586126</v>
      </c>
      <c r="F29" s="5">
        <f t="shared" si="2"/>
        <v>10352.99865381137</v>
      </c>
      <c r="G29" s="5">
        <f t="shared" si="3"/>
        <v>29931.836426774757</v>
      </c>
      <c r="H29" s="22">
        <f t="shared" si="10"/>
        <v>18357.836471526924</v>
      </c>
      <c r="I29" s="5">
        <f t="shared" si="4"/>
        <v>47390.13891119686</v>
      </c>
      <c r="J29" s="26">
        <f t="shared" si="5"/>
        <v>0.16828380310938862</v>
      </c>
      <c r="L29" s="22">
        <f t="shared" si="11"/>
        <v>94799.895516807897</v>
      </c>
      <c r="M29" s="5">
        <f>scrimecost*Meta!O26</f>
        <v>1377.5819999999999</v>
      </c>
      <c r="N29" s="5">
        <f>L29-Grade10!L29</f>
        <v>826.30804604991863</v>
      </c>
      <c r="O29" s="5">
        <f>Grade10!M29-M29</f>
        <v>28.97400000000016</v>
      </c>
      <c r="P29" s="22">
        <f t="shared" si="12"/>
        <v>202.56558256747019</v>
      </c>
      <c r="Q29" s="22"/>
      <c r="R29" s="22"/>
      <c r="S29" s="22">
        <f t="shared" si="6"/>
        <v>842.61178739906143</v>
      </c>
      <c r="T29" s="22">
        <f t="shared" si="7"/>
        <v>1005.9250519695535</v>
      </c>
    </row>
    <row r="30" spans="1:20" x14ac:dyDescent="0.2">
      <c r="A30" s="5">
        <v>39</v>
      </c>
      <c r="B30" s="1">
        <f t="shared" si="8"/>
        <v>1.7215713975800966</v>
      </c>
      <c r="C30" s="5">
        <f t="shared" si="9"/>
        <v>42595.631921767381</v>
      </c>
      <c r="D30" s="5">
        <f t="shared" si="0"/>
        <v>41272.845957600781</v>
      </c>
      <c r="E30" s="5">
        <f t="shared" si="1"/>
        <v>31772.845957600781</v>
      </c>
      <c r="F30" s="5">
        <f t="shared" si="2"/>
        <v>10675.584205156654</v>
      </c>
      <c r="G30" s="5">
        <f t="shared" si="3"/>
        <v>30597.261752444127</v>
      </c>
      <c r="H30" s="22">
        <f t="shared" si="10"/>
        <v>18816.782383315094</v>
      </c>
      <c r="I30" s="5">
        <f t="shared" si="4"/>
        <v>48492.021798976784</v>
      </c>
      <c r="J30" s="26">
        <f t="shared" si="5"/>
        <v>0.16970274207986458</v>
      </c>
      <c r="L30" s="22">
        <f t="shared" si="11"/>
        <v>97169.892904728084</v>
      </c>
      <c r="M30" s="5">
        <f>scrimecost*Meta!O27</f>
        <v>1377.5819999999999</v>
      </c>
      <c r="N30" s="5">
        <f>L30-Grade10!L30</f>
        <v>846.96574720116041</v>
      </c>
      <c r="O30" s="5">
        <f>Grade10!M30-M30</f>
        <v>28.97400000000016</v>
      </c>
      <c r="P30" s="22">
        <f t="shared" si="12"/>
        <v>207.39597546185237</v>
      </c>
      <c r="Q30" s="22"/>
      <c r="R30" s="22"/>
      <c r="S30" s="22">
        <f t="shared" si="6"/>
        <v>862.73239876760601</v>
      </c>
      <c r="T30" s="22">
        <f t="shared" si="7"/>
        <v>1038.2725869505207</v>
      </c>
    </row>
    <row r="31" spans="1:20" x14ac:dyDescent="0.2">
      <c r="A31" s="5">
        <v>40</v>
      </c>
      <c r="B31" s="1">
        <f t="shared" si="8"/>
        <v>1.7646106825195991</v>
      </c>
      <c r="C31" s="5">
        <f t="shared" si="9"/>
        <v>43660.522719811561</v>
      </c>
      <c r="D31" s="5">
        <f t="shared" si="0"/>
        <v>42285.557106540793</v>
      </c>
      <c r="E31" s="5">
        <f t="shared" si="1"/>
        <v>32785.557106540793</v>
      </c>
      <c r="F31" s="5">
        <f t="shared" si="2"/>
        <v>11006.23439528557</v>
      </c>
      <c r="G31" s="5">
        <f t="shared" si="3"/>
        <v>31279.322711255223</v>
      </c>
      <c r="H31" s="22">
        <f t="shared" si="10"/>
        <v>19287.201942897969</v>
      </c>
      <c r="I31" s="5">
        <f t="shared" si="4"/>
        <v>49621.451758951196</v>
      </c>
      <c r="J31" s="26">
        <f t="shared" si="5"/>
        <v>0.17108707278276797</v>
      </c>
      <c r="L31" s="22">
        <f t="shared" si="11"/>
        <v>99599.140227346303</v>
      </c>
      <c r="M31" s="5">
        <f>scrimecost*Meta!O28</f>
        <v>1204.992</v>
      </c>
      <c r="N31" s="5">
        <f>L31-Grade10!L31</f>
        <v>868.13989088121161</v>
      </c>
      <c r="O31" s="5">
        <f>Grade10!M31-M31</f>
        <v>25.344000000000051</v>
      </c>
      <c r="P31" s="22">
        <f t="shared" si="12"/>
        <v>212.34712817859418</v>
      </c>
      <c r="Q31" s="22"/>
      <c r="R31" s="22"/>
      <c r="S31" s="22">
        <f t="shared" si="6"/>
        <v>879.77684542038548</v>
      </c>
      <c r="T31" s="22">
        <f t="shared" si="7"/>
        <v>1067.3454272181448</v>
      </c>
    </row>
    <row r="32" spans="1:20" x14ac:dyDescent="0.2">
      <c r="A32" s="5">
        <v>41</v>
      </c>
      <c r="B32" s="1">
        <f t="shared" si="8"/>
        <v>1.8087259495825889</v>
      </c>
      <c r="C32" s="5">
        <f t="shared" si="9"/>
        <v>44752.035787806853</v>
      </c>
      <c r="D32" s="5">
        <f t="shared" si="0"/>
        <v>43323.586034204316</v>
      </c>
      <c r="E32" s="5">
        <f t="shared" si="1"/>
        <v>33823.586034204316</v>
      </c>
      <c r="F32" s="5">
        <f t="shared" si="2"/>
        <v>11345.150840167709</v>
      </c>
      <c r="G32" s="5">
        <f t="shared" si="3"/>
        <v>31978.435194036607</v>
      </c>
      <c r="H32" s="22">
        <f t="shared" si="10"/>
        <v>19769.381991470422</v>
      </c>
      <c r="I32" s="5">
        <f t="shared" si="4"/>
        <v>50779.117467924982</v>
      </c>
      <c r="J32" s="26">
        <f t="shared" si="5"/>
        <v>0.17243763932218586</v>
      </c>
      <c r="L32" s="22">
        <f t="shared" si="11"/>
        <v>102089.11873302996</v>
      </c>
      <c r="M32" s="5">
        <f>scrimecost*Meta!O29</f>
        <v>1204.992</v>
      </c>
      <c r="N32" s="5">
        <f>L32-Grade10!L32</f>
        <v>889.84338815325464</v>
      </c>
      <c r="O32" s="5">
        <f>Grade10!M32-M32</f>
        <v>25.344000000000051</v>
      </c>
      <c r="P32" s="22">
        <f t="shared" si="12"/>
        <v>217.42205971325444</v>
      </c>
      <c r="Q32" s="22"/>
      <c r="R32" s="22"/>
      <c r="S32" s="22">
        <f t="shared" si="6"/>
        <v>900.91606273947718</v>
      </c>
      <c r="T32" s="22">
        <f t="shared" si="7"/>
        <v>1101.8284508961547</v>
      </c>
    </row>
    <row r="33" spans="1:20" x14ac:dyDescent="0.2">
      <c r="A33" s="5">
        <v>42</v>
      </c>
      <c r="B33" s="1">
        <f t="shared" si="8"/>
        <v>1.8539440983221533</v>
      </c>
      <c r="C33" s="5">
        <f t="shared" si="9"/>
        <v>45870.83668250202</v>
      </c>
      <c r="D33" s="5">
        <f t="shared" si="0"/>
        <v>44387.565685059424</v>
      </c>
      <c r="E33" s="5">
        <f t="shared" si="1"/>
        <v>34887.565685059424</v>
      </c>
      <c r="F33" s="5">
        <f t="shared" si="2"/>
        <v>11731.296764677843</v>
      </c>
      <c r="G33" s="5">
        <f t="shared" si="3"/>
        <v>32656.268920381583</v>
      </c>
      <c r="H33" s="22">
        <f t="shared" si="10"/>
        <v>20263.616541257175</v>
      </c>
      <c r="I33" s="5">
        <f t="shared" si="4"/>
        <v>51926.968251117156</v>
      </c>
      <c r="J33" s="26">
        <f t="shared" si="5"/>
        <v>0.1743714869792729</v>
      </c>
      <c r="L33" s="22">
        <f t="shared" si="11"/>
        <v>104641.34670135568</v>
      </c>
      <c r="M33" s="5">
        <f>scrimecost*Meta!O30</f>
        <v>1204.992</v>
      </c>
      <c r="N33" s="5">
        <f>L33-Grade10!L33</f>
        <v>912.08947285707109</v>
      </c>
      <c r="O33" s="5">
        <f>Grade10!M33-M33</f>
        <v>25.344000000000051</v>
      </c>
      <c r="P33" s="22">
        <f t="shared" si="12"/>
        <v>223.20420501446139</v>
      </c>
      <c r="Q33" s="22"/>
      <c r="R33" s="22"/>
      <c r="S33" s="22">
        <f t="shared" si="6"/>
        <v>923.15597620301139</v>
      </c>
      <c r="T33" s="22">
        <f t="shared" si="7"/>
        <v>1138.1563447820142</v>
      </c>
    </row>
    <row r="34" spans="1:20" x14ac:dyDescent="0.2">
      <c r="A34" s="5">
        <v>43</v>
      </c>
      <c r="B34" s="1">
        <f t="shared" si="8"/>
        <v>1.9002927007802071</v>
      </c>
      <c r="C34" s="5">
        <f t="shared" si="9"/>
        <v>47017.607599564566</v>
      </c>
      <c r="D34" s="5">
        <f t="shared" si="0"/>
        <v>45478.144827185904</v>
      </c>
      <c r="E34" s="5">
        <f t="shared" si="1"/>
        <v>35978.144827185904</v>
      </c>
      <c r="F34" s="5">
        <f t="shared" si="2"/>
        <v>12196.428768794789</v>
      </c>
      <c r="G34" s="5">
        <f t="shared" si="3"/>
        <v>33281.716058391117</v>
      </c>
      <c r="H34" s="22">
        <f t="shared" si="10"/>
        <v>20770.206954788606</v>
      </c>
      <c r="I34" s="5">
        <f t="shared" si="4"/>
        <v>53034.182872395082</v>
      </c>
      <c r="J34" s="26">
        <f t="shared" si="5"/>
        <v>0.17733365243212834</v>
      </c>
      <c r="L34" s="22">
        <f t="shared" si="11"/>
        <v>107257.38036888957</v>
      </c>
      <c r="M34" s="5">
        <f>scrimecost*Meta!O31</f>
        <v>1204.992</v>
      </c>
      <c r="N34" s="5">
        <f>L34-Grade10!L34</f>
        <v>934.89170967850077</v>
      </c>
      <c r="O34" s="5">
        <f>Grade10!M34-M34</f>
        <v>25.344000000000051</v>
      </c>
      <c r="P34" s="22">
        <f t="shared" si="12"/>
        <v>230.16908710005544</v>
      </c>
      <c r="Q34" s="22"/>
      <c r="R34" s="22"/>
      <c r="S34" s="22">
        <f t="shared" si="6"/>
        <v>946.97553609087811</v>
      </c>
      <c r="T34" s="22">
        <f t="shared" si="7"/>
        <v>1176.9629290561827</v>
      </c>
    </row>
    <row r="35" spans="1:20" x14ac:dyDescent="0.2">
      <c r="A35" s="5">
        <v>44</v>
      </c>
      <c r="B35" s="1">
        <f t="shared" si="8"/>
        <v>1.9478000182997122</v>
      </c>
      <c r="C35" s="5">
        <f t="shared" si="9"/>
        <v>48193.047789553675</v>
      </c>
      <c r="D35" s="5">
        <f t="shared" si="0"/>
        <v>46595.988447865544</v>
      </c>
      <c r="E35" s="5">
        <f t="shared" si="1"/>
        <v>37095.988447865544</v>
      </c>
      <c r="F35" s="5">
        <f t="shared" si="2"/>
        <v>12673.189073014655</v>
      </c>
      <c r="G35" s="5">
        <f t="shared" si="3"/>
        <v>33922.799374850889</v>
      </c>
      <c r="H35" s="22">
        <f t="shared" si="10"/>
        <v>21289.462128658317</v>
      </c>
      <c r="I35" s="5">
        <f t="shared" si="4"/>
        <v>54169.077859204946</v>
      </c>
      <c r="J35" s="26">
        <f t="shared" si="5"/>
        <v>0.18022356994710925</v>
      </c>
      <c r="L35" s="22">
        <f t="shared" si="11"/>
        <v>109938.81487811181</v>
      </c>
      <c r="M35" s="5">
        <f>scrimecost*Meta!O32</f>
        <v>1204.992</v>
      </c>
      <c r="N35" s="5">
        <f>L35-Grade10!L35</f>
        <v>958.26400242045929</v>
      </c>
      <c r="O35" s="5">
        <f>Grade10!M35-M35</f>
        <v>25.344000000000051</v>
      </c>
      <c r="P35" s="22">
        <f t="shared" si="12"/>
        <v>237.30809123778931</v>
      </c>
      <c r="Q35" s="22"/>
      <c r="R35" s="22"/>
      <c r="S35" s="22">
        <f t="shared" si="6"/>
        <v>971.39058497593624</v>
      </c>
      <c r="T35" s="22">
        <f t="shared" si="7"/>
        <v>1217.0687186883947</v>
      </c>
    </row>
    <row r="36" spans="1:20" x14ac:dyDescent="0.2">
      <c r="A36" s="5">
        <v>45</v>
      </c>
      <c r="B36" s="1">
        <f t="shared" si="8"/>
        <v>1.9964950187572048</v>
      </c>
      <c r="C36" s="5">
        <f t="shared" si="9"/>
        <v>49397.873984292513</v>
      </c>
      <c r="D36" s="5">
        <f t="shared" si="0"/>
        <v>47741.778159062182</v>
      </c>
      <c r="E36" s="5">
        <f t="shared" si="1"/>
        <v>38241.778159062182</v>
      </c>
      <c r="F36" s="5">
        <f t="shared" si="2"/>
        <v>13161.86838484002</v>
      </c>
      <c r="G36" s="5">
        <f t="shared" si="3"/>
        <v>34579.909774222164</v>
      </c>
      <c r="H36" s="22">
        <f t="shared" si="10"/>
        <v>21821.698681874776</v>
      </c>
      <c r="I36" s="5">
        <f t="shared" si="4"/>
        <v>55332.345220685078</v>
      </c>
      <c r="J36" s="26">
        <f t="shared" si="5"/>
        <v>0.18304300166904183</v>
      </c>
      <c r="L36" s="22">
        <f t="shared" si="11"/>
        <v>112687.28525006458</v>
      </c>
      <c r="M36" s="5">
        <f>scrimecost*Meta!O33</f>
        <v>973.82600000000002</v>
      </c>
      <c r="N36" s="5">
        <f>L36-Grade10!L36</f>
        <v>982.22060248095659</v>
      </c>
      <c r="O36" s="5">
        <f>Grade10!M36-M36</f>
        <v>20.482000000000085</v>
      </c>
      <c r="P36" s="22">
        <f t="shared" si="12"/>
        <v>244.62557047896649</v>
      </c>
      <c r="Q36" s="22"/>
      <c r="R36" s="22"/>
      <c r="S36" s="22">
        <f t="shared" si="6"/>
        <v>991.62207808311325</v>
      </c>
      <c r="T36" s="22">
        <f t="shared" si="7"/>
        <v>1252.4620748842287</v>
      </c>
    </row>
    <row r="37" spans="1:20" x14ac:dyDescent="0.2">
      <c r="A37" s="5">
        <v>46</v>
      </c>
      <c r="B37" s="1">
        <f t="shared" ref="B37:B56" si="13">(1+experiencepremium)^(A37-startage)</f>
        <v>2.0464073942261352</v>
      </c>
      <c r="C37" s="5">
        <f t="shared" ref="C37:C56" si="14">pretaxincome*B37/expnorm</f>
        <v>50632.820833899837</v>
      </c>
      <c r="D37" s="5">
        <f t="shared" ref="D37:D56" si="15">IF(A37&lt;startage,1,0)*(C37*(1-initialunempprob))+IF(A37=startage,1,0)*(C37*(1-unempprob))+IF(A37&gt;startage,1,0)*(C37*(1-unempprob)+unempprob*300*52)</f>
        <v>48916.212613038748</v>
      </c>
      <c r="E37" s="5">
        <f t="shared" si="1"/>
        <v>39416.212613038748</v>
      </c>
      <c r="F37" s="5">
        <f t="shared" si="2"/>
        <v>13662.764679461026</v>
      </c>
      <c r="G37" s="5">
        <f t="shared" si="3"/>
        <v>35253.447933577721</v>
      </c>
      <c r="H37" s="22">
        <f t="shared" ref="H37:H56" si="16">benefits*B37/expnorm</f>
        <v>22367.241148921647</v>
      </c>
      <c r="I37" s="5">
        <f t="shared" ref="I37:I56" si="17">G37+IF(A37&lt;startage,1,0)*(H37*(1-initialunempprob))+IF(A37&gt;=startage,1,0)*(H37*(1-unempprob))</f>
        <v>56524.694266202205</v>
      </c>
      <c r="J37" s="26">
        <f t="shared" si="5"/>
        <v>0.18579366676361025</v>
      </c>
      <c r="L37" s="22">
        <f t="shared" ref="L37:L56" si="18">(sincome+sbenefits)*(1-sunemp)*B37/expnorm</f>
        <v>115504.46738131622</v>
      </c>
      <c r="M37" s="5">
        <f>scrimecost*Meta!O34</f>
        <v>973.82600000000002</v>
      </c>
      <c r="N37" s="5">
        <f>L37-Grade10!L37</f>
        <v>1006.7761175430205</v>
      </c>
      <c r="O37" s="5">
        <f>Grade10!M37-M37</f>
        <v>20.482000000000085</v>
      </c>
      <c r="P37" s="22">
        <f t="shared" si="12"/>
        <v>252.12598670117325</v>
      </c>
      <c r="Q37" s="22"/>
      <c r="R37" s="22"/>
      <c r="S37" s="22">
        <f t="shared" si="6"/>
        <v>1017.2731388180101</v>
      </c>
      <c r="T37" s="22">
        <f t="shared" si="7"/>
        <v>1295.2486838501347</v>
      </c>
    </row>
    <row r="38" spans="1:20" x14ac:dyDescent="0.2">
      <c r="A38" s="5">
        <v>47</v>
      </c>
      <c r="B38" s="1">
        <f t="shared" si="13"/>
        <v>2.097567579081788</v>
      </c>
      <c r="C38" s="5">
        <f t="shared" si="14"/>
        <v>51898.64135474732</v>
      </c>
      <c r="D38" s="5">
        <f t="shared" si="15"/>
        <v>50120.007928364699</v>
      </c>
      <c r="E38" s="5">
        <f t="shared" si="1"/>
        <v>40620.007928364699</v>
      </c>
      <c r="F38" s="5">
        <f t="shared" si="2"/>
        <v>14176.183381447545</v>
      </c>
      <c r="G38" s="5">
        <f t="shared" si="3"/>
        <v>35943.824546917152</v>
      </c>
      <c r="H38" s="22">
        <f t="shared" si="16"/>
        <v>22926.422177644683</v>
      </c>
      <c r="I38" s="5">
        <f t="shared" si="17"/>
        <v>57746.852037857243</v>
      </c>
      <c r="J38" s="26">
        <f t="shared" si="5"/>
        <v>0.18847724246562816</v>
      </c>
      <c r="L38" s="22">
        <f t="shared" si="18"/>
        <v>118392.07906584909</v>
      </c>
      <c r="M38" s="5">
        <f>scrimecost*Meta!O35</f>
        <v>973.82600000000002</v>
      </c>
      <c r="N38" s="5">
        <f>L38-Grade10!L38</f>
        <v>1031.9455204815313</v>
      </c>
      <c r="O38" s="5">
        <f>Grade10!M38-M38</f>
        <v>20.482000000000085</v>
      </c>
      <c r="P38" s="22">
        <f t="shared" si="12"/>
        <v>259.81391332893497</v>
      </c>
      <c r="Q38" s="22"/>
      <c r="R38" s="22"/>
      <c r="S38" s="22">
        <f t="shared" si="6"/>
        <v>1043.5654760712016</v>
      </c>
      <c r="T38" s="22">
        <f t="shared" si="7"/>
        <v>1339.4683978196783</v>
      </c>
    </row>
    <row r="39" spans="1:20" x14ac:dyDescent="0.2">
      <c r="A39" s="5">
        <v>48</v>
      </c>
      <c r="B39" s="1">
        <f t="shared" si="13"/>
        <v>2.1500067685588333</v>
      </c>
      <c r="C39" s="5">
        <f t="shared" si="14"/>
        <v>53196.107388616016</v>
      </c>
      <c r="D39" s="5">
        <f t="shared" si="15"/>
        <v>51353.898126573833</v>
      </c>
      <c r="E39" s="5">
        <f t="shared" si="1"/>
        <v>41853.898126573833</v>
      </c>
      <c r="F39" s="5">
        <f t="shared" si="2"/>
        <v>14702.437550983739</v>
      </c>
      <c r="G39" s="5">
        <f t="shared" si="3"/>
        <v>36651.460575590092</v>
      </c>
      <c r="H39" s="22">
        <f t="shared" si="16"/>
        <v>23499.582732085808</v>
      </c>
      <c r="I39" s="5">
        <f t="shared" si="17"/>
        <v>58999.563753803697</v>
      </c>
      <c r="J39" s="26">
        <f t="shared" ref="J39:J56" si="19">(F39-(IF(A39&gt;startage,1,0)*(unempprob*300*52)))/(IF(A39&lt;startage,1,0)*((C39+H39)*(1-initialunempprob))+IF(A39&gt;=startage,1,0)*((C39+H39)*(1-unempprob)))</f>
        <v>0.19109536510174327</v>
      </c>
      <c r="L39" s="22">
        <f t="shared" si="18"/>
        <v>121351.88104249536</v>
      </c>
      <c r="M39" s="5">
        <f>scrimecost*Meta!O36</f>
        <v>973.82600000000002</v>
      </c>
      <c r="N39" s="5">
        <f>L39-Grade10!L39</f>
        <v>1057.7441584936314</v>
      </c>
      <c r="O39" s="5">
        <f>Grade10!M39-M39</f>
        <v>20.482000000000085</v>
      </c>
      <c r="P39" s="22">
        <f t="shared" si="12"/>
        <v>267.69403812239096</v>
      </c>
      <c r="Q39" s="22"/>
      <c r="R39" s="22"/>
      <c r="S39" s="22">
        <f t="shared" ref="S39:S69" si="20">IF(A39&lt;startage,1,0)*(N39-Q39-R39)+IF(A39&gt;=startage,1,0)*completionprob*(N39*spart+O39+P39)</f>
        <v>1070.5151217558168</v>
      </c>
      <c r="T39" s="22">
        <f t="shared" ref="T39:T69" si="21">S39/sreturn^(A39-startage+1)</f>
        <v>1385.1689924734037</v>
      </c>
    </row>
    <row r="40" spans="1:20" x14ac:dyDescent="0.2">
      <c r="A40" s="5">
        <v>49</v>
      </c>
      <c r="B40" s="1">
        <f t="shared" si="13"/>
        <v>2.2037569377728037</v>
      </c>
      <c r="C40" s="5">
        <f t="shared" si="14"/>
        <v>54526.010073331403</v>
      </c>
      <c r="D40" s="5">
        <f t="shared" si="15"/>
        <v>52618.635579738162</v>
      </c>
      <c r="E40" s="5">
        <f t="shared" si="1"/>
        <v>43118.635579738162</v>
      </c>
      <c r="F40" s="5">
        <f t="shared" si="2"/>
        <v>15241.848074758327</v>
      </c>
      <c r="G40" s="5">
        <f t="shared" si="3"/>
        <v>37376.787504979831</v>
      </c>
      <c r="H40" s="22">
        <f t="shared" si="16"/>
        <v>24087.072300387943</v>
      </c>
      <c r="I40" s="5">
        <f t="shared" si="17"/>
        <v>60283.593262648763</v>
      </c>
      <c r="J40" s="26">
        <f t="shared" si="19"/>
        <v>0.19364963108819697</v>
      </c>
      <c r="L40" s="22">
        <f t="shared" si="18"/>
        <v>124385.67806855771</v>
      </c>
      <c r="M40" s="5">
        <f>scrimecost*Meta!O37</f>
        <v>973.82600000000002</v>
      </c>
      <c r="N40" s="5">
        <f>L40-Grade10!L40</f>
        <v>1084.1877624559565</v>
      </c>
      <c r="O40" s="5">
        <f>Grade10!M40-M40</f>
        <v>20.482000000000085</v>
      </c>
      <c r="P40" s="22">
        <f t="shared" ref="P40:P56" si="22">(spart-initialspart)*(L40*J40+nptrans)</f>
        <v>275.77116603568311</v>
      </c>
      <c r="Q40" s="22"/>
      <c r="R40" s="22"/>
      <c r="S40" s="22">
        <f t="shared" si="20"/>
        <v>1098.1385085824897</v>
      </c>
      <c r="T40" s="22">
        <f t="shared" si="21"/>
        <v>1432.399834389352</v>
      </c>
    </row>
    <row r="41" spans="1:20" x14ac:dyDescent="0.2">
      <c r="A41" s="5">
        <v>50</v>
      </c>
      <c r="B41" s="1">
        <f t="shared" si="13"/>
        <v>2.2588508612171236</v>
      </c>
      <c r="C41" s="5">
        <f t="shared" si="14"/>
        <v>55889.160325164681</v>
      </c>
      <c r="D41" s="5">
        <f t="shared" si="15"/>
        <v>53914.991469231609</v>
      </c>
      <c r="E41" s="5">
        <f t="shared" si="1"/>
        <v>44414.991469231609</v>
      </c>
      <c r="F41" s="5">
        <f t="shared" si="2"/>
        <v>15794.743861627281</v>
      </c>
      <c r="G41" s="5">
        <f t="shared" si="3"/>
        <v>38120.247607604324</v>
      </c>
      <c r="H41" s="22">
        <f t="shared" si="16"/>
        <v>24689.249107897642</v>
      </c>
      <c r="I41" s="5">
        <f t="shared" si="17"/>
        <v>61599.723509214979</v>
      </c>
      <c r="J41" s="26">
        <f t="shared" si="19"/>
        <v>0.19614159790424934</v>
      </c>
      <c r="L41" s="22">
        <f t="shared" si="18"/>
        <v>127495.32002027165</v>
      </c>
      <c r="M41" s="5">
        <f>scrimecost*Meta!O38</f>
        <v>650.61199999999997</v>
      </c>
      <c r="N41" s="5">
        <f>L41-Grade10!L41</f>
        <v>1111.2924565173453</v>
      </c>
      <c r="O41" s="5">
        <f>Grade10!M41-M41</f>
        <v>13.684000000000083</v>
      </c>
      <c r="P41" s="22">
        <f t="shared" si="22"/>
        <v>284.0502221468077</v>
      </c>
      <c r="Q41" s="22"/>
      <c r="R41" s="22"/>
      <c r="S41" s="22">
        <f t="shared" si="20"/>
        <v>1119.7496520798336</v>
      </c>
      <c r="T41" s="22">
        <f t="shared" si="21"/>
        <v>1472.3981500231705</v>
      </c>
    </row>
    <row r="42" spans="1:20" x14ac:dyDescent="0.2">
      <c r="A42" s="5">
        <v>51</v>
      </c>
      <c r="B42" s="1">
        <f t="shared" si="13"/>
        <v>2.3153221327475517</v>
      </c>
      <c r="C42" s="5">
        <f t="shared" si="14"/>
        <v>57286.389333293795</v>
      </c>
      <c r="D42" s="5">
        <f t="shared" si="15"/>
        <v>55243.756255962398</v>
      </c>
      <c r="E42" s="5">
        <f t="shared" si="1"/>
        <v>45743.756255962398</v>
      </c>
      <c r="F42" s="5">
        <f t="shared" si="2"/>
        <v>16361.462043167963</v>
      </c>
      <c r="G42" s="5">
        <f t="shared" si="3"/>
        <v>38882.294212794433</v>
      </c>
      <c r="H42" s="22">
        <f t="shared" si="16"/>
        <v>25306.480335595086</v>
      </c>
      <c r="I42" s="5">
        <f t="shared" si="17"/>
        <v>62948.757011945359</v>
      </c>
      <c r="J42" s="26">
        <f t="shared" si="19"/>
        <v>0.19857278504186143</v>
      </c>
      <c r="L42" s="22">
        <f t="shared" si="18"/>
        <v>130682.70302077844</v>
      </c>
      <c r="M42" s="5">
        <f>scrimecost*Meta!O39</f>
        <v>650.61199999999997</v>
      </c>
      <c r="N42" s="5">
        <f>L42-Grade10!L42</f>
        <v>1139.0747679302876</v>
      </c>
      <c r="O42" s="5">
        <f>Grade10!M42-M42</f>
        <v>13.684000000000083</v>
      </c>
      <c r="P42" s="22">
        <f t="shared" si="22"/>
        <v>292.53625466071031</v>
      </c>
      <c r="Q42" s="22"/>
      <c r="R42" s="22"/>
      <c r="S42" s="22">
        <f t="shared" si="20"/>
        <v>1148.7714728646251</v>
      </c>
      <c r="T42" s="22">
        <f t="shared" si="21"/>
        <v>1522.7729562309944</v>
      </c>
    </row>
    <row r="43" spans="1:20" x14ac:dyDescent="0.2">
      <c r="A43" s="5">
        <v>52</v>
      </c>
      <c r="B43" s="1">
        <f t="shared" si="13"/>
        <v>2.3732051860662402</v>
      </c>
      <c r="C43" s="5">
        <f t="shared" si="14"/>
        <v>58718.549066626139</v>
      </c>
      <c r="D43" s="5">
        <f t="shared" si="15"/>
        <v>56605.740162361457</v>
      </c>
      <c r="E43" s="5">
        <f t="shared" si="1"/>
        <v>47105.740162361457</v>
      </c>
      <c r="F43" s="5">
        <f t="shared" si="2"/>
        <v>16942.348179247165</v>
      </c>
      <c r="G43" s="5">
        <f t="shared" si="3"/>
        <v>39663.391983114292</v>
      </c>
      <c r="H43" s="22">
        <f t="shared" si="16"/>
        <v>25939.142343984957</v>
      </c>
      <c r="I43" s="5">
        <f t="shared" si="17"/>
        <v>64331.516352243983</v>
      </c>
      <c r="J43" s="26">
        <f t="shared" si="19"/>
        <v>0.2009446749322148</v>
      </c>
      <c r="L43" s="22">
        <f t="shared" si="18"/>
        <v>133949.77059629787</v>
      </c>
      <c r="M43" s="5">
        <f>scrimecost*Meta!O40</f>
        <v>650.61199999999997</v>
      </c>
      <c r="N43" s="5">
        <f>L43-Grade10!L43</f>
        <v>1167.5516371285194</v>
      </c>
      <c r="O43" s="5">
        <f>Grade10!M43-M43</f>
        <v>13.684000000000083</v>
      </c>
      <c r="P43" s="22">
        <f t="shared" si="22"/>
        <v>301.23443798746064</v>
      </c>
      <c r="Q43" s="22"/>
      <c r="R43" s="22"/>
      <c r="S43" s="22">
        <f t="shared" si="20"/>
        <v>1178.518839169011</v>
      </c>
      <c r="T43" s="22">
        <f t="shared" si="21"/>
        <v>1574.835617165339</v>
      </c>
    </row>
    <row r="44" spans="1:20" x14ac:dyDescent="0.2">
      <c r="A44" s="5">
        <v>53</v>
      </c>
      <c r="B44" s="1">
        <f t="shared" si="13"/>
        <v>2.4325353157178964</v>
      </c>
      <c r="C44" s="5">
        <f t="shared" si="14"/>
        <v>60186.512793291797</v>
      </c>
      <c r="D44" s="5">
        <f t="shared" si="15"/>
        <v>58001.7736664205</v>
      </c>
      <c r="E44" s="5">
        <f t="shared" si="1"/>
        <v>48501.7736664205</v>
      </c>
      <c r="F44" s="5">
        <f t="shared" si="2"/>
        <v>17537.756468728345</v>
      </c>
      <c r="G44" s="5">
        <f t="shared" si="3"/>
        <v>40464.017197692156</v>
      </c>
      <c r="H44" s="22">
        <f t="shared" si="16"/>
        <v>26587.620902584586</v>
      </c>
      <c r="I44" s="5">
        <f t="shared" si="17"/>
        <v>65748.844676050096</v>
      </c>
      <c r="J44" s="26">
        <f t="shared" si="19"/>
        <v>0.20325871384963257</v>
      </c>
      <c r="L44" s="22">
        <f t="shared" si="18"/>
        <v>137298.51486120533</v>
      </c>
      <c r="M44" s="5">
        <f>scrimecost*Meta!O41</f>
        <v>650.61199999999997</v>
      </c>
      <c r="N44" s="5">
        <f>L44-Grade10!L44</f>
        <v>1196.7404280567716</v>
      </c>
      <c r="O44" s="5">
        <f>Grade10!M44-M44</f>
        <v>13.684000000000083</v>
      </c>
      <c r="P44" s="22">
        <f t="shared" si="22"/>
        <v>310.15007589737962</v>
      </c>
      <c r="Q44" s="22"/>
      <c r="R44" s="22"/>
      <c r="S44" s="22">
        <f t="shared" si="20"/>
        <v>1209.0098896310551</v>
      </c>
      <c r="T44" s="22">
        <f t="shared" si="21"/>
        <v>1628.6424058753223</v>
      </c>
    </row>
    <row r="45" spans="1:20" x14ac:dyDescent="0.2">
      <c r="A45" s="5">
        <v>54</v>
      </c>
      <c r="B45" s="1">
        <f t="shared" si="13"/>
        <v>2.4933486986108435</v>
      </c>
      <c r="C45" s="5">
        <f t="shared" si="14"/>
        <v>61691.175613124084</v>
      </c>
      <c r="D45" s="5">
        <f t="shared" si="15"/>
        <v>59432.708008081005</v>
      </c>
      <c r="E45" s="5">
        <f t="shared" si="1"/>
        <v>49932.708008081005</v>
      </c>
      <c r="F45" s="5">
        <f t="shared" si="2"/>
        <v>18148.049965446549</v>
      </c>
      <c r="G45" s="5">
        <f t="shared" si="3"/>
        <v>41284.658042634459</v>
      </c>
      <c r="H45" s="22">
        <f t="shared" si="16"/>
        <v>27252.311425149193</v>
      </c>
      <c r="I45" s="5">
        <f t="shared" si="17"/>
        <v>67201.606207951336</v>
      </c>
      <c r="J45" s="26">
        <f t="shared" si="19"/>
        <v>0.20551631279345486</v>
      </c>
      <c r="L45" s="22">
        <f t="shared" si="18"/>
        <v>140730.97773273545</v>
      </c>
      <c r="M45" s="5">
        <f>scrimecost*Meta!O42</f>
        <v>650.61199999999997</v>
      </c>
      <c r="N45" s="5">
        <f>L45-Grade10!L45</f>
        <v>1226.6589387581917</v>
      </c>
      <c r="O45" s="5">
        <f>Grade10!M45-M45</f>
        <v>13.684000000000083</v>
      </c>
      <c r="P45" s="22">
        <f t="shared" si="22"/>
        <v>319.28860475504655</v>
      </c>
      <c r="Q45" s="22"/>
      <c r="R45" s="22"/>
      <c r="S45" s="22">
        <f t="shared" si="20"/>
        <v>1240.2632163546209</v>
      </c>
      <c r="T45" s="22">
        <f t="shared" si="21"/>
        <v>1684.2514693026067</v>
      </c>
    </row>
    <row r="46" spans="1:20" x14ac:dyDescent="0.2">
      <c r="A46" s="5">
        <v>55</v>
      </c>
      <c r="B46" s="1">
        <f t="shared" si="13"/>
        <v>2.555682416076114</v>
      </c>
      <c r="C46" s="5">
        <f t="shared" si="14"/>
        <v>63233.455003452174</v>
      </c>
      <c r="D46" s="5">
        <f t="shared" si="15"/>
        <v>60899.415708283013</v>
      </c>
      <c r="E46" s="5">
        <f t="shared" si="1"/>
        <v>51399.415708283013</v>
      </c>
      <c r="F46" s="5">
        <f t="shared" si="2"/>
        <v>18773.600799582706</v>
      </c>
      <c r="G46" s="5">
        <f t="shared" si="3"/>
        <v>42125.814908700311</v>
      </c>
      <c r="H46" s="22">
        <f t="shared" si="16"/>
        <v>27933.619210777917</v>
      </c>
      <c r="I46" s="5">
        <f t="shared" si="17"/>
        <v>68690.686778150106</v>
      </c>
      <c r="J46" s="26">
        <f t="shared" si="19"/>
        <v>0.2077188483484034</v>
      </c>
      <c r="L46" s="22">
        <f t="shared" si="18"/>
        <v>144249.25217605379</v>
      </c>
      <c r="M46" s="5">
        <f>scrimecost*Meta!O43</f>
        <v>360.86999999999995</v>
      </c>
      <c r="N46" s="5">
        <f>L46-Grade10!L46</f>
        <v>1257.3254122270737</v>
      </c>
      <c r="O46" s="5">
        <f>Grade10!M46-M46</f>
        <v>7.5900000000000318</v>
      </c>
      <c r="P46" s="22">
        <f t="shared" si="22"/>
        <v>328.65559683415518</v>
      </c>
      <c r="Q46" s="22"/>
      <c r="R46" s="22"/>
      <c r="S46" s="22">
        <f t="shared" si="20"/>
        <v>1266.2891922462215</v>
      </c>
      <c r="T46" s="22">
        <f t="shared" si="21"/>
        <v>1733.4972521081372</v>
      </c>
    </row>
    <row r="47" spans="1:20" x14ac:dyDescent="0.2">
      <c r="A47" s="5">
        <v>56</v>
      </c>
      <c r="B47" s="1">
        <f t="shared" si="13"/>
        <v>2.6195744764780171</v>
      </c>
      <c r="C47" s="5">
        <f t="shared" si="14"/>
        <v>64814.291378538488</v>
      </c>
      <c r="D47" s="5">
        <f t="shared" si="15"/>
        <v>62402.7911009901</v>
      </c>
      <c r="E47" s="5">
        <f t="shared" si="1"/>
        <v>52902.7911009901</v>
      </c>
      <c r="F47" s="5">
        <f t="shared" si="2"/>
        <v>19414.790404572279</v>
      </c>
      <c r="G47" s="5">
        <f t="shared" si="3"/>
        <v>42988.000696417817</v>
      </c>
      <c r="H47" s="22">
        <f t="shared" si="16"/>
        <v>28631.95969104737</v>
      </c>
      <c r="I47" s="5">
        <f t="shared" si="17"/>
        <v>70216.994362603873</v>
      </c>
      <c r="J47" s="26">
        <f t="shared" si="19"/>
        <v>0.20986766352396299</v>
      </c>
      <c r="L47" s="22">
        <f t="shared" si="18"/>
        <v>147855.48348045515</v>
      </c>
      <c r="M47" s="5">
        <f>scrimecost*Meta!O44</f>
        <v>360.86999999999995</v>
      </c>
      <c r="N47" s="5">
        <f>L47-Grade10!L47</f>
        <v>1288.7585475327796</v>
      </c>
      <c r="O47" s="5">
        <f>Grade10!M47-M47</f>
        <v>7.5900000000000318</v>
      </c>
      <c r="P47" s="22">
        <f t="shared" si="22"/>
        <v>338.25676371524156</v>
      </c>
      <c r="Q47" s="22"/>
      <c r="R47" s="22"/>
      <c r="S47" s="22">
        <f t="shared" si="20"/>
        <v>1299.1247186351882</v>
      </c>
      <c r="T47" s="22">
        <f t="shared" si="21"/>
        <v>1792.8266104286399</v>
      </c>
    </row>
    <row r="48" spans="1:20" x14ac:dyDescent="0.2">
      <c r="A48" s="5">
        <v>57</v>
      </c>
      <c r="B48" s="1">
        <f t="shared" si="13"/>
        <v>2.6850638383899672</v>
      </c>
      <c r="C48" s="5">
        <f t="shared" si="14"/>
        <v>66434.648663001935</v>
      </c>
      <c r="D48" s="5">
        <f t="shared" si="15"/>
        <v>63943.750878514838</v>
      </c>
      <c r="E48" s="5">
        <f t="shared" si="1"/>
        <v>54443.750878514838</v>
      </c>
      <c r="F48" s="5">
        <f t="shared" si="2"/>
        <v>20072.009749686578</v>
      </c>
      <c r="G48" s="5">
        <f t="shared" si="3"/>
        <v>43871.74112882826</v>
      </c>
      <c r="H48" s="22">
        <f t="shared" si="16"/>
        <v>29347.758683323551</v>
      </c>
      <c r="I48" s="5">
        <f t="shared" si="17"/>
        <v>71781.459636668951</v>
      </c>
      <c r="J48" s="26">
        <f t="shared" si="19"/>
        <v>0.21196406857328937</v>
      </c>
      <c r="L48" s="22">
        <f t="shared" si="18"/>
        <v>151551.87056746651</v>
      </c>
      <c r="M48" s="5">
        <f>scrimecost*Meta!O45</f>
        <v>360.86999999999995</v>
      </c>
      <c r="N48" s="5">
        <f>L48-Grade10!L48</f>
        <v>1320.9775112210773</v>
      </c>
      <c r="O48" s="5">
        <f>Grade10!M48-M48</f>
        <v>7.5900000000000318</v>
      </c>
      <c r="P48" s="22">
        <f t="shared" si="22"/>
        <v>348.09795976835505</v>
      </c>
      <c r="Q48" s="22"/>
      <c r="R48" s="22"/>
      <c r="S48" s="22">
        <f t="shared" si="20"/>
        <v>1332.7811331838407</v>
      </c>
      <c r="T48" s="22">
        <f t="shared" si="21"/>
        <v>1854.1440242274782</v>
      </c>
    </row>
    <row r="49" spans="1:20" x14ac:dyDescent="0.2">
      <c r="A49" s="5">
        <v>58</v>
      </c>
      <c r="B49" s="1">
        <f t="shared" si="13"/>
        <v>2.7521904343497163</v>
      </c>
      <c r="C49" s="5">
        <f t="shared" si="14"/>
        <v>68095.514879576978</v>
      </c>
      <c r="D49" s="5">
        <f t="shared" si="15"/>
        <v>65523.234650477702</v>
      </c>
      <c r="E49" s="5">
        <f t="shared" si="1"/>
        <v>56023.234650477702</v>
      </c>
      <c r="F49" s="5">
        <f t="shared" si="2"/>
        <v>20745.659578428738</v>
      </c>
      <c r="G49" s="5">
        <f t="shared" si="3"/>
        <v>44777.57507204896</v>
      </c>
      <c r="H49" s="22">
        <f t="shared" si="16"/>
        <v>30081.452650406638</v>
      </c>
      <c r="I49" s="5">
        <f t="shared" si="17"/>
        <v>73385.036542585673</v>
      </c>
      <c r="J49" s="26">
        <f t="shared" si="19"/>
        <v>0.21400934179214437</v>
      </c>
      <c r="L49" s="22">
        <f t="shared" si="18"/>
        <v>155340.66733165321</v>
      </c>
      <c r="M49" s="5">
        <f>scrimecost*Meta!O46</f>
        <v>360.86999999999995</v>
      </c>
      <c r="N49" s="5">
        <f>L49-Grade10!L49</f>
        <v>1354.0019490016566</v>
      </c>
      <c r="O49" s="5">
        <f>Grade10!M49-M49</f>
        <v>7.5900000000000318</v>
      </c>
      <c r="P49" s="22">
        <f t="shared" si="22"/>
        <v>358.18518572279646</v>
      </c>
      <c r="Q49" s="22"/>
      <c r="R49" s="22"/>
      <c r="S49" s="22">
        <f t="shared" si="20"/>
        <v>1367.2789580962647</v>
      </c>
      <c r="T49" s="22">
        <f t="shared" si="21"/>
        <v>1917.5157766087109</v>
      </c>
    </row>
    <row r="50" spans="1:20" x14ac:dyDescent="0.2">
      <c r="A50" s="5">
        <v>59</v>
      </c>
      <c r="B50" s="1">
        <f t="shared" si="13"/>
        <v>2.8209951952084591</v>
      </c>
      <c r="C50" s="5">
        <f t="shared" si="14"/>
        <v>69797.902751566406</v>
      </c>
      <c r="D50" s="5">
        <f t="shared" si="15"/>
        <v>67142.205516739647</v>
      </c>
      <c r="E50" s="5">
        <f t="shared" si="1"/>
        <v>57642.205516739647</v>
      </c>
      <c r="F50" s="5">
        <f t="shared" si="2"/>
        <v>21436.150652889461</v>
      </c>
      <c r="G50" s="5">
        <f t="shared" si="3"/>
        <v>45706.054863850186</v>
      </c>
      <c r="H50" s="22">
        <f t="shared" si="16"/>
        <v>30833.488966666802</v>
      </c>
      <c r="I50" s="5">
        <f t="shared" si="17"/>
        <v>75028.702871150308</v>
      </c>
      <c r="J50" s="26">
        <f t="shared" si="19"/>
        <v>0.21600473029834444</v>
      </c>
      <c r="L50" s="22">
        <f t="shared" si="18"/>
        <v>159224.18401494451</v>
      </c>
      <c r="M50" s="5">
        <f>scrimecost*Meta!O47</f>
        <v>360.86999999999995</v>
      </c>
      <c r="N50" s="5">
        <f>L50-Grade10!L50</f>
        <v>1387.8519977266551</v>
      </c>
      <c r="O50" s="5">
        <f>Grade10!M50-M50</f>
        <v>7.5900000000000318</v>
      </c>
      <c r="P50" s="22">
        <f t="shared" si="22"/>
        <v>368.5245923260988</v>
      </c>
      <c r="Q50" s="22"/>
      <c r="R50" s="22"/>
      <c r="S50" s="22">
        <f t="shared" si="20"/>
        <v>1402.639228631429</v>
      </c>
      <c r="T50" s="22">
        <f t="shared" si="21"/>
        <v>1983.0103579147371</v>
      </c>
    </row>
    <row r="51" spans="1:20" x14ac:dyDescent="0.2">
      <c r="A51" s="5">
        <v>60</v>
      </c>
      <c r="B51" s="1">
        <f t="shared" si="13"/>
        <v>2.8915200750886707</v>
      </c>
      <c r="C51" s="5">
        <f t="shared" si="14"/>
        <v>71542.850320355574</v>
      </c>
      <c r="D51" s="5">
        <f t="shared" si="15"/>
        <v>68801.650654658137</v>
      </c>
      <c r="E51" s="5">
        <f t="shared" si="1"/>
        <v>59301.650654658137</v>
      </c>
      <c r="F51" s="5">
        <f t="shared" si="2"/>
        <v>22143.904004211698</v>
      </c>
      <c r="G51" s="5">
        <f t="shared" si="3"/>
        <v>46657.746650446439</v>
      </c>
      <c r="H51" s="22">
        <f t="shared" si="16"/>
        <v>31604.326190833475</v>
      </c>
      <c r="I51" s="5">
        <f t="shared" si="17"/>
        <v>76713.46085792908</v>
      </c>
      <c r="J51" s="26">
        <f t="shared" si="19"/>
        <v>0.21795145079219813</v>
      </c>
      <c r="L51" s="22">
        <f t="shared" si="18"/>
        <v>163204.78861531813</v>
      </c>
      <c r="M51" s="5">
        <f>scrimecost*Meta!O48</f>
        <v>190.37199999999999</v>
      </c>
      <c r="N51" s="5">
        <f>L51-Grade10!L51</f>
        <v>1422.5482976698841</v>
      </c>
      <c r="O51" s="5">
        <f>Grade10!M51-M51</f>
        <v>4.0040000000000191</v>
      </c>
      <c r="P51" s="22">
        <f t="shared" si="22"/>
        <v>379.12248409448381</v>
      </c>
      <c r="Q51" s="22"/>
      <c r="R51" s="22"/>
      <c r="S51" s="22">
        <f t="shared" si="20"/>
        <v>1435.3477099300501</v>
      </c>
      <c r="T51" s="22">
        <f t="shared" si="21"/>
        <v>2045.6593184065405</v>
      </c>
    </row>
    <row r="52" spans="1:20" x14ac:dyDescent="0.2">
      <c r="A52" s="5">
        <v>61</v>
      </c>
      <c r="B52" s="1">
        <f t="shared" si="13"/>
        <v>2.9638080769658868</v>
      </c>
      <c r="C52" s="5">
        <f t="shared" si="14"/>
        <v>73331.421578364432</v>
      </c>
      <c r="D52" s="5">
        <f t="shared" si="15"/>
        <v>70502.581921024568</v>
      </c>
      <c r="E52" s="5">
        <f t="shared" si="1"/>
        <v>61002.581921024568</v>
      </c>
      <c r="F52" s="5">
        <f t="shared" si="2"/>
        <v>22869.351189316978</v>
      </c>
      <c r="G52" s="5">
        <f t="shared" si="3"/>
        <v>47633.23073170759</v>
      </c>
      <c r="H52" s="22">
        <f t="shared" si="16"/>
        <v>32394.434345604303</v>
      </c>
      <c r="I52" s="5">
        <f t="shared" si="17"/>
        <v>78440.337794377279</v>
      </c>
      <c r="J52" s="26">
        <f t="shared" si="19"/>
        <v>0.21985069029839682</v>
      </c>
      <c r="L52" s="22">
        <f t="shared" si="18"/>
        <v>167284.90833070106</v>
      </c>
      <c r="M52" s="5">
        <f>scrimecost*Meta!O49</f>
        <v>190.37199999999999</v>
      </c>
      <c r="N52" s="5">
        <f>L52-Grade10!L52</f>
        <v>1458.1120051115868</v>
      </c>
      <c r="O52" s="5">
        <f>Grade10!M52-M52</f>
        <v>4.0040000000000191</v>
      </c>
      <c r="P52" s="22">
        <f t="shared" si="22"/>
        <v>389.98532315707831</v>
      </c>
      <c r="Q52" s="22"/>
      <c r="R52" s="22"/>
      <c r="S52" s="22">
        <f t="shared" si="20"/>
        <v>1472.4980941610577</v>
      </c>
      <c r="T52" s="22">
        <f t="shared" si="21"/>
        <v>2115.5734848977618</v>
      </c>
    </row>
    <row r="53" spans="1:20" x14ac:dyDescent="0.2">
      <c r="A53" s="5">
        <v>62</v>
      </c>
      <c r="B53" s="1">
        <f t="shared" si="13"/>
        <v>3.0379032788900342</v>
      </c>
      <c r="C53" s="5">
        <f t="shared" si="14"/>
        <v>75164.707117823564</v>
      </c>
      <c r="D53" s="5">
        <f t="shared" si="15"/>
        <v>72246.036469050203</v>
      </c>
      <c r="E53" s="5">
        <f t="shared" si="1"/>
        <v>62746.036469050203</v>
      </c>
      <c r="F53" s="5">
        <f t="shared" si="2"/>
        <v>23612.934554049913</v>
      </c>
      <c r="G53" s="5">
        <f t="shared" si="3"/>
        <v>48633.10191500029</v>
      </c>
      <c r="H53" s="22">
        <f t="shared" si="16"/>
        <v>33204.295204244416</v>
      </c>
      <c r="I53" s="5">
        <f t="shared" si="17"/>
        <v>80210.386654236732</v>
      </c>
      <c r="J53" s="26">
        <f t="shared" si="19"/>
        <v>0.22170360688981025</v>
      </c>
      <c r="L53" s="22">
        <f t="shared" si="18"/>
        <v>171467.03103896859</v>
      </c>
      <c r="M53" s="5">
        <f>scrimecost*Meta!O50</f>
        <v>190.37199999999999</v>
      </c>
      <c r="N53" s="5">
        <f>L53-Grade10!L53</f>
        <v>1494.5648052394099</v>
      </c>
      <c r="O53" s="5">
        <f>Grade10!M53-M53</f>
        <v>4.0040000000000191</v>
      </c>
      <c r="P53" s="22">
        <f t="shared" si="22"/>
        <v>401.1197331962378</v>
      </c>
      <c r="Q53" s="22"/>
      <c r="R53" s="22"/>
      <c r="S53" s="22">
        <f t="shared" si="20"/>
        <v>1510.5772379978982</v>
      </c>
      <c r="T53" s="22">
        <f t="shared" si="21"/>
        <v>2187.8296124762228</v>
      </c>
    </row>
    <row r="54" spans="1:20" x14ac:dyDescent="0.2">
      <c r="A54" s="5">
        <v>63</v>
      </c>
      <c r="B54" s="1">
        <f t="shared" si="13"/>
        <v>3.1138508608622844</v>
      </c>
      <c r="C54" s="5">
        <f t="shared" si="14"/>
        <v>77043.82479576912</v>
      </c>
      <c r="D54" s="5">
        <f t="shared" si="15"/>
        <v>74033.07738077642</v>
      </c>
      <c r="E54" s="5">
        <f t="shared" si="1"/>
        <v>64533.07738077642</v>
      </c>
      <c r="F54" s="5">
        <f t="shared" si="2"/>
        <v>24375.107502901141</v>
      </c>
      <c r="G54" s="5">
        <f t="shared" si="3"/>
        <v>49657.969877875279</v>
      </c>
      <c r="H54" s="22">
        <f t="shared" si="16"/>
        <v>34034.402584350515</v>
      </c>
      <c r="I54" s="5">
        <f t="shared" si="17"/>
        <v>82024.686735592622</v>
      </c>
      <c r="J54" s="26">
        <f t="shared" si="19"/>
        <v>0.22351133039362811</v>
      </c>
      <c r="L54" s="22">
        <f t="shared" si="18"/>
        <v>175753.70681494277</v>
      </c>
      <c r="M54" s="5">
        <f>scrimecost*Meta!O51</f>
        <v>190.37199999999999</v>
      </c>
      <c r="N54" s="5">
        <f>L54-Grade10!L54</f>
        <v>1531.928925370361</v>
      </c>
      <c r="O54" s="5">
        <f>Grade10!M54-M54</f>
        <v>4.0040000000000191</v>
      </c>
      <c r="P54" s="22">
        <f t="shared" si="22"/>
        <v>412.53250348637607</v>
      </c>
      <c r="Q54" s="22"/>
      <c r="R54" s="22"/>
      <c r="S54" s="22">
        <f t="shared" si="20"/>
        <v>1549.6083604306093</v>
      </c>
      <c r="T54" s="22">
        <f t="shared" si="21"/>
        <v>2262.5057774428938</v>
      </c>
    </row>
    <row r="55" spans="1:20" x14ac:dyDescent="0.2">
      <c r="A55" s="5">
        <v>64</v>
      </c>
      <c r="B55" s="1">
        <f t="shared" si="13"/>
        <v>3.1916971323838421</v>
      </c>
      <c r="C55" s="5">
        <f t="shared" si="14"/>
        <v>78969.920415663379</v>
      </c>
      <c r="D55" s="5">
        <f t="shared" si="15"/>
        <v>75864.794315295861</v>
      </c>
      <c r="E55" s="5">
        <f t="shared" si="1"/>
        <v>66364.794315295861</v>
      </c>
      <c r="F55" s="5">
        <f t="shared" si="2"/>
        <v>25156.334775473686</v>
      </c>
      <c r="G55" s="5">
        <f t="shared" si="3"/>
        <v>50708.459539822172</v>
      </c>
      <c r="H55" s="22">
        <f t="shared" si="16"/>
        <v>34885.262648959288</v>
      </c>
      <c r="I55" s="5">
        <f t="shared" si="17"/>
        <v>83884.344318982447</v>
      </c>
      <c r="J55" s="26">
        <f t="shared" si="19"/>
        <v>0.22527496308027986</v>
      </c>
      <c r="L55" s="22">
        <f t="shared" si="18"/>
        <v>180147.54948531638</v>
      </c>
      <c r="M55" s="5">
        <f>scrimecost*Meta!O52</f>
        <v>190.37199999999999</v>
      </c>
      <c r="N55" s="5">
        <f>L55-Grade10!L55</f>
        <v>1570.2271485046658</v>
      </c>
      <c r="O55" s="5">
        <f>Grade10!M55-M55</f>
        <v>4.0040000000000191</v>
      </c>
      <c r="P55" s="22">
        <f t="shared" si="22"/>
        <v>424.23059303376823</v>
      </c>
      <c r="Q55" s="22"/>
      <c r="R55" s="22"/>
      <c r="S55" s="22">
        <f t="shared" si="20"/>
        <v>1589.6152609241983</v>
      </c>
      <c r="T55" s="22">
        <f t="shared" si="21"/>
        <v>2339.682656002698</v>
      </c>
    </row>
    <row r="56" spans="1:20" x14ac:dyDescent="0.2">
      <c r="A56" s="5">
        <v>65</v>
      </c>
      <c r="B56" s="1">
        <f t="shared" si="13"/>
        <v>3.2714895606934378</v>
      </c>
      <c r="C56" s="5">
        <f t="shared" si="14"/>
        <v>80944.168426054952</v>
      </c>
      <c r="D56" s="5">
        <f t="shared" si="15"/>
        <v>77742.304173178243</v>
      </c>
      <c r="E56" s="5">
        <f t="shared" si="1"/>
        <v>68242.304173178243</v>
      </c>
      <c r="F56" s="5">
        <f t="shared" si="2"/>
        <v>25957.09272986052</v>
      </c>
      <c r="G56" s="5">
        <f t="shared" si="3"/>
        <v>51785.211443317719</v>
      </c>
      <c r="H56" s="22">
        <f t="shared" si="16"/>
        <v>35757.39421518326</v>
      </c>
      <c r="I56" s="5">
        <f t="shared" si="17"/>
        <v>85790.493341957001</v>
      </c>
      <c r="J56" s="26">
        <f t="shared" si="19"/>
        <v>0.22699558033554973</v>
      </c>
      <c r="L56" s="22">
        <f t="shared" si="18"/>
        <v>184651.23822244926</v>
      </c>
      <c r="M56" s="5">
        <f>scrimecost*Meta!O53</f>
        <v>57.53</v>
      </c>
      <c r="N56" s="5">
        <f>L56-Grade10!L56</f>
        <v>1609.482827217289</v>
      </c>
      <c r="O56" s="5">
        <f>Grade10!M56-M56</f>
        <v>1.2100000000000009</v>
      </c>
      <c r="P56" s="22">
        <f t="shared" si="22"/>
        <v>436.22113481984479</v>
      </c>
      <c r="Q56" s="22"/>
      <c r="R56" s="22"/>
      <c r="S56" s="22">
        <f t="shared" si="20"/>
        <v>1627.8674499300971</v>
      </c>
      <c r="T56" s="22">
        <f t="shared" si="21"/>
        <v>2415.3560386327067</v>
      </c>
    </row>
    <row r="57" spans="1:20" x14ac:dyDescent="0.2">
      <c r="A57" s="5">
        <v>66</v>
      </c>
      <c r="C57" s="5"/>
      <c r="H57" s="21"/>
      <c r="I57" s="5"/>
      <c r="M57" s="5">
        <f>scrimecost*Meta!O54</f>
        <v>57.53</v>
      </c>
      <c r="N57" s="5">
        <f>L57-Grade10!L57</f>
        <v>0</v>
      </c>
      <c r="O57" s="5">
        <f>Grade10!M57-M57</f>
        <v>1.2100000000000009</v>
      </c>
      <c r="Q57" s="22"/>
      <c r="R57" s="22"/>
      <c r="S57" s="22">
        <f t="shared" si="20"/>
        <v>1.1930600000000009</v>
      </c>
      <c r="T57" s="22">
        <f t="shared" si="21"/>
        <v>1.784520698125863</v>
      </c>
    </row>
    <row r="58" spans="1:20" x14ac:dyDescent="0.2">
      <c r="A58" s="5">
        <v>67</v>
      </c>
      <c r="C58" s="5"/>
      <c r="H58" s="21"/>
      <c r="I58" s="5"/>
      <c r="M58" s="5">
        <f>scrimecost*Meta!O55</f>
        <v>57.53</v>
      </c>
      <c r="N58" s="5">
        <f>L58-Grade10!L58</f>
        <v>0</v>
      </c>
      <c r="O58" s="5">
        <f>Grade10!M58-M58</f>
        <v>1.2100000000000009</v>
      </c>
      <c r="Q58" s="22"/>
      <c r="R58" s="22"/>
      <c r="S58" s="22">
        <f t="shared" si="20"/>
        <v>1.1930600000000009</v>
      </c>
      <c r="T58" s="22">
        <f t="shared" si="21"/>
        <v>1.7989486865953406</v>
      </c>
    </row>
    <row r="59" spans="1:20" x14ac:dyDescent="0.2">
      <c r="A59" s="5">
        <v>68</v>
      </c>
      <c r="H59" s="21"/>
      <c r="I59" s="5"/>
      <c r="M59" s="5">
        <f>scrimecost*Meta!O56</f>
        <v>57.53</v>
      </c>
      <c r="N59" s="5">
        <f>L59-Grade10!L59</f>
        <v>0</v>
      </c>
      <c r="O59" s="5">
        <f>Grade10!M59-M59</f>
        <v>1.2100000000000009</v>
      </c>
      <c r="Q59" s="22"/>
      <c r="R59" s="22"/>
      <c r="S59" s="22">
        <f t="shared" si="20"/>
        <v>1.1930600000000009</v>
      </c>
      <c r="T59" s="22">
        <f t="shared" si="21"/>
        <v>1.8134933264723889</v>
      </c>
    </row>
    <row r="60" spans="1:20" x14ac:dyDescent="0.2">
      <c r="A60" s="5">
        <v>69</v>
      </c>
      <c r="H60" s="21"/>
      <c r="I60" s="5"/>
      <c r="M60" s="5">
        <f>scrimecost*Meta!O57</f>
        <v>57.53</v>
      </c>
      <c r="N60" s="5">
        <f>L60-Grade10!L60</f>
        <v>0</v>
      </c>
      <c r="O60" s="5">
        <f>Grade10!M60-M60</f>
        <v>1.2100000000000009</v>
      </c>
      <c r="Q60" s="22"/>
      <c r="R60" s="22"/>
      <c r="S60" s="22">
        <f t="shared" si="20"/>
        <v>1.1930600000000009</v>
      </c>
      <c r="T60" s="22">
        <f t="shared" si="21"/>
        <v>1.8281555608926994</v>
      </c>
    </row>
    <row r="61" spans="1:20" x14ac:dyDescent="0.2">
      <c r="A61" s="5">
        <v>70</v>
      </c>
      <c r="H61" s="21"/>
      <c r="I61" s="5"/>
      <c r="M61" s="5">
        <f>scrimecost*Meta!O58</f>
        <v>57.53</v>
      </c>
      <c r="N61" s="5">
        <f>L61-Grade10!L61</f>
        <v>0</v>
      </c>
      <c r="O61" s="5">
        <f>Grade10!M61-M61</f>
        <v>1.2100000000000009</v>
      </c>
      <c r="Q61" s="22"/>
      <c r="R61" s="22"/>
      <c r="S61" s="22">
        <f t="shared" si="20"/>
        <v>1.1930600000000009</v>
      </c>
      <c r="T61" s="22">
        <f t="shared" si="21"/>
        <v>1.8429363406172901</v>
      </c>
    </row>
    <row r="62" spans="1:20" x14ac:dyDescent="0.2">
      <c r="A62" s="5">
        <v>71</v>
      </c>
      <c r="H62" s="21"/>
      <c r="I62" s="5"/>
      <c r="M62" s="5">
        <f>scrimecost*Meta!O59</f>
        <v>57.53</v>
      </c>
      <c r="N62" s="5">
        <f>L62-Grade10!L62</f>
        <v>0</v>
      </c>
      <c r="O62" s="5">
        <f>Grade10!M62-M62</f>
        <v>1.2100000000000009</v>
      </c>
      <c r="Q62" s="22"/>
      <c r="R62" s="22"/>
      <c r="S62" s="22">
        <f t="shared" si="20"/>
        <v>1.1930600000000009</v>
      </c>
      <c r="T62" s="22">
        <f t="shared" si="21"/>
        <v>1.8578366240941542</v>
      </c>
    </row>
    <row r="63" spans="1:20" x14ac:dyDescent="0.2">
      <c r="A63" s="5">
        <v>72</v>
      </c>
      <c r="H63" s="21"/>
      <c r="M63" s="5">
        <f>scrimecost*Meta!O60</f>
        <v>57.53</v>
      </c>
      <c r="N63" s="5">
        <f>L63-Grade10!L63</f>
        <v>0</v>
      </c>
      <c r="O63" s="5">
        <f>Grade10!M63-M63</f>
        <v>1.2100000000000009</v>
      </c>
      <c r="Q63" s="22"/>
      <c r="R63" s="22"/>
      <c r="S63" s="22">
        <f t="shared" si="20"/>
        <v>1.1930600000000009</v>
      </c>
      <c r="T63" s="22">
        <f t="shared" si="21"/>
        <v>1.8728573775204129</v>
      </c>
    </row>
    <row r="64" spans="1:20" x14ac:dyDescent="0.2">
      <c r="A64" s="5">
        <v>73</v>
      </c>
      <c r="H64" s="21"/>
      <c r="M64" s="5">
        <f>scrimecost*Meta!O61</f>
        <v>57.53</v>
      </c>
      <c r="N64" s="5">
        <f>L64-Grade10!L64</f>
        <v>0</v>
      </c>
      <c r="O64" s="5">
        <f>Grade10!M64-M64</f>
        <v>1.2100000000000009</v>
      </c>
      <c r="Q64" s="22"/>
      <c r="R64" s="22"/>
      <c r="S64" s="22">
        <f t="shared" si="20"/>
        <v>1.1930600000000009</v>
      </c>
      <c r="T64" s="22">
        <f t="shared" si="21"/>
        <v>1.8879995749049647</v>
      </c>
    </row>
    <row r="65" spans="1:20" x14ac:dyDescent="0.2">
      <c r="A65" s="5">
        <v>74</v>
      </c>
      <c r="H65" s="21"/>
      <c r="M65" s="5">
        <f>scrimecost*Meta!O62</f>
        <v>57.53</v>
      </c>
      <c r="N65" s="5">
        <f>L65-Grade10!L65</f>
        <v>0</v>
      </c>
      <c r="O65" s="5">
        <f>Grade10!M65-M65</f>
        <v>1.2100000000000009</v>
      </c>
      <c r="Q65" s="22"/>
      <c r="R65" s="22"/>
      <c r="S65" s="22">
        <f t="shared" si="20"/>
        <v>1.1930600000000009</v>
      </c>
      <c r="T65" s="22">
        <f t="shared" si="21"/>
        <v>1.9032641981316469</v>
      </c>
    </row>
    <row r="66" spans="1:20" x14ac:dyDescent="0.2">
      <c r="A66" s="5">
        <v>75</v>
      </c>
      <c r="H66" s="21"/>
      <c r="M66" s="5">
        <f>scrimecost*Meta!O63</f>
        <v>57.53</v>
      </c>
      <c r="N66" s="5">
        <f>L66-Grade10!L66</f>
        <v>0</v>
      </c>
      <c r="O66" s="5">
        <f>Grade10!M66-M66</f>
        <v>1.2100000000000009</v>
      </c>
      <c r="Q66" s="22"/>
      <c r="R66" s="22"/>
      <c r="S66" s="22">
        <f t="shared" si="20"/>
        <v>1.1930600000000009</v>
      </c>
      <c r="T66" s="22">
        <f t="shared" si="21"/>
        <v>1.9186522370229031</v>
      </c>
    </row>
    <row r="67" spans="1:20" x14ac:dyDescent="0.2">
      <c r="A67" s="5">
        <v>76</v>
      </c>
      <c r="H67" s="21"/>
      <c r="M67" s="5">
        <f>scrimecost*Meta!O64</f>
        <v>57.53</v>
      </c>
      <c r="N67" s="5">
        <f>L67-Grade10!L67</f>
        <v>0</v>
      </c>
      <c r="O67" s="5">
        <f>Grade10!M67-M67</f>
        <v>1.2100000000000009</v>
      </c>
      <c r="Q67" s="22"/>
      <c r="R67" s="22"/>
      <c r="S67" s="22">
        <f t="shared" si="20"/>
        <v>1.1930600000000009</v>
      </c>
      <c r="T67" s="22">
        <f t="shared" si="21"/>
        <v>1.9341646894039688</v>
      </c>
    </row>
    <row r="68" spans="1:20" x14ac:dyDescent="0.2">
      <c r="A68" s="5">
        <v>77</v>
      </c>
      <c r="H68" s="21"/>
      <c r="M68" s="5">
        <f>scrimecost*Meta!O65</f>
        <v>57.53</v>
      </c>
      <c r="N68" s="5">
        <f>L68-Grade10!L68</f>
        <v>0</v>
      </c>
      <c r="O68" s="5">
        <f>Grade10!M68-M68</f>
        <v>1.2100000000000009</v>
      </c>
      <c r="Q68" s="22"/>
      <c r="R68" s="22"/>
      <c r="S68" s="22">
        <f t="shared" si="20"/>
        <v>1.1930600000000009</v>
      </c>
      <c r="T68" s="22">
        <f t="shared" si="21"/>
        <v>1.9498025611675736</v>
      </c>
    </row>
    <row r="69" spans="1:20" x14ac:dyDescent="0.2">
      <c r="A69" s="5">
        <v>78</v>
      </c>
      <c r="H69" s="21"/>
      <c r="M69" s="5">
        <f>scrimecost*Meta!O66</f>
        <v>57.53</v>
      </c>
      <c r="N69" s="5">
        <f>L69-Grade10!L69</f>
        <v>0</v>
      </c>
      <c r="O69" s="5">
        <f>Grade10!M69-M69</f>
        <v>1.2100000000000009</v>
      </c>
      <c r="Q69" s="22"/>
      <c r="R69" s="22"/>
      <c r="S69" s="22">
        <f t="shared" si="20"/>
        <v>1.1930600000000009</v>
      </c>
      <c r="T69" s="22">
        <f t="shared" si="21"/>
        <v>1.9655668663391683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9.0703955457627217E-10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9" sqref="P9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Meta!A6+6</f>
        <v>18</v>
      </c>
      <c r="C2" s="7">
        <f>Meta!B6</f>
        <v>54292</v>
      </c>
      <c r="D2" s="7">
        <f>Meta!C6</f>
        <v>23984</v>
      </c>
      <c r="E2" s="1">
        <f>Meta!D6</f>
        <v>4.1000000000000002E-2</v>
      </c>
      <c r="F2" s="1">
        <f>Meta!F6</f>
        <v>0.70899999999999996</v>
      </c>
      <c r="G2" s="1">
        <f>Meta!I6</f>
        <v>1.8929079672445346</v>
      </c>
      <c r="H2" s="1">
        <f>Meta!E6</f>
        <v>0.98599999999999999</v>
      </c>
      <c r="I2" s="13"/>
      <c r="J2" s="1">
        <f>Meta!X5</f>
        <v>0.754</v>
      </c>
      <c r="K2" s="1">
        <f>Meta!D5</f>
        <v>4.9000000000000002E-2</v>
      </c>
      <c r="L2" s="29"/>
      <c r="N2" s="22">
        <f>Meta!T6</f>
        <v>80340</v>
      </c>
      <c r="O2" s="22">
        <f>Meta!U6</f>
        <v>33546</v>
      </c>
      <c r="P2" s="1">
        <f>Meta!V6</f>
        <v>2.9000000000000001E-2</v>
      </c>
      <c r="Q2" s="1">
        <f>Meta!X6</f>
        <v>0.76200000000000001</v>
      </c>
      <c r="R2" s="22">
        <f>Meta!W6</f>
        <v>1025</v>
      </c>
      <c r="T2" s="12">
        <f>IRR(S5:S69)+1</f>
        <v>0.99307941613238726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B8" s="1">
        <v>1</v>
      </c>
      <c r="C8" s="5">
        <f>0.1*Grade11!C8</f>
        <v>2474.2297636706417</v>
      </c>
      <c r="D8" s="5">
        <f t="shared" ref="D8:D36" si="0">IF(A8&lt;startage,1,0)*(C8*(1-initialunempprob))+IF(A8=startage,1,0)*(C8*(1-unempprob))+IF(A8&gt;startage,1,0)*(C8*(1-unempprob)+unempprob*300*52)</f>
        <v>2352.9925052507801</v>
      </c>
      <c r="E8" s="5">
        <f t="shared" ref="E8:E56" si="1">IF(D8-9500&gt;0,1,0)*(D8-9500)</f>
        <v>0</v>
      </c>
      <c r="F8" s="5">
        <f t="shared" ref="F8:F56" si="2">IF(E8&lt;=8500,1,0)*(0.1*E8+0.1*E8+0.0765*D8)+IF(AND(E8&gt;8500,E8&lt;=34500),1,0)*(850+0.15*(E8-8500)+0.1*E8+0.0765*D8)+IF(AND(E8&gt;34500,E8&lt;=83600),1,0)*(4750+0.25*(E8-34500)+0.1*E8+0.0765*D8)+IF(AND(E8&gt;83600,E8&lt;=174400,D8&lt;=106800),1,0)*(17025+0.28*(E8-83600)+0.1*E8+0.0765*D8)+IF(AND(E8&gt;83600,E8&lt;=174400,D8&gt;106800),1,0)*(17025+0.28*(E8-83600)+0.1*E8+8170.2+0.0145*(D8-106800))+IF(AND(E8&gt;174400,E8&lt;=379150),1,0)*(42449+0.33*(E8-174400)+0.1*E8+8170.2+0.0145*(D8-106800))+IF(E8&gt;379150,1,0)*(110016.5+0.35*(E8-379150)+0.1*E8+8170.2+0.0145*(D8-106800))</f>
        <v>180.00392665168468</v>
      </c>
      <c r="G8" s="5">
        <f t="shared" ref="G8:G56" si="3">D8-F8</f>
        <v>2172.9885785990955</v>
      </c>
      <c r="H8" s="22">
        <f>0.1*Grade11!H8</f>
        <v>1093.0004070562889</v>
      </c>
      <c r="I8" s="5">
        <f t="shared" ref="I8:I36" si="4">G8+IF(A8&lt;startage,1,0)*(H8*(1-initialunempprob))+IF(A8&gt;=startage,1,0)*(H8*(1-unempprob))</f>
        <v>3212.4319657096262</v>
      </c>
      <c r="J8" s="26">
        <f t="shared" ref="J8:J39" si="5">(F8-(IF(A8&gt;startage,1,0)*(unempprob*300*52)))/(IF(A8&lt;startage,1,0)*((C8+H8)*(1-initialunempprob))+IF(A8&gt;=startage,1,0)*((C8+H8)*(1-unempprob)))</f>
        <v>5.3060376780294183E-2</v>
      </c>
      <c r="L8" s="22">
        <f>0.1*Grade11!L8</f>
        <v>5644.2557678010708</v>
      </c>
      <c r="M8" s="5">
        <f>scrimecost*Meta!O5</f>
        <v>2779.8</v>
      </c>
      <c r="N8" s="5">
        <f>L8-Grade11!L8</f>
        <v>-50798.30191020963</v>
      </c>
      <c r="O8" s="5"/>
      <c r="P8" s="22"/>
      <c r="Q8" s="22">
        <f>0.05*feel*Grade11!G8</f>
        <v>261.06366332009605</v>
      </c>
      <c r="R8" s="22">
        <f>hstuition</f>
        <v>11298</v>
      </c>
      <c r="S8" s="22">
        <f t="shared" ref="S8:S39" si="6">IF(A8&lt;startage,1,0)*(N8-Q8-R8)+IF(A8&gt;=startage,1,0)*completionprob*(N8*spart+O8+P8)</f>
        <v>-62357.365573529729</v>
      </c>
      <c r="T8" s="22">
        <f t="shared" ref="T8:T39" si="7">S8/sreturn^(A8-startage+1)</f>
        <v>-62357.365573529729</v>
      </c>
    </row>
    <row r="9" spans="1:20" x14ac:dyDescent="0.2">
      <c r="A9" s="5">
        <v>18</v>
      </c>
      <c r="B9" s="1">
        <f t="shared" ref="B9:B36" si="8">(1+experiencepremium)^(A9-startage)</f>
        <v>1</v>
      </c>
      <c r="C9" s="5">
        <f t="shared" ref="C9:C36" si="9">pretaxincome*B9/expnorm</f>
        <v>28681.795913739905</v>
      </c>
      <c r="D9" s="5">
        <f t="shared" si="0"/>
        <v>27505.842281276568</v>
      </c>
      <c r="E9" s="5">
        <f t="shared" si="1"/>
        <v>18005.842281276568</v>
      </c>
      <c r="F9" s="5">
        <f t="shared" si="2"/>
        <v>6180.6575048367995</v>
      </c>
      <c r="G9" s="5">
        <f t="shared" si="3"/>
        <v>21325.184776439768</v>
      </c>
      <c r="H9" s="22">
        <f t="shared" ref="H9:H36" si="10">benefits*B9/expnorm</f>
        <v>12670.45224333489</v>
      </c>
      <c r="I9" s="5">
        <f t="shared" si="4"/>
        <v>33476.148477797928</v>
      </c>
      <c r="J9" s="26">
        <f t="shared" si="5"/>
        <v>0.15585363852911505</v>
      </c>
      <c r="L9" s="22">
        <f t="shared" ref="L9:L36" si="11">(sincome+sbenefits)*(1-sunemp)*B9/expnorm</f>
        <v>58419.800599695154</v>
      </c>
      <c r="M9" s="5">
        <f>scrimecost*Meta!O6</f>
        <v>3378.3999999999996</v>
      </c>
      <c r="N9" s="5">
        <f>L9-Grade11!L9</f>
        <v>566.17897973419167</v>
      </c>
      <c r="O9" s="5">
        <f>Grade11!M9-M9</f>
        <v>69.216000000000349</v>
      </c>
      <c r="P9" s="22">
        <f t="shared" ref="P9:P56" si="12">(spart-initialspart)*(L9*J9+nptrans)</f>
        <v>125.27150788486304</v>
      </c>
      <c r="Q9" s="22"/>
      <c r="R9" s="22"/>
      <c r="S9" s="22">
        <f t="shared" si="6"/>
        <v>617.15306797612504</v>
      </c>
      <c r="T9" s="22">
        <f t="shared" si="7"/>
        <v>621.45389175386197</v>
      </c>
    </row>
    <row r="10" spans="1:20" x14ac:dyDescent="0.2">
      <c r="A10" s="5">
        <v>19</v>
      </c>
      <c r="B10" s="1">
        <f t="shared" si="8"/>
        <v>1.0249999999999999</v>
      </c>
      <c r="C10" s="5">
        <f t="shared" si="9"/>
        <v>29398.840811583399</v>
      </c>
      <c r="D10" s="5">
        <f t="shared" si="0"/>
        <v>28833.088338308477</v>
      </c>
      <c r="E10" s="5">
        <f t="shared" si="1"/>
        <v>19333.088338308477</v>
      </c>
      <c r="F10" s="5">
        <f t="shared" si="2"/>
        <v>6614.0033424577177</v>
      </c>
      <c r="G10" s="5">
        <f t="shared" si="3"/>
        <v>22219.084995850761</v>
      </c>
      <c r="H10" s="22">
        <f t="shared" si="10"/>
        <v>12987.213549418262</v>
      </c>
      <c r="I10" s="5">
        <f t="shared" si="4"/>
        <v>34673.822789742873</v>
      </c>
      <c r="J10" s="26">
        <f t="shared" si="5"/>
        <v>0.14697820571621284</v>
      </c>
      <c r="L10" s="22">
        <f t="shared" si="11"/>
        <v>59880.295614687529</v>
      </c>
      <c r="M10" s="5">
        <f>scrimecost*Meta!O7</f>
        <v>3611.0750000000003</v>
      </c>
      <c r="N10" s="5">
        <f>L10-Grade11!L10</f>
        <v>580.33345422754064</v>
      </c>
      <c r="O10" s="5">
        <f>Grade11!M10-M10</f>
        <v>73.98299999999972</v>
      </c>
      <c r="P10" s="22">
        <f t="shared" si="12"/>
        <v>122.84078725762555</v>
      </c>
      <c r="Q10" s="22"/>
      <c r="R10" s="22"/>
      <c r="S10" s="22">
        <f t="shared" si="6"/>
        <v>630.09134906770498</v>
      </c>
      <c r="T10" s="22">
        <f t="shared" si="7"/>
        <v>638.90392549521391</v>
      </c>
    </row>
    <row r="11" spans="1:20" x14ac:dyDescent="0.2">
      <c r="A11" s="5">
        <v>20</v>
      </c>
      <c r="B11" s="1">
        <f t="shared" si="8"/>
        <v>1.0506249999999999</v>
      </c>
      <c r="C11" s="5">
        <f t="shared" si="9"/>
        <v>30133.811831872983</v>
      </c>
      <c r="D11" s="5">
        <f t="shared" si="0"/>
        <v>29537.92554676619</v>
      </c>
      <c r="E11" s="5">
        <f t="shared" si="1"/>
        <v>20037.92554676619</v>
      </c>
      <c r="F11" s="5">
        <f t="shared" si="2"/>
        <v>6844.132691019161</v>
      </c>
      <c r="G11" s="5">
        <f t="shared" si="3"/>
        <v>22693.79285574703</v>
      </c>
      <c r="H11" s="22">
        <f t="shared" si="10"/>
        <v>13311.893888153718</v>
      </c>
      <c r="I11" s="5">
        <f t="shared" si="4"/>
        <v>35459.899094486442</v>
      </c>
      <c r="J11" s="26">
        <f t="shared" si="5"/>
        <v>0.14891677205538223</v>
      </c>
      <c r="L11" s="22">
        <f t="shared" si="11"/>
        <v>61377.303005054717</v>
      </c>
      <c r="M11" s="5">
        <f>scrimecost*Meta!O8</f>
        <v>3458.35</v>
      </c>
      <c r="N11" s="5">
        <f>L11-Grade11!L11</f>
        <v>594.84179058322479</v>
      </c>
      <c r="O11" s="5">
        <f>Grade11!M11-M11</f>
        <v>70.854000000000269</v>
      </c>
      <c r="P11" s="22">
        <f t="shared" si="12"/>
        <v>125.552878727823</v>
      </c>
      <c r="Q11" s="22"/>
      <c r="R11" s="22"/>
      <c r="S11" s="22">
        <f t="shared" si="6"/>
        <v>640.58085462810925</v>
      </c>
      <c r="T11" s="22">
        <f t="shared" si="7"/>
        <v>654.06666245094539</v>
      </c>
    </row>
    <row r="12" spans="1:20" x14ac:dyDescent="0.2">
      <c r="A12" s="5">
        <v>21</v>
      </c>
      <c r="B12" s="1">
        <f t="shared" si="8"/>
        <v>1.0768906249999999</v>
      </c>
      <c r="C12" s="5">
        <f t="shared" si="9"/>
        <v>30887.157127669809</v>
      </c>
      <c r="D12" s="5">
        <f t="shared" si="0"/>
        <v>30260.383685435343</v>
      </c>
      <c r="E12" s="5">
        <f t="shared" si="1"/>
        <v>20760.383685435343</v>
      </c>
      <c r="F12" s="5">
        <f t="shared" si="2"/>
        <v>7080.015273294639</v>
      </c>
      <c r="G12" s="5">
        <f t="shared" si="3"/>
        <v>23180.368412140706</v>
      </c>
      <c r="H12" s="22">
        <f t="shared" si="10"/>
        <v>13644.691235357559</v>
      </c>
      <c r="I12" s="5">
        <f t="shared" si="4"/>
        <v>36265.627306848604</v>
      </c>
      <c r="J12" s="26">
        <f t="shared" si="5"/>
        <v>0.15080805628871821</v>
      </c>
      <c r="L12" s="22">
        <f t="shared" si="11"/>
        <v>62911.735580181085</v>
      </c>
      <c r="M12" s="5">
        <f>scrimecost*Meta!O9</f>
        <v>3140.6</v>
      </c>
      <c r="N12" s="5">
        <f>L12-Grade11!L12</f>
        <v>609.71283534781833</v>
      </c>
      <c r="O12" s="5">
        <f>Grade11!M12-M12</f>
        <v>64.344000000000051</v>
      </c>
      <c r="P12" s="22">
        <f t="shared" si="12"/>
        <v>128.33277248477535</v>
      </c>
      <c r="Q12" s="22"/>
      <c r="R12" s="22"/>
      <c r="S12" s="22">
        <f t="shared" si="6"/>
        <v>648.07606167753568</v>
      </c>
      <c r="T12" s="22">
        <f t="shared" si="7"/>
        <v>666.33106210441065</v>
      </c>
    </row>
    <row r="13" spans="1:20" x14ac:dyDescent="0.2">
      <c r="A13" s="5">
        <v>22</v>
      </c>
      <c r="B13" s="1">
        <f t="shared" si="8"/>
        <v>1.1038128906249998</v>
      </c>
      <c r="C13" s="5">
        <f t="shared" si="9"/>
        <v>31659.33605586155</v>
      </c>
      <c r="D13" s="5">
        <f t="shared" si="0"/>
        <v>31000.903277571222</v>
      </c>
      <c r="E13" s="5">
        <f t="shared" si="1"/>
        <v>21500.903277571222</v>
      </c>
      <c r="F13" s="5">
        <f t="shared" si="2"/>
        <v>7321.7949201270039</v>
      </c>
      <c r="G13" s="5">
        <f t="shared" si="3"/>
        <v>23679.108357444216</v>
      </c>
      <c r="H13" s="22">
        <f t="shared" si="10"/>
        <v>13985.808516241497</v>
      </c>
      <c r="I13" s="5">
        <f t="shared" si="4"/>
        <v>37091.498724519814</v>
      </c>
      <c r="J13" s="26">
        <f t="shared" si="5"/>
        <v>0.15265321163831427</v>
      </c>
      <c r="L13" s="22">
        <f t="shared" si="11"/>
        <v>64484.528969685605</v>
      </c>
      <c r="M13" s="5">
        <f>scrimecost*Meta!O10</f>
        <v>2878.2</v>
      </c>
      <c r="N13" s="5">
        <f>L13-Grade11!L13</f>
        <v>624.95565623151197</v>
      </c>
      <c r="O13" s="5">
        <f>Grade11!M13-M13</f>
        <v>58.967999999999847</v>
      </c>
      <c r="P13" s="22">
        <f t="shared" si="12"/>
        <v>131.18216358565149</v>
      </c>
      <c r="Q13" s="22"/>
      <c r="R13" s="22"/>
      <c r="S13" s="22">
        <f t="shared" si="6"/>
        <v>657.03724440318649</v>
      </c>
      <c r="T13" s="22">
        <f t="shared" si="7"/>
        <v>680.25240717603583</v>
      </c>
    </row>
    <row r="14" spans="1:20" x14ac:dyDescent="0.2">
      <c r="A14" s="5">
        <v>23</v>
      </c>
      <c r="B14" s="1">
        <f t="shared" si="8"/>
        <v>1.1314082128906247</v>
      </c>
      <c r="C14" s="5">
        <f t="shared" si="9"/>
        <v>32450.819457258087</v>
      </c>
      <c r="D14" s="5">
        <f t="shared" si="0"/>
        <v>31759.935859510504</v>
      </c>
      <c r="E14" s="5">
        <f t="shared" si="1"/>
        <v>22259.935859510504</v>
      </c>
      <c r="F14" s="5">
        <f t="shared" si="2"/>
        <v>7569.6190581301798</v>
      </c>
      <c r="G14" s="5">
        <f t="shared" si="3"/>
        <v>24190.316801380322</v>
      </c>
      <c r="H14" s="22">
        <f t="shared" si="10"/>
        <v>14335.453729147534</v>
      </c>
      <c r="I14" s="5">
        <f t="shared" si="4"/>
        <v>37938.016927632809</v>
      </c>
      <c r="J14" s="26">
        <f t="shared" si="5"/>
        <v>0.15445336319889585</v>
      </c>
      <c r="L14" s="22">
        <f t="shared" si="11"/>
        <v>66096.642193927735</v>
      </c>
      <c r="M14" s="5">
        <f>scrimecost*Meta!O11</f>
        <v>2689.6</v>
      </c>
      <c r="N14" s="5">
        <f>L14-Grade11!L14</f>
        <v>640.57954763729504</v>
      </c>
      <c r="O14" s="5">
        <f>Grade11!M14-M14</f>
        <v>55.104000000000269</v>
      </c>
      <c r="P14" s="22">
        <f t="shared" si="12"/>
        <v>134.10278946404961</v>
      </c>
      <c r="Q14" s="22"/>
      <c r="R14" s="22"/>
      <c r="S14" s="22">
        <f t="shared" si="6"/>
        <v>667.8458070969773</v>
      </c>
      <c r="T14" s="22">
        <f t="shared" si="7"/>
        <v>696.26140534768592</v>
      </c>
    </row>
    <row r="15" spans="1:20" x14ac:dyDescent="0.2">
      <c r="A15" s="5">
        <v>24</v>
      </c>
      <c r="B15" s="1">
        <f t="shared" si="8"/>
        <v>1.1596934182128902</v>
      </c>
      <c r="C15" s="5">
        <f t="shared" si="9"/>
        <v>33262.089943689534</v>
      </c>
      <c r="D15" s="5">
        <f t="shared" si="0"/>
        <v>32537.94425599826</v>
      </c>
      <c r="E15" s="5">
        <f t="shared" si="1"/>
        <v>23037.94425599826</v>
      </c>
      <c r="F15" s="5">
        <f t="shared" si="2"/>
        <v>7823.638799583432</v>
      </c>
      <c r="G15" s="5">
        <f t="shared" si="3"/>
        <v>24714.305456414826</v>
      </c>
      <c r="H15" s="22">
        <f t="shared" si="10"/>
        <v>14693.840072376221</v>
      </c>
      <c r="I15" s="5">
        <f t="shared" si="4"/>
        <v>38805.69808582362</v>
      </c>
      <c r="J15" s="26">
        <f t="shared" si="5"/>
        <v>0.15620960862385341</v>
      </c>
      <c r="L15" s="22">
        <f t="shared" si="11"/>
        <v>67749.058248775924</v>
      </c>
      <c r="M15" s="5">
        <f>scrimecost*Meta!O12</f>
        <v>2569.6750000000002</v>
      </c>
      <c r="N15" s="5">
        <f>L15-Grade11!L15</f>
        <v>656.59403632821341</v>
      </c>
      <c r="O15" s="5">
        <f>Grade11!M15-M15</f>
        <v>52.646999999999935</v>
      </c>
      <c r="P15" s="22">
        <f t="shared" si="12"/>
        <v>137.09643098940759</v>
      </c>
      <c r="Q15" s="22"/>
      <c r="R15" s="22"/>
      <c r="S15" s="22">
        <f t="shared" si="6"/>
        <v>680.40713345810514</v>
      </c>
      <c r="T15" s="22">
        <f t="shared" si="7"/>
        <v>714.30056980687289</v>
      </c>
    </row>
    <row r="16" spans="1:20" x14ac:dyDescent="0.2">
      <c r="A16" s="5">
        <v>25</v>
      </c>
      <c r="B16" s="1">
        <f t="shared" si="8"/>
        <v>1.1886857536682125</v>
      </c>
      <c r="C16" s="5">
        <f t="shared" si="9"/>
        <v>34093.642192281775</v>
      </c>
      <c r="D16" s="5">
        <f t="shared" si="0"/>
        <v>33335.402862398223</v>
      </c>
      <c r="E16" s="5">
        <f t="shared" si="1"/>
        <v>23835.402862398223</v>
      </c>
      <c r="F16" s="5">
        <f t="shared" si="2"/>
        <v>8084.0090345730196</v>
      </c>
      <c r="G16" s="5">
        <f t="shared" si="3"/>
        <v>25251.393827825203</v>
      </c>
      <c r="H16" s="22">
        <f t="shared" si="10"/>
        <v>15061.186074185629</v>
      </c>
      <c r="I16" s="5">
        <f t="shared" si="4"/>
        <v>39695.071272969217</v>
      </c>
      <c r="J16" s="26">
        <f t="shared" si="5"/>
        <v>0.15792301879454376</v>
      </c>
      <c r="L16" s="22">
        <f t="shared" si="11"/>
        <v>69442.784704995327</v>
      </c>
      <c r="M16" s="5">
        <f>scrimecost*Meta!O13</f>
        <v>2157.625</v>
      </c>
      <c r="N16" s="5">
        <f>L16-Grade11!L16</f>
        <v>673.00888723642856</v>
      </c>
      <c r="O16" s="5">
        <f>Grade11!M16-M16</f>
        <v>44.204999999999927</v>
      </c>
      <c r="P16" s="22">
        <f t="shared" si="12"/>
        <v>140.16491355289958</v>
      </c>
      <c r="Q16" s="22"/>
      <c r="R16" s="22"/>
      <c r="S16" s="22">
        <f t="shared" si="6"/>
        <v>687.44184802827931</v>
      </c>
      <c r="T16" s="22">
        <f t="shared" si="7"/>
        <v>726.71499998432569</v>
      </c>
    </row>
    <row r="17" spans="1:20" x14ac:dyDescent="0.2">
      <c r="A17" s="5">
        <v>26</v>
      </c>
      <c r="B17" s="1">
        <f t="shared" si="8"/>
        <v>1.2184028975099177</v>
      </c>
      <c r="C17" s="5">
        <f t="shared" si="9"/>
        <v>34945.983247088814</v>
      </c>
      <c r="D17" s="5">
        <f t="shared" si="0"/>
        <v>34152.797933958173</v>
      </c>
      <c r="E17" s="5">
        <f t="shared" si="1"/>
        <v>24652.797933958173</v>
      </c>
      <c r="F17" s="5">
        <f t="shared" si="2"/>
        <v>8350.8885254373436</v>
      </c>
      <c r="G17" s="5">
        <f t="shared" si="3"/>
        <v>25801.909408520827</v>
      </c>
      <c r="H17" s="22">
        <f t="shared" si="10"/>
        <v>15437.715726040267</v>
      </c>
      <c r="I17" s="5">
        <f t="shared" si="4"/>
        <v>40606.678789793441</v>
      </c>
      <c r="J17" s="26">
        <f t="shared" si="5"/>
        <v>0.15959463847326605</v>
      </c>
      <c r="L17" s="22">
        <f t="shared" si="11"/>
        <v>71178.854322620202</v>
      </c>
      <c r="M17" s="5">
        <f>scrimecost*Meta!O14</f>
        <v>2157.625</v>
      </c>
      <c r="N17" s="5">
        <f>L17-Grade11!L17</f>
        <v>689.83410941735201</v>
      </c>
      <c r="O17" s="5">
        <f>Grade11!M17-M17</f>
        <v>44.204999999999927</v>
      </c>
      <c r="P17" s="22">
        <f t="shared" si="12"/>
        <v>143.31010818047886</v>
      </c>
      <c r="Q17" s="22"/>
      <c r="R17" s="22"/>
      <c r="S17" s="22">
        <f t="shared" si="6"/>
        <v>703.18433776271013</v>
      </c>
      <c r="T17" s="22">
        <f t="shared" si="7"/>
        <v>748.53716319433477</v>
      </c>
    </row>
    <row r="18" spans="1:20" x14ac:dyDescent="0.2">
      <c r="A18" s="5">
        <v>27</v>
      </c>
      <c r="B18" s="1">
        <f t="shared" si="8"/>
        <v>1.2488629699476654</v>
      </c>
      <c r="C18" s="5">
        <f t="shared" si="9"/>
        <v>35819.632828266032</v>
      </c>
      <c r="D18" s="5">
        <f t="shared" si="0"/>
        <v>34990.627882307119</v>
      </c>
      <c r="E18" s="5">
        <f t="shared" si="1"/>
        <v>25490.627882307119</v>
      </c>
      <c r="F18" s="5">
        <f t="shared" si="2"/>
        <v>8624.4400035732742</v>
      </c>
      <c r="G18" s="5">
        <f t="shared" si="3"/>
        <v>26366.187878733843</v>
      </c>
      <c r="H18" s="22">
        <f t="shared" si="10"/>
        <v>15823.65861919127</v>
      </c>
      <c r="I18" s="5">
        <f t="shared" si="4"/>
        <v>41541.076494538269</v>
      </c>
      <c r="J18" s="26">
        <f t="shared" si="5"/>
        <v>0.16122548694031213</v>
      </c>
      <c r="L18" s="22">
        <f t="shared" si="11"/>
        <v>72958.325680685695</v>
      </c>
      <c r="M18" s="5">
        <f>scrimecost*Meta!O15</f>
        <v>2157.625</v>
      </c>
      <c r="N18" s="5">
        <f>L18-Grade11!L18</f>
        <v>707.07996215276944</v>
      </c>
      <c r="O18" s="5">
        <f>Grade11!M18-M18</f>
        <v>44.204999999999927</v>
      </c>
      <c r="P18" s="22">
        <f t="shared" si="12"/>
        <v>146.53393267374759</v>
      </c>
      <c r="Q18" s="22"/>
      <c r="R18" s="22"/>
      <c r="S18" s="22">
        <f t="shared" si="6"/>
        <v>719.32038974047964</v>
      </c>
      <c r="T18" s="22">
        <f t="shared" si="7"/>
        <v>771.0500482048709</v>
      </c>
    </row>
    <row r="19" spans="1:20" x14ac:dyDescent="0.2">
      <c r="A19" s="5">
        <v>28</v>
      </c>
      <c r="B19" s="1">
        <f t="shared" si="8"/>
        <v>1.2800845441963571</v>
      </c>
      <c r="C19" s="5">
        <f t="shared" si="9"/>
        <v>36715.12364897268</v>
      </c>
      <c r="D19" s="5">
        <f t="shared" si="0"/>
        <v>35849.4035793648</v>
      </c>
      <c r="E19" s="5">
        <f t="shared" si="1"/>
        <v>26349.4035793648</v>
      </c>
      <c r="F19" s="5">
        <f t="shared" si="2"/>
        <v>8904.8302686626066</v>
      </c>
      <c r="G19" s="5">
        <f t="shared" si="3"/>
        <v>26944.573310702195</v>
      </c>
      <c r="H19" s="22">
        <f t="shared" si="10"/>
        <v>16219.250084671054</v>
      </c>
      <c r="I19" s="5">
        <f t="shared" si="4"/>
        <v>42498.834141901738</v>
      </c>
      <c r="J19" s="26">
        <f t="shared" si="5"/>
        <v>0.16281655861547914</v>
      </c>
      <c r="L19" s="22">
        <f t="shared" si="11"/>
        <v>74782.283822702841</v>
      </c>
      <c r="M19" s="5">
        <f>scrimecost*Meta!O16</f>
        <v>2157.625</v>
      </c>
      <c r="N19" s="5">
        <f>L19-Grade11!L19</f>
        <v>724.75696120659995</v>
      </c>
      <c r="O19" s="5">
        <f>Grade11!M19-M19</f>
        <v>44.204999999999927</v>
      </c>
      <c r="P19" s="22">
        <f t="shared" si="12"/>
        <v>149.8383527793481</v>
      </c>
      <c r="Q19" s="22"/>
      <c r="R19" s="22"/>
      <c r="S19" s="22">
        <f t="shared" si="6"/>
        <v>735.85984301771441</v>
      </c>
      <c r="T19" s="22">
        <f t="shared" si="7"/>
        <v>794.27578228229618</v>
      </c>
    </row>
    <row r="20" spans="1:20" x14ac:dyDescent="0.2">
      <c r="A20" s="5">
        <v>29</v>
      </c>
      <c r="B20" s="1">
        <f t="shared" si="8"/>
        <v>1.312086657801266</v>
      </c>
      <c r="C20" s="5">
        <f t="shared" si="9"/>
        <v>37633.001740196996</v>
      </c>
      <c r="D20" s="5">
        <f t="shared" si="0"/>
        <v>36729.648668848917</v>
      </c>
      <c r="E20" s="5">
        <f t="shared" si="1"/>
        <v>27229.648668848917</v>
      </c>
      <c r="F20" s="5">
        <f t="shared" si="2"/>
        <v>9192.2302903791715</v>
      </c>
      <c r="G20" s="5">
        <f t="shared" si="3"/>
        <v>27537.418378469745</v>
      </c>
      <c r="H20" s="22">
        <f t="shared" si="10"/>
        <v>16624.731336787831</v>
      </c>
      <c r="I20" s="5">
        <f t="shared" si="4"/>
        <v>43480.535730449272</v>
      </c>
      <c r="J20" s="26">
        <f t="shared" si="5"/>
        <v>0.16436882366442249</v>
      </c>
      <c r="L20" s="22">
        <f t="shared" si="11"/>
        <v>76651.84091827042</v>
      </c>
      <c r="M20" s="5">
        <f>scrimecost*Meta!O17</f>
        <v>2157.625</v>
      </c>
      <c r="N20" s="5">
        <f>L20-Grade11!L20</f>
        <v>742.8758852367755</v>
      </c>
      <c r="O20" s="5">
        <f>Grade11!M20-M20</f>
        <v>44.204999999999927</v>
      </c>
      <c r="P20" s="22">
        <f t="shared" si="12"/>
        <v>153.22538338758858</v>
      </c>
      <c r="Q20" s="22"/>
      <c r="R20" s="22"/>
      <c r="S20" s="22">
        <f t="shared" si="6"/>
        <v>752.81278262687943</v>
      </c>
      <c r="T20" s="22">
        <f t="shared" si="7"/>
        <v>818.23720341028229</v>
      </c>
    </row>
    <row r="21" spans="1:20" x14ac:dyDescent="0.2">
      <c r="A21" s="5">
        <v>30</v>
      </c>
      <c r="B21" s="1">
        <f t="shared" si="8"/>
        <v>1.3448888242462975</v>
      </c>
      <c r="C21" s="5">
        <f t="shared" si="9"/>
        <v>38573.826783701923</v>
      </c>
      <c r="D21" s="5">
        <f t="shared" si="0"/>
        <v>37631.899885570143</v>
      </c>
      <c r="E21" s="5">
        <f t="shared" si="1"/>
        <v>28131.899885570143</v>
      </c>
      <c r="F21" s="5">
        <f t="shared" si="2"/>
        <v>9486.8153126386514</v>
      </c>
      <c r="G21" s="5">
        <f t="shared" si="3"/>
        <v>28145.08457293149</v>
      </c>
      <c r="H21" s="22">
        <f t="shared" si="10"/>
        <v>17040.349620207522</v>
      </c>
      <c r="I21" s="5">
        <f t="shared" si="4"/>
        <v>44486.779858710506</v>
      </c>
      <c r="J21" s="26">
        <f t="shared" si="5"/>
        <v>0.16588322859022092</v>
      </c>
      <c r="L21" s="22">
        <f t="shared" si="11"/>
        <v>78568.136941227174</v>
      </c>
      <c r="M21" s="5">
        <f>scrimecost*Meta!O18</f>
        <v>1739.425</v>
      </c>
      <c r="N21" s="5">
        <f>L21-Grade11!L21</f>
        <v>761.44778236770071</v>
      </c>
      <c r="O21" s="5">
        <f>Grade11!M21-M21</f>
        <v>35.637000000000171</v>
      </c>
      <c r="P21" s="22">
        <f t="shared" si="12"/>
        <v>156.69708976103507</v>
      </c>
      <c r="Q21" s="22"/>
      <c r="R21" s="22"/>
      <c r="S21" s="22">
        <f t="shared" si="6"/>
        <v>761.74149772627004</v>
      </c>
      <c r="T21" s="22">
        <f t="shared" si="7"/>
        <v>833.71165446135365</v>
      </c>
    </row>
    <row r="22" spans="1:20" x14ac:dyDescent="0.2">
      <c r="A22" s="5">
        <v>31</v>
      </c>
      <c r="B22" s="1">
        <f t="shared" si="8"/>
        <v>1.3785110448524549</v>
      </c>
      <c r="C22" s="5">
        <f t="shared" si="9"/>
        <v>39538.172453294465</v>
      </c>
      <c r="D22" s="5">
        <f t="shared" si="0"/>
        <v>38556.707382709392</v>
      </c>
      <c r="E22" s="5">
        <f t="shared" si="1"/>
        <v>29056.707382709392</v>
      </c>
      <c r="F22" s="5">
        <f t="shared" si="2"/>
        <v>9788.7649604546168</v>
      </c>
      <c r="G22" s="5">
        <f t="shared" si="3"/>
        <v>28767.942422254775</v>
      </c>
      <c r="H22" s="22">
        <f t="shared" si="10"/>
        <v>17466.358360712711</v>
      </c>
      <c r="I22" s="5">
        <f t="shared" si="4"/>
        <v>45518.180090178263</v>
      </c>
      <c r="J22" s="26">
        <f t="shared" si="5"/>
        <v>0.16736069681051208</v>
      </c>
      <c r="L22" s="22">
        <f t="shared" si="11"/>
        <v>80532.340364757838</v>
      </c>
      <c r="M22" s="5">
        <f>scrimecost*Meta!O19</f>
        <v>1739.425</v>
      </c>
      <c r="N22" s="5">
        <f>L22-Grade11!L22</f>
        <v>780.48397692687286</v>
      </c>
      <c r="O22" s="5">
        <f>Grade11!M22-M22</f>
        <v>35.637000000000171</v>
      </c>
      <c r="P22" s="22">
        <f t="shared" si="12"/>
        <v>160.25558879381776</v>
      </c>
      <c r="Q22" s="22"/>
      <c r="R22" s="22"/>
      <c r="S22" s="22">
        <f t="shared" si="6"/>
        <v>779.55267990312564</v>
      </c>
      <c r="T22" s="22">
        <f t="shared" si="7"/>
        <v>859.15148621973901</v>
      </c>
    </row>
    <row r="23" spans="1:20" x14ac:dyDescent="0.2">
      <c r="A23" s="5">
        <v>32</v>
      </c>
      <c r="B23" s="1">
        <f t="shared" si="8"/>
        <v>1.4129738209737661</v>
      </c>
      <c r="C23" s="5">
        <f t="shared" si="9"/>
        <v>40526.626764626824</v>
      </c>
      <c r="D23" s="5">
        <f t="shared" si="0"/>
        <v>39504.635067277122</v>
      </c>
      <c r="E23" s="5">
        <f t="shared" si="1"/>
        <v>30004.635067277122</v>
      </c>
      <c r="F23" s="5">
        <f t="shared" si="2"/>
        <v>10098.26334946598</v>
      </c>
      <c r="G23" s="5">
        <f t="shared" si="3"/>
        <v>29406.37171781114</v>
      </c>
      <c r="H23" s="22">
        <f t="shared" si="10"/>
        <v>17903.017319730523</v>
      </c>
      <c r="I23" s="5">
        <f t="shared" si="4"/>
        <v>46575.365327432708</v>
      </c>
      <c r="J23" s="26">
        <f t="shared" si="5"/>
        <v>0.16880212922055216</v>
      </c>
      <c r="L23" s="22">
        <f t="shared" si="11"/>
        <v>82545.64887387678</v>
      </c>
      <c r="M23" s="5">
        <f>scrimecost*Meta!O20</f>
        <v>1739.425</v>
      </c>
      <c r="N23" s="5">
        <f>L23-Grade11!L23</f>
        <v>799.99607635004213</v>
      </c>
      <c r="O23" s="5">
        <f>Grade11!M23-M23</f>
        <v>35.637000000000171</v>
      </c>
      <c r="P23" s="22">
        <f t="shared" si="12"/>
        <v>163.90305030241996</v>
      </c>
      <c r="Q23" s="22"/>
      <c r="R23" s="22"/>
      <c r="S23" s="22">
        <f t="shared" si="6"/>
        <v>797.80914163441616</v>
      </c>
      <c r="T23" s="22">
        <f t="shared" si="7"/>
        <v>885.39956635127407</v>
      </c>
    </row>
    <row r="24" spans="1:20" x14ac:dyDescent="0.2">
      <c r="A24" s="5">
        <v>33</v>
      </c>
      <c r="B24" s="1">
        <f t="shared" si="8"/>
        <v>1.4482981664981105</v>
      </c>
      <c r="C24" s="5">
        <f t="shared" si="9"/>
        <v>41539.792433742499</v>
      </c>
      <c r="D24" s="5">
        <f t="shared" si="0"/>
        <v>40476.260943959052</v>
      </c>
      <c r="E24" s="5">
        <f t="shared" si="1"/>
        <v>30976.260943959052</v>
      </c>
      <c r="F24" s="5">
        <f t="shared" si="2"/>
        <v>10415.499198202629</v>
      </c>
      <c r="G24" s="5">
        <f t="shared" si="3"/>
        <v>30060.761745756423</v>
      </c>
      <c r="H24" s="22">
        <f t="shared" si="10"/>
        <v>18350.592752723795</v>
      </c>
      <c r="I24" s="5">
        <f t="shared" si="4"/>
        <v>47658.98019561854</v>
      </c>
      <c r="J24" s="26">
        <f t="shared" si="5"/>
        <v>0.17020840474254251</v>
      </c>
      <c r="L24" s="22">
        <f t="shared" si="11"/>
        <v>84609.2900957237</v>
      </c>
      <c r="M24" s="5">
        <f>scrimecost*Meta!O21</f>
        <v>1739.425</v>
      </c>
      <c r="N24" s="5">
        <f>L24-Grade11!L24</f>
        <v>819.995978258783</v>
      </c>
      <c r="O24" s="5">
        <f>Grade11!M24-M24</f>
        <v>35.637000000000171</v>
      </c>
      <c r="P24" s="22">
        <f t="shared" si="12"/>
        <v>167.64169834873721</v>
      </c>
      <c r="Q24" s="22"/>
      <c r="R24" s="22"/>
      <c r="S24" s="22">
        <f t="shared" si="6"/>
        <v>816.52201490898312</v>
      </c>
      <c r="T24" s="22">
        <f t="shared" si="7"/>
        <v>912.48180845004367</v>
      </c>
    </row>
    <row r="25" spans="1:20" x14ac:dyDescent="0.2">
      <c r="A25" s="5">
        <v>34</v>
      </c>
      <c r="B25" s="1">
        <f t="shared" si="8"/>
        <v>1.4845056206605631</v>
      </c>
      <c r="C25" s="5">
        <f t="shared" si="9"/>
        <v>42578.287244586063</v>
      </c>
      <c r="D25" s="5">
        <f t="shared" si="0"/>
        <v>41472.177467558031</v>
      </c>
      <c r="E25" s="5">
        <f t="shared" si="1"/>
        <v>31972.177467558031</v>
      </c>
      <c r="F25" s="5">
        <f t="shared" si="2"/>
        <v>10740.665943157697</v>
      </c>
      <c r="G25" s="5">
        <f t="shared" si="3"/>
        <v>30731.511524400332</v>
      </c>
      <c r="H25" s="22">
        <f t="shared" si="10"/>
        <v>18809.357571541888</v>
      </c>
      <c r="I25" s="5">
        <f t="shared" si="4"/>
        <v>48769.685435509004</v>
      </c>
      <c r="J25" s="26">
        <f t="shared" si="5"/>
        <v>0.17158038086155755</v>
      </c>
      <c r="L25" s="22">
        <f t="shared" si="11"/>
        <v>86724.522348116792</v>
      </c>
      <c r="M25" s="5">
        <f>scrimecost*Meta!O22</f>
        <v>1739.425</v>
      </c>
      <c r="N25" s="5">
        <f>L25-Grade11!L25</f>
        <v>840.49587771526421</v>
      </c>
      <c r="O25" s="5">
        <f>Grade11!M25-M25</f>
        <v>35.637000000000171</v>
      </c>
      <c r="P25" s="22">
        <f t="shared" si="12"/>
        <v>171.47381259621247</v>
      </c>
      <c r="Q25" s="22"/>
      <c r="R25" s="22"/>
      <c r="S25" s="22">
        <f t="shared" si="6"/>
        <v>835.70271001543063</v>
      </c>
      <c r="T25" s="22">
        <f t="shared" si="7"/>
        <v>940.42495859201426</v>
      </c>
    </row>
    <row r="26" spans="1:20" x14ac:dyDescent="0.2">
      <c r="A26" s="5">
        <v>35</v>
      </c>
      <c r="B26" s="1">
        <f t="shared" si="8"/>
        <v>1.521618261177077</v>
      </c>
      <c r="C26" s="5">
        <f t="shared" si="9"/>
        <v>43642.744425700701</v>
      </c>
      <c r="D26" s="5">
        <f t="shared" si="0"/>
        <v>42492.99190424697</v>
      </c>
      <c r="E26" s="5">
        <f t="shared" si="1"/>
        <v>32992.99190424697</v>
      </c>
      <c r="F26" s="5">
        <f t="shared" si="2"/>
        <v>11073.961856736636</v>
      </c>
      <c r="G26" s="5">
        <f t="shared" si="3"/>
        <v>31419.030047510336</v>
      </c>
      <c r="H26" s="22">
        <f t="shared" si="10"/>
        <v>19279.591510830429</v>
      </c>
      <c r="I26" s="5">
        <f t="shared" si="4"/>
        <v>49908.158306396712</v>
      </c>
      <c r="J26" s="26">
        <f t="shared" si="5"/>
        <v>0.17291889414840142</v>
      </c>
      <c r="L26" s="22">
        <f t="shared" si="11"/>
        <v>88892.635406819696</v>
      </c>
      <c r="M26" s="5">
        <f>scrimecost*Meta!O23</f>
        <v>1349.925</v>
      </c>
      <c r="N26" s="5">
        <f>L26-Grade11!L26</f>
        <v>861.508274658132</v>
      </c>
      <c r="O26" s="5">
        <f>Grade11!M26-M26</f>
        <v>27.656999999999925</v>
      </c>
      <c r="P26" s="22">
        <f t="shared" si="12"/>
        <v>175.40172969987452</v>
      </c>
      <c r="Q26" s="22"/>
      <c r="R26" s="22"/>
      <c r="S26" s="22">
        <f t="shared" si="6"/>
        <v>847.49464249951984</v>
      </c>
      <c r="T26" s="22">
        <f t="shared" si="7"/>
        <v>960.34066104741248</v>
      </c>
    </row>
    <row r="27" spans="1:20" x14ac:dyDescent="0.2">
      <c r="A27" s="5">
        <v>36</v>
      </c>
      <c r="B27" s="1">
        <f t="shared" si="8"/>
        <v>1.559658717706504</v>
      </c>
      <c r="C27" s="5">
        <f t="shared" si="9"/>
        <v>44733.813036343228</v>
      </c>
      <c r="D27" s="5">
        <f t="shared" si="0"/>
        <v>43539.326701853155</v>
      </c>
      <c r="E27" s="5">
        <f t="shared" si="1"/>
        <v>34039.326701853155</v>
      </c>
      <c r="F27" s="5">
        <f t="shared" si="2"/>
        <v>11415.590168155055</v>
      </c>
      <c r="G27" s="5">
        <f t="shared" si="3"/>
        <v>32123.736533698102</v>
      </c>
      <c r="H27" s="22">
        <f t="shared" si="10"/>
        <v>19761.581298601192</v>
      </c>
      <c r="I27" s="5">
        <f t="shared" si="4"/>
        <v>51075.092999056644</v>
      </c>
      <c r="J27" s="26">
        <f t="shared" si="5"/>
        <v>0.17422476076971261</v>
      </c>
      <c r="L27" s="22">
        <f t="shared" si="11"/>
        <v>91114.95129199019</v>
      </c>
      <c r="M27" s="5">
        <f>scrimecost*Meta!O24</f>
        <v>1349.925</v>
      </c>
      <c r="N27" s="5">
        <f>L27-Grade11!L27</f>
        <v>883.04598152458493</v>
      </c>
      <c r="O27" s="5">
        <f>Grade11!M27-M27</f>
        <v>27.656999999999925</v>
      </c>
      <c r="P27" s="22">
        <f t="shared" si="12"/>
        <v>179.42784473112823</v>
      </c>
      <c r="Q27" s="22"/>
      <c r="R27" s="22"/>
      <c r="S27" s="22">
        <f t="shared" si="6"/>
        <v>867.64636029572182</v>
      </c>
      <c r="T27" s="22">
        <f t="shared" si="7"/>
        <v>990.02719640997361</v>
      </c>
    </row>
    <row r="28" spans="1:20" x14ac:dyDescent="0.2">
      <c r="A28" s="5">
        <v>37</v>
      </c>
      <c r="B28" s="1">
        <f t="shared" si="8"/>
        <v>1.5986501856491666</v>
      </c>
      <c r="C28" s="5">
        <f t="shared" si="9"/>
        <v>45852.158362251801</v>
      </c>
      <c r="D28" s="5">
        <f t="shared" si="0"/>
        <v>44611.819869399471</v>
      </c>
      <c r="E28" s="5">
        <f t="shared" si="1"/>
        <v>35111.819869399471</v>
      </c>
      <c r="F28" s="5">
        <f t="shared" si="2"/>
        <v>11826.941174298874</v>
      </c>
      <c r="G28" s="5">
        <f t="shared" si="3"/>
        <v>32784.878695100597</v>
      </c>
      <c r="H28" s="22">
        <f t="shared" si="10"/>
        <v>20255.620831066222</v>
      </c>
      <c r="I28" s="5">
        <f t="shared" si="4"/>
        <v>52210.019072093099</v>
      </c>
      <c r="J28" s="26">
        <f t="shared" si="5"/>
        <v>0.17646383273403812</v>
      </c>
      <c r="L28" s="22">
        <f t="shared" si="11"/>
        <v>93392.82507428994</v>
      </c>
      <c r="M28" s="5">
        <f>scrimecost*Meta!O25</f>
        <v>1349.925</v>
      </c>
      <c r="N28" s="5">
        <f>L28-Grade11!L28</f>
        <v>905.1221310627152</v>
      </c>
      <c r="O28" s="5">
        <f>Grade11!M28-M28</f>
        <v>27.656999999999925</v>
      </c>
      <c r="P28" s="22">
        <f t="shared" si="12"/>
        <v>184.27564689975043</v>
      </c>
      <c r="Q28" s="22"/>
      <c r="R28" s="22"/>
      <c r="S28" s="22">
        <f t="shared" si="6"/>
        <v>889.01281081876573</v>
      </c>
      <c r="T28" s="22">
        <f t="shared" si="7"/>
        <v>1021.4765823164882</v>
      </c>
    </row>
    <row r="29" spans="1:20" x14ac:dyDescent="0.2">
      <c r="A29" s="5">
        <v>38</v>
      </c>
      <c r="B29" s="1">
        <f t="shared" si="8"/>
        <v>1.6386164402903955</v>
      </c>
      <c r="C29" s="5">
        <f t="shared" si="9"/>
        <v>46998.462321308092</v>
      </c>
      <c r="D29" s="5">
        <f t="shared" si="0"/>
        <v>45711.12536613446</v>
      </c>
      <c r="E29" s="5">
        <f t="shared" si="1"/>
        <v>36211.12536613446</v>
      </c>
      <c r="F29" s="5">
        <f t="shared" si="2"/>
        <v>12295.794968656346</v>
      </c>
      <c r="G29" s="5">
        <f t="shared" si="3"/>
        <v>33415.330397478116</v>
      </c>
      <c r="H29" s="22">
        <f t="shared" si="10"/>
        <v>20762.011351842873</v>
      </c>
      <c r="I29" s="5">
        <f t="shared" si="4"/>
        <v>53326.099283895426</v>
      </c>
      <c r="J29" s="26">
        <f t="shared" si="5"/>
        <v>0.17937493747689004</v>
      </c>
      <c r="L29" s="22">
        <f t="shared" si="11"/>
        <v>95727.645701147179</v>
      </c>
      <c r="M29" s="5">
        <f>scrimecost*Meta!O26</f>
        <v>1349.925</v>
      </c>
      <c r="N29" s="5">
        <f>L29-Grade11!L29</f>
        <v>927.75018433928199</v>
      </c>
      <c r="O29" s="5">
        <f>Grade11!M29-M29</f>
        <v>27.656999999999925</v>
      </c>
      <c r="P29" s="22">
        <f t="shared" si="12"/>
        <v>189.80112369962544</v>
      </c>
      <c r="Q29" s="22"/>
      <c r="R29" s="22"/>
      <c r="S29" s="22">
        <f t="shared" si="6"/>
        <v>911.46211146783196</v>
      </c>
      <c r="T29" s="22">
        <f t="shared" si="7"/>
        <v>1054.5690843391164</v>
      </c>
    </row>
    <row r="30" spans="1:20" x14ac:dyDescent="0.2">
      <c r="A30" s="5">
        <v>39</v>
      </c>
      <c r="B30" s="1">
        <f t="shared" si="8"/>
        <v>1.6795818512976552</v>
      </c>
      <c r="C30" s="5">
        <f t="shared" si="9"/>
        <v>48173.423879340793</v>
      </c>
      <c r="D30" s="5">
        <f t="shared" si="0"/>
        <v>46837.913500287817</v>
      </c>
      <c r="E30" s="5">
        <f t="shared" si="1"/>
        <v>37337.913500287817</v>
      </c>
      <c r="F30" s="5">
        <f t="shared" si="2"/>
        <v>12776.370107872754</v>
      </c>
      <c r="G30" s="5">
        <f t="shared" si="3"/>
        <v>34061.543392415064</v>
      </c>
      <c r="H30" s="22">
        <f t="shared" si="10"/>
        <v>21281.061635638944</v>
      </c>
      <c r="I30" s="5">
        <f t="shared" si="4"/>
        <v>54470.081500992805</v>
      </c>
      <c r="J30" s="26">
        <f t="shared" si="5"/>
        <v>0.18221503966503821</v>
      </c>
      <c r="L30" s="22">
        <f t="shared" si="11"/>
        <v>98120.836843675861</v>
      </c>
      <c r="M30" s="5">
        <f>scrimecost*Meta!O27</f>
        <v>1349.925</v>
      </c>
      <c r="N30" s="5">
        <f>L30-Grade11!L30</f>
        <v>950.9439389477775</v>
      </c>
      <c r="O30" s="5">
        <f>Grade11!M30-M30</f>
        <v>27.656999999999925</v>
      </c>
      <c r="P30" s="22">
        <f t="shared" si="12"/>
        <v>195.46473741949731</v>
      </c>
      <c r="Q30" s="22"/>
      <c r="R30" s="22"/>
      <c r="S30" s="22">
        <f t="shared" si="6"/>
        <v>934.47264463313581</v>
      </c>
      <c r="T30" s="22">
        <f t="shared" si="7"/>
        <v>1088.7270856747059</v>
      </c>
    </row>
    <row r="31" spans="1:20" x14ac:dyDescent="0.2">
      <c r="A31" s="5">
        <v>40</v>
      </c>
      <c r="B31" s="1">
        <f t="shared" si="8"/>
        <v>1.7215713975800966</v>
      </c>
      <c r="C31" s="5">
        <f t="shared" si="9"/>
        <v>49377.759476324311</v>
      </c>
      <c r="D31" s="5">
        <f t="shared" si="0"/>
        <v>47992.871337795012</v>
      </c>
      <c r="E31" s="5">
        <f t="shared" si="1"/>
        <v>38492.871337795012</v>
      </c>
      <c r="F31" s="5">
        <f t="shared" si="2"/>
        <v>13268.959625569572</v>
      </c>
      <c r="G31" s="5">
        <f t="shared" si="3"/>
        <v>34723.911712225439</v>
      </c>
      <c r="H31" s="22">
        <f t="shared" si="10"/>
        <v>21813.088176529916</v>
      </c>
      <c r="I31" s="5">
        <f t="shared" si="4"/>
        <v>55642.663273517624</v>
      </c>
      <c r="J31" s="26">
        <f t="shared" si="5"/>
        <v>0.18498587106810963</v>
      </c>
      <c r="L31" s="22">
        <f t="shared" si="11"/>
        <v>100573.85776476774</v>
      </c>
      <c r="M31" s="5">
        <f>scrimecost*Meta!O28</f>
        <v>1180.8</v>
      </c>
      <c r="N31" s="5">
        <f>L31-Grade11!L31</f>
        <v>974.7175374214421</v>
      </c>
      <c r="O31" s="5">
        <f>Grade11!M31-M31</f>
        <v>24.192000000000007</v>
      </c>
      <c r="P31" s="22">
        <f t="shared" si="12"/>
        <v>201.26994148236594</v>
      </c>
      <c r="Q31" s="22"/>
      <c r="R31" s="22"/>
      <c r="S31" s="22">
        <f t="shared" si="6"/>
        <v>954.64195112753976</v>
      </c>
      <c r="T31" s="22">
        <f t="shared" si="7"/>
        <v>1119.9766544402935</v>
      </c>
    </row>
    <row r="32" spans="1:20" x14ac:dyDescent="0.2">
      <c r="A32" s="5">
        <v>41</v>
      </c>
      <c r="B32" s="1">
        <f t="shared" si="8"/>
        <v>1.7646106825195991</v>
      </c>
      <c r="C32" s="5">
        <f t="shared" si="9"/>
        <v>50612.203463232421</v>
      </c>
      <c r="D32" s="5">
        <f t="shared" si="0"/>
        <v>49176.703121239887</v>
      </c>
      <c r="E32" s="5">
        <f t="shared" si="1"/>
        <v>39676.703121239887</v>
      </c>
      <c r="F32" s="5">
        <f t="shared" si="2"/>
        <v>13773.86388120881</v>
      </c>
      <c r="G32" s="5">
        <f t="shared" si="3"/>
        <v>35402.839240031077</v>
      </c>
      <c r="H32" s="22">
        <f t="shared" si="10"/>
        <v>22358.415380943166</v>
      </c>
      <c r="I32" s="5">
        <f t="shared" si="4"/>
        <v>56844.559590355573</v>
      </c>
      <c r="J32" s="26">
        <f t="shared" si="5"/>
        <v>0.18768912121744752</v>
      </c>
      <c r="L32" s="22">
        <f t="shared" si="11"/>
        <v>103088.20420888695</v>
      </c>
      <c r="M32" s="5">
        <f>scrimecost*Meta!O29</f>
        <v>1180.8</v>
      </c>
      <c r="N32" s="5">
        <f>L32-Grade11!L32</f>
        <v>999.08547585699125</v>
      </c>
      <c r="O32" s="5">
        <f>Grade11!M32-M32</f>
        <v>24.192000000000007</v>
      </c>
      <c r="P32" s="22">
        <f t="shared" si="12"/>
        <v>207.22027564680633</v>
      </c>
      <c r="Q32" s="22"/>
      <c r="R32" s="22"/>
      <c r="S32" s="22">
        <f t="shared" si="6"/>
        <v>978.81739253433602</v>
      </c>
      <c r="T32" s="22">
        <f t="shared" si="7"/>
        <v>1156.3416062906965</v>
      </c>
    </row>
    <row r="33" spans="1:20" x14ac:dyDescent="0.2">
      <c r="A33" s="5">
        <v>42</v>
      </c>
      <c r="B33" s="1">
        <f t="shared" si="8"/>
        <v>1.8087259495825889</v>
      </c>
      <c r="C33" s="5">
        <f t="shared" si="9"/>
        <v>51877.508549813225</v>
      </c>
      <c r="D33" s="5">
        <f t="shared" si="0"/>
        <v>50390.130699270878</v>
      </c>
      <c r="E33" s="5">
        <f t="shared" si="1"/>
        <v>40890.130699270878</v>
      </c>
      <c r="F33" s="5">
        <f t="shared" si="2"/>
        <v>14291.39074323903</v>
      </c>
      <c r="G33" s="5">
        <f t="shared" si="3"/>
        <v>36098.739956031844</v>
      </c>
      <c r="H33" s="22">
        <f t="shared" si="10"/>
        <v>22917.375765466742</v>
      </c>
      <c r="I33" s="5">
        <f t="shared" si="4"/>
        <v>58076.503315114445</v>
      </c>
      <c r="J33" s="26">
        <f t="shared" si="5"/>
        <v>0.19032643843631383</v>
      </c>
      <c r="L33" s="22">
        <f t="shared" si="11"/>
        <v>105665.40931410911</v>
      </c>
      <c r="M33" s="5">
        <f>scrimecost*Meta!O30</f>
        <v>1180.8</v>
      </c>
      <c r="N33" s="5">
        <f>L33-Grade11!L33</f>
        <v>1024.0626127534342</v>
      </c>
      <c r="O33" s="5">
        <f>Grade11!M33-M33</f>
        <v>24.192000000000007</v>
      </c>
      <c r="P33" s="22">
        <f t="shared" si="12"/>
        <v>213.31936816535773</v>
      </c>
      <c r="Q33" s="22"/>
      <c r="R33" s="22"/>
      <c r="S33" s="22">
        <f t="shared" si="6"/>
        <v>1003.5972199763061</v>
      </c>
      <c r="T33" s="22">
        <f t="shared" si="7"/>
        <v>1193.8779851095646</v>
      </c>
    </row>
    <row r="34" spans="1:20" x14ac:dyDescent="0.2">
      <c r="A34" s="5">
        <v>43</v>
      </c>
      <c r="B34" s="1">
        <f t="shared" si="8"/>
        <v>1.8539440983221533</v>
      </c>
      <c r="C34" s="5">
        <f t="shared" si="9"/>
        <v>53174.446263558551</v>
      </c>
      <c r="D34" s="5">
        <f t="shared" si="0"/>
        <v>51633.89396675265</v>
      </c>
      <c r="E34" s="5">
        <f t="shared" si="1"/>
        <v>42133.89396675265</v>
      </c>
      <c r="F34" s="5">
        <f t="shared" si="2"/>
        <v>14821.855776820004</v>
      </c>
      <c r="G34" s="5">
        <f t="shared" si="3"/>
        <v>36812.038189932646</v>
      </c>
      <c r="H34" s="22">
        <f t="shared" si="10"/>
        <v>23490.310159603407</v>
      </c>
      <c r="I34" s="5">
        <f t="shared" si="4"/>
        <v>59339.245632992315</v>
      </c>
      <c r="J34" s="26">
        <f t="shared" si="5"/>
        <v>0.19289943084496386</v>
      </c>
      <c r="L34" s="22">
        <f t="shared" si="11"/>
        <v>108307.04454696183</v>
      </c>
      <c r="M34" s="5">
        <f>scrimecost*Meta!O31</f>
        <v>1180.8</v>
      </c>
      <c r="N34" s="5">
        <f>L34-Grade11!L34</f>
        <v>1049.6641780722566</v>
      </c>
      <c r="O34" s="5">
        <f>Grade11!M34-M34</f>
        <v>24.192000000000007</v>
      </c>
      <c r="P34" s="22">
        <f t="shared" si="12"/>
        <v>219.57093799687286</v>
      </c>
      <c r="Q34" s="22"/>
      <c r="R34" s="22"/>
      <c r="S34" s="22">
        <f t="shared" si="6"/>
        <v>1028.9965431043013</v>
      </c>
      <c r="T34" s="22">
        <f t="shared" si="7"/>
        <v>1232.6234618624435</v>
      </c>
    </row>
    <row r="35" spans="1:20" x14ac:dyDescent="0.2">
      <c r="A35" s="5">
        <v>44</v>
      </c>
      <c r="B35" s="1">
        <f t="shared" si="8"/>
        <v>1.9002927007802071</v>
      </c>
      <c r="C35" s="5">
        <f t="shared" si="9"/>
        <v>54503.80742014751</v>
      </c>
      <c r="D35" s="5">
        <f t="shared" si="0"/>
        <v>52908.751315921458</v>
      </c>
      <c r="E35" s="5">
        <f t="shared" si="1"/>
        <v>43408.751315921458</v>
      </c>
      <c r="F35" s="5">
        <f t="shared" si="2"/>
        <v>15365.582436240504</v>
      </c>
      <c r="G35" s="5">
        <f t="shared" si="3"/>
        <v>37543.168879680954</v>
      </c>
      <c r="H35" s="22">
        <f t="shared" si="10"/>
        <v>24077.567913593492</v>
      </c>
      <c r="I35" s="5">
        <f t="shared" si="4"/>
        <v>60633.556508817113</v>
      </c>
      <c r="J35" s="26">
        <f t="shared" si="5"/>
        <v>0.19540966734120779</v>
      </c>
      <c r="L35" s="22">
        <f t="shared" si="11"/>
        <v>111014.72066063587</v>
      </c>
      <c r="M35" s="5">
        <f>scrimecost*Meta!O32</f>
        <v>1180.8</v>
      </c>
      <c r="N35" s="5">
        <f>L35-Grade11!L35</f>
        <v>1075.9057825240598</v>
      </c>
      <c r="O35" s="5">
        <f>Grade11!M35-M35</f>
        <v>24.192000000000007</v>
      </c>
      <c r="P35" s="22">
        <f t="shared" si="12"/>
        <v>225.9787970741759</v>
      </c>
      <c r="Q35" s="22"/>
      <c r="R35" s="22"/>
      <c r="S35" s="22">
        <f t="shared" si="6"/>
        <v>1055.0308493105044</v>
      </c>
      <c r="T35" s="22">
        <f t="shared" si="7"/>
        <v>1272.6169184977186</v>
      </c>
    </row>
    <row r="36" spans="1:20" x14ac:dyDescent="0.2">
      <c r="A36" s="5">
        <v>45</v>
      </c>
      <c r="B36" s="1">
        <f t="shared" si="8"/>
        <v>1.9478000182997122</v>
      </c>
      <c r="C36" s="5">
        <f t="shared" si="9"/>
        <v>55866.402605651194</v>
      </c>
      <c r="D36" s="5">
        <f t="shared" si="0"/>
        <v>54215.480098819491</v>
      </c>
      <c r="E36" s="5">
        <f t="shared" si="1"/>
        <v>44715.480098819491</v>
      </c>
      <c r="F36" s="5">
        <f t="shared" si="2"/>
        <v>15922.902262146514</v>
      </c>
      <c r="G36" s="5">
        <f t="shared" si="3"/>
        <v>38292.577836672979</v>
      </c>
      <c r="H36" s="22">
        <f t="shared" si="10"/>
        <v>24679.50711143333</v>
      </c>
      <c r="I36" s="5">
        <f t="shared" si="4"/>
        <v>61960.225156537541</v>
      </c>
      <c r="J36" s="26">
        <f t="shared" si="5"/>
        <v>0.19785867855705552</v>
      </c>
      <c r="L36" s="22">
        <f t="shared" si="11"/>
        <v>113790.08867715175</v>
      </c>
      <c r="M36" s="5">
        <f>scrimecost*Meta!O33</f>
        <v>954.27500000000009</v>
      </c>
      <c r="N36" s="5">
        <f>L36-Grade11!L36</f>
        <v>1102.8034270871722</v>
      </c>
      <c r="O36" s="5">
        <f>Grade11!M36-M36</f>
        <v>19.550999999999931</v>
      </c>
      <c r="P36" s="22">
        <f t="shared" si="12"/>
        <v>232.5468526284115</v>
      </c>
      <c r="Q36" s="22"/>
      <c r="R36" s="22"/>
      <c r="S36" s="22">
        <f t="shared" si="6"/>
        <v>1077.1399871718729</v>
      </c>
      <c r="T36" s="22">
        <f t="shared" si="7"/>
        <v>1308.3402501776704</v>
      </c>
    </row>
    <row r="37" spans="1:20" x14ac:dyDescent="0.2">
      <c r="A37" s="5">
        <v>46</v>
      </c>
      <c r="B37" s="1">
        <f t="shared" ref="B37:B56" si="13">(1+experiencepremium)^(A37-startage)</f>
        <v>1.9964950187572048</v>
      </c>
      <c r="C37" s="5">
        <f t="shared" ref="C37:C56" si="14">pretaxincome*B37/expnorm</f>
        <v>57263.062670792468</v>
      </c>
      <c r="D37" s="5">
        <f t="shared" ref="D37:D56" si="15">IF(A37&lt;startage,1,0)*(C37*(1-initialunempprob))+IF(A37=startage,1,0)*(C37*(1-unempprob))+IF(A37&gt;startage,1,0)*(C37*(1-unempprob)+unempprob*300*52)</f>
        <v>55554.877101289974</v>
      </c>
      <c r="E37" s="5">
        <f t="shared" si="1"/>
        <v>46054.877101289974</v>
      </c>
      <c r="F37" s="5">
        <f t="shared" si="2"/>
        <v>16494.155083700174</v>
      </c>
      <c r="G37" s="5">
        <f t="shared" si="3"/>
        <v>39060.722017589796</v>
      </c>
      <c r="H37" s="22">
        <f t="shared" ref="H37:H56" si="16">benefits*B37/expnorm</f>
        <v>25296.494789219159</v>
      </c>
      <c r="I37" s="5">
        <f t="shared" ref="I37:I56" si="17">G37+IF(A37&lt;startage,1,0)*(H37*(1-initialunempprob))+IF(A37&gt;=startage,1,0)*(H37*(1-unempprob))</f>
        <v>63320.06052045097</v>
      </c>
      <c r="J37" s="26">
        <f t="shared" si="5"/>
        <v>0.20024795779202895</v>
      </c>
      <c r="L37" s="22">
        <f t="shared" ref="L37:L56" si="18">(sincome+sbenefits)*(1-sunemp)*B37/expnorm</f>
        <v>116634.84089408054</v>
      </c>
      <c r="M37" s="5">
        <f>scrimecost*Meta!O34</f>
        <v>954.27500000000009</v>
      </c>
      <c r="N37" s="5">
        <f>L37-Grade11!L37</f>
        <v>1130.3735127643158</v>
      </c>
      <c r="O37" s="5">
        <f>Grade11!M37-M37</f>
        <v>19.550999999999931</v>
      </c>
      <c r="P37" s="22">
        <f t="shared" si="12"/>
        <v>239.27910957150303</v>
      </c>
      <c r="Q37" s="22"/>
      <c r="R37" s="22"/>
      <c r="S37" s="22">
        <f t="shared" si="6"/>
        <v>1104.4922801297407</v>
      </c>
      <c r="T37" s="22">
        <f t="shared" si="7"/>
        <v>1350.912617925376</v>
      </c>
    </row>
    <row r="38" spans="1:20" x14ac:dyDescent="0.2">
      <c r="A38" s="5">
        <v>47</v>
      </c>
      <c r="B38" s="1">
        <f t="shared" si="13"/>
        <v>2.0464073942261352</v>
      </c>
      <c r="C38" s="5">
        <f t="shared" si="14"/>
        <v>58694.639237562289</v>
      </c>
      <c r="D38" s="5">
        <f t="shared" si="15"/>
        <v>56927.759028822235</v>
      </c>
      <c r="E38" s="5">
        <f t="shared" si="1"/>
        <v>47427.759028822235</v>
      </c>
      <c r="F38" s="5">
        <f t="shared" si="2"/>
        <v>17079.689225792681</v>
      </c>
      <c r="G38" s="5">
        <f t="shared" si="3"/>
        <v>39848.069803029553</v>
      </c>
      <c r="H38" s="22">
        <f t="shared" si="16"/>
        <v>25928.907158949638</v>
      </c>
      <c r="I38" s="5">
        <f t="shared" si="17"/>
        <v>64713.891768462257</v>
      </c>
      <c r="J38" s="26">
        <f t="shared" si="5"/>
        <v>0.20257896192371033</v>
      </c>
      <c r="L38" s="22">
        <f t="shared" si="18"/>
        <v>119550.71191643257</v>
      </c>
      <c r="M38" s="5">
        <f>scrimecost*Meta!O35</f>
        <v>954.27500000000009</v>
      </c>
      <c r="N38" s="5">
        <f>L38-Grade11!L38</f>
        <v>1158.6328505834827</v>
      </c>
      <c r="O38" s="5">
        <f>Grade11!M38-M38</f>
        <v>19.550999999999931</v>
      </c>
      <c r="P38" s="22">
        <f t="shared" si="12"/>
        <v>246.17967293817188</v>
      </c>
      <c r="Q38" s="22"/>
      <c r="R38" s="22"/>
      <c r="S38" s="22">
        <f t="shared" si="6"/>
        <v>1132.5283804116266</v>
      </c>
      <c r="T38" s="22">
        <f t="shared" si="7"/>
        <v>1394.8570029164703</v>
      </c>
    </row>
    <row r="39" spans="1:20" x14ac:dyDescent="0.2">
      <c r="A39" s="5">
        <v>48</v>
      </c>
      <c r="B39" s="1">
        <f t="shared" si="13"/>
        <v>2.097567579081788</v>
      </c>
      <c r="C39" s="5">
        <f t="shared" si="14"/>
        <v>60162.005218501326</v>
      </c>
      <c r="D39" s="5">
        <f t="shared" si="15"/>
        <v>58334.963004542769</v>
      </c>
      <c r="E39" s="5">
        <f t="shared" si="1"/>
        <v>48834.963004542769</v>
      </c>
      <c r="F39" s="5">
        <f t="shared" si="2"/>
        <v>17679.86172143749</v>
      </c>
      <c r="G39" s="5">
        <f t="shared" si="3"/>
        <v>40655.101283105279</v>
      </c>
      <c r="H39" s="22">
        <f t="shared" si="16"/>
        <v>26577.129837923374</v>
      </c>
      <c r="I39" s="5">
        <f t="shared" si="17"/>
        <v>66142.568797673797</v>
      </c>
      <c r="J39" s="26">
        <f t="shared" si="5"/>
        <v>0.20485311229608238</v>
      </c>
      <c r="L39" s="22">
        <f t="shared" si="18"/>
        <v>122539.47971434335</v>
      </c>
      <c r="M39" s="5">
        <f>scrimecost*Meta!O36</f>
        <v>954.27500000000009</v>
      </c>
      <c r="N39" s="5">
        <f>L39-Grade11!L39</f>
        <v>1187.598671847998</v>
      </c>
      <c r="O39" s="5">
        <f>Grade11!M39-M39</f>
        <v>19.550999999999931</v>
      </c>
      <c r="P39" s="22">
        <f t="shared" si="12"/>
        <v>253.25275038900733</v>
      </c>
      <c r="Q39" s="22"/>
      <c r="R39" s="22"/>
      <c r="S39" s="22">
        <f t="shared" si="6"/>
        <v>1161.2653832004612</v>
      </c>
      <c r="T39" s="22">
        <f t="shared" si="7"/>
        <v>1440.2175311185454</v>
      </c>
    </row>
    <row r="40" spans="1:20" x14ac:dyDescent="0.2">
      <c r="A40" s="5">
        <v>49</v>
      </c>
      <c r="B40" s="1">
        <f t="shared" si="13"/>
        <v>2.1500067685588333</v>
      </c>
      <c r="C40" s="5">
        <f t="shared" si="14"/>
        <v>61666.055348963884</v>
      </c>
      <c r="D40" s="5">
        <f t="shared" si="15"/>
        <v>59777.347079656363</v>
      </c>
      <c r="E40" s="5">
        <f t="shared" si="1"/>
        <v>50277.347079656363</v>
      </c>
      <c r="F40" s="5">
        <f t="shared" si="2"/>
        <v>18295.038529473437</v>
      </c>
      <c r="G40" s="5">
        <f t="shared" si="3"/>
        <v>41482.308550182926</v>
      </c>
      <c r="H40" s="22">
        <f t="shared" si="16"/>
        <v>27241.55808387147</v>
      </c>
      <c r="I40" s="5">
        <f t="shared" si="17"/>
        <v>67606.962752615669</v>
      </c>
      <c r="J40" s="26">
        <f t="shared" ref="J40:J56" si="19">(F40-(IF(A40&gt;startage,1,0)*(unempprob*300*52)))/(IF(A40&lt;startage,1,0)*((C40+H40)*(1-initialunempprob))+IF(A40&gt;=startage,1,0)*((C40+H40)*(1-unempprob)))</f>
        <v>0.20707179558620151</v>
      </c>
      <c r="L40" s="22">
        <f t="shared" si="18"/>
        <v>125602.96670720197</v>
      </c>
      <c r="M40" s="5">
        <f>scrimecost*Meta!O37</f>
        <v>954.27500000000009</v>
      </c>
      <c r="N40" s="5">
        <f>L40-Grade11!L40</f>
        <v>1217.2886386442551</v>
      </c>
      <c r="O40" s="5">
        <f>Grade11!M40-M40</f>
        <v>19.550999999999931</v>
      </c>
      <c r="P40" s="22">
        <f t="shared" si="12"/>
        <v>260.50265477611384</v>
      </c>
      <c r="Q40" s="22"/>
      <c r="R40" s="22"/>
      <c r="S40" s="22">
        <f t="shared" ref="S40:S69" si="20">IF(A40&lt;startage,1,0)*(N40-Q40-R40)+IF(A40&gt;=startage,1,0)*completionprob*(N40*spart+O40+P40)</f>
        <v>1190.7208110591137</v>
      </c>
      <c r="T40" s="22">
        <f t="shared" ref="T40:T69" si="21">S40/sreturn^(A40-startage+1)</f>
        <v>1487.0397470174794</v>
      </c>
    </row>
    <row r="41" spans="1:20" x14ac:dyDescent="0.2">
      <c r="A41" s="5">
        <v>50</v>
      </c>
      <c r="B41" s="1">
        <f t="shared" si="13"/>
        <v>2.2037569377728037</v>
      </c>
      <c r="C41" s="5">
        <f t="shared" si="14"/>
        <v>63207.70673268797</v>
      </c>
      <c r="D41" s="5">
        <f t="shared" si="15"/>
        <v>61255.790756647759</v>
      </c>
      <c r="E41" s="5">
        <f t="shared" si="1"/>
        <v>51755.790756647759</v>
      </c>
      <c r="F41" s="5">
        <f t="shared" si="2"/>
        <v>18925.594757710271</v>
      </c>
      <c r="G41" s="5">
        <f t="shared" si="3"/>
        <v>42330.195998937488</v>
      </c>
      <c r="H41" s="22">
        <f t="shared" si="16"/>
        <v>27922.597035968247</v>
      </c>
      <c r="I41" s="5">
        <f t="shared" si="17"/>
        <v>69107.966556431027</v>
      </c>
      <c r="J41" s="26">
        <f t="shared" si="19"/>
        <v>0.20923636464973233</v>
      </c>
      <c r="L41" s="22">
        <f t="shared" si="18"/>
        <v>128743.04087488199</v>
      </c>
      <c r="M41" s="5">
        <f>scrimecost*Meta!O38</f>
        <v>637.54999999999995</v>
      </c>
      <c r="N41" s="5">
        <f>L41-Grade11!L41</f>
        <v>1247.7208546103357</v>
      </c>
      <c r="O41" s="5">
        <f>Grade11!M41-M41</f>
        <v>13.062000000000012</v>
      </c>
      <c r="P41" s="22">
        <f t="shared" si="12"/>
        <v>267.93380677289787</v>
      </c>
      <c r="Q41" s="22"/>
      <c r="R41" s="22"/>
      <c r="S41" s="22">
        <f t="shared" si="20"/>
        <v>1214.51447061417</v>
      </c>
      <c r="T41" s="22">
        <f t="shared" si="21"/>
        <v>1527.3245978271291</v>
      </c>
    </row>
    <row r="42" spans="1:20" x14ac:dyDescent="0.2">
      <c r="A42" s="5">
        <v>51</v>
      </c>
      <c r="B42" s="1">
        <f t="shared" si="13"/>
        <v>2.2588508612171236</v>
      </c>
      <c r="C42" s="5">
        <f t="shared" si="14"/>
        <v>64787.899401005154</v>
      </c>
      <c r="D42" s="5">
        <f t="shared" si="15"/>
        <v>62771.19552556394</v>
      </c>
      <c r="E42" s="5">
        <f t="shared" si="1"/>
        <v>53271.19552556394</v>
      </c>
      <c r="F42" s="5">
        <f t="shared" si="2"/>
        <v>19571.914891653021</v>
      </c>
      <c r="G42" s="5">
        <f t="shared" si="3"/>
        <v>43199.280633910923</v>
      </c>
      <c r="H42" s="22">
        <f t="shared" si="16"/>
        <v>28620.661961867452</v>
      </c>
      <c r="I42" s="5">
        <f t="shared" si="17"/>
        <v>70646.495455341807</v>
      </c>
      <c r="J42" s="26">
        <f t="shared" si="19"/>
        <v>0.21134813934585994</v>
      </c>
      <c r="L42" s="22">
        <f t="shared" si="18"/>
        <v>131961.61689675404</v>
      </c>
      <c r="M42" s="5">
        <f>scrimecost*Meta!O39</f>
        <v>637.54999999999995</v>
      </c>
      <c r="N42" s="5">
        <f>L42-Grade11!L42</f>
        <v>1278.9138759756024</v>
      </c>
      <c r="O42" s="5">
        <f>Grade11!M42-M42</f>
        <v>13.062000000000012</v>
      </c>
      <c r="P42" s="22">
        <f t="shared" si="12"/>
        <v>275.55073756960149</v>
      </c>
      <c r="Q42" s="22"/>
      <c r="R42" s="22"/>
      <c r="S42" s="22">
        <f t="shared" si="20"/>
        <v>1245.4610795081283</v>
      </c>
      <c r="T42" s="22">
        <f t="shared" si="21"/>
        <v>1577.1566546067604</v>
      </c>
    </row>
    <row r="43" spans="1:20" x14ac:dyDescent="0.2">
      <c r="A43" s="5">
        <v>52</v>
      </c>
      <c r="B43" s="1">
        <f t="shared" si="13"/>
        <v>2.3153221327475517</v>
      </c>
      <c r="C43" s="5">
        <f t="shared" si="14"/>
        <v>66407.596886030282</v>
      </c>
      <c r="D43" s="5">
        <f t="shared" si="15"/>
        <v>64324.485413703034</v>
      </c>
      <c r="E43" s="5">
        <f t="shared" si="1"/>
        <v>54824.485413703034</v>
      </c>
      <c r="F43" s="5">
        <f t="shared" si="2"/>
        <v>20234.393028944345</v>
      </c>
      <c r="G43" s="5">
        <f t="shared" si="3"/>
        <v>44090.092384758689</v>
      </c>
      <c r="H43" s="22">
        <f t="shared" si="16"/>
        <v>29336.178510914142</v>
      </c>
      <c r="I43" s="5">
        <f t="shared" si="17"/>
        <v>72223.487576725354</v>
      </c>
      <c r="J43" s="26">
        <f t="shared" si="19"/>
        <v>0.213408407342082</v>
      </c>
      <c r="L43" s="22">
        <f t="shared" si="18"/>
        <v>135260.65731917287</v>
      </c>
      <c r="M43" s="5">
        <f>scrimecost*Meta!O40</f>
        <v>637.54999999999995</v>
      </c>
      <c r="N43" s="5">
        <f>L43-Grade11!L43</f>
        <v>1310.8867228750023</v>
      </c>
      <c r="O43" s="5">
        <f>Grade11!M43-M43</f>
        <v>13.062000000000012</v>
      </c>
      <c r="P43" s="22">
        <f t="shared" si="12"/>
        <v>283.3580916362227</v>
      </c>
      <c r="Q43" s="22"/>
      <c r="R43" s="22"/>
      <c r="S43" s="22">
        <f t="shared" si="20"/>
        <v>1277.181353624437</v>
      </c>
      <c r="T43" s="22">
        <f t="shared" si="21"/>
        <v>1628.5956162375171</v>
      </c>
    </row>
    <row r="44" spans="1:20" x14ac:dyDescent="0.2">
      <c r="A44" s="5">
        <v>53</v>
      </c>
      <c r="B44" s="1">
        <f t="shared" si="13"/>
        <v>2.3732051860662402</v>
      </c>
      <c r="C44" s="5">
        <f t="shared" si="14"/>
        <v>68067.78680818103</v>
      </c>
      <c r="D44" s="5">
        <f t="shared" si="15"/>
        <v>65916.607549045613</v>
      </c>
      <c r="E44" s="5">
        <f t="shared" si="1"/>
        <v>56416.607549045613</v>
      </c>
      <c r="F44" s="5">
        <f t="shared" si="2"/>
        <v>20913.433119667956</v>
      </c>
      <c r="G44" s="5">
        <f t="shared" si="3"/>
        <v>45003.174429377657</v>
      </c>
      <c r="H44" s="22">
        <f t="shared" si="16"/>
        <v>30069.582973686989</v>
      </c>
      <c r="I44" s="5">
        <f t="shared" si="17"/>
        <v>73839.904501143479</v>
      </c>
      <c r="J44" s="26">
        <f t="shared" si="19"/>
        <v>0.21541842489937188</v>
      </c>
      <c r="L44" s="22">
        <f t="shared" si="18"/>
        <v>138642.17375215219</v>
      </c>
      <c r="M44" s="5">
        <f>scrimecost*Meta!O41</f>
        <v>637.54999999999995</v>
      </c>
      <c r="N44" s="5">
        <f>L44-Grade11!L44</f>
        <v>1343.6588909468555</v>
      </c>
      <c r="O44" s="5">
        <f>Grade11!M44-M44</f>
        <v>13.062000000000012</v>
      </c>
      <c r="P44" s="22">
        <f t="shared" si="12"/>
        <v>291.36062955450956</v>
      </c>
      <c r="Q44" s="22"/>
      <c r="R44" s="22"/>
      <c r="S44" s="22">
        <f t="shared" si="20"/>
        <v>1309.6946345936294</v>
      </c>
      <c r="T44" s="22">
        <f t="shared" si="21"/>
        <v>1681.6931694134696</v>
      </c>
    </row>
    <row r="45" spans="1:20" x14ac:dyDescent="0.2">
      <c r="A45" s="5">
        <v>54</v>
      </c>
      <c r="B45" s="1">
        <f t="shared" si="13"/>
        <v>2.4325353157178964</v>
      </c>
      <c r="C45" s="5">
        <f t="shared" si="14"/>
        <v>69769.481478385569</v>
      </c>
      <c r="D45" s="5">
        <f t="shared" si="15"/>
        <v>67548.532737771762</v>
      </c>
      <c r="E45" s="5">
        <f t="shared" si="1"/>
        <v>58048.532737771762</v>
      </c>
      <c r="F45" s="5">
        <f t="shared" si="2"/>
        <v>21609.44921265966</v>
      </c>
      <c r="G45" s="5">
        <f t="shared" si="3"/>
        <v>45939.083525112103</v>
      </c>
      <c r="H45" s="22">
        <f t="shared" si="16"/>
        <v>30821.322548029166</v>
      </c>
      <c r="I45" s="5">
        <f t="shared" si="17"/>
        <v>75496.731848672076</v>
      </c>
      <c r="J45" s="26">
        <f t="shared" si="19"/>
        <v>0.2173794176381913</v>
      </c>
      <c r="L45" s="22">
        <f t="shared" si="18"/>
        <v>142108.228095956</v>
      </c>
      <c r="M45" s="5">
        <f>scrimecost*Meta!O42</f>
        <v>637.54999999999995</v>
      </c>
      <c r="N45" s="5">
        <f>L45-Grade11!L45</f>
        <v>1377.250363220548</v>
      </c>
      <c r="O45" s="5">
        <f>Grade11!M45-M45</f>
        <v>13.062000000000012</v>
      </c>
      <c r="P45" s="22">
        <f t="shared" si="12"/>
        <v>299.5632309207536</v>
      </c>
      <c r="Q45" s="22"/>
      <c r="R45" s="22"/>
      <c r="S45" s="22">
        <f t="shared" si="20"/>
        <v>1343.0207475870836</v>
      </c>
      <c r="T45" s="22">
        <f t="shared" si="21"/>
        <v>1736.5026624460538</v>
      </c>
    </row>
    <row r="46" spans="1:20" x14ac:dyDescent="0.2">
      <c r="A46" s="5">
        <v>55</v>
      </c>
      <c r="B46" s="1">
        <f t="shared" si="13"/>
        <v>2.4933486986108435</v>
      </c>
      <c r="C46" s="5">
        <f t="shared" si="14"/>
        <v>71513.718515345201</v>
      </c>
      <c r="D46" s="5">
        <f t="shared" si="15"/>
        <v>69221.256056216051</v>
      </c>
      <c r="E46" s="5">
        <f t="shared" si="1"/>
        <v>59721.256056216051</v>
      </c>
      <c r="F46" s="5">
        <f t="shared" si="2"/>
        <v>22322.865707976147</v>
      </c>
      <c r="G46" s="5">
        <f t="shared" si="3"/>
        <v>46898.390348239904</v>
      </c>
      <c r="H46" s="22">
        <f t="shared" si="16"/>
        <v>31591.85561172989</v>
      </c>
      <c r="I46" s="5">
        <f t="shared" si="17"/>
        <v>77194.979879888866</v>
      </c>
      <c r="J46" s="26">
        <f t="shared" si="19"/>
        <v>0.21929258128581988</v>
      </c>
      <c r="L46" s="22">
        <f t="shared" si="18"/>
        <v>145660.9337983549</v>
      </c>
      <c r="M46" s="5">
        <f>scrimecost*Meta!O43</f>
        <v>353.625</v>
      </c>
      <c r="N46" s="5">
        <f>L46-Grade11!L46</f>
        <v>1411.6816223011119</v>
      </c>
      <c r="O46" s="5">
        <f>Grade11!M46-M46</f>
        <v>7.2449999999999477</v>
      </c>
      <c r="P46" s="22">
        <f t="shared" si="12"/>
        <v>307.97089732115364</v>
      </c>
      <c r="Q46" s="22"/>
      <c r="R46" s="22"/>
      <c r="S46" s="22">
        <f t="shared" si="20"/>
        <v>1371.4444514053964</v>
      </c>
      <c r="T46" s="22">
        <f t="shared" si="21"/>
        <v>1785.6114953446274</v>
      </c>
    </row>
    <row r="47" spans="1:20" x14ac:dyDescent="0.2">
      <c r="A47" s="5">
        <v>56</v>
      </c>
      <c r="B47" s="1">
        <f t="shared" si="13"/>
        <v>2.555682416076114</v>
      </c>
      <c r="C47" s="5">
        <f t="shared" si="14"/>
        <v>73301.561478228818</v>
      </c>
      <c r="D47" s="5">
        <f t="shared" si="15"/>
        <v>70935.797457621433</v>
      </c>
      <c r="E47" s="5">
        <f t="shared" si="1"/>
        <v>61435.797457621433</v>
      </c>
      <c r="F47" s="5">
        <f t="shared" si="2"/>
        <v>23054.117615675543</v>
      </c>
      <c r="G47" s="5">
        <f t="shared" si="3"/>
        <v>47881.679841945894</v>
      </c>
      <c r="H47" s="22">
        <f t="shared" si="16"/>
        <v>32381.652002023129</v>
      </c>
      <c r="I47" s="5">
        <f t="shared" si="17"/>
        <v>78935.684111886076</v>
      </c>
      <c r="J47" s="26">
        <f t="shared" si="19"/>
        <v>0.22115908240545756</v>
      </c>
      <c r="L47" s="22">
        <f t="shared" si="18"/>
        <v>149302.45714331375</v>
      </c>
      <c r="M47" s="5">
        <f>scrimecost*Meta!O44</f>
        <v>353.625</v>
      </c>
      <c r="N47" s="5">
        <f>L47-Grade11!L47</f>
        <v>1446.9736628585961</v>
      </c>
      <c r="O47" s="5">
        <f>Grade11!M47-M47</f>
        <v>7.2449999999999477</v>
      </c>
      <c r="P47" s="22">
        <f t="shared" si="12"/>
        <v>316.58875538156366</v>
      </c>
      <c r="Q47" s="22"/>
      <c r="R47" s="22"/>
      <c r="S47" s="22">
        <f t="shared" si="20"/>
        <v>1406.4576988690965</v>
      </c>
      <c r="T47" s="22">
        <f t="shared" si="21"/>
        <v>1843.9597875233803</v>
      </c>
    </row>
    <row r="48" spans="1:20" x14ac:dyDescent="0.2">
      <c r="A48" s="5">
        <v>57</v>
      </c>
      <c r="B48" s="1">
        <f t="shared" si="13"/>
        <v>2.6195744764780171</v>
      </c>
      <c r="C48" s="5">
        <f t="shared" si="14"/>
        <v>75134.100515184531</v>
      </c>
      <c r="D48" s="5">
        <f t="shared" si="15"/>
        <v>72693.202394061969</v>
      </c>
      <c r="E48" s="5">
        <f t="shared" si="1"/>
        <v>63193.202394061969</v>
      </c>
      <c r="F48" s="5">
        <f t="shared" si="2"/>
        <v>23803.650821067433</v>
      </c>
      <c r="G48" s="5">
        <f t="shared" si="3"/>
        <v>48889.551572994533</v>
      </c>
      <c r="H48" s="22">
        <f t="shared" si="16"/>
        <v>33191.193302073712</v>
      </c>
      <c r="I48" s="5">
        <f t="shared" si="17"/>
        <v>80719.90594968322</v>
      </c>
      <c r="J48" s="26">
        <f t="shared" si="19"/>
        <v>0.22298005910754312</v>
      </c>
      <c r="L48" s="22">
        <f t="shared" si="18"/>
        <v>153035.01857189659</v>
      </c>
      <c r="M48" s="5">
        <f>scrimecost*Meta!O45</f>
        <v>353.625</v>
      </c>
      <c r="N48" s="5">
        <f>L48-Grade11!L48</f>
        <v>1483.1480044300843</v>
      </c>
      <c r="O48" s="5">
        <f>Grade11!M48-M48</f>
        <v>7.2449999999999477</v>
      </c>
      <c r="P48" s="22">
        <f t="shared" si="12"/>
        <v>325.422059893484</v>
      </c>
      <c r="Q48" s="22"/>
      <c r="R48" s="22"/>
      <c r="S48" s="22">
        <f t="shared" si="20"/>
        <v>1442.3462775194391</v>
      </c>
      <c r="T48" s="22">
        <f t="shared" si="21"/>
        <v>1904.1902142851195</v>
      </c>
    </row>
    <row r="49" spans="1:20" x14ac:dyDescent="0.2">
      <c r="A49" s="5">
        <v>58</v>
      </c>
      <c r="B49" s="1">
        <f t="shared" si="13"/>
        <v>2.6850638383899672</v>
      </c>
      <c r="C49" s="5">
        <f t="shared" si="14"/>
        <v>77012.453028064134</v>
      </c>
      <c r="D49" s="5">
        <f t="shared" si="15"/>
        <v>74494.542453913513</v>
      </c>
      <c r="E49" s="5">
        <f t="shared" si="1"/>
        <v>64994.542453913513</v>
      </c>
      <c r="F49" s="5">
        <f t="shared" si="2"/>
        <v>24571.922356594114</v>
      </c>
      <c r="G49" s="5">
        <f t="shared" si="3"/>
        <v>49922.620097319399</v>
      </c>
      <c r="H49" s="22">
        <f t="shared" si="16"/>
        <v>34020.97313462555</v>
      </c>
      <c r="I49" s="5">
        <f t="shared" si="17"/>
        <v>82548.733333425305</v>
      </c>
      <c r="J49" s="26">
        <f t="shared" si="19"/>
        <v>0.22475662174372413</v>
      </c>
      <c r="L49" s="22">
        <f t="shared" si="18"/>
        <v>156860.89403619396</v>
      </c>
      <c r="M49" s="5">
        <f>scrimecost*Meta!O46</f>
        <v>353.625</v>
      </c>
      <c r="N49" s="5">
        <f>L49-Grade11!L49</f>
        <v>1520.2267045407498</v>
      </c>
      <c r="O49" s="5">
        <f>Grade11!M49-M49</f>
        <v>7.2449999999999477</v>
      </c>
      <c r="P49" s="22">
        <f t="shared" si="12"/>
        <v>334.47619701820224</v>
      </c>
      <c r="Q49" s="22"/>
      <c r="R49" s="22"/>
      <c r="S49" s="22">
        <f t="shared" si="20"/>
        <v>1479.1320706359579</v>
      </c>
      <c r="T49" s="22">
        <f t="shared" si="21"/>
        <v>1966.3633194401418</v>
      </c>
    </row>
    <row r="50" spans="1:20" x14ac:dyDescent="0.2">
      <c r="A50" s="5">
        <v>59</v>
      </c>
      <c r="B50" s="1">
        <f t="shared" si="13"/>
        <v>2.7521904343497163</v>
      </c>
      <c r="C50" s="5">
        <f t="shared" si="14"/>
        <v>78937.764353765742</v>
      </c>
      <c r="D50" s="5">
        <f t="shared" si="15"/>
        <v>76340.916015261348</v>
      </c>
      <c r="E50" s="5">
        <f t="shared" si="1"/>
        <v>66840.916015261348</v>
      </c>
      <c r="F50" s="5">
        <f t="shared" si="2"/>
        <v>25359.400680508967</v>
      </c>
      <c r="G50" s="5">
        <f t="shared" si="3"/>
        <v>50981.515334752381</v>
      </c>
      <c r="H50" s="22">
        <f t="shared" si="16"/>
        <v>34871.497462991189</v>
      </c>
      <c r="I50" s="5">
        <f t="shared" si="17"/>
        <v>84423.281401760934</v>
      </c>
      <c r="J50" s="26">
        <f t="shared" si="19"/>
        <v>0.22648985358390075</v>
      </c>
      <c r="L50" s="22">
        <f t="shared" si="18"/>
        <v>160782.41638709881</v>
      </c>
      <c r="M50" s="5">
        <f>scrimecost*Meta!O47</f>
        <v>353.625</v>
      </c>
      <c r="N50" s="5">
        <f>L50-Grade11!L50</f>
        <v>1558.2323721543071</v>
      </c>
      <c r="O50" s="5">
        <f>Grade11!M50-M50</f>
        <v>7.2449999999999477</v>
      </c>
      <c r="P50" s="22">
        <f t="shared" si="12"/>
        <v>343.75668757103853</v>
      </c>
      <c r="Q50" s="22"/>
      <c r="R50" s="22"/>
      <c r="S50" s="22">
        <f t="shared" si="20"/>
        <v>1516.8375085804839</v>
      </c>
      <c r="T50" s="22">
        <f t="shared" si="21"/>
        <v>2030.5415931834489</v>
      </c>
    </row>
    <row r="51" spans="1:20" x14ac:dyDescent="0.2">
      <c r="A51" s="5">
        <v>60</v>
      </c>
      <c r="B51" s="1">
        <f t="shared" si="13"/>
        <v>2.8209951952084591</v>
      </c>
      <c r="C51" s="5">
        <f t="shared" si="14"/>
        <v>80911.20846260988</v>
      </c>
      <c r="D51" s="5">
        <f t="shared" si="15"/>
        <v>78233.448915642875</v>
      </c>
      <c r="E51" s="5">
        <f t="shared" si="1"/>
        <v>68733.448915642875</v>
      </c>
      <c r="F51" s="5">
        <f t="shared" si="2"/>
        <v>26166.565962521687</v>
      </c>
      <c r="G51" s="5">
        <f t="shared" si="3"/>
        <v>52066.882953121189</v>
      </c>
      <c r="H51" s="22">
        <f t="shared" si="16"/>
        <v>35743.284899565966</v>
      </c>
      <c r="I51" s="5">
        <f t="shared" si="17"/>
        <v>86344.693171804945</v>
      </c>
      <c r="J51" s="26">
        <f t="shared" si="19"/>
        <v>0.22818081147675595</v>
      </c>
      <c r="L51" s="22">
        <f t="shared" si="18"/>
        <v>164801.97679677629</v>
      </c>
      <c r="M51" s="5">
        <f>scrimecost*Meta!O48</f>
        <v>186.54999999999998</v>
      </c>
      <c r="N51" s="5">
        <f>L51-Grade11!L51</f>
        <v>1597.1881814581575</v>
      </c>
      <c r="O51" s="5">
        <f>Grade11!M51-M51</f>
        <v>3.8220000000000027</v>
      </c>
      <c r="P51" s="22">
        <f t="shared" si="12"/>
        <v>353.26919038769563</v>
      </c>
      <c r="Q51" s="22"/>
      <c r="R51" s="22"/>
      <c r="S51" s="22">
        <f t="shared" si="20"/>
        <v>1552.1105044735882</v>
      </c>
      <c r="T51" s="22">
        <f t="shared" si="21"/>
        <v>2092.2399404300522</v>
      </c>
    </row>
    <row r="52" spans="1:20" x14ac:dyDescent="0.2">
      <c r="A52" s="5">
        <v>61</v>
      </c>
      <c r="B52" s="1">
        <f t="shared" si="13"/>
        <v>2.8915200750886707</v>
      </c>
      <c r="C52" s="5">
        <f t="shared" si="14"/>
        <v>82933.98867417514</v>
      </c>
      <c r="D52" s="5">
        <f t="shared" si="15"/>
        <v>80173.295138533955</v>
      </c>
      <c r="E52" s="5">
        <f t="shared" si="1"/>
        <v>70673.295138533955</v>
      </c>
      <c r="F52" s="5">
        <f t="shared" si="2"/>
        <v>26993.910376584732</v>
      </c>
      <c r="G52" s="5">
        <f t="shared" si="3"/>
        <v>53179.384761949223</v>
      </c>
      <c r="H52" s="22">
        <f t="shared" si="16"/>
        <v>36636.867022055114</v>
      </c>
      <c r="I52" s="5">
        <f t="shared" si="17"/>
        <v>88314.140236100066</v>
      </c>
      <c r="J52" s="26">
        <f t="shared" si="19"/>
        <v>0.22983052649417568</v>
      </c>
      <c r="L52" s="22">
        <f t="shared" si="18"/>
        <v>168922.0262166957</v>
      </c>
      <c r="M52" s="5">
        <f>scrimecost*Meta!O49</f>
        <v>186.54999999999998</v>
      </c>
      <c r="N52" s="5">
        <f>L52-Grade11!L52</f>
        <v>1637.1178859946376</v>
      </c>
      <c r="O52" s="5">
        <f>Grade11!M52-M52</f>
        <v>3.8220000000000027</v>
      </c>
      <c r="P52" s="22">
        <f t="shared" si="12"/>
        <v>363.01950577476924</v>
      </c>
      <c r="Q52" s="22"/>
      <c r="R52" s="22"/>
      <c r="S52" s="22">
        <f t="shared" si="20"/>
        <v>1591.7247802140455</v>
      </c>
      <c r="T52" s="22">
        <f t="shared" si="21"/>
        <v>2160.5924170395574</v>
      </c>
    </row>
    <row r="53" spans="1:20" x14ac:dyDescent="0.2">
      <c r="A53" s="5">
        <v>62</v>
      </c>
      <c r="B53" s="1">
        <f t="shared" si="13"/>
        <v>2.9638080769658868</v>
      </c>
      <c r="C53" s="5">
        <f t="shared" si="14"/>
        <v>85007.338391029494</v>
      </c>
      <c r="D53" s="5">
        <f t="shared" si="15"/>
        <v>82161.637516997289</v>
      </c>
      <c r="E53" s="5">
        <f t="shared" si="1"/>
        <v>72661.637516997289</v>
      </c>
      <c r="F53" s="5">
        <f t="shared" si="2"/>
        <v>27841.938400999345</v>
      </c>
      <c r="G53" s="5">
        <f t="shared" si="3"/>
        <v>54319.699115997944</v>
      </c>
      <c r="H53" s="22">
        <f t="shared" si="16"/>
        <v>37552.788697606484</v>
      </c>
      <c r="I53" s="5">
        <f t="shared" si="17"/>
        <v>90332.823477002559</v>
      </c>
      <c r="J53" s="26">
        <f t="shared" si="19"/>
        <v>0.23144000455995106</v>
      </c>
      <c r="L53" s="22">
        <f t="shared" si="18"/>
        <v>173145.07687211304</v>
      </c>
      <c r="M53" s="5">
        <f>scrimecost*Meta!O50</f>
        <v>186.54999999999998</v>
      </c>
      <c r="N53" s="5">
        <f>L53-Grade11!L53</f>
        <v>1678.0458331444534</v>
      </c>
      <c r="O53" s="5">
        <f>Grade11!M53-M53</f>
        <v>3.8220000000000027</v>
      </c>
      <c r="P53" s="22">
        <f t="shared" si="12"/>
        <v>373.01357904651968</v>
      </c>
      <c r="Q53" s="22"/>
      <c r="R53" s="22"/>
      <c r="S53" s="22">
        <f t="shared" si="20"/>
        <v>1632.3294128479567</v>
      </c>
      <c r="T53" s="22">
        <f t="shared" si="21"/>
        <v>2231.1496259484938</v>
      </c>
    </row>
    <row r="54" spans="1:20" x14ac:dyDescent="0.2">
      <c r="A54" s="5">
        <v>63</v>
      </c>
      <c r="B54" s="1">
        <f t="shared" si="13"/>
        <v>3.0379032788900342</v>
      </c>
      <c r="C54" s="5">
        <f t="shared" si="14"/>
        <v>87132.521850805235</v>
      </c>
      <c r="D54" s="5">
        <f t="shared" si="15"/>
        <v>84199.688454922216</v>
      </c>
      <c r="E54" s="5">
        <f t="shared" si="1"/>
        <v>74699.688454922216</v>
      </c>
      <c r="F54" s="5">
        <f t="shared" si="2"/>
        <v>28711.167126024324</v>
      </c>
      <c r="G54" s="5">
        <f t="shared" si="3"/>
        <v>55488.521328897892</v>
      </c>
      <c r="H54" s="22">
        <f t="shared" si="16"/>
        <v>38491.608415046649</v>
      </c>
      <c r="I54" s="5">
        <f t="shared" si="17"/>
        <v>92401.973798927618</v>
      </c>
      <c r="J54" s="26">
        <f t="shared" si="19"/>
        <v>0.23301022706314647</v>
      </c>
      <c r="L54" s="22">
        <f t="shared" si="18"/>
        <v>177473.70379391589</v>
      </c>
      <c r="M54" s="5">
        <f>scrimecost*Meta!O51</f>
        <v>186.54999999999998</v>
      </c>
      <c r="N54" s="5">
        <f>L54-Grade11!L54</f>
        <v>1719.9969789731258</v>
      </c>
      <c r="O54" s="5">
        <f>Grade11!M54-M54</f>
        <v>3.8220000000000027</v>
      </c>
      <c r="P54" s="22">
        <f t="shared" si="12"/>
        <v>383.25750415006388</v>
      </c>
      <c r="Q54" s="22"/>
      <c r="R54" s="22"/>
      <c r="S54" s="22">
        <f t="shared" si="20"/>
        <v>1673.9491612977995</v>
      </c>
      <c r="T54" s="22">
        <f t="shared" si="21"/>
        <v>2303.9824874344135</v>
      </c>
    </row>
    <row r="55" spans="1:20" x14ac:dyDescent="0.2">
      <c r="A55" s="5">
        <v>64</v>
      </c>
      <c r="B55" s="1">
        <f t="shared" si="13"/>
        <v>3.1138508608622844</v>
      </c>
      <c r="C55" s="5">
        <f t="shared" si="14"/>
        <v>89310.834897075343</v>
      </c>
      <c r="D55" s="5">
        <f t="shared" si="15"/>
        <v>86288.690666295253</v>
      </c>
      <c r="E55" s="5">
        <f t="shared" si="1"/>
        <v>76788.690666295253</v>
      </c>
      <c r="F55" s="5">
        <f t="shared" si="2"/>
        <v>29602.126569174925</v>
      </c>
      <c r="G55" s="5">
        <f t="shared" si="3"/>
        <v>56686.564097120325</v>
      </c>
      <c r="H55" s="22">
        <f t="shared" si="16"/>
        <v>39453.898625422808</v>
      </c>
      <c r="I55" s="5">
        <f t="shared" si="17"/>
        <v>94522.852878900798</v>
      </c>
      <c r="J55" s="26">
        <f t="shared" si="19"/>
        <v>0.23454215145650792</v>
      </c>
      <c r="L55" s="22">
        <f t="shared" si="18"/>
        <v>181910.54638876376</v>
      </c>
      <c r="M55" s="5">
        <f>scrimecost*Meta!O52</f>
        <v>186.54999999999998</v>
      </c>
      <c r="N55" s="5">
        <f>L55-Grade11!L55</f>
        <v>1762.9969034473761</v>
      </c>
      <c r="O55" s="5">
        <f>Grade11!M55-M55</f>
        <v>3.8220000000000027</v>
      </c>
      <c r="P55" s="22">
        <f t="shared" si="12"/>
        <v>393.75752738119667</v>
      </c>
      <c r="Q55" s="22"/>
      <c r="R55" s="22"/>
      <c r="S55" s="22">
        <f t="shared" si="20"/>
        <v>1716.6094034587838</v>
      </c>
      <c r="T55" s="22">
        <f t="shared" si="21"/>
        <v>2379.1642017399995</v>
      </c>
    </row>
    <row r="56" spans="1:20" x14ac:dyDescent="0.2">
      <c r="A56" s="5">
        <v>65</v>
      </c>
      <c r="B56" s="1">
        <f t="shared" si="13"/>
        <v>3.1916971323838421</v>
      </c>
      <c r="C56" s="5">
        <f t="shared" si="14"/>
        <v>91543.605769502246</v>
      </c>
      <c r="D56" s="5">
        <f t="shared" si="15"/>
        <v>88429.917932952652</v>
      </c>
      <c r="E56" s="5">
        <f t="shared" si="1"/>
        <v>78929.917932952652</v>
      </c>
      <c r="F56" s="5">
        <f t="shared" si="2"/>
        <v>30515.359998404307</v>
      </c>
      <c r="G56" s="5">
        <f t="shared" si="3"/>
        <v>57914.557934548342</v>
      </c>
      <c r="H56" s="22">
        <f t="shared" si="16"/>
        <v>40440.24609105839</v>
      </c>
      <c r="I56" s="5">
        <f t="shared" si="17"/>
        <v>96696.753935873334</v>
      </c>
      <c r="J56" s="26">
        <f t="shared" si="19"/>
        <v>0.23603671184027517</v>
      </c>
      <c r="L56" s="22">
        <f t="shared" si="18"/>
        <v>186458.31004848288</v>
      </c>
      <c r="M56" s="5">
        <f>scrimecost*Meta!O53</f>
        <v>56.375</v>
      </c>
      <c r="N56" s="5">
        <f>L56-Grade11!L56</f>
        <v>1807.0718260336143</v>
      </c>
      <c r="O56" s="5">
        <f>Grade11!M56-M56</f>
        <v>1.1550000000000011</v>
      </c>
      <c r="P56" s="22">
        <f t="shared" si="12"/>
        <v>404.52005119310786</v>
      </c>
      <c r="Q56" s="22"/>
      <c r="R56" s="22"/>
      <c r="S56" s="22">
        <f t="shared" si="20"/>
        <v>1757.7064896738918</v>
      </c>
      <c r="T56" s="22">
        <f t="shared" si="21"/>
        <v>2453.1002985691471</v>
      </c>
    </row>
    <row r="57" spans="1:20" x14ac:dyDescent="0.2">
      <c r="A57" s="5">
        <v>66</v>
      </c>
      <c r="C57" s="5"/>
      <c r="H57" s="21"/>
      <c r="I57" s="5"/>
      <c r="M57" s="5">
        <f>scrimecost*Meta!O54</f>
        <v>56.375</v>
      </c>
      <c r="N57" s="5">
        <f>L57-Grade11!L57</f>
        <v>0</v>
      </c>
      <c r="O57" s="5">
        <f>Grade11!M57-M57</f>
        <v>1.1550000000000011</v>
      </c>
      <c r="Q57" s="22"/>
      <c r="R57" s="22"/>
      <c r="S57" s="22">
        <f t="shared" si="20"/>
        <v>1.1388300000000011</v>
      </c>
      <c r="T57" s="22">
        <f t="shared" si="21"/>
        <v>1.6004564758465731</v>
      </c>
    </row>
    <row r="58" spans="1:20" x14ac:dyDescent="0.2">
      <c r="A58" s="5">
        <v>67</v>
      </c>
      <c r="C58" s="5"/>
      <c r="H58" s="21"/>
      <c r="I58" s="5"/>
      <c r="M58" s="5">
        <f>scrimecost*Meta!O55</f>
        <v>56.375</v>
      </c>
      <c r="N58" s="5">
        <f>L58-Grade11!L58</f>
        <v>0</v>
      </c>
      <c r="O58" s="5">
        <f>Grade11!M58-M58</f>
        <v>1.1550000000000011</v>
      </c>
      <c r="Q58" s="22"/>
      <c r="R58" s="22"/>
      <c r="S58" s="22">
        <f t="shared" si="20"/>
        <v>1.1388300000000011</v>
      </c>
      <c r="T58" s="22">
        <f t="shared" si="21"/>
        <v>1.6116097563270975</v>
      </c>
    </row>
    <row r="59" spans="1:20" x14ac:dyDescent="0.2">
      <c r="A59" s="5">
        <v>68</v>
      </c>
      <c r="H59" s="21"/>
      <c r="I59" s="5"/>
      <c r="M59" s="5">
        <f>scrimecost*Meta!O56</f>
        <v>56.375</v>
      </c>
      <c r="N59" s="5">
        <f>L59-Grade11!L59</f>
        <v>0</v>
      </c>
      <c r="O59" s="5">
        <f>Grade11!M59-M59</f>
        <v>1.1550000000000011</v>
      </c>
      <c r="Q59" s="22"/>
      <c r="R59" s="22"/>
      <c r="S59" s="22">
        <f t="shared" si="20"/>
        <v>1.1388300000000011</v>
      </c>
      <c r="T59" s="22">
        <f t="shared" si="21"/>
        <v>1.6228407619237717</v>
      </c>
    </row>
    <row r="60" spans="1:20" x14ac:dyDescent="0.2">
      <c r="A60" s="5">
        <v>69</v>
      </c>
      <c r="H60" s="21"/>
      <c r="I60" s="5"/>
      <c r="M60" s="5">
        <f>scrimecost*Meta!O57</f>
        <v>56.375</v>
      </c>
      <c r="N60" s="5">
        <f>L60-Grade11!L60</f>
        <v>0</v>
      </c>
      <c r="O60" s="5">
        <f>Grade11!M60-M60</f>
        <v>1.1550000000000011</v>
      </c>
      <c r="Q60" s="22"/>
      <c r="R60" s="22"/>
      <c r="S60" s="22">
        <f t="shared" si="20"/>
        <v>1.1388300000000011</v>
      </c>
      <c r="T60" s="22">
        <f t="shared" si="21"/>
        <v>1.6341500342883264</v>
      </c>
    </row>
    <row r="61" spans="1:20" x14ac:dyDescent="0.2">
      <c r="A61" s="5">
        <v>70</v>
      </c>
      <c r="H61" s="21"/>
      <c r="I61" s="5"/>
      <c r="M61" s="5">
        <f>scrimecost*Meta!O58</f>
        <v>56.375</v>
      </c>
      <c r="N61" s="5">
        <f>L61-Grade11!L61</f>
        <v>0</v>
      </c>
      <c r="O61" s="5">
        <f>Grade11!M61-M61</f>
        <v>1.1550000000000011</v>
      </c>
      <c r="Q61" s="22"/>
      <c r="R61" s="22"/>
      <c r="S61" s="22">
        <f t="shared" si="20"/>
        <v>1.1388300000000011</v>
      </c>
      <c r="T61" s="22">
        <f t="shared" si="21"/>
        <v>1.6455381188471618</v>
      </c>
    </row>
    <row r="62" spans="1:20" x14ac:dyDescent="0.2">
      <c r="A62" s="5">
        <v>71</v>
      </c>
      <c r="H62" s="21"/>
      <c r="I62" s="5"/>
      <c r="M62" s="5">
        <f>scrimecost*Meta!O59</f>
        <v>56.375</v>
      </c>
      <c r="N62" s="5">
        <f>L62-Grade11!L62</f>
        <v>0</v>
      </c>
      <c r="O62" s="5">
        <f>Grade11!M62-M62</f>
        <v>1.1550000000000011</v>
      </c>
      <c r="Q62" s="22"/>
      <c r="R62" s="22"/>
      <c r="S62" s="22">
        <f t="shared" si="20"/>
        <v>1.1388300000000011</v>
      </c>
      <c r="T62" s="22">
        <f t="shared" si="21"/>
        <v>1.6570055648276525</v>
      </c>
    </row>
    <row r="63" spans="1:20" x14ac:dyDescent="0.2">
      <c r="A63" s="5">
        <v>72</v>
      </c>
      <c r="H63" s="21"/>
      <c r="M63" s="5">
        <f>scrimecost*Meta!O60</f>
        <v>56.375</v>
      </c>
      <c r="N63" s="5">
        <f>L63-Grade11!L63</f>
        <v>0</v>
      </c>
      <c r="O63" s="5">
        <f>Grade11!M63-M63</f>
        <v>1.1550000000000011</v>
      </c>
      <c r="Q63" s="22"/>
      <c r="R63" s="22"/>
      <c r="S63" s="22">
        <f t="shared" si="20"/>
        <v>1.1388300000000011</v>
      </c>
      <c r="T63" s="22">
        <f t="shared" si="21"/>
        <v>1.6685529252846354</v>
      </c>
    </row>
    <row r="64" spans="1:20" x14ac:dyDescent="0.2">
      <c r="A64" s="5">
        <v>73</v>
      </c>
      <c r="H64" s="21"/>
      <c r="M64" s="5">
        <f>scrimecost*Meta!O61</f>
        <v>56.375</v>
      </c>
      <c r="N64" s="5">
        <f>L64-Grade11!L64</f>
        <v>0</v>
      </c>
      <c r="O64" s="5">
        <f>Grade11!M64-M64</f>
        <v>1.1550000000000011</v>
      </c>
      <c r="Q64" s="22"/>
      <c r="R64" s="22"/>
      <c r="S64" s="22">
        <f t="shared" si="20"/>
        <v>1.1388300000000011</v>
      </c>
      <c r="T64" s="22">
        <f t="shared" si="21"/>
        <v>1.6801807571270819</v>
      </c>
    </row>
    <row r="65" spans="1:20" x14ac:dyDescent="0.2">
      <c r="A65" s="5">
        <v>74</v>
      </c>
      <c r="H65" s="21"/>
      <c r="M65" s="5">
        <f>scrimecost*Meta!O62</f>
        <v>56.375</v>
      </c>
      <c r="N65" s="5">
        <f>L65-Grade11!L65</f>
        <v>0</v>
      </c>
      <c r="O65" s="5">
        <f>Grade11!M65-M65</f>
        <v>1.1550000000000011</v>
      </c>
      <c r="Q65" s="22"/>
      <c r="R65" s="22"/>
      <c r="S65" s="22">
        <f t="shared" si="20"/>
        <v>1.1388300000000011</v>
      </c>
      <c r="T65" s="22">
        <f t="shared" si="21"/>
        <v>1.6918896211449594</v>
      </c>
    </row>
    <row r="66" spans="1:20" x14ac:dyDescent="0.2">
      <c r="A66" s="5">
        <v>75</v>
      </c>
      <c r="H66" s="21"/>
      <c r="M66" s="5">
        <f>scrimecost*Meta!O63</f>
        <v>56.375</v>
      </c>
      <c r="N66" s="5">
        <f>L66-Grade11!L66</f>
        <v>0</v>
      </c>
      <c r="O66" s="5">
        <f>Grade11!M66-M66</f>
        <v>1.1550000000000011</v>
      </c>
      <c r="Q66" s="22"/>
      <c r="R66" s="22"/>
      <c r="S66" s="22">
        <f t="shared" si="20"/>
        <v>1.1388300000000011</v>
      </c>
      <c r="T66" s="22">
        <f t="shared" si="21"/>
        <v>1.7036800820362727</v>
      </c>
    </row>
    <row r="67" spans="1:20" x14ac:dyDescent="0.2">
      <c r="A67" s="5">
        <v>76</v>
      </c>
      <c r="H67" s="21"/>
      <c r="M67" s="5">
        <f>scrimecost*Meta!O64</f>
        <v>56.375</v>
      </c>
      <c r="N67" s="5">
        <f>L67-Grade11!L67</f>
        <v>0</v>
      </c>
      <c r="O67" s="5">
        <f>Grade11!M67-M67</f>
        <v>1.1550000000000011</v>
      </c>
      <c r="Q67" s="22"/>
      <c r="R67" s="22"/>
      <c r="S67" s="22">
        <f t="shared" si="20"/>
        <v>1.1388300000000011</v>
      </c>
      <c r="T67" s="22">
        <f t="shared" si="21"/>
        <v>1.7155527084343027</v>
      </c>
    </row>
    <row r="68" spans="1:20" x14ac:dyDescent="0.2">
      <c r="A68" s="5">
        <v>77</v>
      </c>
      <c r="H68" s="21"/>
      <c r="M68" s="5">
        <f>scrimecost*Meta!O65</f>
        <v>56.375</v>
      </c>
      <c r="N68" s="5">
        <f>L68-Grade11!L68</f>
        <v>0</v>
      </c>
      <c r="O68" s="5">
        <f>Grade11!M68-M68</f>
        <v>1.1550000000000011</v>
      </c>
      <c r="Q68" s="22"/>
      <c r="R68" s="22"/>
      <c r="S68" s="22">
        <f t="shared" si="20"/>
        <v>1.1388300000000011</v>
      </c>
      <c r="T68" s="22">
        <f t="shared" si="21"/>
        <v>1.7275080729350276</v>
      </c>
    </row>
    <row r="69" spans="1:20" x14ac:dyDescent="0.2">
      <c r="A69" s="5">
        <v>78</v>
      </c>
      <c r="H69" s="21"/>
      <c r="M69" s="5">
        <f>scrimecost*Meta!O66</f>
        <v>56.375</v>
      </c>
      <c r="N69" s="5">
        <f>L69-Grade11!L69</f>
        <v>0</v>
      </c>
      <c r="O69" s="5">
        <f>Grade11!M69-M69</f>
        <v>1.1550000000000011</v>
      </c>
      <c r="Q69" s="22"/>
      <c r="R69" s="22"/>
      <c r="S69" s="22">
        <f t="shared" si="20"/>
        <v>1.1388300000000011</v>
      </c>
      <c r="T69" s="22">
        <f t="shared" si="21"/>
        <v>1.7395467521247399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2.3335045007399913E-10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N10" sqref="N10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Meta!A7+6</f>
        <v>19</v>
      </c>
      <c r="C2" s="7">
        <f>Meta!B7</f>
        <v>56457</v>
      </c>
      <c r="D2" s="7">
        <f>Meta!C7</f>
        <v>24807</v>
      </c>
      <c r="E2" s="1">
        <f>Meta!D7</f>
        <v>0.04</v>
      </c>
      <c r="F2" s="1">
        <f>Meta!F7</f>
        <v>0.71599999999999997</v>
      </c>
      <c r="G2" s="1">
        <f>Meta!I7</f>
        <v>1.8652741552202943</v>
      </c>
      <c r="H2" s="1">
        <f>Meta!E7</f>
        <v>0.90300000000000002</v>
      </c>
      <c r="I2" s="13"/>
      <c r="J2" s="1">
        <f>Meta!X6</f>
        <v>0.76200000000000001</v>
      </c>
      <c r="K2" s="1">
        <f>Meta!D6</f>
        <v>4.1000000000000002E-2</v>
      </c>
      <c r="L2" s="29"/>
      <c r="N2" s="22">
        <f>Meta!T7</f>
        <v>81994</v>
      </c>
      <c r="O2" s="22">
        <f>Meta!U7</f>
        <v>34136</v>
      </c>
      <c r="P2" s="1">
        <f>Meta!V7</f>
        <v>2.9000000000000001E-2</v>
      </c>
      <c r="Q2" s="1">
        <f>Meta!X7</f>
        <v>0.76600000000000001</v>
      </c>
      <c r="R2" s="22">
        <f>Meta!W7</f>
        <v>1017</v>
      </c>
      <c r="T2" s="12">
        <f>IRR(S5:S69)+1</f>
        <v>0.98589388475311734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B9" s="1">
        <v>1</v>
      </c>
      <c r="C9" s="5">
        <f>0.1*Grade12!C9</f>
        <v>2868.1795913739907</v>
      </c>
      <c r="D9" s="5">
        <f t="shared" ref="D9:D36" si="0">IF(A9&lt;startage,1,0)*(C9*(1-initialunempprob))+IF(A9=startage,1,0)*(C9*(1-unempprob))+IF(A9&gt;startage,1,0)*(C9*(1-unempprob)+unempprob*300*52)</f>
        <v>2750.5842281276568</v>
      </c>
      <c r="E9" s="5">
        <f t="shared" ref="E9:E56" si="1">IF(D9-9500&gt;0,1,0)*(D9-9500)</f>
        <v>0</v>
      </c>
      <c r="F9" s="5">
        <f t="shared" ref="F9:F56" si="2">IF(E9&lt;=8500,1,0)*(0.1*E9+0.1*E9+0.0765*D9)+IF(AND(E9&gt;8500,E9&lt;=34500),1,0)*(850+0.15*(E9-8500)+0.1*E9+0.0765*D9)+IF(AND(E9&gt;34500,E9&lt;=83600),1,0)*(4750+0.25*(E9-34500)+0.1*E9+0.0765*D9)+IF(AND(E9&gt;83600,E9&lt;=174400,D9&lt;=106800),1,0)*(17025+0.28*(E9-83600)+0.1*E9+0.0765*D9)+IF(AND(E9&gt;83600,E9&lt;=174400,D9&gt;106800),1,0)*(17025+0.28*(E9-83600)+0.1*E9+8170.2+0.0145*(D9-106800))+IF(AND(E9&gt;174400,E9&lt;=379150),1,0)*(42449+0.33*(E9-174400)+0.1*E9+8170.2+0.0145*(D9-106800))+IF(E9&gt;379150,1,0)*(110016.5+0.35*(E9-379150)+0.1*E9+8170.2+0.0145*(D9-106800))</f>
        <v>210.41969345176574</v>
      </c>
      <c r="G9" s="5">
        <f t="shared" ref="G9:G56" si="3">D9-F9</f>
        <v>2540.164534675891</v>
      </c>
      <c r="H9" s="22">
        <f>0.1*Grade12!H9</f>
        <v>1267.0452243334892</v>
      </c>
      <c r="I9" s="5">
        <f t="shared" ref="I9:I36" si="4">G9+IF(A9&lt;startage,1,0)*(H9*(1-initialunempprob))+IF(A9&gt;=startage,1,0)*(H9*(1-unempprob))</f>
        <v>3755.260904811707</v>
      </c>
      <c r="J9" s="26">
        <f t="shared" ref="J9:J56" si="5">(F9-(IF(A9&gt;startage,1,0)*(unempprob*300*52)))/(IF(A9&lt;startage,1,0)*((C9+H9)*(1-initialunempprob))+IF(A9&gt;=startage,1,0)*((C9+H9)*(1-unempprob)))</f>
        <v>5.3060171700137965E-2</v>
      </c>
      <c r="L9" s="22">
        <f>0.1*Grade12!L9</f>
        <v>5841.9800599695154</v>
      </c>
      <c r="M9" s="5">
        <f>scrimecost*Meta!O6</f>
        <v>3352.0319999999997</v>
      </c>
      <c r="N9" s="5">
        <f>L9-Grade12!L9</f>
        <v>-52577.820539725639</v>
      </c>
      <c r="O9" s="5"/>
      <c r="P9" s="22"/>
      <c r="Q9" s="22">
        <f>0.05*feel*Grade12!G9</f>
        <v>298.5525868701568</v>
      </c>
      <c r="R9" s="22">
        <f>coltuition</f>
        <v>8279</v>
      </c>
      <c r="S9" s="22">
        <f t="shared" ref="S9:S40" si="6">IF(A9&lt;startage,1,0)*(N9-Q9-R9)+IF(A9&gt;=startage,1,0)*completionprob*(N9*spart+O9+P9)</f>
        <v>-61155.373126595798</v>
      </c>
      <c r="T9" s="22">
        <f t="shared" ref="T9:T40" si="7">S9/sreturn^(A9-startage+1)</f>
        <v>-61155.373126595798</v>
      </c>
    </row>
    <row r="10" spans="1:20" x14ac:dyDescent="0.2">
      <c r="A10" s="5">
        <v>19</v>
      </c>
      <c r="B10" s="1">
        <f t="shared" ref="B10:B36" si="8">(1+experiencepremium)^(A10-startage)</f>
        <v>1</v>
      </c>
      <c r="C10" s="5">
        <f t="shared" ref="C10:C36" si="9">pretaxincome*B10/expnorm</f>
        <v>30267.400554495038</v>
      </c>
      <c r="D10" s="5">
        <f t="shared" si="0"/>
        <v>29056.704532315234</v>
      </c>
      <c r="E10" s="5">
        <f t="shared" si="1"/>
        <v>19556.704532315234</v>
      </c>
      <c r="F10" s="5">
        <f t="shared" si="2"/>
        <v>6687.0140298009246</v>
      </c>
      <c r="G10" s="5">
        <f t="shared" si="3"/>
        <v>22369.69050251431</v>
      </c>
      <c r="H10" s="22">
        <f t="shared" ref="H10:H36" si="10">benefits*B10/expnorm</f>
        <v>13299.385471338514</v>
      </c>
      <c r="I10" s="5">
        <f t="shared" si="4"/>
        <v>35137.100554999284</v>
      </c>
      <c r="J10" s="26">
        <f t="shared" si="5"/>
        <v>0.15988417438563376</v>
      </c>
      <c r="L10" s="22">
        <f t="shared" ref="L10:L36" si="11">(sincome+sbenefits)*(1-sunemp)*B10/expnorm</f>
        <v>60453.435053724017</v>
      </c>
      <c r="M10" s="5">
        <f>scrimecost*Meta!O7</f>
        <v>3582.8910000000001</v>
      </c>
      <c r="N10" s="5">
        <f>L10-Grade12!L10</f>
        <v>573.1394390364876</v>
      </c>
      <c r="O10" s="5">
        <f>Grade12!M10-M10</f>
        <v>28.184000000000196</v>
      </c>
      <c r="P10" s="22">
        <f t="shared" ref="P10:P56" si="12">(spart-initialspart)*(L10*J10+nptrans)</f>
        <v>64.878190209360838</v>
      </c>
      <c r="Q10" s="22"/>
      <c r="R10" s="22"/>
      <c r="S10" s="22">
        <f t="shared" si="6"/>
        <v>480.47456146171339</v>
      </c>
      <c r="T10" s="22">
        <f t="shared" si="7"/>
        <v>487.34916494794106</v>
      </c>
    </row>
    <row r="11" spans="1:20" x14ac:dyDescent="0.2">
      <c r="A11" s="5">
        <v>20</v>
      </c>
      <c r="B11" s="1">
        <f t="shared" si="8"/>
        <v>1.0249999999999999</v>
      </c>
      <c r="C11" s="5">
        <f t="shared" si="9"/>
        <v>31024.085568357412</v>
      </c>
      <c r="D11" s="5">
        <f t="shared" si="0"/>
        <v>30407.122145623114</v>
      </c>
      <c r="E11" s="5">
        <f t="shared" si="1"/>
        <v>20907.122145623114</v>
      </c>
      <c r="F11" s="5">
        <f t="shared" si="2"/>
        <v>7127.9253805459466</v>
      </c>
      <c r="G11" s="5">
        <f t="shared" si="3"/>
        <v>23279.196765077169</v>
      </c>
      <c r="H11" s="22">
        <f t="shared" si="10"/>
        <v>13631.870108121975</v>
      </c>
      <c r="I11" s="5">
        <f t="shared" si="4"/>
        <v>36365.792068874267</v>
      </c>
      <c r="J11" s="26">
        <f t="shared" si="5"/>
        <v>0.15171374498139847</v>
      </c>
      <c r="L11" s="22">
        <f t="shared" si="11"/>
        <v>61964.770930067112</v>
      </c>
      <c r="M11" s="5">
        <f>scrimecost*Meta!O8</f>
        <v>3431.3580000000002</v>
      </c>
      <c r="N11" s="5">
        <f>L11-Grade12!L11</f>
        <v>587.46792501239543</v>
      </c>
      <c r="O11" s="5">
        <f>Grade12!M11-M11</f>
        <v>26.991999999999734</v>
      </c>
      <c r="P11" s="22">
        <f t="shared" si="12"/>
        <v>63.819629818859958</v>
      </c>
      <c r="Q11" s="22"/>
      <c r="R11" s="22"/>
      <c r="S11" s="22">
        <f t="shared" si="6"/>
        <v>488.35329052165429</v>
      </c>
      <c r="T11" s="22">
        <f t="shared" si="7"/>
        <v>502.42792869349034</v>
      </c>
    </row>
    <row r="12" spans="1:20" x14ac:dyDescent="0.2">
      <c r="A12" s="5">
        <v>21</v>
      </c>
      <c r="B12" s="1">
        <f t="shared" si="8"/>
        <v>1.0506249999999999</v>
      </c>
      <c r="C12" s="5">
        <f t="shared" si="9"/>
        <v>31799.687707566347</v>
      </c>
      <c r="D12" s="5">
        <f t="shared" si="0"/>
        <v>31151.700199263691</v>
      </c>
      <c r="E12" s="5">
        <f t="shared" si="1"/>
        <v>21651.700199263691</v>
      </c>
      <c r="F12" s="5">
        <f t="shared" si="2"/>
        <v>7371.0301150595951</v>
      </c>
      <c r="G12" s="5">
        <f t="shared" si="3"/>
        <v>23780.670084204095</v>
      </c>
      <c r="H12" s="22">
        <f t="shared" si="10"/>
        <v>13972.666860825024</v>
      </c>
      <c r="I12" s="5">
        <f t="shared" si="4"/>
        <v>37194.430270596116</v>
      </c>
      <c r="J12" s="26">
        <f t="shared" si="5"/>
        <v>0.15354587798957409</v>
      </c>
      <c r="L12" s="22">
        <f t="shared" si="11"/>
        <v>63513.890203318799</v>
      </c>
      <c r="M12" s="5">
        <f>scrimecost*Meta!O9</f>
        <v>3116.0880000000002</v>
      </c>
      <c r="N12" s="5">
        <f>L12-Grade12!L12</f>
        <v>602.15462313771422</v>
      </c>
      <c r="O12" s="5">
        <f>Grade12!M12-M12</f>
        <v>24.511999999999716</v>
      </c>
      <c r="P12" s="22">
        <f t="shared" si="12"/>
        <v>65.225184143208025</v>
      </c>
      <c r="Q12" s="22"/>
      <c r="R12" s="22"/>
      <c r="S12" s="22">
        <f t="shared" si="6"/>
        <v>497.54182579642725</v>
      </c>
      <c r="T12" s="22">
        <f t="shared" si="7"/>
        <v>519.2052522557085</v>
      </c>
    </row>
    <row r="13" spans="1:20" x14ac:dyDescent="0.2">
      <c r="A13" s="5">
        <v>22</v>
      </c>
      <c r="B13" s="1">
        <f t="shared" si="8"/>
        <v>1.0768906249999999</v>
      </c>
      <c r="C13" s="5">
        <f t="shared" si="9"/>
        <v>32594.679900255505</v>
      </c>
      <c r="D13" s="5">
        <f t="shared" si="0"/>
        <v>31914.892704245285</v>
      </c>
      <c r="E13" s="5">
        <f t="shared" si="1"/>
        <v>22414.892704245285</v>
      </c>
      <c r="F13" s="5">
        <f t="shared" si="2"/>
        <v>7620.2124679360859</v>
      </c>
      <c r="G13" s="5">
        <f t="shared" si="3"/>
        <v>24294.680236309199</v>
      </c>
      <c r="H13" s="22">
        <f t="shared" si="10"/>
        <v>14321.983532345648</v>
      </c>
      <c r="I13" s="5">
        <f t="shared" si="4"/>
        <v>38043.784427361024</v>
      </c>
      <c r="J13" s="26">
        <f t="shared" si="5"/>
        <v>0.15533332482681858</v>
      </c>
      <c r="L13" s="22">
        <f t="shared" si="11"/>
        <v>65101.737458401767</v>
      </c>
      <c r="M13" s="5">
        <f>scrimecost*Meta!O10</f>
        <v>2855.7359999999999</v>
      </c>
      <c r="N13" s="5">
        <f>L13-Grade12!L13</f>
        <v>617.20848871616181</v>
      </c>
      <c r="O13" s="5">
        <f>Grade12!M13-M13</f>
        <v>22.463999999999942</v>
      </c>
      <c r="P13" s="22">
        <f t="shared" si="12"/>
        <v>66.665877325664795</v>
      </c>
      <c r="Q13" s="22"/>
      <c r="R13" s="22"/>
      <c r="S13" s="22">
        <f t="shared" si="6"/>
        <v>507.40615645306696</v>
      </c>
      <c r="T13" s="22">
        <f t="shared" si="7"/>
        <v>537.07512855690572</v>
      </c>
    </row>
    <row r="14" spans="1:20" x14ac:dyDescent="0.2">
      <c r="A14" s="5">
        <v>23</v>
      </c>
      <c r="B14" s="1">
        <f t="shared" si="8"/>
        <v>1.1038128906249998</v>
      </c>
      <c r="C14" s="5">
        <f t="shared" si="9"/>
        <v>33409.546897761888</v>
      </c>
      <c r="D14" s="5">
        <f t="shared" si="0"/>
        <v>32697.165021851411</v>
      </c>
      <c r="E14" s="5">
        <f t="shared" si="1"/>
        <v>23197.165021851411</v>
      </c>
      <c r="F14" s="5">
        <f t="shared" si="2"/>
        <v>7875.6243796344861</v>
      </c>
      <c r="G14" s="5">
        <f t="shared" si="3"/>
        <v>24821.540642216925</v>
      </c>
      <c r="H14" s="22">
        <f t="shared" si="10"/>
        <v>14680.033120654289</v>
      </c>
      <c r="I14" s="5">
        <f t="shared" si="4"/>
        <v>38914.372438045044</v>
      </c>
      <c r="J14" s="26">
        <f t="shared" si="5"/>
        <v>0.15707717539974</v>
      </c>
      <c r="L14" s="22">
        <f t="shared" si="11"/>
        <v>66729.280894861804</v>
      </c>
      <c r="M14" s="5">
        <f>scrimecost*Meta!O11</f>
        <v>2668.6080000000002</v>
      </c>
      <c r="N14" s="5">
        <f>L14-Grade12!L14</f>
        <v>632.63870093406877</v>
      </c>
      <c r="O14" s="5">
        <f>Grade12!M14-M14</f>
        <v>20.991999999999734</v>
      </c>
      <c r="P14" s="22">
        <f t="shared" si="12"/>
        <v>68.142587837682967</v>
      </c>
      <c r="Q14" s="22"/>
      <c r="R14" s="22"/>
      <c r="S14" s="22">
        <f t="shared" si="6"/>
        <v>518.08345697612094</v>
      </c>
      <c r="T14" s="22">
        <f t="shared" si="7"/>
        <v>556.22289475484672</v>
      </c>
    </row>
    <row r="15" spans="1:20" x14ac:dyDescent="0.2">
      <c r="A15" s="5">
        <v>24</v>
      </c>
      <c r="B15" s="1">
        <f t="shared" si="8"/>
        <v>1.1314082128906247</v>
      </c>
      <c r="C15" s="5">
        <f t="shared" si="9"/>
        <v>34244.785570205931</v>
      </c>
      <c r="D15" s="5">
        <f t="shared" si="0"/>
        <v>33498.994147397694</v>
      </c>
      <c r="E15" s="5">
        <f t="shared" si="1"/>
        <v>23998.994147397694</v>
      </c>
      <c r="F15" s="5">
        <f t="shared" si="2"/>
        <v>8137.4215891253471</v>
      </c>
      <c r="G15" s="5">
        <f t="shared" si="3"/>
        <v>25361.572558272346</v>
      </c>
      <c r="H15" s="22">
        <f t="shared" si="10"/>
        <v>15047.033948670645</v>
      </c>
      <c r="I15" s="5">
        <f t="shared" si="4"/>
        <v>39806.725148996164</v>
      </c>
      <c r="J15" s="26">
        <f t="shared" si="5"/>
        <v>0.15877849303185848</v>
      </c>
      <c r="L15" s="22">
        <f t="shared" si="11"/>
        <v>68397.51291723334</v>
      </c>
      <c r="M15" s="5">
        <f>scrimecost*Meta!O12</f>
        <v>2549.6190000000001</v>
      </c>
      <c r="N15" s="5">
        <f>L15-Grade12!L15</f>
        <v>648.45466845741612</v>
      </c>
      <c r="O15" s="5">
        <f>Grade12!M15-M15</f>
        <v>20.05600000000004</v>
      </c>
      <c r="P15" s="22">
        <f t="shared" si="12"/>
        <v>69.656216112501596</v>
      </c>
      <c r="Q15" s="22"/>
      <c r="R15" s="22"/>
      <c r="S15" s="22">
        <f t="shared" si="6"/>
        <v>529.54492841224692</v>
      </c>
      <c r="T15" s="22">
        <f t="shared" si="7"/>
        <v>576.66258734539747</v>
      </c>
    </row>
    <row r="16" spans="1:20" x14ac:dyDescent="0.2">
      <c r="A16" s="5">
        <v>25</v>
      </c>
      <c r="B16" s="1">
        <f t="shared" si="8"/>
        <v>1.1596934182128902</v>
      </c>
      <c r="C16" s="5">
        <f t="shared" si="9"/>
        <v>35100.905209461074</v>
      </c>
      <c r="D16" s="5">
        <f t="shared" si="0"/>
        <v>34320.869001082632</v>
      </c>
      <c r="E16" s="5">
        <f t="shared" si="1"/>
        <v>24820.869001082632</v>
      </c>
      <c r="F16" s="5">
        <f t="shared" si="2"/>
        <v>8405.7637288534788</v>
      </c>
      <c r="G16" s="5">
        <f t="shared" si="3"/>
        <v>25915.105272229153</v>
      </c>
      <c r="H16" s="22">
        <f t="shared" si="10"/>
        <v>15423.20979738741</v>
      </c>
      <c r="I16" s="5">
        <f t="shared" si="4"/>
        <v>40721.386677721064</v>
      </c>
      <c r="J16" s="26">
        <f t="shared" si="5"/>
        <v>0.16043831511197404</v>
      </c>
      <c r="L16" s="22">
        <f t="shared" si="11"/>
        <v>70107.450740164175</v>
      </c>
      <c r="M16" s="5">
        <f>scrimecost*Meta!O13</f>
        <v>2140.7849999999999</v>
      </c>
      <c r="N16" s="5">
        <f>L16-Grade12!L16</f>
        <v>664.66603516884788</v>
      </c>
      <c r="O16" s="5">
        <f>Grade12!M16-M16</f>
        <v>16.840000000000146</v>
      </c>
      <c r="P16" s="22">
        <f t="shared" si="12"/>
        <v>71.207685094190694</v>
      </c>
      <c r="Q16" s="22"/>
      <c r="R16" s="22"/>
      <c r="S16" s="22">
        <f t="shared" si="6"/>
        <v>539.25522683427607</v>
      </c>
      <c r="T16" s="22">
        <f t="shared" si="7"/>
        <v>595.63903813928596</v>
      </c>
    </row>
    <row r="17" spans="1:20" x14ac:dyDescent="0.2">
      <c r="A17" s="5">
        <v>26</v>
      </c>
      <c r="B17" s="1">
        <f t="shared" si="8"/>
        <v>1.1886857536682125</v>
      </c>
      <c r="C17" s="5">
        <f t="shared" si="9"/>
        <v>35978.427839697608</v>
      </c>
      <c r="D17" s="5">
        <f t="shared" si="0"/>
        <v>35163.290726109699</v>
      </c>
      <c r="E17" s="5">
        <f t="shared" si="1"/>
        <v>25663.290726109699</v>
      </c>
      <c r="F17" s="5">
        <f t="shared" si="2"/>
        <v>8680.8144220748163</v>
      </c>
      <c r="G17" s="5">
        <f t="shared" si="3"/>
        <v>26482.476304034884</v>
      </c>
      <c r="H17" s="22">
        <f t="shared" si="10"/>
        <v>15808.790042322096</v>
      </c>
      <c r="I17" s="5">
        <f t="shared" si="4"/>
        <v>41658.9147446641</v>
      </c>
      <c r="J17" s="26">
        <f t="shared" si="5"/>
        <v>0.16205765372672098</v>
      </c>
      <c r="L17" s="22">
        <f t="shared" si="11"/>
        <v>71860.137008668273</v>
      </c>
      <c r="M17" s="5">
        <f>scrimecost*Meta!O14</f>
        <v>2140.7849999999999</v>
      </c>
      <c r="N17" s="5">
        <f>L17-Grade12!L17</f>
        <v>681.2826860480709</v>
      </c>
      <c r="O17" s="5">
        <f>Grade12!M17-M17</f>
        <v>16.840000000000146</v>
      </c>
      <c r="P17" s="22">
        <f t="shared" si="12"/>
        <v>72.797940800422026</v>
      </c>
      <c r="Q17" s="22"/>
      <c r="R17" s="22"/>
      <c r="S17" s="22">
        <f t="shared" si="6"/>
        <v>552.1849319168598</v>
      </c>
      <c r="T17" s="22">
        <f t="shared" si="7"/>
        <v>618.64736709408044</v>
      </c>
    </row>
    <row r="18" spans="1:20" x14ac:dyDescent="0.2">
      <c r="A18" s="5">
        <v>27</v>
      </c>
      <c r="B18" s="1">
        <f t="shared" si="8"/>
        <v>1.2184028975099177</v>
      </c>
      <c r="C18" s="5">
        <f t="shared" si="9"/>
        <v>36877.888535690043</v>
      </c>
      <c r="D18" s="5">
        <f t="shared" si="0"/>
        <v>36026.772994262443</v>
      </c>
      <c r="E18" s="5">
        <f t="shared" si="1"/>
        <v>26526.772994262443</v>
      </c>
      <c r="F18" s="5">
        <f t="shared" si="2"/>
        <v>8962.7413826266875</v>
      </c>
      <c r="G18" s="5">
        <f t="shared" si="3"/>
        <v>27064.031611635757</v>
      </c>
      <c r="H18" s="22">
        <f t="shared" si="10"/>
        <v>16204.009793380146</v>
      </c>
      <c r="I18" s="5">
        <f t="shared" si="4"/>
        <v>42619.881013280698</v>
      </c>
      <c r="J18" s="26">
        <f t="shared" si="5"/>
        <v>0.16363749627769361</v>
      </c>
      <c r="L18" s="22">
        <f t="shared" si="11"/>
        <v>73656.640433884982</v>
      </c>
      <c r="M18" s="5">
        <f>scrimecost*Meta!O15</f>
        <v>2140.7849999999999</v>
      </c>
      <c r="N18" s="5">
        <f>L18-Grade12!L18</f>
        <v>698.31475319928722</v>
      </c>
      <c r="O18" s="5">
        <f>Grade12!M18-M18</f>
        <v>16.840000000000146</v>
      </c>
      <c r="P18" s="22">
        <f t="shared" si="12"/>
        <v>74.427952899309147</v>
      </c>
      <c r="Q18" s="22"/>
      <c r="R18" s="22"/>
      <c r="S18" s="22">
        <f t="shared" si="6"/>
        <v>565.43787962651697</v>
      </c>
      <c r="T18" s="22">
        <f t="shared" si="7"/>
        <v>642.55949281252867</v>
      </c>
    </row>
    <row r="19" spans="1:20" x14ac:dyDescent="0.2">
      <c r="A19" s="5">
        <v>28</v>
      </c>
      <c r="B19" s="1">
        <f t="shared" si="8"/>
        <v>1.2488629699476654</v>
      </c>
      <c r="C19" s="5">
        <f t="shared" si="9"/>
        <v>37799.835749082289</v>
      </c>
      <c r="D19" s="5">
        <f t="shared" si="0"/>
        <v>36911.842319118994</v>
      </c>
      <c r="E19" s="5">
        <f t="shared" si="1"/>
        <v>27411.842319118994</v>
      </c>
      <c r="F19" s="5">
        <f t="shared" si="2"/>
        <v>9251.7165171923516</v>
      </c>
      <c r="G19" s="5">
        <f t="shared" si="3"/>
        <v>27660.125801926642</v>
      </c>
      <c r="H19" s="22">
        <f t="shared" si="10"/>
        <v>16609.110038214647</v>
      </c>
      <c r="I19" s="5">
        <f t="shared" si="4"/>
        <v>43604.871438612703</v>
      </c>
      <c r="J19" s="26">
        <f t="shared" si="5"/>
        <v>0.16517880608352048</v>
      </c>
      <c r="L19" s="22">
        <f t="shared" si="11"/>
        <v>75498.056444732079</v>
      </c>
      <c r="M19" s="5">
        <f>scrimecost*Meta!O16</f>
        <v>2140.7849999999999</v>
      </c>
      <c r="N19" s="5">
        <f>L19-Grade12!L19</f>
        <v>715.77262202923885</v>
      </c>
      <c r="O19" s="5">
        <f>Grade12!M19-M19</f>
        <v>16.840000000000146</v>
      </c>
      <c r="P19" s="22">
        <f t="shared" si="12"/>
        <v>76.098715300668403</v>
      </c>
      <c r="Q19" s="22"/>
      <c r="R19" s="22"/>
      <c r="S19" s="22">
        <f t="shared" si="6"/>
        <v>579.02215102888431</v>
      </c>
      <c r="T19" s="22">
        <f t="shared" si="7"/>
        <v>667.41113844371648</v>
      </c>
    </row>
    <row r="20" spans="1:20" x14ac:dyDescent="0.2">
      <c r="A20" s="5">
        <v>29</v>
      </c>
      <c r="B20" s="1">
        <f t="shared" si="8"/>
        <v>1.2800845441963571</v>
      </c>
      <c r="C20" s="5">
        <f t="shared" si="9"/>
        <v>38744.831642809346</v>
      </c>
      <c r="D20" s="5">
        <f t="shared" si="0"/>
        <v>37819.038377096971</v>
      </c>
      <c r="E20" s="5">
        <f t="shared" si="1"/>
        <v>28319.038377096971</v>
      </c>
      <c r="F20" s="5">
        <f t="shared" si="2"/>
        <v>9547.91603012216</v>
      </c>
      <c r="G20" s="5">
        <f t="shared" si="3"/>
        <v>28271.122346974811</v>
      </c>
      <c r="H20" s="22">
        <f t="shared" si="10"/>
        <v>17024.337789170015</v>
      </c>
      <c r="I20" s="5">
        <f t="shared" si="4"/>
        <v>44614.486624578029</v>
      </c>
      <c r="J20" s="26">
        <f t="shared" si="5"/>
        <v>0.16668252296725408</v>
      </c>
      <c r="L20" s="22">
        <f t="shared" si="11"/>
        <v>77385.507855850388</v>
      </c>
      <c r="M20" s="5">
        <f>scrimecost*Meta!O17</f>
        <v>2140.7849999999999</v>
      </c>
      <c r="N20" s="5">
        <f>L20-Grade12!L20</f>
        <v>733.66693757996836</v>
      </c>
      <c r="O20" s="5">
        <f>Grade12!M20-M20</f>
        <v>16.840000000000146</v>
      </c>
      <c r="P20" s="22">
        <f t="shared" si="12"/>
        <v>77.811246762061671</v>
      </c>
      <c r="Q20" s="22"/>
      <c r="R20" s="22"/>
      <c r="S20" s="22">
        <f t="shared" si="6"/>
        <v>592.94602921633088</v>
      </c>
      <c r="T20" s="22">
        <f t="shared" si="7"/>
        <v>693.23944230812879</v>
      </c>
    </row>
    <row r="21" spans="1:20" x14ac:dyDescent="0.2">
      <c r="A21" s="5">
        <v>30</v>
      </c>
      <c r="B21" s="1">
        <f t="shared" si="8"/>
        <v>1.312086657801266</v>
      </c>
      <c r="C21" s="5">
        <f t="shared" si="9"/>
        <v>39713.452433879575</v>
      </c>
      <c r="D21" s="5">
        <f t="shared" si="0"/>
        <v>38748.914336524387</v>
      </c>
      <c r="E21" s="5">
        <f t="shared" si="1"/>
        <v>29248.914336524387</v>
      </c>
      <c r="F21" s="5">
        <f t="shared" si="2"/>
        <v>9851.520530875212</v>
      </c>
      <c r="G21" s="5">
        <f t="shared" si="3"/>
        <v>28897.393805649175</v>
      </c>
      <c r="H21" s="22">
        <f t="shared" si="10"/>
        <v>17449.946233899263</v>
      </c>
      <c r="I21" s="5">
        <f t="shared" si="4"/>
        <v>45649.342190192467</v>
      </c>
      <c r="J21" s="26">
        <f t="shared" si="5"/>
        <v>0.16814956382943319</v>
      </c>
      <c r="L21" s="22">
        <f t="shared" si="11"/>
        <v>79320.145552246657</v>
      </c>
      <c r="M21" s="5">
        <f>scrimecost*Meta!O18</f>
        <v>1725.8490000000002</v>
      </c>
      <c r="N21" s="5">
        <f>L21-Grade12!L21</f>
        <v>752.00861101948249</v>
      </c>
      <c r="O21" s="5">
        <f>Grade12!M21-M21</f>
        <v>13.575999999999794</v>
      </c>
      <c r="P21" s="22">
        <f t="shared" si="12"/>
        <v>79.566591509989792</v>
      </c>
      <c r="Q21" s="22"/>
      <c r="R21" s="22"/>
      <c r="S21" s="22">
        <f t="shared" si="6"/>
        <v>604.27061235847452</v>
      </c>
      <c r="T21" s="22">
        <f t="shared" si="7"/>
        <v>716.58778346271413</v>
      </c>
    </row>
    <row r="22" spans="1:20" x14ac:dyDescent="0.2">
      <c r="A22" s="5">
        <v>31</v>
      </c>
      <c r="B22" s="1">
        <f t="shared" si="8"/>
        <v>1.3448888242462975</v>
      </c>
      <c r="C22" s="5">
        <f t="shared" si="9"/>
        <v>40706.288744726568</v>
      </c>
      <c r="D22" s="5">
        <f t="shared" si="0"/>
        <v>39702.037194937504</v>
      </c>
      <c r="E22" s="5">
        <f t="shared" si="1"/>
        <v>30202.037194937504</v>
      </c>
      <c r="F22" s="5">
        <f t="shared" si="2"/>
        <v>10162.715144147096</v>
      </c>
      <c r="G22" s="5">
        <f t="shared" si="3"/>
        <v>29539.322050790408</v>
      </c>
      <c r="H22" s="22">
        <f t="shared" si="10"/>
        <v>17886.194889746745</v>
      </c>
      <c r="I22" s="5">
        <f t="shared" si="4"/>
        <v>46710.06914494728</v>
      </c>
      <c r="J22" s="26">
        <f t="shared" si="5"/>
        <v>0.16958082320716894</v>
      </c>
      <c r="L22" s="22">
        <f t="shared" si="11"/>
        <v>81303.149191052813</v>
      </c>
      <c r="M22" s="5">
        <f>scrimecost*Meta!O19</f>
        <v>1725.8490000000002</v>
      </c>
      <c r="N22" s="5">
        <f>L22-Grade12!L22</f>
        <v>770.80882629497501</v>
      </c>
      <c r="O22" s="5">
        <f>Grade12!M22-M22</f>
        <v>13.575999999999794</v>
      </c>
      <c r="P22" s="22">
        <f t="shared" si="12"/>
        <v>81.365819876616101</v>
      </c>
      <c r="Q22" s="22"/>
      <c r="R22" s="22"/>
      <c r="S22" s="22">
        <f t="shared" si="6"/>
        <v>618.89938687916583</v>
      </c>
      <c r="T22" s="22">
        <f t="shared" si="7"/>
        <v>744.43675263852367</v>
      </c>
    </row>
    <row r="23" spans="1:20" x14ac:dyDescent="0.2">
      <c r="A23" s="5">
        <v>32</v>
      </c>
      <c r="B23" s="1">
        <f t="shared" si="8"/>
        <v>1.3785110448524549</v>
      </c>
      <c r="C23" s="5">
        <f t="shared" si="9"/>
        <v>41723.945963344733</v>
      </c>
      <c r="D23" s="5">
        <f t="shared" si="0"/>
        <v>40678.988124810945</v>
      </c>
      <c r="E23" s="5">
        <f t="shared" si="1"/>
        <v>31178.988124810945</v>
      </c>
      <c r="F23" s="5">
        <f t="shared" si="2"/>
        <v>10481.689622750773</v>
      </c>
      <c r="G23" s="5">
        <f t="shared" si="3"/>
        <v>30197.29850206017</v>
      </c>
      <c r="H23" s="22">
        <f t="shared" si="10"/>
        <v>18333.349761990412</v>
      </c>
      <c r="I23" s="5">
        <f t="shared" si="4"/>
        <v>47797.31427357097</v>
      </c>
      <c r="J23" s="26">
        <f t="shared" si="5"/>
        <v>0.17097717381959404</v>
      </c>
      <c r="L23" s="22">
        <f t="shared" si="11"/>
        <v>83335.727920829129</v>
      </c>
      <c r="M23" s="5">
        <f>scrimecost*Meta!O20</f>
        <v>1725.8490000000002</v>
      </c>
      <c r="N23" s="5">
        <f>L23-Grade12!L23</f>
        <v>790.07904695234902</v>
      </c>
      <c r="O23" s="5">
        <f>Grade12!M23-M23</f>
        <v>13.575999999999794</v>
      </c>
      <c r="P23" s="22">
        <f t="shared" si="12"/>
        <v>83.210028952408081</v>
      </c>
      <c r="Q23" s="22"/>
      <c r="R23" s="22"/>
      <c r="S23" s="22">
        <f t="shared" si="6"/>
        <v>633.89388076287025</v>
      </c>
      <c r="T23" s="22">
        <f t="shared" si="7"/>
        <v>773.3821427944132</v>
      </c>
    </row>
    <row r="24" spans="1:20" x14ac:dyDescent="0.2">
      <c r="A24" s="5">
        <v>33</v>
      </c>
      <c r="B24" s="1">
        <f t="shared" si="8"/>
        <v>1.4129738209737661</v>
      </c>
      <c r="C24" s="5">
        <f t="shared" si="9"/>
        <v>42767.044612428348</v>
      </c>
      <c r="D24" s="5">
        <f t="shared" si="0"/>
        <v>41680.362827931211</v>
      </c>
      <c r="E24" s="5">
        <f t="shared" si="1"/>
        <v>32180.362827931211</v>
      </c>
      <c r="F24" s="5">
        <f t="shared" si="2"/>
        <v>10808.638463319541</v>
      </c>
      <c r="G24" s="5">
        <f t="shared" si="3"/>
        <v>30871.724364611669</v>
      </c>
      <c r="H24" s="22">
        <f t="shared" si="10"/>
        <v>18791.683506040172</v>
      </c>
      <c r="I24" s="5">
        <f t="shared" si="4"/>
        <v>48911.740530410229</v>
      </c>
      <c r="J24" s="26">
        <f t="shared" si="5"/>
        <v>0.17233946710000875</v>
      </c>
      <c r="L24" s="22">
        <f t="shared" si="11"/>
        <v>85419.121118849842</v>
      </c>
      <c r="M24" s="5">
        <f>scrimecost*Meta!O21</f>
        <v>1725.8490000000002</v>
      </c>
      <c r="N24" s="5">
        <f>L24-Grade12!L24</f>
        <v>809.8310231261421</v>
      </c>
      <c r="O24" s="5">
        <f>Grade12!M24-M24</f>
        <v>13.575999999999794</v>
      </c>
      <c r="P24" s="22">
        <f t="shared" si="12"/>
        <v>85.100343255094828</v>
      </c>
      <c r="Q24" s="22"/>
      <c r="R24" s="22"/>
      <c r="S24" s="22">
        <f t="shared" si="6"/>
        <v>649.26323699365673</v>
      </c>
      <c r="T24" s="22">
        <f t="shared" si="7"/>
        <v>803.46732647252554</v>
      </c>
    </row>
    <row r="25" spans="1:20" x14ac:dyDescent="0.2">
      <c r="A25" s="5">
        <v>34</v>
      </c>
      <c r="B25" s="1">
        <f t="shared" si="8"/>
        <v>1.4482981664981105</v>
      </c>
      <c r="C25" s="5">
        <f t="shared" si="9"/>
        <v>43836.220727739063</v>
      </c>
      <c r="D25" s="5">
        <f t="shared" si="0"/>
        <v>42706.7718986295</v>
      </c>
      <c r="E25" s="5">
        <f t="shared" si="1"/>
        <v>33206.7718986295</v>
      </c>
      <c r="F25" s="5">
        <f t="shared" si="2"/>
        <v>11143.761024902531</v>
      </c>
      <c r="G25" s="5">
        <f t="shared" si="3"/>
        <v>31563.010873726969</v>
      </c>
      <c r="H25" s="22">
        <f t="shared" si="10"/>
        <v>19261.475593691179</v>
      </c>
      <c r="I25" s="5">
        <f t="shared" si="4"/>
        <v>50054.0274436705</v>
      </c>
      <c r="J25" s="26">
        <f t="shared" si="5"/>
        <v>0.17366853371504754</v>
      </c>
      <c r="L25" s="22">
        <f t="shared" si="11"/>
        <v>87554.5991468211</v>
      </c>
      <c r="M25" s="5">
        <f>scrimecost*Meta!O22</f>
        <v>1725.8490000000002</v>
      </c>
      <c r="N25" s="5">
        <f>L25-Grade12!L25</f>
        <v>830.07679870430729</v>
      </c>
      <c r="O25" s="5">
        <f>Grade12!M25-M25</f>
        <v>13.575999999999794</v>
      </c>
      <c r="P25" s="22">
        <f t="shared" si="12"/>
        <v>87.037915415348763</v>
      </c>
      <c r="Q25" s="22"/>
      <c r="R25" s="22"/>
      <c r="S25" s="22">
        <f t="shared" si="6"/>
        <v>665.0168271302316</v>
      </c>
      <c r="T25" s="22">
        <f t="shared" si="7"/>
        <v>834.73739493077062</v>
      </c>
    </row>
    <row r="26" spans="1:20" x14ac:dyDescent="0.2">
      <c r="A26" s="5">
        <v>35</v>
      </c>
      <c r="B26" s="1">
        <f t="shared" si="8"/>
        <v>1.4845056206605631</v>
      </c>
      <c r="C26" s="5">
        <f t="shared" si="9"/>
        <v>44932.126245932537</v>
      </c>
      <c r="D26" s="5">
        <f t="shared" si="0"/>
        <v>43758.841196095236</v>
      </c>
      <c r="E26" s="5">
        <f t="shared" si="1"/>
        <v>34258.841196095236</v>
      </c>
      <c r="F26" s="5">
        <f t="shared" si="2"/>
        <v>11487.261650525095</v>
      </c>
      <c r="G26" s="5">
        <f t="shared" si="3"/>
        <v>32271.579545570141</v>
      </c>
      <c r="H26" s="22">
        <f t="shared" si="10"/>
        <v>19743.012483533457</v>
      </c>
      <c r="I26" s="5">
        <f t="shared" si="4"/>
        <v>51224.871529762255</v>
      </c>
      <c r="J26" s="26">
        <f t="shared" si="5"/>
        <v>0.17496518407118289</v>
      </c>
      <c r="L26" s="22">
        <f t="shared" si="11"/>
        <v>89743.464125491621</v>
      </c>
      <c r="M26" s="5">
        <f>scrimecost*Meta!O23</f>
        <v>1339.3889999999999</v>
      </c>
      <c r="N26" s="5">
        <f>L26-Grade12!L26</f>
        <v>850.82871867192443</v>
      </c>
      <c r="O26" s="5">
        <f>Grade12!M26-M26</f>
        <v>10.536000000000058</v>
      </c>
      <c r="P26" s="22">
        <f t="shared" si="12"/>
        <v>89.023926879609036</v>
      </c>
      <c r="Q26" s="22"/>
      <c r="R26" s="22"/>
      <c r="S26" s="22">
        <f t="shared" si="6"/>
        <v>678.41913702021986</v>
      </c>
      <c r="T26" s="22">
        <f t="shared" si="7"/>
        <v>863.74421650553427</v>
      </c>
    </row>
    <row r="27" spans="1:20" x14ac:dyDescent="0.2">
      <c r="A27" s="5">
        <v>36</v>
      </c>
      <c r="B27" s="1">
        <f t="shared" si="8"/>
        <v>1.521618261177077</v>
      </c>
      <c r="C27" s="5">
        <f t="shared" si="9"/>
        <v>46055.429402080837</v>
      </c>
      <c r="D27" s="5">
        <f t="shared" si="0"/>
        <v>44837.212225997602</v>
      </c>
      <c r="E27" s="5">
        <f t="shared" si="1"/>
        <v>35337.212225997602</v>
      </c>
      <c r="F27" s="5">
        <f t="shared" si="2"/>
        <v>11923.071014387977</v>
      </c>
      <c r="G27" s="5">
        <f t="shared" si="3"/>
        <v>32914.141211609625</v>
      </c>
      <c r="H27" s="22">
        <f t="shared" si="10"/>
        <v>20236.587795621788</v>
      </c>
      <c r="I27" s="5">
        <f t="shared" si="4"/>
        <v>52341.265495406537</v>
      </c>
      <c r="J27" s="26">
        <f t="shared" si="5"/>
        <v>0.17754574589103564</v>
      </c>
      <c r="L27" s="22">
        <f t="shared" si="11"/>
        <v>91987.050728628892</v>
      </c>
      <c r="M27" s="5">
        <f>scrimecost*Meta!O24</f>
        <v>1339.3889999999999</v>
      </c>
      <c r="N27" s="5">
        <f>L27-Grade12!L27</f>
        <v>872.09943663870217</v>
      </c>
      <c r="O27" s="5">
        <f>Grade12!M27-M27</f>
        <v>10.536000000000058</v>
      </c>
      <c r="P27" s="22">
        <f t="shared" si="12"/>
        <v>91.543638135723882</v>
      </c>
      <c r="Q27" s="22"/>
      <c r="R27" s="22"/>
      <c r="S27" s="22">
        <f t="shared" si="6"/>
        <v>695.40734936067577</v>
      </c>
      <c r="T27" s="22">
        <f t="shared" si="7"/>
        <v>898.04100182901425</v>
      </c>
    </row>
    <row r="28" spans="1:20" x14ac:dyDescent="0.2">
      <c r="A28" s="5">
        <v>37</v>
      </c>
      <c r="B28" s="1">
        <f t="shared" si="8"/>
        <v>1.559658717706504</v>
      </c>
      <c r="C28" s="5">
        <f t="shared" si="9"/>
        <v>47206.815137132864</v>
      </c>
      <c r="D28" s="5">
        <f t="shared" si="0"/>
        <v>45942.542531647545</v>
      </c>
      <c r="E28" s="5">
        <f t="shared" si="1"/>
        <v>36442.542531647545</v>
      </c>
      <c r="F28" s="5">
        <f t="shared" si="2"/>
        <v>12394.494389747677</v>
      </c>
      <c r="G28" s="5">
        <f t="shared" si="3"/>
        <v>33548.048141899868</v>
      </c>
      <c r="H28" s="22">
        <f t="shared" si="10"/>
        <v>20742.502490512332</v>
      </c>
      <c r="I28" s="5">
        <f t="shared" si="4"/>
        <v>53460.850532791708</v>
      </c>
      <c r="J28" s="26">
        <f t="shared" si="5"/>
        <v>0.18044230735584016</v>
      </c>
      <c r="L28" s="22">
        <f t="shared" si="11"/>
        <v>94286.72699684462</v>
      </c>
      <c r="M28" s="5">
        <f>scrimecost*Meta!O25</f>
        <v>1339.3889999999999</v>
      </c>
      <c r="N28" s="5">
        <f>L28-Grade12!L28</f>
        <v>893.90192255467991</v>
      </c>
      <c r="O28" s="5">
        <f>Grade12!M28-M28</f>
        <v>10.536000000000058</v>
      </c>
      <c r="P28" s="22">
        <f t="shared" si="12"/>
        <v>94.269258289363407</v>
      </c>
      <c r="Q28" s="22"/>
      <c r="R28" s="22"/>
      <c r="S28" s="22">
        <f t="shared" si="6"/>
        <v>712.94932026252229</v>
      </c>
      <c r="T28" s="22">
        <f t="shared" si="7"/>
        <v>933.8677460597753</v>
      </c>
    </row>
    <row r="29" spans="1:20" x14ac:dyDescent="0.2">
      <c r="A29" s="5">
        <v>38</v>
      </c>
      <c r="B29" s="1">
        <f t="shared" si="8"/>
        <v>1.5986501856491666</v>
      </c>
      <c r="C29" s="5">
        <f t="shared" si="9"/>
        <v>48386.98551556118</v>
      </c>
      <c r="D29" s="5">
        <f t="shared" si="0"/>
        <v>47075.506094938733</v>
      </c>
      <c r="E29" s="5">
        <f t="shared" si="1"/>
        <v>37575.506094938733</v>
      </c>
      <c r="F29" s="5">
        <f t="shared" si="2"/>
        <v>12877.70334949137</v>
      </c>
      <c r="G29" s="5">
        <f t="shared" si="3"/>
        <v>34197.802745447363</v>
      </c>
      <c r="H29" s="22">
        <f t="shared" si="10"/>
        <v>21261.065052775142</v>
      </c>
      <c r="I29" s="5">
        <f t="shared" si="4"/>
        <v>54608.425196111501</v>
      </c>
      <c r="J29" s="26">
        <f t="shared" si="5"/>
        <v>0.18326822098003975</v>
      </c>
      <c r="L29" s="22">
        <f t="shared" si="11"/>
        <v>96643.895171765733</v>
      </c>
      <c r="M29" s="5">
        <f>scrimecost*Meta!O26</f>
        <v>1339.3889999999999</v>
      </c>
      <c r="N29" s="5">
        <f>L29-Grade12!L29</f>
        <v>916.24947061855346</v>
      </c>
      <c r="O29" s="5">
        <f>Grade12!M29-M29</f>
        <v>10.536000000000058</v>
      </c>
      <c r="P29" s="22">
        <f t="shared" si="12"/>
        <v>97.063018946843926</v>
      </c>
      <c r="Q29" s="22"/>
      <c r="R29" s="22"/>
      <c r="S29" s="22">
        <f t="shared" si="6"/>
        <v>730.92984043691229</v>
      </c>
      <c r="T29" s="22">
        <f t="shared" si="7"/>
        <v>971.11851957495662</v>
      </c>
    </row>
    <row r="30" spans="1:20" x14ac:dyDescent="0.2">
      <c r="A30" s="5">
        <v>39</v>
      </c>
      <c r="B30" s="1">
        <f t="shared" si="8"/>
        <v>1.6386164402903955</v>
      </c>
      <c r="C30" s="5">
        <f t="shared" si="9"/>
        <v>49596.660153450204</v>
      </c>
      <c r="D30" s="5">
        <f t="shared" si="0"/>
        <v>48236.793747312193</v>
      </c>
      <c r="E30" s="5">
        <f t="shared" si="1"/>
        <v>38736.793747312193</v>
      </c>
      <c r="F30" s="5">
        <f t="shared" si="2"/>
        <v>13372.992533228651</v>
      </c>
      <c r="G30" s="5">
        <f t="shared" si="3"/>
        <v>34863.801214083542</v>
      </c>
      <c r="H30" s="22">
        <f t="shared" si="10"/>
        <v>21792.591679094519</v>
      </c>
      <c r="I30" s="5">
        <f t="shared" si="4"/>
        <v>55784.689226014278</v>
      </c>
      <c r="J30" s="26">
        <f t="shared" si="5"/>
        <v>0.18602520988169782</v>
      </c>
      <c r="L30" s="22">
        <f t="shared" si="11"/>
        <v>99059.99255105987</v>
      </c>
      <c r="M30" s="5">
        <f>scrimecost*Meta!O27</f>
        <v>1339.3889999999999</v>
      </c>
      <c r="N30" s="5">
        <f>L30-Grade12!L30</f>
        <v>939.15570738400856</v>
      </c>
      <c r="O30" s="5">
        <f>Grade12!M30-M30</f>
        <v>10.536000000000058</v>
      </c>
      <c r="P30" s="22">
        <f t="shared" si="12"/>
        <v>99.926623620761433</v>
      </c>
      <c r="Q30" s="22"/>
      <c r="R30" s="22"/>
      <c r="S30" s="22">
        <f t="shared" si="6"/>
        <v>749.35987361565162</v>
      </c>
      <c r="T30" s="22">
        <f t="shared" si="7"/>
        <v>1009.8498494551227</v>
      </c>
    </row>
    <row r="31" spans="1:20" x14ac:dyDescent="0.2">
      <c r="A31" s="5">
        <v>40</v>
      </c>
      <c r="B31" s="1">
        <f t="shared" si="8"/>
        <v>1.6795818512976552</v>
      </c>
      <c r="C31" s="5">
        <f t="shared" si="9"/>
        <v>50836.57665728646</v>
      </c>
      <c r="D31" s="5">
        <f t="shared" si="0"/>
        <v>49427.113590995003</v>
      </c>
      <c r="E31" s="5">
        <f t="shared" si="1"/>
        <v>39927.113590995003</v>
      </c>
      <c r="F31" s="5">
        <f t="shared" si="2"/>
        <v>13880.663946559369</v>
      </c>
      <c r="G31" s="5">
        <f t="shared" si="3"/>
        <v>35546.449644435634</v>
      </c>
      <c r="H31" s="22">
        <f t="shared" si="10"/>
        <v>22337.406471071878</v>
      </c>
      <c r="I31" s="5">
        <f t="shared" si="4"/>
        <v>56990.35985666464</v>
      </c>
      <c r="J31" s="26">
        <f t="shared" si="5"/>
        <v>0.18871495515160816</v>
      </c>
      <c r="L31" s="22">
        <f t="shared" si="11"/>
        <v>101536.49236483636</v>
      </c>
      <c r="M31" s="5">
        <f>scrimecost*Meta!O28</f>
        <v>1171.5839999999998</v>
      </c>
      <c r="N31" s="5">
        <f>L31-Grade12!L31</f>
        <v>962.63460006861715</v>
      </c>
      <c r="O31" s="5">
        <f>Grade12!M31-M31</f>
        <v>9.2160000000001219</v>
      </c>
      <c r="P31" s="22">
        <f t="shared" si="12"/>
        <v>102.86181841152688</v>
      </c>
      <c r="Q31" s="22"/>
      <c r="R31" s="22"/>
      <c r="S31" s="22">
        <f t="shared" si="6"/>
        <v>767.05869762387124</v>
      </c>
      <c r="T31" s="22">
        <f t="shared" si="7"/>
        <v>1048.4912174868812</v>
      </c>
    </row>
    <row r="32" spans="1:20" x14ac:dyDescent="0.2">
      <c r="A32" s="5">
        <v>41</v>
      </c>
      <c r="B32" s="1">
        <f t="shared" si="8"/>
        <v>1.7215713975800966</v>
      </c>
      <c r="C32" s="5">
        <f t="shared" si="9"/>
        <v>52107.491073718615</v>
      </c>
      <c r="D32" s="5">
        <f t="shared" si="0"/>
        <v>50647.191430769868</v>
      </c>
      <c r="E32" s="5">
        <f t="shared" si="1"/>
        <v>41147.191430769868</v>
      </c>
      <c r="F32" s="5">
        <f t="shared" si="2"/>
        <v>14401.02714522335</v>
      </c>
      <c r="G32" s="5">
        <f t="shared" si="3"/>
        <v>36246.164285546518</v>
      </c>
      <c r="H32" s="22">
        <f t="shared" si="10"/>
        <v>22895.841632848675</v>
      </c>
      <c r="I32" s="5">
        <f t="shared" si="4"/>
        <v>58226.17225308124</v>
      </c>
      <c r="J32" s="26">
        <f t="shared" si="5"/>
        <v>0.19133909687834991</v>
      </c>
      <c r="L32" s="22">
        <f t="shared" si="11"/>
        <v>104074.90467395727</v>
      </c>
      <c r="M32" s="5">
        <f>scrimecost*Meta!O29</f>
        <v>1171.5839999999998</v>
      </c>
      <c r="N32" s="5">
        <f>L32-Grade12!L32</f>
        <v>986.70046507031657</v>
      </c>
      <c r="O32" s="5">
        <f>Grade12!M32-M32</f>
        <v>9.2160000000001219</v>
      </c>
      <c r="P32" s="22">
        <f t="shared" si="12"/>
        <v>105.87039307206145</v>
      </c>
      <c r="Q32" s="22"/>
      <c r="R32" s="22"/>
      <c r="S32" s="22">
        <f t="shared" si="6"/>
        <v>786.42175123227958</v>
      </c>
      <c r="T32" s="22">
        <f t="shared" si="7"/>
        <v>1090.3389896832898</v>
      </c>
    </row>
    <row r="33" spans="1:20" x14ac:dyDescent="0.2">
      <c r="A33" s="5">
        <v>42</v>
      </c>
      <c r="B33" s="1">
        <f t="shared" si="8"/>
        <v>1.7646106825195991</v>
      </c>
      <c r="C33" s="5">
        <f t="shared" si="9"/>
        <v>53410.178350561582</v>
      </c>
      <c r="D33" s="5">
        <f t="shared" si="0"/>
        <v>51897.77121653912</v>
      </c>
      <c r="E33" s="5">
        <f t="shared" si="1"/>
        <v>42397.77121653912</v>
      </c>
      <c r="F33" s="5">
        <f t="shared" si="2"/>
        <v>14934.399423853936</v>
      </c>
      <c r="G33" s="5">
        <f t="shared" si="3"/>
        <v>36963.371792685182</v>
      </c>
      <c r="H33" s="22">
        <f t="shared" si="10"/>
        <v>23468.23767366989</v>
      </c>
      <c r="I33" s="5">
        <f t="shared" si="4"/>
        <v>59492.879959408274</v>
      </c>
      <c r="J33" s="26">
        <f t="shared" si="5"/>
        <v>0.19389923514834193</v>
      </c>
      <c r="L33" s="22">
        <f t="shared" si="11"/>
        <v>106676.7772908062</v>
      </c>
      <c r="M33" s="5">
        <f>scrimecost*Meta!O30</f>
        <v>1171.5839999999998</v>
      </c>
      <c r="N33" s="5">
        <f>L33-Grade12!L33</f>
        <v>1011.367976697089</v>
      </c>
      <c r="O33" s="5">
        <f>Grade12!M33-M33</f>
        <v>9.2160000000001219</v>
      </c>
      <c r="P33" s="22">
        <f t="shared" si="12"/>
        <v>108.95418209910943</v>
      </c>
      <c r="Q33" s="22"/>
      <c r="R33" s="22"/>
      <c r="S33" s="22">
        <f t="shared" si="6"/>
        <v>806.26888118091904</v>
      </c>
      <c r="T33" s="22">
        <f t="shared" si="7"/>
        <v>1133.8503820599924</v>
      </c>
    </row>
    <row r="34" spans="1:20" x14ac:dyDescent="0.2">
      <c r="A34" s="5">
        <v>43</v>
      </c>
      <c r="B34" s="1">
        <f t="shared" si="8"/>
        <v>1.8087259495825889</v>
      </c>
      <c r="C34" s="5">
        <f t="shared" si="9"/>
        <v>54745.432809325619</v>
      </c>
      <c r="D34" s="5">
        <f t="shared" si="0"/>
        <v>53179.615496952589</v>
      </c>
      <c r="E34" s="5">
        <f t="shared" si="1"/>
        <v>43679.615496952589</v>
      </c>
      <c r="F34" s="5">
        <f t="shared" si="2"/>
        <v>15481.106009450279</v>
      </c>
      <c r="G34" s="5">
        <f t="shared" si="3"/>
        <v>37698.509487502306</v>
      </c>
      <c r="H34" s="22">
        <f t="shared" si="10"/>
        <v>24054.943615511638</v>
      </c>
      <c r="I34" s="5">
        <f t="shared" si="4"/>
        <v>60791.255358393479</v>
      </c>
      <c r="J34" s="26">
        <f t="shared" si="5"/>
        <v>0.19639693102150477</v>
      </c>
      <c r="L34" s="22">
        <f t="shared" si="11"/>
        <v>109343.69672307635</v>
      </c>
      <c r="M34" s="5">
        <f>scrimecost*Meta!O31</f>
        <v>1171.5839999999998</v>
      </c>
      <c r="N34" s="5">
        <f>L34-Grade12!L34</f>
        <v>1036.6521761145268</v>
      </c>
      <c r="O34" s="5">
        <f>Grade12!M34-M34</f>
        <v>9.2160000000001219</v>
      </c>
      <c r="P34" s="22">
        <f t="shared" si="12"/>
        <v>112.11506585183355</v>
      </c>
      <c r="Q34" s="22"/>
      <c r="R34" s="22"/>
      <c r="S34" s="22">
        <f t="shared" si="6"/>
        <v>826.61218937827186</v>
      </c>
      <c r="T34" s="22">
        <f t="shared" si="7"/>
        <v>1179.0914361407795</v>
      </c>
    </row>
    <row r="35" spans="1:20" x14ac:dyDescent="0.2">
      <c r="A35" s="5">
        <v>44</v>
      </c>
      <c r="B35" s="1">
        <f t="shared" si="8"/>
        <v>1.8539440983221533</v>
      </c>
      <c r="C35" s="5">
        <f t="shared" si="9"/>
        <v>56114.068629558751</v>
      </c>
      <c r="D35" s="5">
        <f t="shared" si="0"/>
        <v>54493.505884376398</v>
      </c>
      <c r="E35" s="5">
        <f t="shared" si="1"/>
        <v>44993.505884376398</v>
      </c>
      <c r="F35" s="5">
        <f t="shared" si="2"/>
        <v>16041.480259686534</v>
      </c>
      <c r="G35" s="5">
        <f t="shared" si="3"/>
        <v>38452.025624689864</v>
      </c>
      <c r="H35" s="22">
        <f t="shared" si="10"/>
        <v>24656.317205899424</v>
      </c>
      <c r="I35" s="5">
        <f t="shared" si="4"/>
        <v>62122.090142353307</v>
      </c>
      <c r="J35" s="26">
        <f t="shared" si="5"/>
        <v>0.19883370748312715</v>
      </c>
      <c r="L35" s="22">
        <f t="shared" si="11"/>
        <v>112077.28914115323</v>
      </c>
      <c r="M35" s="5">
        <f>scrimecost*Meta!O32</f>
        <v>1171.5839999999998</v>
      </c>
      <c r="N35" s="5">
        <f>L35-Grade12!L35</f>
        <v>1062.568480517366</v>
      </c>
      <c r="O35" s="5">
        <f>Grade12!M35-M35</f>
        <v>9.2160000000001219</v>
      </c>
      <c r="P35" s="22">
        <f t="shared" si="12"/>
        <v>115.35497169837579</v>
      </c>
      <c r="Q35" s="22"/>
      <c r="R35" s="22"/>
      <c r="S35" s="22">
        <f t="shared" si="6"/>
        <v>847.46408028053452</v>
      </c>
      <c r="T35" s="22">
        <f t="shared" si="7"/>
        <v>1226.1308137867086</v>
      </c>
    </row>
    <row r="36" spans="1:20" x14ac:dyDescent="0.2">
      <c r="A36" s="5">
        <v>45</v>
      </c>
      <c r="B36" s="1">
        <f t="shared" si="8"/>
        <v>1.9002927007802071</v>
      </c>
      <c r="C36" s="5">
        <f t="shared" si="9"/>
        <v>57516.920345297716</v>
      </c>
      <c r="D36" s="5">
        <f t="shared" si="0"/>
        <v>55840.243531485808</v>
      </c>
      <c r="E36" s="5">
        <f t="shared" si="1"/>
        <v>46340.243531485808</v>
      </c>
      <c r="F36" s="5">
        <f t="shared" si="2"/>
        <v>16615.863866178697</v>
      </c>
      <c r="G36" s="5">
        <f t="shared" si="3"/>
        <v>39224.379665307111</v>
      </c>
      <c r="H36" s="22">
        <f t="shared" si="10"/>
        <v>25272.725136046909</v>
      </c>
      <c r="I36" s="5">
        <f t="shared" si="4"/>
        <v>63486.195795912143</v>
      </c>
      <c r="J36" s="26">
        <f t="shared" si="5"/>
        <v>0.2012110503725148</v>
      </c>
      <c r="L36" s="22">
        <f t="shared" si="11"/>
        <v>114879.22136968207</v>
      </c>
      <c r="M36" s="5">
        <f>scrimecost*Meta!O33</f>
        <v>946.827</v>
      </c>
      <c r="N36" s="5">
        <f>L36-Grade12!L36</f>
        <v>1089.1326925303147</v>
      </c>
      <c r="O36" s="5">
        <f>Grade12!M36-M36</f>
        <v>7.4480000000000928</v>
      </c>
      <c r="P36" s="22">
        <f t="shared" si="12"/>
        <v>118.67587519108162</v>
      </c>
      <c r="Q36" s="22"/>
      <c r="R36" s="22"/>
      <c r="S36" s="22">
        <f t="shared" si="6"/>
        <v>867.24076445538037</v>
      </c>
      <c r="T36" s="22">
        <f t="shared" si="7"/>
        <v>1272.6969925512353</v>
      </c>
    </row>
    <row r="37" spans="1:20" x14ac:dyDescent="0.2">
      <c r="A37" s="5">
        <v>46</v>
      </c>
      <c r="B37" s="1">
        <f t="shared" ref="B37:B56" si="13">(1+experiencepremium)^(A37-startage)</f>
        <v>1.9478000182997122</v>
      </c>
      <c r="C37" s="5">
        <f t="shared" ref="C37:C56" si="14">pretaxincome*B37/expnorm</f>
        <v>58954.843353930155</v>
      </c>
      <c r="D37" s="5">
        <f t="shared" ref="D37:D56" si="15">IF(A37&lt;startage,1,0)*(C37*(1-initialunempprob))+IF(A37=startage,1,0)*(C37*(1-unempprob))+IF(A37&gt;startage,1,0)*(C37*(1-unempprob)+unempprob*300*52)</f>
        <v>57220.64961977295</v>
      </c>
      <c r="E37" s="5">
        <f t="shared" si="1"/>
        <v>47720.64961977295</v>
      </c>
      <c r="F37" s="5">
        <f t="shared" si="2"/>
        <v>17204.607062833162</v>
      </c>
      <c r="G37" s="5">
        <f t="shared" si="3"/>
        <v>40016.042556939792</v>
      </c>
      <c r="H37" s="22">
        <f t="shared" ref="H37:H56" si="16">benefits*B37/expnorm</f>
        <v>25904.543264448082</v>
      </c>
      <c r="I37" s="5">
        <f t="shared" ref="I37:I56" si="17">G37+IF(A37&lt;startage,1,0)*(H37*(1-initialunempprob))+IF(A37&gt;=startage,1,0)*(H37*(1-unempprob))</f>
        <v>64884.404090809949</v>
      </c>
      <c r="J37" s="26">
        <f t="shared" si="5"/>
        <v>0.20353040928899055</v>
      </c>
      <c r="L37" s="22">
        <f t="shared" ref="L37:L56" si="18">(sincome+sbenefits)*(1-sunemp)*B37/expnorm</f>
        <v>117751.20190392411</v>
      </c>
      <c r="M37" s="5">
        <f>scrimecost*Meta!O34</f>
        <v>946.827</v>
      </c>
      <c r="N37" s="5">
        <f>L37-Grade12!L37</f>
        <v>1116.3610098435747</v>
      </c>
      <c r="O37" s="5">
        <f>Grade12!M37-M37</f>
        <v>7.4480000000000928</v>
      </c>
      <c r="P37" s="22">
        <f t="shared" si="12"/>
        <v>122.07980127110505</v>
      </c>
      <c r="Q37" s="22"/>
      <c r="R37" s="22"/>
      <c r="S37" s="22">
        <f t="shared" si="6"/>
        <v>889.14828233458888</v>
      </c>
      <c r="T37" s="22">
        <f t="shared" si="7"/>
        <v>1323.5164859174906</v>
      </c>
    </row>
    <row r="38" spans="1:20" x14ac:dyDescent="0.2">
      <c r="A38" s="5">
        <v>47</v>
      </c>
      <c r="B38" s="1">
        <f t="shared" si="13"/>
        <v>1.9964950187572048</v>
      </c>
      <c r="C38" s="5">
        <f t="shared" si="14"/>
        <v>60428.714437778399</v>
      </c>
      <c r="D38" s="5">
        <f t="shared" si="15"/>
        <v>58635.565860267263</v>
      </c>
      <c r="E38" s="5">
        <f t="shared" si="1"/>
        <v>49135.565860267263</v>
      </c>
      <c r="F38" s="5">
        <f t="shared" si="2"/>
        <v>17808.06883940399</v>
      </c>
      <c r="G38" s="5">
        <f t="shared" si="3"/>
        <v>40827.497020863273</v>
      </c>
      <c r="H38" s="22">
        <f t="shared" si="16"/>
        <v>26552.156846059283</v>
      </c>
      <c r="I38" s="5">
        <f t="shared" si="17"/>
        <v>66317.567593080181</v>
      </c>
      <c r="J38" s="26">
        <f t="shared" si="5"/>
        <v>0.20579319847579619</v>
      </c>
      <c r="L38" s="22">
        <f t="shared" si="18"/>
        <v>120694.9819515222</v>
      </c>
      <c r="M38" s="5">
        <f>scrimecost*Meta!O35</f>
        <v>946.827</v>
      </c>
      <c r="N38" s="5">
        <f>L38-Grade12!L38</f>
        <v>1144.2700350896339</v>
      </c>
      <c r="O38" s="5">
        <f>Grade12!M38-M38</f>
        <v>7.4480000000000928</v>
      </c>
      <c r="P38" s="22">
        <f t="shared" si="12"/>
        <v>125.5688255031291</v>
      </c>
      <c r="Q38" s="22"/>
      <c r="R38" s="22"/>
      <c r="S38" s="22">
        <f t="shared" si="6"/>
        <v>911.60348816075532</v>
      </c>
      <c r="T38" s="22">
        <f t="shared" si="7"/>
        <v>1376.3565910841223</v>
      </c>
    </row>
    <row r="39" spans="1:20" x14ac:dyDescent="0.2">
      <c r="A39" s="5">
        <v>48</v>
      </c>
      <c r="B39" s="1">
        <f t="shared" si="13"/>
        <v>2.0464073942261352</v>
      </c>
      <c r="C39" s="5">
        <f t="shared" si="14"/>
        <v>61939.432298722866</v>
      </c>
      <c r="D39" s="5">
        <f t="shared" si="15"/>
        <v>60085.855006773949</v>
      </c>
      <c r="E39" s="5">
        <f t="shared" si="1"/>
        <v>50585.855006773949</v>
      </c>
      <c r="F39" s="5">
        <f t="shared" si="2"/>
        <v>18426.617160389091</v>
      </c>
      <c r="G39" s="5">
        <f t="shared" si="3"/>
        <v>41659.237846384858</v>
      </c>
      <c r="H39" s="22">
        <f t="shared" si="16"/>
        <v>27215.960767210767</v>
      </c>
      <c r="I39" s="5">
        <f t="shared" si="17"/>
        <v>67786.560182907197</v>
      </c>
      <c r="J39" s="26">
        <f t="shared" si="5"/>
        <v>0.20800079768243585</v>
      </c>
      <c r="L39" s="22">
        <f t="shared" si="18"/>
        <v>123712.35650031027</v>
      </c>
      <c r="M39" s="5">
        <f>scrimecost*Meta!O36</f>
        <v>946.827</v>
      </c>
      <c r="N39" s="5">
        <f>L39-Grade12!L39</f>
        <v>1172.8767859669169</v>
      </c>
      <c r="O39" s="5">
        <f>Grade12!M39-M39</f>
        <v>7.4480000000000928</v>
      </c>
      <c r="P39" s="22">
        <f t="shared" si="12"/>
        <v>129.14507534095378</v>
      </c>
      <c r="Q39" s="22"/>
      <c r="R39" s="22"/>
      <c r="S39" s="22">
        <f t="shared" si="6"/>
        <v>934.62007413262597</v>
      </c>
      <c r="T39" s="22">
        <f t="shared" si="7"/>
        <v>1431.2975259384191</v>
      </c>
    </row>
    <row r="40" spans="1:20" x14ac:dyDescent="0.2">
      <c r="A40" s="5">
        <v>49</v>
      </c>
      <c r="B40" s="1">
        <f t="shared" si="13"/>
        <v>2.097567579081788</v>
      </c>
      <c r="C40" s="5">
        <f t="shared" si="14"/>
        <v>63487.918106190926</v>
      </c>
      <c r="D40" s="5">
        <f t="shared" si="15"/>
        <v>61572.401381943288</v>
      </c>
      <c r="E40" s="5">
        <f t="shared" si="1"/>
        <v>52072.401381943288</v>
      </c>
      <c r="F40" s="5">
        <f t="shared" si="2"/>
        <v>19060.629189398813</v>
      </c>
      <c r="G40" s="5">
        <f t="shared" si="3"/>
        <v>42511.772192544478</v>
      </c>
      <c r="H40" s="22">
        <f t="shared" si="16"/>
        <v>27896.359786391029</v>
      </c>
      <c r="I40" s="5">
        <f t="shared" si="17"/>
        <v>69292.277587479868</v>
      </c>
      <c r="J40" s="26">
        <f t="shared" si="5"/>
        <v>0.21015455300598668</v>
      </c>
      <c r="L40" s="22">
        <f t="shared" si="18"/>
        <v>126805.16541281801</v>
      </c>
      <c r="M40" s="5">
        <f>scrimecost*Meta!O37</f>
        <v>946.827</v>
      </c>
      <c r="N40" s="5">
        <f>L40-Grade12!L40</f>
        <v>1202.1987056160433</v>
      </c>
      <c r="O40" s="5">
        <f>Grade12!M40-M40</f>
        <v>7.4480000000000928</v>
      </c>
      <c r="P40" s="22">
        <f t="shared" si="12"/>
        <v>132.810731424724</v>
      </c>
      <c r="Q40" s="22"/>
      <c r="R40" s="22"/>
      <c r="S40" s="22">
        <f t="shared" si="6"/>
        <v>958.21207475373183</v>
      </c>
      <c r="T40" s="22">
        <f t="shared" si="7"/>
        <v>1488.4226912490365</v>
      </c>
    </row>
    <row r="41" spans="1:20" x14ac:dyDescent="0.2">
      <c r="A41" s="5">
        <v>50</v>
      </c>
      <c r="B41" s="1">
        <f t="shared" si="13"/>
        <v>2.1500067685588333</v>
      </c>
      <c r="C41" s="5">
        <f t="shared" si="14"/>
        <v>65075.116058845721</v>
      </c>
      <c r="D41" s="5">
        <f t="shared" si="15"/>
        <v>63096.111416491891</v>
      </c>
      <c r="E41" s="5">
        <f t="shared" si="1"/>
        <v>53596.111416491891</v>
      </c>
      <c r="F41" s="5">
        <f t="shared" si="2"/>
        <v>19710.491519133793</v>
      </c>
      <c r="G41" s="5">
        <f t="shared" si="3"/>
        <v>43385.619897358098</v>
      </c>
      <c r="H41" s="22">
        <f t="shared" si="16"/>
        <v>28593.768781050814</v>
      </c>
      <c r="I41" s="5">
        <f t="shared" si="17"/>
        <v>70835.637927166885</v>
      </c>
      <c r="J41" s="26">
        <f t="shared" si="5"/>
        <v>0.21225577771189003</v>
      </c>
      <c r="L41" s="22">
        <f t="shared" si="18"/>
        <v>129975.29454813848</v>
      </c>
      <c r="M41" s="5">
        <f>scrimecost*Meta!O38</f>
        <v>632.57399999999996</v>
      </c>
      <c r="N41" s="5">
        <f>L41-Grade12!L41</f>
        <v>1232.2536732564913</v>
      </c>
      <c r="O41" s="5">
        <f>Grade12!M41-M41</f>
        <v>4.9759999999999991</v>
      </c>
      <c r="P41" s="22">
        <f t="shared" si="12"/>
        <v>136.56802891058859</v>
      </c>
      <c r="Q41" s="22"/>
      <c r="R41" s="22"/>
      <c r="S41" s="22">
        <f t="shared" ref="S41:S69" si="19">IF(A41&lt;startage,1,0)*(N41-Q41-R41)+IF(A41&gt;=startage,1,0)*completionprob*(N41*spart+O41+P41)</f>
        <v>980.16165939043015</v>
      </c>
      <c r="T41" s="22">
        <f t="shared" ref="T41:T69" si="20">S41/sreturn^(A41-startage+1)</f>
        <v>1544.3018105476672</v>
      </c>
    </row>
    <row r="42" spans="1:20" x14ac:dyDescent="0.2">
      <c r="A42" s="5">
        <v>51</v>
      </c>
      <c r="B42" s="1">
        <f t="shared" si="13"/>
        <v>2.2037569377728037</v>
      </c>
      <c r="C42" s="5">
        <f t="shared" si="14"/>
        <v>66701.993960316846</v>
      </c>
      <c r="D42" s="5">
        <f t="shared" si="15"/>
        <v>64657.914201904168</v>
      </c>
      <c r="E42" s="5">
        <f t="shared" si="1"/>
        <v>55157.914201904168</v>
      </c>
      <c r="F42" s="5">
        <f t="shared" si="2"/>
        <v>20376.600407112128</v>
      </c>
      <c r="G42" s="5">
        <f t="shared" si="3"/>
        <v>44281.31379479204</v>
      </c>
      <c r="H42" s="22">
        <f t="shared" si="16"/>
        <v>29308.613000577076</v>
      </c>
      <c r="I42" s="5">
        <f t="shared" si="17"/>
        <v>72417.582275346038</v>
      </c>
      <c r="J42" s="26">
        <f t="shared" si="5"/>
        <v>0.21430575303472241</v>
      </c>
      <c r="L42" s="22">
        <f t="shared" si="18"/>
        <v>133224.6769118419</v>
      </c>
      <c r="M42" s="5">
        <f>scrimecost*Meta!O39</f>
        <v>632.57399999999996</v>
      </c>
      <c r="N42" s="5">
        <f>L42-Grade12!L42</f>
        <v>1263.0600150878599</v>
      </c>
      <c r="O42" s="5">
        <f>Grade12!M42-M42</f>
        <v>4.9759999999999991</v>
      </c>
      <c r="P42" s="22">
        <f t="shared" si="12"/>
        <v>140.41925883359963</v>
      </c>
      <c r="Q42" s="22"/>
      <c r="R42" s="22"/>
      <c r="S42" s="22">
        <f t="shared" si="19"/>
        <v>1004.948005042983</v>
      </c>
      <c r="T42" s="22">
        <f t="shared" si="20"/>
        <v>1606.0086860917049</v>
      </c>
    </row>
    <row r="43" spans="1:20" x14ac:dyDescent="0.2">
      <c r="A43" s="5">
        <v>52</v>
      </c>
      <c r="B43" s="1">
        <f t="shared" si="13"/>
        <v>2.2588508612171236</v>
      </c>
      <c r="C43" s="5">
        <f t="shared" si="14"/>
        <v>68369.543809324765</v>
      </c>
      <c r="D43" s="5">
        <f t="shared" si="15"/>
        <v>66258.762056951775</v>
      </c>
      <c r="E43" s="5">
        <f t="shared" si="1"/>
        <v>56758.762056951775</v>
      </c>
      <c r="F43" s="5">
        <f t="shared" si="2"/>
        <v>21059.362017289932</v>
      </c>
      <c r="G43" s="5">
        <f t="shared" si="3"/>
        <v>45199.400039661843</v>
      </c>
      <c r="H43" s="22">
        <f t="shared" si="16"/>
        <v>30041.328325591501</v>
      </c>
      <c r="I43" s="5">
        <f t="shared" si="17"/>
        <v>74039.07523222969</v>
      </c>
      <c r="J43" s="26">
        <f t="shared" si="5"/>
        <v>0.21630572895943703</v>
      </c>
      <c r="L43" s="22">
        <f t="shared" si="18"/>
        <v>136555.29383463794</v>
      </c>
      <c r="M43" s="5">
        <f>scrimecost*Meta!O40</f>
        <v>632.57399999999996</v>
      </c>
      <c r="N43" s="5">
        <f>L43-Grade12!L43</f>
        <v>1294.6365154650703</v>
      </c>
      <c r="O43" s="5">
        <f>Grade12!M43-M43</f>
        <v>4.9759999999999991</v>
      </c>
      <c r="P43" s="22">
        <f t="shared" si="12"/>
        <v>144.366769504686</v>
      </c>
      <c r="Q43" s="22"/>
      <c r="R43" s="22"/>
      <c r="S43" s="22">
        <f t="shared" si="19"/>
        <v>1030.3540093368897</v>
      </c>
      <c r="T43" s="22">
        <f t="shared" si="20"/>
        <v>1670.1696595940448</v>
      </c>
    </row>
    <row r="44" spans="1:20" x14ac:dyDescent="0.2">
      <c r="A44" s="5">
        <v>53</v>
      </c>
      <c r="B44" s="1">
        <f t="shared" si="13"/>
        <v>2.3153221327475517</v>
      </c>
      <c r="C44" s="5">
        <f t="shared" si="14"/>
        <v>70078.782404557889</v>
      </c>
      <c r="D44" s="5">
        <f t="shared" si="15"/>
        <v>67899.631108375572</v>
      </c>
      <c r="E44" s="5">
        <f t="shared" si="1"/>
        <v>58399.631108375572</v>
      </c>
      <c r="F44" s="5">
        <f t="shared" si="2"/>
        <v>21759.192667722182</v>
      </c>
      <c r="G44" s="5">
        <f t="shared" si="3"/>
        <v>46140.438440653394</v>
      </c>
      <c r="H44" s="22">
        <f t="shared" si="16"/>
        <v>30792.361533731288</v>
      </c>
      <c r="I44" s="5">
        <f t="shared" si="17"/>
        <v>75701.105513035436</v>
      </c>
      <c r="J44" s="26">
        <f t="shared" si="5"/>
        <v>0.21825692498354887</v>
      </c>
      <c r="L44" s="22">
        <f t="shared" si="18"/>
        <v>139969.17618050388</v>
      </c>
      <c r="M44" s="5">
        <f>scrimecost*Meta!O41</f>
        <v>632.57399999999996</v>
      </c>
      <c r="N44" s="5">
        <f>L44-Grade12!L44</f>
        <v>1327.0024283516977</v>
      </c>
      <c r="O44" s="5">
        <f>Grade12!M44-M44</f>
        <v>4.9759999999999991</v>
      </c>
      <c r="P44" s="22">
        <f t="shared" si="12"/>
        <v>148.41296794254964</v>
      </c>
      <c r="Q44" s="22"/>
      <c r="R44" s="22"/>
      <c r="S44" s="22">
        <f t="shared" si="19"/>
        <v>1056.3951637381349</v>
      </c>
      <c r="T44" s="22">
        <f t="shared" si="20"/>
        <v>1736.882166787387</v>
      </c>
    </row>
    <row r="45" spans="1:20" x14ac:dyDescent="0.2">
      <c r="A45" s="5">
        <v>54</v>
      </c>
      <c r="B45" s="1">
        <f t="shared" si="13"/>
        <v>2.3732051860662402</v>
      </c>
      <c r="C45" s="5">
        <f t="shared" si="14"/>
        <v>71830.751964671828</v>
      </c>
      <c r="D45" s="5">
        <f t="shared" si="15"/>
        <v>69581.521886084956</v>
      </c>
      <c r="E45" s="5">
        <f t="shared" si="1"/>
        <v>60081.521886084956</v>
      </c>
      <c r="F45" s="5">
        <f t="shared" si="2"/>
        <v>22476.519084415235</v>
      </c>
      <c r="G45" s="5">
        <f t="shared" si="3"/>
        <v>47105.002801669718</v>
      </c>
      <c r="H45" s="22">
        <f t="shared" si="16"/>
        <v>31562.17057207457</v>
      </c>
      <c r="I45" s="5">
        <f t="shared" si="17"/>
        <v>77404.686550861312</v>
      </c>
      <c r="J45" s="26">
        <f t="shared" si="5"/>
        <v>0.22016053086073112</v>
      </c>
      <c r="L45" s="22">
        <f t="shared" si="18"/>
        <v>143468.40558501647</v>
      </c>
      <c r="M45" s="5">
        <f>scrimecost*Meta!O42</f>
        <v>632.57399999999996</v>
      </c>
      <c r="N45" s="5">
        <f>L45-Grade12!L45</f>
        <v>1360.177489060472</v>
      </c>
      <c r="O45" s="5">
        <f>Grade12!M45-M45</f>
        <v>4.9759999999999991</v>
      </c>
      <c r="P45" s="22">
        <f t="shared" si="12"/>
        <v>152.56032134135978</v>
      </c>
      <c r="Q45" s="22"/>
      <c r="R45" s="22"/>
      <c r="S45" s="22">
        <f t="shared" si="19"/>
        <v>1083.0873469993983</v>
      </c>
      <c r="T45" s="22">
        <f t="shared" si="20"/>
        <v>1806.247509576986</v>
      </c>
    </row>
    <row r="46" spans="1:20" x14ac:dyDescent="0.2">
      <c r="A46" s="5">
        <v>55</v>
      </c>
      <c r="B46" s="1">
        <f t="shared" si="13"/>
        <v>2.4325353157178964</v>
      </c>
      <c r="C46" s="5">
        <f t="shared" si="14"/>
        <v>73626.52076378862</v>
      </c>
      <c r="D46" s="5">
        <f t="shared" si="15"/>
        <v>71305.459933237071</v>
      </c>
      <c r="E46" s="5">
        <f t="shared" si="1"/>
        <v>61805.459933237071</v>
      </c>
      <c r="F46" s="5">
        <f t="shared" si="2"/>
        <v>23211.778661525612</v>
      </c>
      <c r="G46" s="5">
        <f t="shared" si="3"/>
        <v>48093.681271711459</v>
      </c>
      <c r="H46" s="22">
        <f t="shared" si="16"/>
        <v>32351.224836376434</v>
      </c>
      <c r="I46" s="5">
        <f t="shared" si="17"/>
        <v>79150.857114632832</v>
      </c>
      <c r="J46" s="26">
        <f t="shared" si="5"/>
        <v>0.22201770732627474</v>
      </c>
      <c r="L46" s="22">
        <f t="shared" si="18"/>
        <v>147055.11572464189</v>
      </c>
      <c r="M46" s="5">
        <f>scrimecost*Meta!O43</f>
        <v>350.86499999999995</v>
      </c>
      <c r="N46" s="5">
        <f>L46-Grade12!L46</f>
        <v>1394.1819262869831</v>
      </c>
      <c r="O46" s="5">
        <f>Grade12!M46-M46</f>
        <v>2.7600000000000477</v>
      </c>
      <c r="P46" s="22">
        <f t="shared" si="12"/>
        <v>156.81135857514016</v>
      </c>
      <c r="Q46" s="22"/>
      <c r="R46" s="22"/>
      <c r="S46" s="22">
        <f t="shared" si="19"/>
        <v>1108.4457868422053</v>
      </c>
      <c r="T46" s="22">
        <f t="shared" si="20"/>
        <v>1874.9861462814517</v>
      </c>
    </row>
    <row r="47" spans="1:20" x14ac:dyDescent="0.2">
      <c r="A47" s="5">
        <v>56</v>
      </c>
      <c r="B47" s="1">
        <f t="shared" si="13"/>
        <v>2.4933486986108435</v>
      </c>
      <c r="C47" s="5">
        <f t="shared" si="14"/>
        <v>75467.183782883338</v>
      </c>
      <c r="D47" s="5">
        <f t="shared" si="15"/>
        <v>73072.496431567997</v>
      </c>
      <c r="E47" s="5">
        <f t="shared" si="1"/>
        <v>63572.496431567997</v>
      </c>
      <c r="F47" s="5">
        <f t="shared" si="2"/>
        <v>23965.419728063753</v>
      </c>
      <c r="G47" s="5">
        <f t="shared" si="3"/>
        <v>49107.076703504245</v>
      </c>
      <c r="H47" s="22">
        <f t="shared" si="16"/>
        <v>33160.005457285843</v>
      </c>
      <c r="I47" s="5">
        <f t="shared" si="17"/>
        <v>80940.681942498661</v>
      </c>
      <c r="J47" s="26">
        <f t="shared" si="5"/>
        <v>0.2238295868048539</v>
      </c>
      <c r="L47" s="22">
        <f t="shared" si="18"/>
        <v>150731.49361775792</v>
      </c>
      <c r="M47" s="5">
        <f>scrimecost*Meta!O44</f>
        <v>350.86499999999995</v>
      </c>
      <c r="N47" s="5">
        <f>L47-Grade12!L47</f>
        <v>1429.0364744441758</v>
      </c>
      <c r="O47" s="5">
        <f>Grade12!M47-M47</f>
        <v>2.7600000000000477</v>
      </c>
      <c r="P47" s="22">
        <f t="shared" si="12"/>
        <v>161.16867173976507</v>
      </c>
      <c r="Q47" s="22"/>
      <c r="R47" s="22"/>
      <c r="S47" s="22">
        <f t="shared" si="19"/>
        <v>1136.4892618810954</v>
      </c>
      <c r="T47" s="22">
        <f t="shared" si="20"/>
        <v>1949.9288731842009</v>
      </c>
    </row>
    <row r="48" spans="1:20" x14ac:dyDescent="0.2">
      <c r="A48" s="5">
        <v>57</v>
      </c>
      <c r="B48" s="1">
        <f t="shared" si="13"/>
        <v>2.555682416076114</v>
      </c>
      <c r="C48" s="5">
        <f t="shared" si="14"/>
        <v>77353.863377455404</v>
      </c>
      <c r="D48" s="5">
        <f t="shared" si="15"/>
        <v>74883.708842357184</v>
      </c>
      <c r="E48" s="5">
        <f t="shared" si="1"/>
        <v>65383.708842357184</v>
      </c>
      <c r="F48" s="5">
        <f t="shared" si="2"/>
        <v>24737.901821265339</v>
      </c>
      <c r="G48" s="5">
        <f t="shared" si="3"/>
        <v>50145.807021091845</v>
      </c>
      <c r="H48" s="22">
        <f t="shared" si="16"/>
        <v>33989.005593717979</v>
      </c>
      <c r="I48" s="5">
        <f t="shared" si="17"/>
        <v>82775.252391061105</v>
      </c>
      <c r="J48" s="26">
        <f t="shared" si="5"/>
        <v>0.22559727410102873</v>
      </c>
      <c r="L48" s="22">
        <f t="shared" si="18"/>
        <v>154499.78095820185</v>
      </c>
      <c r="M48" s="5">
        <f>scrimecost*Meta!O45</f>
        <v>350.86499999999995</v>
      </c>
      <c r="N48" s="5">
        <f>L48-Grade12!L48</f>
        <v>1464.7623863052577</v>
      </c>
      <c r="O48" s="5">
        <f>Grade12!M48-M48</f>
        <v>2.7600000000000477</v>
      </c>
      <c r="P48" s="22">
        <f t="shared" si="12"/>
        <v>165.6349177335056</v>
      </c>
      <c r="Q48" s="22"/>
      <c r="R48" s="22"/>
      <c r="S48" s="22">
        <f t="shared" si="19"/>
        <v>1165.2338237959295</v>
      </c>
      <c r="T48" s="22">
        <f t="shared" si="20"/>
        <v>2027.8524098860703</v>
      </c>
    </row>
    <row r="49" spans="1:20" x14ac:dyDescent="0.2">
      <c r="A49" s="5">
        <v>58</v>
      </c>
      <c r="B49" s="1">
        <f t="shared" si="13"/>
        <v>2.6195744764780171</v>
      </c>
      <c r="C49" s="5">
        <f t="shared" si="14"/>
        <v>79287.709961891785</v>
      </c>
      <c r="D49" s="5">
        <f t="shared" si="15"/>
        <v>76740.201563416107</v>
      </c>
      <c r="E49" s="5">
        <f t="shared" si="1"/>
        <v>67240.201563416107</v>
      </c>
      <c r="F49" s="5">
        <f t="shared" si="2"/>
        <v>25529.695966796971</v>
      </c>
      <c r="G49" s="5">
        <f t="shared" si="3"/>
        <v>51210.505596619136</v>
      </c>
      <c r="H49" s="22">
        <f t="shared" si="16"/>
        <v>34838.730733560929</v>
      </c>
      <c r="I49" s="5">
        <f t="shared" si="17"/>
        <v>84655.687100837618</v>
      </c>
      <c r="J49" s="26">
        <f t="shared" si="5"/>
        <v>0.22732184707290662</v>
      </c>
      <c r="L49" s="22">
        <f t="shared" si="18"/>
        <v>158362.2754821569</v>
      </c>
      <c r="M49" s="5">
        <f>scrimecost*Meta!O46</f>
        <v>350.86499999999995</v>
      </c>
      <c r="N49" s="5">
        <f>L49-Grade12!L49</f>
        <v>1501.3814459629357</v>
      </c>
      <c r="O49" s="5">
        <f>Grade12!M49-M49</f>
        <v>2.7600000000000477</v>
      </c>
      <c r="P49" s="22">
        <f t="shared" si="12"/>
        <v>170.21281987708969</v>
      </c>
      <c r="Q49" s="22"/>
      <c r="R49" s="22"/>
      <c r="S49" s="22">
        <f t="shared" si="19"/>
        <v>1194.6969997586828</v>
      </c>
      <c r="T49" s="22">
        <f t="shared" si="20"/>
        <v>2108.8751088544664</v>
      </c>
    </row>
    <row r="50" spans="1:20" x14ac:dyDescent="0.2">
      <c r="A50" s="5">
        <v>59</v>
      </c>
      <c r="B50" s="1">
        <f t="shared" si="13"/>
        <v>2.6850638383899672</v>
      </c>
      <c r="C50" s="5">
        <f t="shared" si="14"/>
        <v>81269.902710939074</v>
      </c>
      <c r="D50" s="5">
        <f t="shared" si="15"/>
        <v>78643.106602501502</v>
      </c>
      <c r="E50" s="5">
        <f t="shared" si="1"/>
        <v>69143.106602501502</v>
      </c>
      <c r="F50" s="5">
        <f t="shared" si="2"/>
        <v>26341.28496596689</v>
      </c>
      <c r="G50" s="5">
        <f t="shared" si="3"/>
        <v>52301.821636534616</v>
      </c>
      <c r="H50" s="22">
        <f t="shared" si="16"/>
        <v>35709.69900189995</v>
      </c>
      <c r="I50" s="5">
        <f t="shared" si="17"/>
        <v>86583.132678358568</v>
      </c>
      <c r="J50" s="26">
        <f t="shared" si="5"/>
        <v>0.2290043572893728</v>
      </c>
      <c r="L50" s="22">
        <f t="shared" si="18"/>
        <v>162321.33236921081</v>
      </c>
      <c r="M50" s="5">
        <f>scrimecost*Meta!O47</f>
        <v>350.86499999999995</v>
      </c>
      <c r="N50" s="5">
        <f>L50-Grade12!L50</f>
        <v>1538.9159821119974</v>
      </c>
      <c r="O50" s="5">
        <f>Grade12!M50-M50</f>
        <v>2.7600000000000477</v>
      </c>
      <c r="P50" s="22">
        <f t="shared" si="12"/>
        <v>174.90516957426331</v>
      </c>
      <c r="Q50" s="22"/>
      <c r="R50" s="22"/>
      <c r="S50" s="22">
        <f t="shared" si="19"/>
        <v>1224.8967551204641</v>
      </c>
      <c r="T50" s="22">
        <f t="shared" si="20"/>
        <v>2193.1200187534205</v>
      </c>
    </row>
    <row r="51" spans="1:20" x14ac:dyDescent="0.2">
      <c r="A51" s="5">
        <v>60</v>
      </c>
      <c r="B51" s="1">
        <f t="shared" si="13"/>
        <v>2.7521904343497163</v>
      </c>
      <c r="C51" s="5">
        <f t="shared" si="14"/>
        <v>83301.65027871255</v>
      </c>
      <c r="D51" s="5">
        <f t="shared" si="15"/>
        <v>80593.584267564045</v>
      </c>
      <c r="E51" s="5">
        <f t="shared" si="1"/>
        <v>71093.584267564045</v>
      </c>
      <c r="F51" s="5">
        <f t="shared" si="2"/>
        <v>27173.163690116064</v>
      </c>
      <c r="G51" s="5">
        <f t="shared" si="3"/>
        <v>53420.420577447978</v>
      </c>
      <c r="H51" s="22">
        <f t="shared" si="16"/>
        <v>36602.441476947453</v>
      </c>
      <c r="I51" s="5">
        <f t="shared" si="17"/>
        <v>88558.764395317528</v>
      </c>
      <c r="J51" s="26">
        <f t="shared" si="5"/>
        <v>0.23064583067129105</v>
      </c>
      <c r="L51" s="22">
        <f t="shared" si="18"/>
        <v>166379.36567844107</v>
      </c>
      <c r="M51" s="5">
        <f>scrimecost*Meta!O48</f>
        <v>185.09399999999999</v>
      </c>
      <c r="N51" s="5">
        <f>L51-Grade12!L51</f>
        <v>1577.3888816647814</v>
      </c>
      <c r="O51" s="5">
        <f>Grade12!M51-M51</f>
        <v>1.4559999999999889</v>
      </c>
      <c r="P51" s="22">
        <f t="shared" si="12"/>
        <v>179.71482801386628</v>
      </c>
      <c r="Q51" s="22"/>
      <c r="R51" s="22"/>
      <c r="S51" s="22">
        <f t="shared" si="19"/>
        <v>1254.6739923662872</v>
      </c>
      <c r="T51" s="22">
        <f t="shared" si="20"/>
        <v>2278.5766257503342</v>
      </c>
    </row>
    <row r="52" spans="1:20" x14ac:dyDescent="0.2">
      <c r="A52" s="5">
        <v>61</v>
      </c>
      <c r="B52" s="1">
        <f t="shared" si="13"/>
        <v>2.8209951952084591</v>
      </c>
      <c r="C52" s="5">
        <f t="shared" si="14"/>
        <v>85384.191535680351</v>
      </c>
      <c r="D52" s="5">
        <f t="shared" si="15"/>
        <v>82592.823874253139</v>
      </c>
      <c r="E52" s="5">
        <f t="shared" si="1"/>
        <v>73092.823874253139</v>
      </c>
      <c r="F52" s="5">
        <f t="shared" si="2"/>
        <v>28025.839382368966</v>
      </c>
      <c r="G52" s="5">
        <f t="shared" si="3"/>
        <v>54566.98449188417</v>
      </c>
      <c r="H52" s="22">
        <f t="shared" si="16"/>
        <v>37517.502513871128</v>
      </c>
      <c r="I52" s="5">
        <f t="shared" si="17"/>
        <v>90583.786905200453</v>
      </c>
      <c r="J52" s="26">
        <f t="shared" si="5"/>
        <v>0.232247268117065</v>
      </c>
      <c r="L52" s="22">
        <f t="shared" si="18"/>
        <v>170538.84982040207</v>
      </c>
      <c r="M52" s="5">
        <f>scrimecost*Meta!O49</f>
        <v>185.09399999999999</v>
      </c>
      <c r="N52" s="5">
        <f>L52-Grade12!L52</f>
        <v>1616.8236037063762</v>
      </c>
      <c r="O52" s="5">
        <f>Grade12!M52-M52</f>
        <v>1.4559999999999889</v>
      </c>
      <c r="P52" s="22">
        <f t="shared" si="12"/>
        <v>184.64472791445939</v>
      </c>
      <c r="Q52" s="22"/>
      <c r="R52" s="22"/>
      <c r="S52" s="22">
        <f t="shared" si="19"/>
        <v>1286.40261034325</v>
      </c>
      <c r="T52" s="22">
        <f t="shared" si="20"/>
        <v>2369.6242304358002</v>
      </c>
    </row>
    <row r="53" spans="1:20" x14ac:dyDescent="0.2">
      <c r="A53" s="5">
        <v>62</v>
      </c>
      <c r="B53" s="1">
        <f t="shared" si="13"/>
        <v>2.8915200750886707</v>
      </c>
      <c r="C53" s="5">
        <f t="shared" si="14"/>
        <v>87518.796324072377</v>
      </c>
      <c r="D53" s="5">
        <f t="shared" si="15"/>
        <v>84642.044471109475</v>
      </c>
      <c r="E53" s="5">
        <f t="shared" si="1"/>
        <v>75142.044471109475</v>
      </c>
      <c r="F53" s="5">
        <f t="shared" si="2"/>
        <v>28899.831966928192</v>
      </c>
      <c r="G53" s="5">
        <f t="shared" si="3"/>
        <v>55742.212504181283</v>
      </c>
      <c r="H53" s="22">
        <f t="shared" si="16"/>
        <v>38455.440076717918</v>
      </c>
      <c r="I53" s="5">
        <f t="shared" si="17"/>
        <v>92659.434977830475</v>
      </c>
      <c r="J53" s="26">
        <f t="shared" si="5"/>
        <v>0.23380964611294194</v>
      </c>
      <c r="L53" s="22">
        <f t="shared" si="18"/>
        <v>174802.32106591214</v>
      </c>
      <c r="M53" s="5">
        <f>scrimecost*Meta!O50</f>
        <v>185.09399999999999</v>
      </c>
      <c r="N53" s="5">
        <f>L53-Grade12!L53</f>
        <v>1657.2441937990952</v>
      </c>
      <c r="O53" s="5">
        <f>Grade12!M53-M53</f>
        <v>1.4559999999999889</v>
      </c>
      <c r="P53" s="22">
        <f t="shared" si="12"/>
        <v>189.69787531256728</v>
      </c>
      <c r="Q53" s="22"/>
      <c r="R53" s="22"/>
      <c r="S53" s="22">
        <f t="shared" si="19"/>
        <v>1318.9244437696948</v>
      </c>
      <c r="T53" s="22">
        <f t="shared" si="20"/>
        <v>2464.2928317087512</v>
      </c>
    </row>
    <row r="54" spans="1:20" x14ac:dyDescent="0.2">
      <c r="A54" s="5">
        <v>63</v>
      </c>
      <c r="B54" s="1">
        <f t="shared" si="13"/>
        <v>2.9638080769658868</v>
      </c>
      <c r="C54" s="5">
        <f t="shared" si="14"/>
        <v>89706.766232174166</v>
      </c>
      <c r="D54" s="5">
        <f t="shared" si="15"/>
        <v>86742.49558288719</v>
      </c>
      <c r="E54" s="5">
        <f t="shared" si="1"/>
        <v>77242.49558288719</v>
      </c>
      <c r="F54" s="5">
        <f t="shared" si="2"/>
        <v>29795.67436610139</v>
      </c>
      <c r="G54" s="5">
        <f t="shared" si="3"/>
        <v>56946.8212167858</v>
      </c>
      <c r="H54" s="22">
        <f t="shared" si="16"/>
        <v>39416.826078635851</v>
      </c>
      <c r="I54" s="5">
        <f t="shared" si="17"/>
        <v>94786.97425227621</v>
      </c>
      <c r="J54" s="26">
        <f t="shared" si="5"/>
        <v>0.23533391732843167</v>
      </c>
      <c r="L54" s="22">
        <f t="shared" si="18"/>
        <v>179172.37909255992</v>
      </c>
      <c r="M54" s="5">
        <f>scrimecost*Meta!O51</f>
        <v>185.09399999999999</v>
      </c>
      <c r="N54" s="5">
        <f>L54-Grade12!L54</f>
        <v>1698.675298644026</v>
      </c>
      <c r="O54" s="5">
        <f>Grade12!M54-M54</f>
        <v>1.4559999999999889</v>
      </c>
      <c r="P54" s="22">
        <f t="shared" si="12"/>
        <v>194.87735139562784</v>
      </c>
      <c r="Q54" s="22"/>
      <c r="R54" s="22"/>
      <c r="S54" s="22">
        <f t="shared" si="19"/>
        <v>1352.2593230317275</v>
      </c>
      <c r="T54" s="22">
        <f t="shared" si="20"/>
        <v>2562.7261951512241</v>
      </c>
    </row>
    <row r="55" spans="1:20" x14ac:dyDescent="0.2">
      <c r="A55" s="5">
        <v>64</v>
      </c>
      <c r="B55" s="1">
        <f t="shared" si="13"/>
        <v>3.0379032788900342</v>
      </c>
      <c r="C55" s="5">
        <f t="shared" si="14"/>
        <v>91949.435387978519</v>
      </c>
      <c r="D55" s="5">
        <f t="shared" si="15"/>
        <v>88895.457972459379</v>
      </c>
      <c r="E55" s="5">
        <f t="shared" si="1"/>
        <v>79395.457972459379</v>
      </c>
      <c r="F55" s="5">
        <f t="shared" si="2"/>
        <v>30713.912825253923</v>
      </c>
      <c r="G55" s="5">
        <f t="shared" si="3"/>
        <v>58181.545147205456</v>
      </c>
      <c r="H55" s="22">
        <f t="shared" si="16"/>
        <v>40402.246730601757</v>
      </c>
      <c r="I55" s="5">
        <f t="shared" si="17"/>
        <v>96967.702008583146</v>
      </c>
      <c r="J55" s="26">
        <f t="shared" si="5"/>
        <v>0.23682101119720214</v>
      </c>
      <c r="L55" s="22">
        <f t="shared" si="18"/>
        <v>183651.68856987392</v>
      </c>
      <c r="M55" s="5">
        <f>scrimecost*Meta!O52</f>
        <v>185.09399999999999</v>
      </c>
      <c r="N55" s="5">
        <f>L55-Grade12!L55</f>
        <v>1741.1421811101609</v>
      </c>
      <c r="O55" s="5">
        <f>Grade12!M55-M55</f>
        <v>1.4559999999999889</v>
      </c>
      <c r="P55" s="22">
        <f t="shared" si="12"/>
        <v>200.18631438076494</v>
      </c>
      <c r="Q55" s="22"/>
      <c r="R55" s="22"/>
      <c r="S55" s="22">
        <f t="shared" si="19"/>
        <v>1386.4275742753669</v>
      </c>
      <c r="T55" s="22">
        <f t="shared" si="20"/>
        <v>2665.0737908519827</v>
      </c>
    </row>
    <row r="56" spans="1:20" x14ac:dyDescent="0.2">
      <c r="A56" s="5">
        <v>65</v>
      </c>
      <c r="B56" s="1">
        <f t="shared" si="13"/>
        <v>3.1138508608622844</v>
      </c>
      <c r="C56" s="5">
        <f t="shared" si="14"/>
        <v>94248.171272677951</v>
      </c>
      <c r="D56" s="5">
        <f t="shared" si="15"/>
        <v>91102.244421770825</v>
      </c>
      <c r="E56" s="5">
        <f t="shared" si="1"/>
        <v>81602.244421770825</v>
      </c>
      <c r="F56" s="5">
        <f t="shared" si="2"/>
        <v>31655.107245885254</v>
      </c>
      <c r="G56" s="5">
        <f t="shared" si="3"/>
        <v>59447.137175885568</v>
      </c>
      <c r="H56" s="22">
        <f t="shared" si="16"/>
        <v>41412.302898866787</v>
      </c>
      <c r="I56" s="5">
        <f t="shared" si="17"/>
        <v>99202.947958797682</v>
      </c>
      <c r="J56" s="26">
        <f t="shared" si="5"/>
        <v>0.2382718344838074</v>
      </c>
      <c r="L56" s="22">
        <f t="shared" si="18"/>
        <v>188242.98078412074</v>
      </c>
      <c r="M56" s="5">
        <f>scrimecost*Meta!O53</f>
        <v>55.935000000000002</v>
      </c>
      <c r="N56" s="5">
        <f>L56-Grade12!L56</f>
        <v>1784.6707356378611</v>
      </c>
      <c r="O56" s="5">
        <f>Grade12!M56-M56</f>
        <v>0.43999999999999773</v>
      </c>
      <c r="P56" s="22">
        <f t="shared" si="12"/>
        <v>205.6280014405304</v>
      </c>
      <c r="Q56" s="22"/>
      <c r="R56" s="22"/>
      <c r="S56" s="22">
        <f t="shared" si="19"/>
        <v>1420.5325838000363</v>
      </c>
      <c r="T56" s="22">
        <f t="shared" si="20"/>
        <v>2769.7022133212777</v>
      </c>
    </row>
    <row r="57" spans="1:20" x14ac:dyDescent="0.2">
      <c r="A57" s="5">
        <v>66</v>
      </c>
      <c r="C57" s="5"/>
      <c r="H57" s="21"/>
      <c r="I57" s="5"/>
      <c r="M57" s="5">
        <f>scrimecost*Meta!O54</f>
        <v>55.935000000000002</v>
      </c>
      <c r="N57" s="5">
        <f>L57-Grade12!L57</f>
        <v>0</v>
      </c>
      <c r="O57" s="5">
        <f>Grade12!M57-M57</f>
        <v>0.43999999999999773</v>
      </c>
      <c r="Q57" s="22"/>
      <c r="R57" s="22"/>
      <c r="S57" s="22">
        <f t="shared" si="19"/>
        <v>0.39731999999999795</v>
      </c>
      <c r="T57" s="22">
        <f t="shared" si="20"/>
        <v>0.78576400823130621</v>
      </c>
    </row>
    <row r="58" spans="1:20" x14ac:dyDescent="0.2">
      <c r="A58" s="5">
        <v>67</v>
      </c>
      <c r="C58" s="5"/>
      <c r="H58" s="21"/>
      <c r="I58" s="5"/>
      <c r="M58" s="5">
        <f>scrimecost*Meta!O55</f>
        <v>55.935000000000002</v>
      </c>
      <c r="N58" s="5">
        <f>L58-Grade12!L58</f>
        <v>0</v>
      </c>
      <c r="O58" s="5">
        <f>Grade12!M58-M58</f>
        <v>0.43999999999999773</v>
      </c>
      <c r="Q58" s="22"/>
      <c r="R58" s="22"/>
      <c r="S58" s="22">
        <f t="shared" si="19"/>
        <v>0.39731999999999795</v>
      </c>
      <c r="T58" s="22">
        <f t="shared" si="20"/>
        <v>0.79700667625915267</v>
      </c>
    </row>
    <row r="59" spans="1:20" x14ac:dyDescent="0.2">
      <c r="A59" s="5">
        <v>68</v>
      </c>
      <c r="H59" s="21"/>
      <c r="I59" s="5"/>
      <c r="M59" s="5">
        <f>scrimecost*Meta!O56</f>
        <v>55.935000000000002</v>
      </c>
      <c r="N59" s="5">
        <f>L59-Grade12!L59</f>
        <v>0</v>
      </c>
      <c r="O59" s="5">
        <f>Grade12!M59-M59</f>
        <v>0.43999999999999773</v>
      </c>
      <c r="Q59" s="22"/>
      <c r="R59" s="22"/>
      <c r="S59" s="22">
        <f t="shared" si="19"/>
        <v>0.39731999999999795</v>
      </c>
      <c r="T59" s="22">
        <f t="shared" si="20"/>
        <v>0.80841020376014916</v>
      </c>
    </row>
    <row r="60" spans="1:20" x14ac:dyDescent="0.2">
      <c r="A60" s="5">
        <v>69</v>
      </c>
      <c r="H60" s="21"/>
      <c r="I60" s="5"/>
      <c r="M60" s="5">
        <f>scrimecost*Meta!O57</f>
        <v>55.935000000000002</v>
      </c>
      <c r="N60" s="5">
        <f>L60-Grade12!L60</f>
        <v>0</v>
      </c>
      <c r="O60" s="5">
        <f>Grade12!M60-M60</f>
        <v>0.43999999999999773</v>
      </c>
      <c r="Q60" s="22"/>
      <c r="R60" s="22"/>
      <c r="S60" s="22">
        <f t="shared" si="19"/>
        <v>0.39731999999999795</v>
      </c>
      <c r="T60" s="22">
        <f t="shared" si="20"/>
        <v>0.8199768923027525</v>
      </c>
    </row>
    <row r="61" spans="1:20" x14ac:dyDescent="0.2">
      <c r="A61" s="5">
        <v>70</v>
      </c>
      <c r="H61" s="21"/>
      <c r="I61" s="5"/>
      <c r="M61" s="5">
        <f>scrimecost*Meta!O58</f>
        <v>55.935000000000002</v>
      </c>
      <c r="N61" s="5">
        <f>L61-Grade12!L61</f>
        <v>0</v>
      </c>
      <c r="O61" s="5">
        <f>Grade12!M61-M61</f>
        <v>0.43999999999999773</v>
      </c>
      <c r="Q61" s="22"/>
      <c r="R61" s="22"/>
      <c r="S61" s="22">
        <f t="shared" si="19"/>
        <v>0.39731999999999795</v>
      </c>
      <c r="T61" s="22">
        <f t="shared" si="20"/>
        <v>0.83170907638613345</v>
      </c>
    </row>
    <row r="62" spans="1:20" x14ac:dyDescent="0.2">
      <c r="A62" s="5">
        <v>71</v>
      </c>
      <c r="H62" s="21"/>
      <c r="I62" s="5"/>
      <c r="M62" s="5">
        <f>scrimecost*Meta!O59</f>
        <v>55.935000000000002</v>
      </c>
      <c r="N62" s="5">
        <f>L62-Grade12!L62</f>
        <v>0</v>
      </c>
      <c r="O62" s="5">
        <f>Grade12!M62-M62</f>
        <v>0.43999999999999773</v>
      </c>
      <c r="Q62" s="22"/>
      <c r="R62" s="22"/>
      <c r="S62" s="22">
        <f t="shared" si="19"/>
        <v>0.39731999999999795</v>
      </c>
      <c r="T62" s="22">
        <f t="shared" si="20"/>
        <v>0.84360912391134879</v>
      </c>
    </row>
    <row r="63" spans="1:20" x14ac:dyDescent="0.2">
      <c r="A63" s="5">
        <v>72</v>
      </c>
      <c r="H63" s="21"/>
      <c r="M63" s="5">
        <f>scrimecost*Meta!O60</f>
        <v>55.935000000000002</v>
      </c>
      <c r="N63" s="5">
        <f>L63-Grade12!L63</f>
        <v>0</v>
      </c>
      <c r="O63" s="5">
        <f>Grade12!M63-M63</f>
        <v>0.43999999999999773</v>
      </c>
      <c r="Q63" s="22"/>
      <c r="R63" s="22"/>
      <c r="S63" s="22">
        <f t="shared" si="19"/>
        <v>0.39731999999999795</v>
      </c>
      <c r="T63" s="22">
        <f t="shared" si="20"/>
        <v>0.85567943665925172</v>
      </c>
    </row>
    <row r="64" spans="1:20" x14ac:dyDescent="0.2">
      <c r="A64" s="5">
        <v>73</v>
      </c>
      <c r="H64" s="21"/>
      <c r="M64" s="5">
        <f>scrimecost*Meta!O61</f>
        <v>55.935000000000002</v>
      </c>
      <c r="N64" s="5">
        <f>L64-Grade12!L64</f>
        <v>0</v>
      </c>
      <c r="O64" s="5">
        <f>Grade12!M64-M64</f>
        <v>0.43999999999999773</v>
      </c>
      <c r="Q64" s="22"/>
      <c r="R64" s="22"/>
      <c r="S64" s="22">
        <f t="shared" si="19"/>
        <v>0.39731999999999795</v>
      </c>
      <c r="T64" s="22">
        <f t="shared" si="20"/>
        <v>0.86792245077524421</v>
      </c>
    </row>
    <row r="65" spans="1:20" x14ac:dyDescent="0.2">
      <c r="A65" s="5">
        <v>74</v>
      </c>
      <c r="H65" s="21"/>
      <c r="M65" s="5">
        <f>scrimecost*Meta!O62</f>
        <v>55.935000000000002</v>
      </c>
      <c r="N65" s="5">
        <f>L65-Grade12!L65</f>
        <v>0</v>
      </c>
      <c r="O65" s="5">
        <f>Grade12!M65-M65</f>
        <v>0.43999999999999773</v>
      </c>
      <c r="Q65" s="22"/>
      <c r="R65" s="22"/>
      <c r="S65" s="22">
        <f t="shared" si="19"/>
        <v>0.39731999999999795</v>
      </c>
      <c r="T65" s="22">
        <f t="shared" si="20"/>
        <v>0.88034063726096146</v>
      </c>
    </row>
    <row r="66" spans="1:20" x14ac:dyDescent="0.2">
      <c r="A66" s="5">
        <v>75</v>
      </c>
      <c r="H66" s="21"/>
      <c r="M66" s="5">
        <f>scrimecost*Meta!O63</f>
        <v>55.935000000000002</v>
      </c>
      <c r="N66" s="5">
        <f>L66-Grade12!L66</f>
        <v>0</v>
      </c>
      <c r="O66" s="5">
        <f>Grade12!M66-M66</f>
        <v>0.43999999999999773</v>
      </c>
      <c r="Q66" s="22"/>
      <c r="R66" s="22"/>
      <c r="S66" s="22">
        <f t="shared" si="19"/>
        <v>0.39731999999999795</v>
      </c>
      <c r="T66" s="22">
        <f t="shared" si="20"/>
        <v>0.89293650247299361</v>
      </c>
    </row>
    <row r="67" spans="1:20" x14ac:dyDescent="0.2">
      <c r="A67" s="5">
        <v>76</v>
      </c>
      <c r="H67" s="21"/>
      <c r="M67" s="5">
        <f>scrimecost*Meta!O64</f>
        <v>55.935000000000002</v>
      </c>
      <c r="N67" s="5">
        <f>L67-Grade12!L67</f>
        <v>0</v>
      </c>
      <c r="O67" s="5">
        <f>Grade12!M67-M67</f>
        <v>0.43999999999999773</v>
      </c>
      <c r="Q67" s="22"/>
      <c r="R67" s="22"/>
      <c r="S67" s="22">
        <f t="shared" si="19"/>
        <v>0.39731999999999795</v>
      </c>
      <c r="T67" s="22">
        <f t="shared" si="20"/>
        <v>0.90571258862874315</v>
      </c>
    </row>
    <row r="68" spans="1:20" x14ac:dyDescent="0.2">
      <c r="A68" s="5">
        <v>77</v>
      </c>
      <c r="H68" s="21"/>
      <c r="M68" s="5">
        <f>scrimecost*Meta!O65</f>
        <v>55.935000000000002</v>
      </c>
      <c r="N68" s="5">
        <f>L68-Grade12!L68</f>
        <v>0</v>
      </c>
      <c r="O68" s="5">
        <f>Grade12!M68-M68</f>
        <v>0.43999999999999773</v>
      </c>
      <c r="Q68" s="22"/>
      <c r="R68" s="22"/>
      <c r="S68" s="22">
        <f t="shared" si="19"/>
        <v>0.39731999999999795</v>
      </c>
      <c r="T68" s="22">
        <f t="shared" si="20"/>
        <v>0.9186714743195179</v>
      </c>
    </row>
    <row r="69" spans="1:20" x14ac:dyDescent="0.2">
      <c r="A69" s="5">
        <v>78</v>
      </c>
      <c r="H69" s="21"/>
      <c r="M69" s="5">
        <f>scrimecost*Meta!O66</f>
        <v>55.935000000000002</v>
      </c>
      <c r="N69" s="5">
        <f>L69-Grade12!L69</f>
        <v>0</v>
      </c>
      <c r="O69" s="5">
        <f>Grade12!M69-M69</f>
        <v>0.43999999999999773</v>
      </c>
      <c r="Q69" s="22"/>
      <c r="R69" s="22"/>
      <c r="S69" s="22">
        <f t="shared" si="19"/>
        <v>0.39731999999999795</v>
      </c>
      <c r="T69" s="22">
        <f t="shared" si="20"/>
        <v>0.93181577503096791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3.0592173239085696E-10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O12" sqref="O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Meta!A8+6</f>
        <v>20</v>
      </c>
      <c r="C2" s="7">
        <f>Meta!B8</f>
        <v>58707</v>
      </c>
      <c r="D2" s="7">
        <f>Meta!C8</f>
        <v>25659</v>
      </c>
      <c r="E2" s="1">
        <f>Meta!D8</f>
        <v>3.7999999999999999E-2</v>
      </c>
      <c r="F2" s="1">
        <f>Meta!F8</f>
        <v>0.72299999999999998</v>
      </c>
      <c r="G2" s="1">
        <f>Meta!I8</f>
        <v>1.8381311833585117</v>
      </c>
      <c r="H2" s="1">
        <f>Meta!E8</f>
        <v>0.90300000000000002</v>
      </c>
      <c r="I2" s="13"/>
      <c r="J2" s="1">
        <f>Meta!X7</f>
        <v>0.76600000000000001</v>
      </c>
      <c r="K2" s="1">
        <f>Meta!D7</f>
        <v>0.04</v>
      </c>
      <c r="L2" s="29"/>
      <c r="N2" s="22">
        <f>Meta!T8</f>
        <v>83682</v>
      </c>
      <c r="O2" s="22">
        <f>Meta!U8</f>
        <v>34736</v>
      </c>
      <c r="P2" s="1">
        <f>Meta!V8</f>
        <v>2.8000000000000001E-2</v>
      </c>
      <c r="Q2" s="1">
        <f>Meta!X8</f>
        <v>0.77</v>
      </c>
      <c r="R2" s="22">
        <f>Meta!W8</f>
        <v>1009</v>
      </c>
      <c r="T2" s="12">
        <f>IRR(S5:S69)+1</f>
        <v>0.98751630160873205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B10" s="1">
        <v>1</v>
      </c>
      <c r="C10" s="5">
        <f>0.1*Grade13!C10</f>
        <v>3026.7400554495039</v>
      </c>
      <c r="D10" s="5">
        <f t="shared" ref="D10:D36" si="0">IF(A10&lt;startage,1,0)*(C10*(1-initialunempprob))+IF(A10=startage,1,0)*(C10*(1-unempprob))+IF(A10&gt;startage,1,0)*(C10*(1-unempprob)+unempprob*300*52)</f>
        <v>2905.6704532315234</v>
      </c>
      <c r="E10" s="5">
        <f t="shared" ref="E10:E56" si="1">IF(D10-9500&gt;0,1,0)*(D10-9500)</f>
        <v>0</v>
      </c>
      <c r="F10" s="5">
        <f t="shared" ref="F10:F56" si="2">IF(E10&lt;=8500,1,0)*(0.1*E10+0.1*E10+0.0765*D10)+IF(AND(E10&gt;8500,E10&lt;=34500),1,0)*(850+0.15*(E10-8500)+0.1*E10+0.0765*D10)+IF(AND(E10&gt;34500,E10&lt;=83600),1,0)*(4750+0.25*(E10-34500)+0.1*E10+0.0765*D10)+IF(AND(E10&gt;83600,E10&lt;=174400,D10&lt;=106800),1,0)*(17025+0.28*(E10-83600)+0.1*E10+0.0765*D10)+IF(AND(E10&gt;83600,E10&lt;=174400,D10&gt;106800),1,0)*(17025+0.28*(E10-83600)+0.1*E10+8170.2+0.0145*(D10-106800))+IF(AND(E10&gt;174400,E10&lt;=379150),1,0)*(42449+0.33*(E10-174400)+0.1*E10+8170.2+0.0145*(D10-106800))+IF(E10&gt;379150,1,0)*(110016.5+0.35*(E10-379150)+0.1*E10+8170.2+0.0145*(D10-106800))</f>
        <v>222.28378967221153</v>
      </c>
      <c r="G10" s="5">
        <f t="shared" ref="G10:G56" si="3">D10-F10</f>
        <v>2683.3866635593117</v>
      </c>
      <c r="H10" s="22">
        <f>0.1*Grade13!H10</f>
        <v>1329.9385471338514</v>
      </c>
      <c r="I10" s="5">
        <f t="shared" ref="I10:I36" si="4">G10+IF(A10&lt;startage,1,0)*(H10*(1-initialunempprob))+IF(A10&gt;=startage,1,0)*(H10*(1-unempprob))</f>
        <v>3960.1276688078087</v>
      </c>
      <c r="J10" s="26">
        <f t="shared" ref="J10:J56" si="5">(F10-(IF(A10&gt;startage,1,0)*(unempprob*300*52)))/(IF(A10&lt;startage,1,0)*((C10+H10)*(1-initialunempprob))+IF(A10&gt;=startage,1,0)*((C10+H10)*(1-unempprob)))</f>
        <v>5.3147279238038976E-2</v>
      </c>
      <c r="L10" s="22">
        <f>0.1*Grade13!L10</f>
        <v>6045.3435053724024</v>
      </c>
      <c r="M10" s="5">
        <f>scrimecost*Meta!O7</f>
        <v>3554.7070000000003</v>
      </c>
      <c r="N10" s="5">
        <f>L10-Grade13!L10</f>
        <v>-54408.091548351615</v>
      </c>
      <c r="O10" s="5"/>
      <c r="P10" s="22"/>
      <c r="Q10" s="22">
        <f>0.05*feel*Grade13!G10</f>
        <v>313.17566703520038</v>
      </c>
      <c r="R10" s="22">
        <f>coltuition</f>
        <v>8279</v>
      </c>
      <c r="S10" s="22">
        <f t="shared" ref="S10:S41" si="6">IF(A10&lt;startage,1,0)*(N10-Q10-R10)+IF(A10&gt;=startage,1,0)*completionprob*(N10*spart+O10+P10)</f>
        <v>-63000.267215386812</v>
      </c>
      <c r="T10" s="22">
        <f t="shared" ref="T10:T41" si="7">S10/sreturn^(A10-startage+1)</f>
        <v>-63000.267215386812</v>
      </c>
    </row>
    <row r="11" spans="1:20" x14ac:dyDescent="0.2">
      <c r="A11" s="5">
        <v>20</v>
      </c>
      <c r="B11" s="1">
        <f t="shared" ref="B11:B36" si="8">(1+experiencepremium)^(A11-startage)</f>
        <v>1</v>
      </c>
      <c r="C11" s="5">
        <f t="shared" ref="C11:C36" si="9">pretaxincome*B11/expnorm</f>
        <v>31938.416872257429</v>
      </c>
      <c r="D11" s="5">
        <f t="shared" si="0"/>
        <v>30724.757031111647</v>
      </c>
      <c r="E11" s="5">
        <f t="shared" si="1"/>
        <v>21224.757031111647</v>
      </c>
      <c r="F11" s="5">
        <f t="shared" si="2"/>
        <v>7231.6331706579531</v>
      </c>
      <c r="G11" s="5">
        <f t="shared" si="3"/>
        <v>23493.123860453692</v>
      </c>
      <c r="H11" s="22">
        <f t="shared" ref="H11:H36" si="10">benefits*B11/expnorm</f>
        <v>13959.286601687249</v>
      </c>
      <c r="I11" s="5">
        <f t="shared" si="4"/>
        <v>36921.957571276827</v>
      </c>
      <c r="J11" s="26">
        <f t="shared" si="5"/>
        <v>0.16378358020585004</v>
      </c>
      <c r="L11" s="22">
        <f t="shared" ref="L11:L36" si="11">(sincome+sbenefits)*(1-sunemp)*B11/expnorm</f>
        <v>62619.195540599394</v>
      </c>
      <c r="M11" s="5">
        <f>scrimecost*Meta!O8</f>
        <v>3404.366</v>
      </c>
      <c r="N11" s="5">
        <f>L11-Grade13!L11</f>
        <v>654.4246105322818</v>
      </c>
      <c r="O11" s="5">
        <f>Grade13!M11-M11</f>
        <v>26.992000000000189</v>
      </c>
      <c r="P11" s="22">
        <f t="shared" ref="P11:P56" si="12">(spart-initialspart)*(L11*J11+nptrans)</f>
        <v>67.239984140998331</v>
      </c>
      <c r="Q11" s="22"/>
      <c r="R11" s="22"/>
      <c r="S11" s="22">
        <f t="shared" si="6"/>
        <v>540.11945762852258</v>
      </c>
      <c r="T11" s="22">
        <f t="shared" si="7"/>
        <v>546.94738380382262</v>
      </c>
    </row>
    <row r="12" spans="1:20" x14ac:dyDescent="0.2">
      <c r="A12" s="5">
        <v>21</v>
      </c>
      <c r="B12" s="1">
        <f t="shared" si="8"/>
        <v>1.0249999999999999</v>
      </c>
      <c r="C12" s="5">
        <f t="shared" si="9"/>
        <v>32736.877294063859</v>
      </c>
      <c r="D12" s="5">
        <f t="shared" si="0"/>
        <v>32085.67595688943</v>
      </c>
      <c r="E12" s="5">
        <f t="shared" si="1"/>
        <v>22585.67595688943</v>
      </c>
      <c r="F12" s="5">
        <f t="shared" si="2"/>
        <v>7675.9731999243995</v>
      </c>
      <c r="G12" s="5">
        <f t="shared" si="3"/>
        <v>24409.702756965031</v>
      </c>
      <c r="H12" s="22">
        <f t="shared" si="10"/>
        <v>14308.26876672943</v>
      </c>
      <c r="I12" s="5">
        <f t="shared" si="4"/>
        <v>38174.257310558743</v>
      </c>
      <c r="J12" s="26">
        <f t="shared" si="5"/>
        <v>0.15650851407226263</v>
      </c>
      <c r="L12" s="22">
        <f t="shared" si="11"/>
        <v>64184.675429114373</v>
      </c>
      <c r="M12" s="5">
        <f>scrimecost*Meta!O9</f>
        <v>3091.576</v>
      </c>
      <c r="N12" s="5">
        <f>L12-Grade13!L12</f>
        <v>670.78522579557466</v>
      </c>
      <c r="O12" s="5">
        <f>Grade13!M12-M12</f>
        <v>24.512000000000171</v>
      </c>
      <c r="P12" s="22">
        <f t="shared" si="12"/>
        <v>66.39779271048468</v>
      </c>
      <c r="Q12" s="22"/>
      <c r="R12" s="22"/>
      <c r="S12" s="22">
        <f t="shared" si="6"/>
        <v>548.49521816548895</v>
      </c>
      <c r="T12" s="22">
        <f t="shared" si="7"/>
        <v>562.45048887459359</v>
      </c>
    </row>
    <row r="13" spans="1:20" x14ac:dyDescent="0.2">
      <c r="A13" s="5">
        <v>22</v>
      </c>
      <c r="B13" s="1">
        <f t="shared" si="8"/>
        <v>1.0506249999999999</v>
      </c>
      <c r="C13" s="5">
        <f t="shared" si="9"/>
        <v>33555.29922641546</v>
      </c>
      <c r="D13" s="5">
        <f t="shared" si="0"/>
        <v>32872.997855811671</v>
      </c>
      <c r="E13" s="5">
        <f t="shared" si="1"/>
        <v>23372.997855811671</v>
      </c>
      <c r="F13" s="5">
        <f t="shared" si="2"/>
        <v>7933.0337999225103</v>
      </c>
      <c r="G13" s="5">
        <f t="shared" si="3"/>
        <v>24939.964055889162</v>
      </c>
      <c r="H13" s="22">
        <f t="shared" si="10"/>
        <v>14665.975485897665</v>
      </c>
      <c r="I13" s="5">
        <f t="shared" si="4"/>
        <v>39048.632473322716</v>
      </c>
      <c r="J13" s="26">
        <f t="shared" si="5"/>
        <v>0.15823266205054873</v>
      </c>
      <c r="L13" s="22">
        <f t="shared" si="11"/>
        <v>65789.292314842241</v>
      </c>
      <c r="M13" s="5">
        <f>scrimecost*Meta!O10</f>
        <v>2833.2719999999999</v>
      </c>
      <c r="N13" s="5">
        <f>L13-Grade13!L13</f>
        <v>687.5548564404744</v>
      </c>
      <c r="O13" s="5">
        <f>Grade13!M13-M13</f>
        <v>22.463999999999942</v>
      </c>
      <c r="P13" s="22">
        <f t="shared" si="12"/>
        <v>67.856059429596854</v>
      </c>
      <c r="Q13" s="22"/>
      <c r="R13" s="22"/>
      <c r="S13" s="22">
        <f t="shared" si="6"/>
        <v>559.62278089655217</v>
      </c>
      <c r="T13" s="22">
        <f t="shared" si="7"/>
        <v>581.11564068366476</v>
      </c>
    </row>
    <row r="14" spans="1:20" x14ac:dyDescent="0.2">
      <c r="A14" s="5">
        <v>23</v>
      </c>
      <c r="B14" s="1">
        <f t="shared" si="8"/>
        <v>1.0768906249999999</v>
      </c>
      <c r="C14" s="5">
        <f t="shared" si="9"/>
        <v>34394.181707075841</v>
      </c>
      <c r="D14" s="5">
        <f t="shared" si="0"/>
        <v>33680.00280220696</v>
      </c>
      <c r="E14" s="5">
        <f t="shared" si="1"/>
        <v>24180.00280220696</v>
      </c>
      <c r="F14" s="5">
        <f t="shared" si="2"/>
        <v>8196.520914920573</v>
      </c>
      <c r="G14" s="5">
        <f t="shared" si="3"/>
        <v>25483.481887286387</v>
      </c>
      <c r="H14" s="22">
        <f t="shared" si="10"/>
        <v>15032.624873045106</v>
      </c>
      <c r="I14" s="5">
        <f t="shared" si="4"/>
        <v>39944.867015155774</v>
      </c>
      <c r="J14" s="26">
        <f t="shared" si="5"/>
        <v>0.15991475763912058</v>
      </c>
      <c r="L14" s="22">
        <f t="shared" si="11"/>
        <v>67434.024622713288</v>
      </c>
      <c r="M14" s="5">
        <f>scrimecost*Meta!O11</f>
        <v>2647.616</v>
      </c>
      <c r="N14" s="5">
        <f>L14-Grade13!L14</f>
        <v>704.74372785148444</v>
      </c>
      <c r="O14" s="5">
        <f>Grade13!M14-M14</f>
        <v>20.992000000000189</v>
      </c>
      <c r="P14" s="22">
        <f t="shared" si="12"/>
        <v>69.350782816686802</v>
      </c>
      <c r="Q14" s="22"/>
      <c r="R14" s="22"/>
      <c r="S14" s="22">
        <f t="shared" si="6"/>
        <v>571.59489429588405</v>
      </c>
      <c r="T14" s="22">
        <f t="shared" si="7"/>
        <v>601.05089286203986</v>
      </c>
    </row>
    <row r="15" spans="1:20" x14ac:dyDescent="0.2">
      <c r="A15" s="5">
        <v>24</v>
      </c>
      <c r="B15" s="1">
        <f t="shared" si="8"/>
        <v>1.1038128906249998</v>
      </c>
      <c r="C15" s="5">
        <f t="shared" si="9"/>
        <v>35254.036249752739</v>
      </c>
      <c r="D15" s="5">
        <f t="shared" si="0"/>
        <v>34507.182872262136</v>
      </c>
      <c r="E15" s="5">
        <f t="shared" si="1"/>
        <v>25007.182872262136</v>
      </c>
      <c r="F15" s="5">
        <f t="shared" si="2"/>
        <v>8466.5952077935872</v>
      </c>
      <c r="G15" s="5">
        <f t="shared" si="3"/>
        <v>26040.587664468549</v>
      </c>
      <c r="H15" s="22">
        <f t="shared" si="10"/>
        <v>15408.440494871233</v>
      </c>
      <c r="I15" s="5">
        <f t="shared" si="4"/>
        <v>40863.507420534675</v>
      </c>
      <c r="J15" s="26">
        <f t="shared" si="5"/>
        <v>0.16155582650601988</v>
      </c>
      <c r="L15" s="22">
        <f t="shared" si="11"/>
        <v>69119.875238281107</v>
      </c>
      <c r="M15" s="5">
        <f>scrimecost*Meta!O12</f>
        <v>2529.5630000000001</v>
      </c>
      <c r="N15" s="5">
        <f>L15-Grade13!L15</f>
        <v>722.36232104776718</v>
      </c>
      <c r="O15" s="5">
        <f>Grade13!M15-M15</f>
        <v>20.05600000000004</v>
      </c>
      <c r="P15" s="22">
        <f t="shared" si="12"/>
        <v>70.882874288453991</v>
      </c>
      <c r="Q15" s="22"/>
      <c r="R15" s="22"/>
      <c r="S15" s="22">
        <f t="shared" si="6"/>
        <v>584.38354893019698</v>
      </c>
      <c r="T15" s="22">
        <f t="shared" si="7"/>
        <v>622.26677596052662</v>
      </c>
    </row>
    <row r="16" spans="1:20" x14ac:dyDescent="0.2">
      <c r="A16" s="5">
        <v>25</v>
      </c>
      <c r="B16" s="1">
        <f t="shared" si="8"/>
        <v>1.1314082128906247</v>
      </c>
      <c r="C16" s="5">
        <f t="shared" si="9"/>
        <v>36135.387155996548</v>
      </c>
      <c r="D16" s="5">
        <f t="shared" si="0"/>
        <v>35355.042444068684</v>
      </c>
      <c r="E16" s="5">
        <f t="shared" si="1"/>
        <v>25855.042444068684</v>
      </c>
      <c r="F16" s="5">
        <f t="shared" si="2"/>
        <v>8743.4213579884254</v>
      </c>
      <c r="G16" s="5">
        <f t="shared" si="3"/>
        <v>26611.62108608026</v>
      </c>
      <c r="H16" s="22">
        <f t="shared" si="10"/>
        <v>15793.65150724301</v>
      </c>
      <c r="I16" s="5">
        <f t="shared" si="4"/>
        <v>41805.11383604804</v>
      </c>
      <c r="J16" s="26">
        <f t="shared" si="5"/>
        <v>0.16315686930299483</v>
      </c>
      <c r="L16" s="22">
        <f t="shared" si="11"/>
        <v>70847.872119238134</v>
      </c>
      <c r="M16" s="5">
        <f>scrimecost*Meta!O13</f>
        <v>2123.9450000000002</v>
      </c>
      <c r="N16" s="5">
        <f>L16-Grade13!L16</f>
        <v>740.42137907395954</v>
      </c>
      <c r="O16" s="5">
        <f>Grade13!M16-M16</f>
        <v>16.839999999999691</v>
      </c>
      <c r="P16" s="22">
        <f t="shared" si="12"/>
        <v>72.453268047015385</v>
      </c>
      <c r="Q16" s="22"/>
      <c r="R16" s="22"/>
      <c r="S16" s="22">
        <f t="shared" si="6"/>
        <v>595.45421013036946</v>
      </c>
      <c r="T16" s="22">
        <f t="shared" si="7"/>
        <v>642.07051814189788</v>
      </c>
    </row>
    <row r="17" spans="1:20" x14ac:dyDescent="0.2">
      <c r="A17" s="5">
        <v>26</v>
      </c>
      <c r="B17" s="1">
        <f t="shared" si="8"/>
        <v>1.1596934182128902</v>
      </c>
      <c r="C17" s="5">
        <f t="shared" si="9"/>
        <v>37038.771834896463</v>
      </c>
      <c r="D17" s="5">
        <f t="shared" si="0"/>
        <v>36224.098505170397</v>
      </c>
      <c r="E17" s="5">
        <f t="shared" si="1"/>
        <v>26724.098505170397</v>
      </c>
      <c r="F17" s="5">
        <f t="shared" si="2"/>
        <v>9027.1681619381343</v>
      </c>
      <c r="G17" s="5">
        <f t="shared" si="3"/>
        <v>27196.930343232263</v>
      </c>
      <c r="H17" s="22">
        <f t="shared" si="10"/>
        <v>16188.492794924085</v>
      </c>
      <c r="I17" s="5">
        <f t="shared" si="4"/>
        <v>42770.260411949232</v>
      </c>
      <c r="J17" s="26">
        <f t="shared" si="5"/>
        <v>0.1647188622756533</v>
      </c>
      <c r="L17" s="22">
        <f t="shared" si="11"/>
        <v>72619.068922219085</v>
      </c>
      <c r="M17" s="5">
        <f>scrimecost*Meta!O14</f>
        <v>2123.9450000000002</v>
      </c>
      <c r="N17" s="5">
        <f>L17-Grade13!L17</f>
        <v>758.93191355081217</v>
      </c>
      <c r="O17" s="5">
        <f>Grade13!M17-M17</f>
        <v>16.839999999999691</v>
      </c>
      <c r="P17" s="22">
        <f t="shared" si="12"/>
        <v>74.062921649540783</v>
      </c>
      <c r="Q17" s="22"/>
      <c r="R17" s="22"/>
      <c r="S17" s="22">
        <f t="shared" si="6"/>
        <v>609.77828706055016</v>
      </c>
      <c r="T17" s="22">
        <f t="shared" si="7"/>
        <v>665.82797937918508</v>
      </c>
    </row>
    <row r="18" spans="1:20" x14ac:dyDescent="0.2">
      <c r="A18" s="5">
        <v>27</v>
      </c>
      <c r="B18" s="1">
        <f t="shared" si="8"/>
        <v>1.1886857536682125</v>
      </c>
      <c r="C18" s="5">
        <f t="shared" si="9"/>
        <v>37964.741130768874</v>
      </c>
      <c r="D18" s="5">
        <f t="shared" si="0"/>
        <v>37114.880967799661</v>
      </c>
      <c r="E18" s="5">
        <f t="shared" si="1"/>
        <v>27614.880967799661</v>
      </c>
      <c r="F18" s="5">
        <f t="shared" si="2"/>
        <v>9318.0086359865891</v>
      </c>
      <c r="G18" s="5">
        <f t="shared" si="3"/>
        <v>27796.872331813072</v>
      </c>
      <c r="H18" s="22">
        <f t="shared" si="10"/>
        <v>16593.205114797187</v>
      </c>
      <c r="I18" s="5">
        <f t="shared" si="4"/>
        <v>43759.535652247963</v>
      </c>
      <c r="J18" s="26">
        <f t="shared" si="5"/>
        <v>0.1662427578587348</v>
      </c>
      <c r="L18" s="22">
        <f t="shared" si="11"/>
        <v>74434.545645274571</v>
      </c>
      <c r="M18" s="5">
        <f>scrimecost*Meta!O15</f>
        <v>2123.9450000000002</v>
      </c>
      <c r="N18" s="5">
        <f>L18-Grade13!L18</f>
        <v>777.90521138958866</v>
      </c>
      <c r="O18" s="5">
        <f>Grade13!M18-M18</f>
        <v>16.839999999999691</v>
      </c>
      <c r="P18" s="22">
        <f t="shared" si="12"/>
        <v>75.712816592129357</v>
      </c>
      <c r="Q18" s="22"/>
      <c r="R18" s="22"/>
      <c r="S18" s="22">
        <f t="shared" si="6"/>
        <v>624.46046591398738</v>
      </c>
      <c r="T18" s="22">
        <f t="shared" si="7"/>
        <v>690.47945420881467</v>
      </c>
    </row>
    <row r="19" spans="1:20" x14ac:dyDescent="0.2">
      <c r="A19" s="5">
        <v>28</v>
      </c>
      <c r="B19" s="1">
        <f t="shared" si="8"/>
        <v>1.2184028975099177</v>
      </c>
      <c r="C19" s="5">
        <f t="shared" si="9"/>
        <v>38913.859659038091</v>
      </c>
      <c r="D19" s="5">
        <f t="shared" si="0"/>
        <v>38027.932991994647</v>
      </c>
      <c r="E19" s="5">
        <f t="shared" si="1"/>
        <v>28527.932991994647</v>
      </c>
      <c r="F19" s="5">
        <f t="shared" si="2"/>
        <v>9616.1201218862516</v>
      </c>
      <c r="G19" s="5">
        <f t="shared" si="3"/>
        <v>28411.812870108395</v>
      </c>
      <c r="H19" s="22">
        <f t="shared" si="10"/>
        <v>17008.035242667116</v>
      </c>
      <c r="I19" s="5">
        <f t="shared" si="4"/>
        <v>44773.54277355416</v>
      </c>
      <c r="J19" s="26">
        <f t="shared" si="5"/>
        <v>0.16772948525686301</v>
      </c>
      <c r="L19" s="22">
        <f t="shared" si="11"/>
        <v>76295.409286406415</v>
      </c>
      <c r="M19" s="5">
        <f>scrimecost*Meta!O16</f>
        <v>2123.9450000000002</v>
      </c>
      <c r="N19" s="5">
        <f>L19-Grade13!L19</f>
        <v>797.35284167433565</v>
      </c>
      <c r="O19" s="5">
        <f>Grade13!M19-M19</f>
        <v>16.839999999999691</v>
      </c>
      <c r="P19" s="22">
        <f t="shared" si="12"/>
        <v>77.403958908282604</v>
      </c>
      <c r="Q19" s="22"/>
      <c r="R19" s="22"/>
      <c r="S19" s="22">
        <f t="shared" si="6"/>
        <v>639.50969923876119</v>
      </c>
      <c r="T19" s="22">
        <f t="shared" si="7"/>
        <v>716.05877907960394</v>
      </c>
    </row>
    <row r="20" spans="1:20" x14ac:dyDescent="0.2">
      <c r="A20" s="5">
        <v>29</v>
      </c>
      <c r="B20" s="1">
        <f t="shared" si="8"/>
        <v>1.2488629699476654</v>
      </c>
      <c r="C20" s="5">
        <f t="shared" si="9"/>
        <v>39886.706150514045</v>
      </c>
      <c r="D20" s="5">
        <f t="shared" si="0"/>
        <v>38963.811316794512</v>
      </c>
      <c r="E20" s="5">
        <f t="shared" si="1"/>
        <v>29463.811316794512</v>
      </c>
      <c r="F20" s="5">
        <f t="shared" si="2"/>
        <v>9921.684394933407</v>
      </c>
      <c r="G20" s="5">
        <f t="shared" si="3"/>
        <v>29042.126921861105</v>
      </c>
      <c r="H20" s="22">
        <f t="shared" si="10"/>
        <v>17433.23612373379</v>
      </c>
      <c r="I20" s="5">
        <f t="shared" si="4"/>
        <v>45812.900072893011</v>
      </c>
      <c r="J20" s="26">
        <f t="shared" si="5"/>
        <v>0.16917995101113445</v>
      </c>
      <c r="L20" s="22">
        <f t="shared" si="11"/>
        <v>78202.794518566574</v>
      </c>
      <c r="M20" s="5">
        <f>scrimecost*Meta!O17</f>
        <v>2123.9450000000002</v>
      </c>
      <c r="N20" s="5">
        <f>L20-Grade13!L20</f>
        <v>817.28666271618567</v>
      </c>
      <c r="O20" s="5">
        <f>Grade13!M20-M20</f>
        <v>16.839999999999691</v>
      </c>
      <c r="P20" s="22">
        <f t="shared" si="12"/>
        <v>79.137379782339693</v>
      </c>
      <c r="Q20" s="22"/>
      <c r="R20" s="22"/>
      <c r="S20" s="22">
        <f t="shared" si="6"/>
        <v>654.93516339664359</v>
      </c>
      <c r="T20" s="22">
        <f t="shared" si="7"/>
        <v>742.60107354868944</v>
      </c>
    </row>
    <row r="21" spans="1:20" x14ac:dyDescent="0.2">
      <c r="A21" s="5">
        <v>30</v>
      </c>
      <c r="B21" s="1">
        <f t="shared" si="8"/>
        <v>1.2800845441963571</v>
      </c>
      <c r="C21" s="5">
        <f t="shared" si="9"/>
        <v>40883.873804276889</v>
      </c>
      <c r="D21" s="5">
        <f t="shared" si="0"/>
        <v>39923.08659971437</v>
      </c>
      <c r="E21" s="5">
        <f t="shared" si="1"/>
        <v>30423.08659971437</v>
      </c>
      <c r="F21" s="5">
        <f t="shared" si="2"/>
        <v>10234.887774806743</v>
      </c>
      <c r="G21" s="5">
        <f t="shared" si="3"/>
        <v>29688.198824907628</v>
      </c>
      <c r="H21" s="22">
        <f t="shared" si="10"/>
        <v>17869.067026827139</v>
      </c>
      <c r="I21" s="5">
        <f t="shared" si="4"/>
        <v>46878.241304715339</v>
      </c>
      <c r="J21" s="26">
        <f t="shared" si="5"/>
        <v>0.1705950395518871</v>
      </c>
      <c r="L21" s="22">
        <f t="shared" si="11"/>
        <v>80157.864381530744</v>
      </c>
      <c r="M21" s="5">
        <f>scrimecost*Meta!O18</f>
        <v>1712.2730000000001</v>
      </c>
      <c r="N21" s="5">
        <f>L21-Grade13!L21</f>
        <v>837.71882928408741</v>
      </c>
      <c r="O21" s="5">
        <f>Grade13!M21-M21</f>
        <v>13.576000000000022</v>
      </c>
      <c r="P21" s="22">
        <f t="shared" si="12"/>
        <v>80.914136178248228</v>
      </c>
      <c r="Q21" s="22"/>
      <c r="R21" s="22"/>
      <c r="S21" s="22">
        <f t="shared" si="6"/>
        <v>667.79887215847691</v>
      </c>
      <c r="T21" s="22">
        <f t="shared" si="7"/>
        <v>766.75862894306817</v>
      </c>
    </row>
    <row r="22" spans="1:20" x14ac:dyDescent="0.2">
      <c r="A22" s="5">
        <v>31</v>
      </c>
      <c r="B22" s="1">
        <f t="shared" si="8"/>
        <v>1.312086657801266</v>
      </c>
      <c r="C22" s="5">
        <f t="shared" si="9"/>
        <v>41905.970649383809</v>
      </c>
      <c r="D22" s="5">
        <f t="shared" si="0"/>
        <v>40906.343764707228</v>
      </c>
      <c r="E22" s="5">
        <f t="shared" si="1"/>
        <v>31406.343764707228</v>
      </c>
      <c r="F22" s="5">
        <f t="shared" si="2"/>
        <v>10555.921239176911</v>
      </c>
      <c r="G22" s="5">
        <f t="shared" si="3"/>
        <v>30350.422525530317</v>
      </c>
      <c r="H22" s="22">
        <f t="shared" si="10"/>
        <v>18315.793702497816</v>
      </c>
      <c r="I22" s="5">
        <f t="shared" si="4"/>
        <v>47970.216067333211</v>
      </c>
      <c r="J22" s="26">
        <f t="shared" si="5"/>
        <v>0.17197561373798725</v>
      </c>
      <c r="L22" s="22">
        <f t="shared" si="11"/>
        <v>82161.810991069011</v>
      </c>
      <c r="M22" s="5">
        <f>scrimecost*Meta!O19</f>
        <v>1712.2730000000001</v>
      </c>
      <c r="N22" s="5">
        <f>L22-Grade13!L22</f>
        <v>858.66180001619796</v>
      </c>
      <c r="O22" s="5">
        <f>Grade13!M22-M22</f>
        <v>13.576000000000022</v>
      </c>
      <c r="P22" s="22">
        <f t="shared" si="12"/>
        <v>82.735311484054478</v>
      </c>
      <c r="Q22" s="22"/>
      <c r="R22" s="22"/>
      <c r="S22" s="22">
        <f t="shared" si="6"/>
        <v>684.00525043936386</v>
      </c>
      <c r="T22" s="22">
        <f t="shared" si="7"/>
        <v>795.29481810437539</v>
      </c>
    </row>
    <row r="23" spans="1:20" x14ac:dyDescent="0.2">
      <c r="A23" s="5">
        <v>32</v>
      </c>
      <c r="B23" s="1">
        <f t="shared" si="8"/>
        <v>1.3448888242462975</v>
      </c>
      <c r="C23" s="5">
        <f t="shared" si="9"/>
        <v>42953.619915618401</v>
      </c>
      <c r="D23" s="5">
        <f t="shared" si="0"/>
        <v>41914.182358824903</v>
      </c>
      <c r="E23" s="5">
        <f t="shared" si="1"/>
        <v>32414.182358824903</v>
      </c>
      <c r="F23" s="5">
        <f t="shared" si="2"/>
        <v>10884.980540156332</v>
      </c>
      <c r="G23" s="5">
        <f t="shared" si="3"/>
        <v>31029.201818668571</v>
      </c>
      <c r="H23" s="22">
        <f t="shared" si="10"/>
        <v>18773.68854506026</v>
      </c>
      <c r="I23" s="5">
        <f t="shared" si="4"/>
        <v>49089.490199016538</v>
      </c>
      <c r="J23" s="26">
        <f t="shared" si="5"/>
        <v>0.173322515382963</v>
      </c>
      <c r="L23" s="22">
        <f t="shared" si="11"/>
        <v>84215.856265845723</v>
      </c>
      <c r="M23" s="5">
        <f>scrimecost*Meta!O20</f>
        <v>1712.2730000000001</v>
      </c>
      <c r="N23" s="5">
        <f>L23-Grade13!L23</f>
        <v>880.12834501659381</v>
      </c>
      <c r="O23" s="5">
        <f>Grade13!M23-M23</f>
        <v>13.576000000000022</v>
      </c>
      <c r="P23" s="22">
        <f t="shared" si="12"/>
        <v>84.602016172505856</v>
      </c>
      <c r="Q23" s="22"/>
      <c r="R23" s="22"/>
      <c r="S23" s="22">
        <f t="shared" si="6"/>
        <v>700.61678817726067</v>
      </c>
      <c r="T23" s="22">
        <f t="shared" si="7"/>
        <v>824.90698955942105</v>
      </c>
    </row>
    <row r="24" spans="1:20" x14ac:dyDescent="0.2">
      <c r="A24" s="5">
        <v>33</v>
      </c>
      <c r="B24" s="1">
        <f t="shared" si="8"/>
        <v>1.3785110448524549</v>
      </c>
      <c r="C24" s="5">
        <f t="shared" si="9"/>
        <v>44027.460413508867</v>
      </c>
      <c r="D24" s="5">
        <f t="shared" si="0"/>
        <v>42947.216917795529</v>
      </c>
      <c r="E24" s="5">
        <f t="shared" si="1"/>
        <v>33447.216917795529</v>
      </c>
      <c r="F24" s="5">
        <f t="shared" si="2"/>
        <v>11222.26632366024</v>
      </c>
      <c r="G24" s="5">
        <f t="shared" si="3"/>
        <v>31724.950594135291</v>
      </c>
      <c r="H24" s="22">
        <f t="shared" si="10"/>
        <v>19243.030758686764</v>
      </c>
      <c r="I24" s="5">
        <f t="shared" si="4"/>
        <v>50236.746183991956</v>
      </c>
      <c r="J24" s="26">
        <f t="shared" si="5"/>
        <v>0.17463656576830516</v>
      </c>
      <c r="L24" s="22">
        <f t="shared" si="11"/>
        <v>86321.252672491857</v>
      </c>
      <c r="M24" s="5">
        <f>scrimecost*Meta!O21</f>
        <v>1712.2730000000001</v>
      </c>
      <c r="N24" s="5">
        <f>L24-Grade13!L24</f>
        <v>902.13155364201521</v>
      </c>
      <c r="O24" s="5">
        <f>Grade13!M24-M24</f>
        <v>13.576000000000022</v>
      </c>
      <c r="P24" s="22">
        <f t="shared" si="12"/>
        <v>86.515388478168518</v>
      </c>
      <c r="Q24" s="22"/>
      <c r="R24" s="22"/>
      <c r="S24" s="22">
        <f t="shared" si="6"/>
        <v>717.64361435861576</v>
      </c>
      <c r="T24" s="22">
        <f t="shared" si="7"/>
        <v>855.63589417378785</v>
      </c>
    </row>
    <row r="25" spans="1:20" x14ac:dyDescent="0.2">
      <c r="A25" s="5">
        <v>34</v>
      </c>
      <c r="B25" s="1">
        <f t="shared" si="8"/>
        <v>1.4129738209737661</v>
      </c>
      <c r="C25" s="5">
        <f t="shared" si="9"/>
        <v>45128.14692384658</v>
      </c>
      <c r="D25" s="5">
        <f t="shared" si="0"/>
        <v>44006.077340740412</v>
      </c>
      <c r="E25" s="5">
        <f t="shared" si="1"/>
        <v>34506.077340740412</v>
      </c>
      <c r="F25" s="5">
        <f t="shared" si="2"/>
        <v>11568.591985825786</v>
      </c>
      <c r="G25" s="5">
        <f t="shared" si="3"/>
        <v>32437.485354914628</v>
      </c>
      <c r="H25" s="22">
        <f t="shared" si="10"/>
        <v>19724.10652765393</v>
      </c>
      <c r="I25" s="5">
        <f t="shared" si="4"/>
        <v>51412.075834517709</v>
      </c>
      <c r="J25" s="26">
        <f t="shared" si="5"/>
        <v>0.1759283073663048</v>
      </c>
      <c r="L25" s="22">
        <f t="shared" si="11"/>
        <v>88479.283989304138</v>
      </c>
      <c r="M25" s="5">
        <f>scrimecost*Meta!O22</f>
        <v>1712.2730000000001</v>
      </c>
      <c r="N25" s="5">
        <f>L25-Grade13!L25</f>
        <v>924.68484248303866</v>
      </c>
      <c r="O25" s="5">
        <f>Grade13!M25-M25</f>
        <v>13.576000000000022</v>
      </c>
      <c r="P25" s="22">
        <f t="shared" si="12"/>
        <v>88.480042676883571</v>
      </c>
      <c r="Q25" s="22"/>
      <c r="R25" s="22"/>
      <c r="S25" s="22">
        <f t="shared" si="6"/>
        <v>735.0992243641075</v>
      </c>
      <c r="T25" s="22">
        <f t="shared" si="7"/>
        <v>887.52758717711117</v>
      </c>
    </row>
    <row r="26" spans="1:20" x14ac:dyDescent="0.2">
      <c r="A26" s="5">
        <v>35</v>
      </c>
      <c r="B26" s="1">
        <f t="shared" si="8"/>
        <v>1.4482981664981105</v>
      </c>
      <c r="C26" s="5">
        <f t="shared" si="9"/>
        <v>46256.35059694275</v>
      </c>
      <c r="D26" s="5">
        <f t="shared" si="0"/>
        <v>45091.409274258927</v>
      </c>
      <c r="E26" s="5">
        <f t="shared" si="1"/>
        <v>35591.409274258927</v>
      </c>
      <c r="F26" s="5">
        <f t="shared" si="2"/>
        <v>12031.486055471432</v>
      </c>
      <c r="G26" s="5">
        <f t="shared" si="3"/>
        <v>33059.923218787495</v>
      </c>
      <c r="H26" s="22">
        <f t="shared" si="10"/>
        <v>20217.209190845282</v>
      </c>
      <c r="I26" s="5">
        <f t="shared" si="4"/>
        <v>52508.878460380656</v>
      </c>
      <c r="J26" s="26">
        <f t="shared" si="5"/>
        <v>0.17887602353700077</v>
      </c>
      <c r="L26" s="22">
        <f t="shared" si="11"/>
        <v>90691.26608903677</v>
      </c>
      <c r="M26" s="5">
        <f>scrimecost*Meta!O23</f>
        <v>1328.8529999999998</v>
      </c>
      <c r="N26" s="5">
        <f>L26-Grade13!L26</f>
        <v>947.80196354514919</v>
      </c>
      <c r="O26" s="5">
        <f>Grade13!M26-M26</f>
        <v>10.536000000000058</v>
      </c>
      <c r="P26" s="22">
        <f t="shared" si="12"/>
        <v>91.105972190171855</v>
      </c>
      <c r="Q26" s="22"/>
      <c r="R26" s="22"/>
      <c r="S26" s="22">
        <f t="shared" si="6"/>
        <v>750.79888416030303</v>
      </c>
      <c r="T26" s="22">
        <f t="shared" si="7"/>
        <v>917.94200080057487</v>
      </c>
    </row>
    <row r="27" spans="1:20" x14ac:dyDescent="0.2">
      <c r="A27" s="5">
        <v>36</v>
      </c>
      <c r="B27" s="1">
        <f t="shared" si="8"/>
        <v>1.4845056206605631</v>
      </c>
      <c r="C27" s="5">
        <f t="shared" si="9"/>
        <v>47412.759361866309</v>
      </c>
      <c r="D27" s="5">
        <f t="shared" si="0"/>
        <v>46203.87450611539</v>
      </c>
      <c r="E27" s="5">
        <f t="shared" si="1"/>
        <v>36703.87450611539</v>
      </c>
      <c r="F27" s="5">
        <f t="shared" si="2"/>
        <v>12505.952476858214</v>
      </c>
      <c r="G27" s="5">
        <f t="shared" si="3"/>
        <v>33697.922029257177</v>
      </c>
      <c r="H27" s="22">
        <f t="shared" si="10"/>
        <v>20722.639420616415</v>
      </c>
      <c r="I27" s="5">
        <f t="shared" si="4"/>
        <v>53633.101151890165</v>
      </c>
      <c r="J27" s="26">
        <f t="shared" si="5"/>
        <v>0.18175184419133827</v>
      </c>
      <c r="L27" s="22">
        <f t="shared" si="11"/>
        <v>92958.547741262679</v>
      </c>
      <c r="M27" s="5">
        <f>scrimecost*Meta!O24</f>
        <v>1328.8529999999998</v>
      </c>
      <c r="N27" s="5">
        <f>L27-Grade13!L27</f>
        <v>971.49701263378665</v>
      </c>
      <c r="O27" s="5">
        <f>Grade13!M27-M27</f>
        <v>10.536000000000058</v>
      </c>
      <c r="P27" s="22">
        <f t="shared" si="12"/>
        <v>93.797549941292303</v>
      </c>
      <c r="Q27" s="22"/>
      <c r="R27" s="22"/>
      <c r="S27" s="22">
        <f t="shared" si="6"/>
        <v>769.70478345138531</v>
      </c>
      <c r="T27" s="22">
        <f t="shared" si="7"/>
        <v>952.9531174662269</v>
      </c>
    </row>
    <row r="28" spans="1:20" x14ac:dyDescent="0.2">
      <c r="A28" s="5">
        <v>37</v>
      </c>
      <c r="B28" s="1">
        <f t="shared" si="8"/>
        <v>1.521618261177077</v>
      </c>
      <c r="C28" s="5">
        <f t="shared" si="9"/>
        <v>48598.078345912967</v>
      </c>
      <c r="D28" s="5">
        <f t="shared" si="0"/>
        <v>47344.151368768275</v>
      </c>
      <c r="E28" s="5">
        <f t="shared" si="1"/>
        <v>37844.151368768275</v>
      </c>
      <c r="F28" s="5">
        <f t="shared" si="2"/>
        <v>12992.280558779668</v>
      </c>
      <c r="G28" s="5">
        <f t="shared" si="3"/>
        <v>34351.870809988606</v>
      </c>
      <c r="H28" s="22">
        <f t="shared" si="10"/>
        <v>21240.705406131819</v>
      </c>
      <c r="I28" s="5">
        <f t="shared" si="4"/>
        <v>54785.429410687415</v>
      </c>
      <c r="J28" s="26">
        <f t="shared" si="5"/>
        <v>0.18455752287849683</v>
      </c>
      <c r="L28" s="22">
        <f t="shared" si="11"/>
        <v>95282.511434794229</v>
      </c>
      <c r="M28" s="5">
        <f>scrimecost*Meta!O25</f>
        <v>1328.8529999999998</v>
      </c>
      <c r="N28" s="5">
        <f>L28-Grade13!L28</f>
        <v>995.78443794960913</v>
      </c>
      <c r="O28" s="5">
        <f>Grade13!M28-M28</f>
        <v>10.536000000000058</v>
      </c>
      <c r="P28" s="22">
        <f t="shared" si="12"/>
        <v>96.556417136190774</v>
      </c>
      <c r="Q28" s="22"/>
      <c r="R28" s="22"/>
      <c r="S28" s="22">
        <f t="shared" si="6"/>
        <v>789.08333022472311</v>
      </c>
      <c r="T28" s="22">
        <f t="shared" si="7"/>
        <v>989.29529772492288</v>
      </c>
    </row>
    <row r="29" spans="1:20" x14ac:dyDescent="0.2">
      <c r="A29" s="5">
        <v>38</v>
      </c>
      <c r="B29" s="1">
        <f t="shared" si="8"/>
        <v>1.559658717706504</v>
      </c>
      <c r="C29" s="5">
        <f t="shared" si="9"/>
        <v>49813.030304560787</v>
      </c>
      <c r="D29" s="5">
        <f t="shared" si="0"/>
        <v>48512.935152987477</v>
      </c>
      <c r="E29" s="5">
        <f t="shared" si="1"/>
        <v>39012.935152987477</v>
      </c>
      <c r="F29" s="5">
        <f t="shared" si="2"/>
        <v>13490.766842749159</v>
      </c>
      <c r="G29" s="5">
        <f t="shared" si="3"/>
        <v>35022.168310238318</v>
      </c>
      <c r="H29" s="22">
        <f t="shared" si="10"/>
        <v>21771.723041285117</v>
      </c>
      <c r="I29" s="5">
        <f t="shared" si="4"/>
        <v>55966.565875954599</v>
      </c>
      <c r="J29" s="26">
        <f t="shared" si="5"/>
        <v>0.18729477037816367</v>
      </c>
      <c r="L29" s="22">
        <f t="shared" si="11"/>
        <v>97664.574220664086</v>
      </c>
      <c r="M29" s="5">
        <f>scrimecost*Meta!O26</f>
        <v>1328.8529999999998</v>
      </c>
      <c r="N29" s="5">
        <f>L29-Grade13!L29</f>
        <v>1020.6790488983534</v>
      </c>
      <c r="O29" s="5">
        <f>Grade13!M29-M29</f>
        <v>10.536000000000058</v>
      </c>
      <c r="P29" s="22">
        <f t="shared" si="12"/>
        <v>99.384256010961707</v>
      </c>
      <c r="Q29" s="22"/>
      <c r="R29" s="22"/>
      <c r="S29" s="22">
        <f t="shared" si="6"/>
        <v>808.94634066741264</v>
      </c>
      <c r="T29" s="22">
        <f t="shared" si="7"/>
        <v>1027.0190923820157</v>
      </c>
    </row>
    <row r="30" spans="1:20" x14ac:dyDescent="0.2">
      <c r="A30" s="5">
        <v>39</v>
      </c>
      <c r="B30" s="1">
        <f t="shared" si="8"/>
        <v>1.5986501856491666</v>
      </c>
      <c r="C30" s="5">
        <f t="shared" si="9"/>
        <v>51058.356062174811</v>
      </c>
      <c r="D30" s="5">
        <f t="shared" si="0"/>
        <v>49710.938531812171</v>
      </c>
      <c r="E30" s="5">
        <f t="shared" si="1"/>
        <v>40210.938531812171</v>
      </c>
      <c r="F30" s="5">
        <f t="shared" si="2"/>
        <v>14001.715283817892</v>
      </c>
      <c r="G30" s="5">
        <f t="shared" si="3"/>
        <v>35709.223247994276</v>
      </c>
      <c r="H30" s="22">
        <f t="shared" si="10"/>
        <v>22316.016117317246</v>
      </c>
      <c r="I30" s="5">
        <f t="shared" si="4"/>
        <v>57177.230752853466</v>
      </c>
      <c r="J30" s="26">
        <f t="shared" si="5"/>
        <v>0.18996525574369238</v>
      </c>
      <c r="L30" s="22">
        <f t="shared" si="11"/>
        <v>100106.18857618069</v>
      </c>
      <c r="M30" s="5">
        <f>scrimecost*Meta!O27</f>
        <v>1328.8529999999998</v>
      </c>
      <c r="N30" s="5">
        <f>L30-Grade13!L30</f>
        <v>1046.196025120822</v>
      </c>
      <c r="O30" s="5">
        <f>Grade13!M30-M30</f>
        <v>10.536000000000058</v>
      </c>
      <c r="P30" s="22">
        <f t="shared" si="12"/>
        <v>102.28279085760194</v>
      </c>
      <c r="Q30" s="22"/>
      <c r="R30" s="22"/>
      <c r="S30" s="22">
        <f t="shared" si="6"/>
        <v>829.30592637117343</v>
      </c>
      <c r="T30" s="22">
        <f t="shared" si="7"/>
        <v>1066.1769713674394</v>
      </c>
    </row>
    <row r="31" spans="1:20" x14ac:dyDescent="0.2">
      <c r="A31" s="5">
        <v>40</v>
      </c>
      <c r="B31" s="1">
        <f t="shared" si="8"/>
        <v>1.6386164402903955</v>
      </c>
      <c r="C31" s="5">
        <f t="shared" si="9"/>
        <v>52334.814963729179</v>
      </c>
      <c r="D31" s="5">
        <f t="shared" si="0"/>
        <v>50938.891995107471</v>
      </c>
      <c r="E31" s="5">
        <f t="shared" si="1"/>
        <v>41438.891995107471</v>
      </c>
      <c r="F31" s="5">
        <f t="shared" si="2"/>
        <v>14525.437435913336</v>
      </c>
      <c r="G31" s="5">
        <f t="shared" si="3"/>
        <v>36413.454559194135</v>
      </c>
      <c r="H31" s="22">
        <f t="shared" si="10"/>
        <v>22873.916520250172</v>
      </c>
      <c r="I31" s="5">
        <f t="shared" si="4"/>
        <v>58418.162251674803</v>
      </c>
      <c r="J31" s="26">
        <f t="shared" si="5"/>
        <v>0.19257060731981787</v>
      </c>
      <c r="L31" s="22">
        <f t="shared" si="11"/>
        <v>102608.84329058518</v>
      </c>
      <c r="M31" s="5">
        <f>scrimecost*Meta!O28</f>
        <v>1162.3679999999999</v>
      </c>
      <c r="N31" s="5">
        <f>L31-Grade13!L31</f>
        <v>1072.3509257488186</v>
      </c>
      <c r="O31" s="5">
        <f>Grade13!M31-M31</f>
        <v>9.2159999999998945</v>
      </c>
      <c r="P31" s="22">
        <f t="shared" si="12"/>
        <v>105.25378907540812</v>
      </c>
      <c r="Q31" s="22"/>
      <c r="R31" s="22"/>
      <c r="S31" s="22">
        <f t="shared" si="6"/>
        <v>848.98254171750455</v>
      </c>
      <c r="T31" s="22">
        <f t="shared" si="7"/>
        <v>1105.2716102013153</v>
      </c>
    </row>
    <row r="32" spans="1:20" x14ac:dyDescent="0.2">
      <c r="A32" s="5">
        <v>41</v>
      </c>
      <c r="B32" s="1">
        <f t="shared" si="8"/>
        <v>1.6795818512976552</v>
      </c>
      <c r="C32" s="5">
        <f t="shared" si="9"/>
        <v>53643.185337822397</v>
      </c>
      <c r="D32" s="5">
        <f t="shared" si="0"/>
        <v>52197.544294985149</v>
      </c>
      <c r="E32" s="5">
        <f t="shared" si="1"/>
        <v>42697.544294985149</v>
      </c>
      <c r="F32" s="5">
        <f t="shared" si="2"/>
        <v>15062.252641811167</v>
      </c>
      <c r="G32" s="5">
        <f t="shared" si="3"/>
        <v>37135.291653173983</v>
      </c>
      <c r="H32" s="22">
        <f t="shared" si="10"/>
        <v>23445.764433256423</v>
      </c>
      <c r="I32" s="5">
        <f t="shared" si="4"/>
        <v>59690.117037966658</v>
      </c>
      <c r="J32" s="26">
        <f t="shared" si="5"/>
        <v>0.19511241373555008</v>
      </c>
      <c r="L32" s="22">
        <f t="shared" si="11"/>
        <v>105174.06437284981</v>
      </c>
      <c r="M32" s="5">
        <f>scrimecost*Meta!O29</f>
        <v>1162.3679999999999</v>
      </c>
      <c r="N32" s="5">
        <f>L32-Grade13!L32</f>
        <v>1099.1596988925448</v>
      </c>
      <c r="O32" s="5">
        <f>Grade13!M32-M32</f>
        <v>9.2159999999998945</v>
      </c>
      <c r="P32" s="22">
        <f t="shared" si="12"/>
        <v>108.2990622486595</v>
      </c>
      <c r="Q32" s="22"/>
      <c r="R32" s="22"/>
      <c r="S32" s="22">
        <f t="shared" si="6"/>
        <v>870.37283144751484</v>
      </c>
      <c r="T32" s="22">
        <f t="shared" si="7"/>
        <v>1147.4434942199364</v>
      </c>
    </row>
    <row r="33" spans="1:20" x14ac:dyDescent="0.2">
      <c r="A33" s="5">
        <v>42</v>
      </c>
      <c r="B33" s="1">
        <f t="shared" si="8"/>
        <v>1.7215713975800966</v>
      </c>
      <c r="C33" s="5">
        <f t="shared" si="9"/>
        <v>54984.264971267956</v>
      </c>
      <c r="D33" s="5">
        <f t="shared" si="0"/>
        <v>53487.662902359778</v>
      </c>
      <c r="E33" s="5">
        <f t="shared" si="1"/>
        <v>43987.662902359778</v>
      </c>
      <c r="F33" s="5">
        <f t="shared" si="2"/>
        <v>15612.488227856444</v>
      </c>
      <c r="G33" s="5">
        <f t="shared" si="3"/>
        <v>37875.174674503331</v>
      </c>
      <c r="H33" s="22">
        <f t="shared" si="10"/>
        <v>24031.908544087833</v>
      </c>
      <c r="I33" s="5">
        <f t="shared" si="4"/>
        <v>60993.870693915829</v>
      </c>
      <c r="J33" s="26">
        <f t="shared" si="5"/>
        <v>0.19759222487284978</v>
      </c>
      <c r="L33" s="22">
        <f t="shared" si="11"/>
        <v>107803.41598217106</v>
      </c>
      <c r="M33" s="5">
        <f>scrimecost*Meta!O30</f>
        <v>1162.3679999999999</v>
      </c>
      <c r="N33" s="5">
        <f>L33-Grade13!L33</f>
        <v>1126.6386913648603</v>
      </c>
      <c r="O33" s="5">
        <f>Grade13!M33-M33</f>
        <v>9.2159999999998945</v>
      </c>
      <c r="P33" s="22">
        <f t="shared" si="12"/>
        <v>111.42046725124214</v>
      </c>
      <c r="Q33" s="22"/>
      <c r="R33" s="22"/>
      <c r="S33" s="22">
        <f t="shared" si="6"/>
        <v>892.29787842077258</v>
      </c>
      <c r="T33" s="22">
        <f t="shared" si="7"/>
        <v>1191.2188815438781</v>
      </c>
    </row>
    <row r="34" spans="1:20" x14ac:dyDescent="0.2">
      <c r="A34" s="5">
        <v>43</v>
      </c>
      <c r="B34" s="1">
        <f t="shared" si="8"/>
        <v>1.7646106825195991</v>
      </c>
      <c r="C34" s="5">
        <f t="shared" si="9"/>
        <v>56358.871595549659</v>
      </c>
      <c r="D34" s="5">
        <f t="shared" si="0"/>
        <v>54810.034474918772</v>
      </c>
      <c r="E34" s="5">
        <f t="shared" si="1"/>
        <v>45310.034474918772</v>
      </c>
      <c r="F34" s="5">
        <f t="shared" si="2"/>
        <v>16176.479703552857</v>
      </c>
      <c r="G34" s="5">
        <f t="shared" si="3"/>
        <v>38633.554771365918</v>
      </c>
      <c r="H34" s="22">
        <f t="shared" si="10"/>
        <v>24632.706257690032</v>
      </c>
      <c r="I34" s="5">
        <f t="shared" si="4"/>
        <v>62330.218191263732</v>
      </c>
      <c r="J34" s="26">
        <f t="shared" si="5"/>
        <v>0.20001155281167879</v>
      </c>
      <c r="L34" s="22">
        <f t="shared" si="11"/>
        <v>110498.50138172533</v>
      </c>
      <c r="M34" s="5">
        <f>scrimecost*Meta!O31</f>
        <v>1162.3679999999999</v>
      </c>
      <c r="N34" s="5">
        <f>L34-Grade13!L34</f>
        <v>1154.80465864898</v>
      </c>
      <c r="O34" s="5">
        <f>Grade13!M34-M34</f>
        <v>9.2159999999998945</v>
      </c>
      <c r="P34" s="22">
        <f t="shared" si="12"/>
        <v>114.61990737888938</v>
      </c>
      <c r="Q34" s="22"/>
      <c r="R34" s="22"/>
      <c r="S34" s="22">
        <f t="shared" si="6"/>
        <v>914.77105156835933</v>
      </c>
      <c r="T34" s="22">
        <f t="shared" si="7"/>
        <v>1236.6586721436456</v>
      </c>
    </row>
    <row r="35" spans="1:20" x14ac:dyDescent="0.2">
      <c r="A35" s="5">
        <v>44</v>
      </c>
      <c r="B35" s="1">
        <f t="shared" si="8"/>
        <v>1.8087259495825889</v>
      </c>
      <c r="C35" s="5">
        <f t="shared" si="9"/>
        <v>57767.843385438391</v>
      </c>
      <c r="D35" s="5">
        <f t="shared" si="0"/>
        <v>56165.465336791734</v>
      </c>
      <c r="E35" s="5">
        <f t="shared" si="1"/>
        <v>46665.465336791734</v>
      </c>
      <c r="F35" s="5">
        <f t="shared" si="2"/>
        <v>16754.570966141677</v>
      </c>
      <c r="G35" s="5">
        <f t="shared" si="3"/>
        <v>39410.894370650058</v>
      </c>
      <c r="H35" s="22">
        <f t="shared" si="10"/>
        <v>25248.523914132278</v>
      </c>
      <c r="I35" s="5">
        <f t="shared" si="4"/>
        <v>63699.974376045313</v>
      </c>
      <c r="J35" s="26">
        <f t="shared" si="5"/>
        <v>0.2023718727519998</v>
      </c>
      <c r="L35" s="22">
        <f t="shared" si="11"/>
        <v>113260.96391626846</v>
      </c>
      <c r="M35" s="5">
        <f>scrimecost*Meta!O32</f>
        <v>1162.3679999999999</v>
      </c>
      <c r="N35" s="5">
        <f>L35-Grade13!L35</f>
        <v>1183.6747751152288</v>
      </c>
      <c r="O35" s="5">
        <f>Grade13!M35-M35</f>
        <v>9.2159999999998945</v>
      </c>
      <c r="P35" s="22">
        <f t="shared" si="12"/>
        <v>117.8993335097278</v>
      </c>
      <c r="Q35" s="22"/>
      <c r="R35" s="22"/>
      <c r="S35" s="22">
        <f t="shared" si="6"/>
        <v>937.80605404465382</v>
      </c>
      <c r="T35" s="22">
        <f t="shared" si="7"/>
        <v>1283.8260780447667</v>
      </c>
    </row>
    <row r="36" spans="1:20" x14ac:dyDescent="0.2">
      <c r="A36" s="5">
        <v>45</v>
      </c>
      <c r="B36" s="1">
        <f t="shared" si="8"/>
        <v>1.8539440983221533</v>
      </c>
      <c r="C36" s="5">
        <f t="shared" si="9"/>
        <v>59212.039470074342</v>
      </c>
      <c r="D36" s="5">
        <f t="shared" si="0"/>
        <v>57554.781970211516</v>
      </c>
      <c r="E36" s="5">
        <f t="shared" si="1"/>
        <v>48054.781970211516</v>
      </c>
      <c r="F36" s="5">
        <f t="shared" si="2"/>
        <v>17347.11451029521</v>
      </c>
      <c r="G36" s="5">
        <f t="shared" si="3"/>
        <v>40207.667459916309</v>
      </c>
      <c r="H36" s="22">
        <f t="shared" si="10"/>
        <v>25879.73701198558</v>
      </c>
      <c r="I36" s="5">
        <f t="shared" si="4"/>
        <v>65103.974465446438</v>
      </c>
      <c r="J36" s="26">
        <f t="shared" si="5"/>
        <v>0.2046746239132885</v>
      </c>
      <c r="L36" s="22">
        <f t="shared" si="11"/>
        <v>116092.48801417515</v>
      </c>
      <c r="M36" s="5">
        <f>scrimecost*Meta!O33</f>
        <v>939.37900000000002</v>
      </c>
      <c r="N36" s="5">
        <f>L36-Grade13!L36</f>
        <v>1213.2666444930801</v>
      </c>
      <c r="O36" s="5">
        <f>Grade13!M36-M36</f>
        <v>7.4479999999999791</v>
      </c>
      <c r="P36" s="22">
        <f t="shared" si="12"/>
        <v>121.26074529383712</v>
      </c>
      <c r="Q36" s="22"/>
      <c r="R36" s="22"/>
      <c r="S36" s="22">
        <f t="shared" si="6"/>
        <v>959.82042758281852</v>
      </c>
      <c r="T36" s="22">
        <f t="shared" si="7"/>
        <v>1330.5735200773915</v>
      </c>
    </row>
    <row r="37" spans="1:20" x14ac:dyDescent="0.2">
      <c r="A37" s="5">
        <v>46</v>
      </c>
      <c r="B37" s="1">
        <f t="shared" ref="B37:B56" si="13">(1+experiencepremium)^(A37-startage)</f>
        <v>1.9002927007802071</v>
      </c>
      <c r="C37" s="5">
        <f t="shared" ref="C37:C56" si="14">pretaxincome*B37/expnorm</f>
        <v>60692.340456826198</v>
      </c>
      <c r="D37" s="5">
        <f t="shared" ref="D37:D56" si="15">IF(A37&lt;startage,1,0)*(C37*(1-initialunempprob))+IF(A37=startage,1,0)*(C37*(1-unempprob))+IF(A37&gt;startage,1,0)*(C37*(1-unempprob)+unempprob*300*52)</f>
        <v>58978.831519466803</v>
      </c>
      <c r="E37" s="5">
        <f t="shared" si="1"/>
        <v>49478.831519466803</v>
      </c>
      <c r="F37" s="5">
        <f t="shared" si="2"/>
        <v>17954.471643052591</v>
      </c>
      <c r="G37" s="5">
        <f t="shared" si="3"/>
        <v>41024.359876414208</v>
      </c>
      <c r="H37" s="22">
        <f t="shared" ref="H37:H56" si="16">benefits*B37/expnorm</f>
        <v>26526.730437285223</v>
      </c>
      <c r="I37" s="5">
        <f t="shared" ref="I37:I56" si="17">G37+IF(A37&lt;startage,1,0)*(H37*(1-initialunempprob))+IF(A37&gt;=startage,1,0)*(H37*(1-unempprob))</f>
        <v>66543.074557082597</v>
      </c>
      <c r="J37" s="26">
        <f t="shared" si="5"/>
        <v>0.20692121041210682</v>
      </c>
      <c r="L37" s="22">
        <f t="shared" ref="L37:L56" si="18">(sincome+sbenefits)*(1-sunemp)*B37/expnorm</f>
        <v>118994.80021452952</v>
      </c>
      <c r="M37" s="5">
        <f>scrimecost*Meta!O34</f>
        <v>939.37900000000002</v>
      </c>
      <c r="N37" s="5">
        <f>L37-Grade13!L37</f>
        <v>1243.5983106054045</v>
      </c>
      <c r="O37" s="5">
        <f>Grade13!M37-M37</f>
        <v>7.4479999999999791</v>
      </c>
      <c r="P37" s="22">
        <f t="shared" si="12"/>
        <v>124.70619237254921</v>
      </c>
      <c r="Q37" s="22"/>
      <c r="R37" s="22"/>
      <c r="S37" s="22">
        <f t="shared" si="6"/>
        <v>984.02157705945569</v>
      </c>
      <c r="T37" s="22">
        <f t="shared" si="7"/>
        <v>1381.3675049576368</v>
      </c>
    </row>
    <row r="38" spans="1:20" x14ac:dyDescent="0.2">
      <c r="A38" s="5">
        <v>47</v>
      </c>
      <c r="B38" s="1">
        <f t="shared" si="13"/>
        <v>1.9478000182997122</v>
      </c>
      <c r="C38" s="5">
        <f t="shared" si="14"/>
        <v>62209.648968246845</v>
      </c>
      <c r="D38" s="5">
        <f t="shared" si="15"/>
        <v>60438.482307453465</v>
      </c>
      <c r="E38" s="5">
        <f t="shared" si="1"/>
        <v>50938.482307453465</v>
      </c>
      <c r="F38" s="5">
        <f t="shared" si="2"/>
        <v>18577.012704128902</v>
      </c>
      <c r="G38" s="5">
        <f t="shared" si="3"/>
        <v>41861.469603324564</v>
      </c>
      <c r="H38" s="22">
        <f t="shared" si="16"/>
        <v>27189.898698217352</v>
      </c>
      <c r="I38" s="5">
        <f t="shared" si="17"/>
        <v>68018.15215100965</v>
      </c>
      <c r="J38" s="26">
        <f t="shared" si="5"/>
        <v>0.20911300211827097</v>
      </c>
      <c r="L38" s="22">
        <f t="shared" si="18"/>
        <v>121969.67021989275</v>
      </c>
      <c r="M38" s="5">
        <f>scrimecost*Meta!O35</f>
        <v>939.37900000000002</v>
      </c>
      <c r="N38" s="5">
        <f>L38-Grade13!L38</f>
        <v>1274.688268370548</v>
      </c>
      <c r="O38" s="5">
        <f>Grade13!M38-M38</f>
        <v>7.4479999999999791</v>
      </c>
      <c r="P38" s="22">
        <f t="shared" si="12"/>
        <v>128.23777562822909</v>
      </c>
      <c r="Q38" s="22"/>
      <c r="R38" s="22"/>
      <c r="S38" s="22">
        <f t="shared" si="6"/>
        <v>1008.8277552730167</v>
      </c>
      <c r="T38" s="22">
        <f t="shared" si="7"/>
        <v>1434.0931542993239</v>
      </c>
    </row>
    <row r="39" spans="1:20" x14ac:dyDescent="0.2">
      <c r="A39" s="5">
        <v>48</v>
      </c>
      <c r="B39" s="1">
        <f t="shared" si="13"/>
        <v>1.9964950187572048</v>
      </c>
      <c r="C39" s="5">
        <f t="shared" si="14"/>
        <v>63764.890192453022</v>
      </c>
      <c r="D39" s="5">
        <f t="shared" si="15"/>
        <v>61934.624365139811</v>
      </c>
      <c r="E39" s="5">
        <f t="shared" si="1"/>
        <v>52434.624365139811</v>
      </c>
      <c r="F39" s="5">
        <f t="shared" si="2"/>
        <v>19215.117291732131</v>
      </c>
      <c r="G39" s="5">
        <f t="shared" si="3"/>
        <v>42719.50707340768</v>
      </c>
      <c r="H39" s="22">
        <f t="shared" si="16"/>
        <v>27869.646165672784</v>
      </c>
      <c r="I39" s="5">
        <f t="shared" si="17"/>
        <v>69530.1066847849</v>
      </c>
      <c r="J39" s="26">
        <f t="shared" si="5"/>
        <v>0.21125133549013855</v>
      </c>
      <c r="L39" s="22">
        <f t="shared" si="18"/>
        <v>125018.91197539007</v>
      </c>
      <c r="M39" s="5">
        <f>scrimecost*Meta!O36</f>
        <v>939.37900000000002</v>
      </c>
      <c r="N39" s="5">
        <f>L39-Grade13!L39</f>
        <v>1306.5554750798037</v>
      </c>
      <c r="O39" s="5">
        <f>Grade13!M39-M39</f>
        <v>7.4479999999999791</v>
      </c>
      <c r="P39" s="22">
        <f t="shared" si="12"/>
        <v>131.85764846530103</v>
      </c>
      <c r="Q39" s="22"/>
      <c r="R39" s="22"/>
      <c r="S39" s="22">
        <f t="shared" si="6"/>
        <v>1034.2540879419053</v>
      </c>
      <c r="T39" s="22">
        <f t="shared" si="7"/>
        <v>1488.82383548341</v>
      </c>
    </row>
    <row r="40" spans="1:20" x14ac:dyDescent="0.2">
      <c r="A40" s="5">
        <v>49</v>
      </c>
      <c r="B40" s="1">
        <f t="shared" si="13"/>
        <v>2.0464073942261352</v>
      </c>
      <c r="C40" s="5">
        <f t="shared" si="14"/>
        <v>65359.012447264351</v>
      </c>
      <c r="D40" s="5">
        <f t="shared" si="15"/>
        <v>63468.169974268305</v>
      </c>
      <c r="E40" s="5">
        <f t="shared" si="1"/>
        <v>53968.169974268305</v>
      </c>
      <c r="F40" s="5">
        <f t="shared" si="2"/>
        <v>19869.174494025432</v>
      </c>
      <c r="G40" s="5">
        <f t="shared" si="3"/>
        <v>43598.995480242869</v>
      </c>
      <c r="H40" s="22">
        <f t="shared" si="16"/>
        <v>28566.387319814607</v>
      </c>
      <c r="I40" s="5">
        <f t="shared" si="17"/>
        <v>71079.860081904524</v>
      </c>
      <c r="J40" s="26">
        <f t="shared" si="5"/>
        <v>0.21333751438952148</v>
      </c>
      <c r="L40" s="22">
        <f t="shared" si="18"/>
        <v>128144.38477477484</v>
      </c>
      <c r="M40" s="5">
        <f>scrimecost*Meta!O37</f>
        <v>939.37900000000002</v>
      </c>
      <c r="N40" s="5">
        <f>L40-Grade13!L40</f>
        <v>1339.2193619568279</v>
      </c>
      <c r="O40" s="5">
        <f>Grade13!M40-M40</f>
        <v>7.4479999999999791</v>
      </c>
      <c r="P40" s="22">
        <f t="shared" si="12"/>
        <v>135.56801812329974</v>
      </c>
      <c r="Q40" s="22"/>
      <c r="R40" s="22"/>
      <c r="S40" s="22">
        <f t="shared" si="6"/>
        <v>1060.3160789275416</v>
      </c>
      <c r="T40" s="22">
        <f t="shared" si="7"/>
        <v>1545.6357013200764</v>
      </c>
    </row>
    <row r="41" spans="1:20" x14ac:dyDescent="0.2">
      <c r="A41" s="5">
        <v>50</v>
      </c>
      <c r="B41" s="1">
        <f t="shared" si="13"/>
        <v>2.097567579081788</v>
      </c>
      <c r="C41" s="5">
        <f t="shared" si="14"/>
        <v>66992.987758445946</v>
      </c>
      <c r="D41" s="5">
        <f t="shared" si="15"/>
        <v>65040.054223625004</v>
      </c>
      <c r="E41" s="5">
        <f t="shared" si="1"/>
        <v>55540.054223625004</v>
      </c>
      <c r="F41" s="5">
        <f t="shared" si="2"/>
        <v>20539.583126376063</v>
      </c>
      <c r="G41" s="5">
        <f t="shared" si="3"/>
        <v>44500.471097248941</v>
      </c>
      <c r="H41" s="22">
        <f t="shared" si="16"/>
        <v>29280.547002809963</v>
      </c>
      <c r="I41" s="5">
        <f t="shared" si="17"/>
        <v>72668.357313952118</v>
      </c>
      <c r="J41" s="26">
        <f t="shared" si="5"/>
        <v>0.21537281087672433</v>
      </c>
      <c r="L41" s="22">
        <f t="shared" si="18"/>
        <v>131347.99439414416</v>
      </c>
      <c r="M41" s="5">
        <f>scrimecost*Meta!O38</f>
        <v>627.59799999999996</v>
      </c>
      <c r="N41" s="5">
        <f>L41-Grade13!L41</f>
        <v>1372.6998460056784</v>
      </c>
      <c r="O41" s="5">
        <f>Grade13!M41-M41</f>
        <v>4.9759999999999991</v>
      </c>
      <c r="P41" s="22">
        <f t="shared" si="12"/>
        <v>139.37114702274837</v>
      </c>
      <c r="Q41" s="22"/>
      <c r="R41" s="22"/>
      <c r="S41" s="22">
        <f t="shared" si="6"/>
        <v>1084.7974036877501</v>
      </c>
      <c r="T41" s="22">
        <f t="shared" si="7"/>
        <v>1601.3127326774211</v>
      </c>
    </row>
    <row r="42" spans="1:20" x14ac:dyDescent="0.2">
      <c r="A42" s="5">
        <v>51</v>
      </c>
      <c r="B42" s="1">
        <f t="shared" si="13"/>
        <v>2.1500067685588333</v>
      </c>
      <c r="C42" s="5">
        <f t="shared" si="14"/>
        <v>68667.812452407117</v>
      </c>
      <c r="D42" s="5">
        <f t="shared" si="15"/>
        <v>66651.235579215645</v>
      </c>
      <c r="E42" s="5">
        <f t="shared" si="1"/>
        <v>57151.235579215645</v>
      </c>
      <c r="F42" s="5">
        <f t="shared" si="2"/>
        <v>21226.751974535473</v>
      </c>
      <c r="G42" s="5">
        <f t="shared" si="3"/>
        <v>45424.483604680172</v>
      </c>
      <c r="H42" s="22">
        <f t="shared" si="16"/>
        <v>30012.560677880221</v>
      </c>
      <c r="I42" s="5">
        <f t="shared" si="17"/>
        <v>74296.566976800939</v>
      </c>
      <c r="J42" s="26">
        <f t="shared" si="5"/>
        <v>0.21735846598619055</v>
      </c>
      <c r="L42" s="22">
        <f t="shared" si="18"/>
        <v>134631.69425399782</v>
      </c>
      <c r="M42" s="5">
        <f>scrimecost*Meta!O39</f>
        <v>627.59799999999996</v>
      </c>
      <c r="N42" s="5">
        <f>L42-Grade13!L42</f>
        <v>1407.0173421559157</v>
      </c>
      <c r="O42" s="5">
        <f>Grade13!M42-M42</f>
        <v>4.9759999999999991</v>
      </c>
      <c r="P42" s="22">
        <f t="shared" si="12"/>
        <v>143.26935414468329</v>
      </c>
      <c r="Q42" s="22"/>
      <c r="R42" s="22"/>
      <c r="S42" s="22">
        <f t="shared" ref="S42:S69" si="19">IF(A42&lt;startage,1,0)*(N42-Q42-R42)+IF(A42&gt;=startage,1,0)*completionprob*(N42*spart+O42+P42)</f>
        <v>1112.1787829670786</v>
      </c>
      <c r="T42" s="22">
        <f t="shared" ref="T42:T69" si="20">S42/sreturn^(A42-startage+1)</f>
        <v>1662.485446079746</v>
      </c>
    </row>
    <row r="43" spans="1:20" x14ac:dyDescent="0.2">
      <c r="A43" s="5">
        <v>52</v>
      </c>
      <c r="B43" s="1">
        <f t="shared" si="13"/>
        <v>2.2037569377728037</v>
      </c>
      <c r="C43" s="5">
        <f t="shared" si="14"/>
        <v>70384.50776371728</v>
      </c>
      <c r="D43" s="5">
        <f t="shared" si="15"/>
        <v>68302.696468696027</v>
      </c>
      <c r="E43" s="5">
        <f t="shared" si="1"/>
        <v>58802.696468696027</v>
      </c>
      <c r="F43" s="5">
        <f t="shared" si="2"/>
        <v>21931.100043898856</v>
      </c>
      <c r="G43" s="5">
        <f t="shared" si="3"/>
        <v>46371.596424797171</v>
      </c>
      <c r="H43" s="22">
        <f t="shared" si="16"/>
        <v>30762.874694827216</v>
      </c>
      <c r="I43" s="5">
        <f t="shared" si="17"/>
        <v>75965.481881220956</v>
      </c>
      <c r="J43" s="26">
        <f t="shared" si="5"/>
        <v>0.21929569048323075</v>
      </c>
      <c r="L43" s="22">
        <f t="shared" si="18"/>
        <v>137997.48661034773</v>
      </c>
      <c r="M43" s="5">
        <f>scrimecost*Meta!O40</f>
        <v>627.59799999999996</v>
      </c>
      <c r="N43" s="5">
        <f>L43-Grade13!L43</f>
        <v>1442.1927757097874</v>
      </c>
      <c r="O43" s="5">
        <f>Grade13!M43-M43</f>
        <v>4.9759999999999991</v>
      </c>
      <c r="P43" s="22">
        <f t="shared" si="12"/>
        <v>147.26501644466649</v>
      </c>
      <c r="Q43" s="22"/>
      <c r="R43" s="22"/>
      <c r="S43" s="22">
        <f t="shared" si="19"/>
        <v>1140.2446967283063</v>
      </c>
      <c r="T43" s="22">
        <f t="shared" si="20"/>
        <v>1725.985066137385</v>
      </c>
    </row>
    <row r="44" spans="1:20" x14ac:dyDescent="0.2">
      <c r="A44" s="5">
        <v>53</v>
      </c>
      <c r="B44" s="1">
        <f t="shared" si="13"/>
        <v>2.2588508612171236</v>
      </c>
      <c r="C44" s="5">
        <f t="shared" si="14"/>
        <v>72144.120457810204</v>
      </c>
      <c r="D44" s="5">
        <f t="shared" si="15"/>
        <v>69995.443880413412</v>
      </c>
      <c r="E44" s="5">
        <f t="shared" si="1"/>
        <v>60495.443880413412</v>
      </c>
      <c r="F44" s="5">
        <f t="shared" si="2"/>
        <v>22653.056814996318</v>
      </c>
      <c r="G44" s="5">
        <f t="shared" si="3"/>
        <v>47342.38706541709</v>
      </c>
      <c r="H44" s="22">
        <f t="shared" si="16"/>
        <v>31531.946562197896</v>
      </c>
      <c r="I44" s="5">
        <f t="shared" si="17"/>
        <v>77676.119658251468</v>
      </c>
      <c r="J44" s="26">
        <f t="shared" si="5"/>
        <v>0.22118566560229427</v>
      </c>
      <c r="L44" s="22">
        <f t="shared" si="18"/>
        <v>141447.42377560641</v>
      </c>
      <c r="M44" s="5">
        <f>scrimecost*Meta!O41</f>
        <v>627.59799999999996</v>
      </c>
      <c r="N44" s="5">
        <f>L44-Grade13!L44</f>
        <v>1478.2475951025262</v>
      </c>
      <c r="O44" s="5">
        <f>Grade13!M44-M44</f>
        <v>4.9759999999999991</v>
      </c>
      <c r="P44" s="22">
        <f t="shared" si="12"/>
        <v>151.36057030214931</v>
      </c>
      <c r="Q44" s="22"/>
      <c r="R44" s="22"/>
      <c r="S44" s="22">
        <f t="shared" si="19"/>
        <v>1169.0122583335783</v>
      </c>
      <c r="T44" s="22">
        <f t="shared" si="20"/>
        <v>1791.8999789778309</v>
      </c>
    </row>
    <row r="45" spans="1:20" x14ac:dyDescent="0.2">
      <c r="A45" s="5">
        <v>54</v>
      </c>
      <c r="B45" s="1">
        <f t="shared" si="13"/>
        <v>2.3153221327475517</v>
      </c>
      <c r="C45" s="5">
        <f t="shared" si="14"/>
        <v>73947.723469255448</v>
      </c>
      <c r="D45" s="5">
        <f t="shared" si="15"/>
        <v>71730.509977423746</v>
      </c>
      <c r="E45" s="5">
        <f t="shared" si="1"/>
        <v>62230.509977423746</v>
      </c>
      <c r="F45" s="5">
        <f t="shared" si="2"/>
        <v>23393.062505371228</v>
      </c>
      <c r="G45" s="5">
        <f t="shared" si="3"/>
        <v>48337.447472052518</v>
      </c>
      <c r="H45" s="22">
        <f t="shared" si="16"/>
        <v>32320.245226252842</v>
      </c>
      <c r="I45" s="5">
        <f t="shared" si="17"/>
        <v>79429.523379707753</v>
      </c>
      <c r="J45" s="26">
        <f t="shared" si="5"/>
        <v>0.22302954376723449</v>
      </c>
      <c r="L45" s="22">
        <f t="shared" si="18"/>
        <v>144983.60936999656</v>
      </c>
      <c r="M45" s="5">
        <f>scrimecost*Meta!O42</f>
        <v>627.59799999999996</v>
      </c>
      <c r="N45" s="5">
        <f>L45-Grade13!L45</f>
        <v>1515.2037849800836</v>
      </c>
      <c r="O45" s="5">
        <f>Grade13!M45-M45</f>
        <v>4.9759999999999991</v>
      </c>
      <c r="P45" s="22">
        <f t="shared" si="12"/>
        <v>155.55851300606926</v>
      </c>
      <c r="Q45" s="22"/>
      <c r="R45" s="22"/>
      <c r="S45" s="22">
        <f t="shared" si="19"/>
        <v>1198.4990089789824</v>
      </c>
      <c r="T45" s="22">
        <f t="shared" si="20"/>
        <v>1860.3219264386869</v>
      </c>
    </row>
    <row r="46" spans="1:20" x14ac:dyDescent="0.2">
      <c r="A46" s="5">
        <v>55</v>
      </c>
      <c r="B46" s="1">
        <f t="shared" si="13"/>
        <v>2.3732051860662402</v>
      </c>
      <c r="C46" s="5">
        <f t="shared" si="14"/>
        <v>75796.416555986827</v>
      </c>
      <c r="D46" s="5">
        <f t="shared" si="15"/>
        <v>73508.952726859323</v>
      </c>
      <c r="E46" s="5">
        <f t="shared" si="1"/>
        <v>64008.952726859323</v>
      </c>
      <c r="F46" s="5">
        <f t="shared" si="2"/>
        <v>24151.568338005502</v>
      </c>
      <c r="G46" s="5">
        <f t="shared" si="3"/>
        <v>49357.384388853825</v>
      </c>
      <c r="H46" s="22">
        <f t="shared" si="16"/>
        <v>33128.251356909161</v>
      </c>
      <c r="I46" s="5">
        <f t="shared" si="17"/>
        <v>81226.762194200433</v>
      </c>
      <c r="J46" s="26">
        <f t="shared" si="5"/>
        <v>0.22482844929400525</v>
      </c>
      <c r="L46" s="22">
        <f t="shared" si="18"/>
        <v>148608.19960424647</v>
      </c>
      <c r="M46" s="5">
        <f>scrimecost*Meta!O43</f>
        <v>348.10499999999996</v>
      </c>
      <c r="N46" s="5">
        <f>L46-Grade13!L46</f>
        <v>1553.0838796045864</v>
      </c>
      <c r="O46" s="5">
        <f>Grade13!M46-M46</f>
        <v>2.7599999999999909</v>
      </c>
      <c r="P46" s="22">
        <f t="shared" si="12"/>
        <v>159.8614042775871</v>
      </c>
      <c r="Q46" s="22"/>
      <c r="R46" s="22"/>
      <c r="S46" s="22">
        <f t="shared" si="19"/>
        <v>1226.7218803905262</v>
      </c>
      <c r="T46" s="22">
        <f t="shared" si="20"/>
        <v>1928.2008219843785</v>
      </c>
    </row>
    <row r="47" spans="1:20" x14ac:dyDescent="0.2">
      <c r="A47" s="5">
        <v>56</v>
      </c>
      <c r="B47" s="1">
        <f t="shared" si="13"/>
        <v>2.4325353157178964</v>
      </c>
      <c r="C47" s="5">
        <f t="shared" si="14"/>
        <v>77691.326969886504</v>
      </c>
      <c r="D47" s="5">
        <f t="shared" si="15"/>
        <v>75331.856545030823</v>
      </c>
      <c r="E47" s="5">
        <f t="shared" si="1"/>
        <v>65831.856545030823</v>
      </c>
      <c r="F47" s="5">
        <f t="shared" si="2"/>
        <v>24929.036816455646</v>
      </c>
      <c r="G47" s="5">
        <f t="shared" si="3"/>
        <v>50402.819728575181</v>
      </c>
      <c r="H47" s="22">
        <f t="shared" si="16"/>
        <v>33956.45764083189</v>
      </c>
      <c r="I47" s="5">
        <f t="shared" si="17"/>
        <v>83068.931979055458</v>
      </c>
      <c r="J47" s="26">
        <f t="shared" si="5"/>
        <v>0.22658347907622076</v>
      </c>
      <c r="L47" s="22">
        <f t="shared" si="18"/>
        <v>152323.40459435264</v>
      </c>
      <c r="M47" s="5">
        <f>scrimecost*Meta!O44</f>
        <v>348.10499999999996</v>
      </c>
      <c r="N47" s="5">
        <f>L47-Grade13!L47</f>
        <v>1591.9109765947214</v>
      </c>
      <c r="O47" s="5">
        <f>Grade13!M47-M47</f>
        <v>2.7599999999999909</v>
      </c>
      <c r="P47" s="22">
        <f t="shared" si="12"/>
        <v>164.271867830893</v>
      </c>
      <c r="Q47" s="22"/>
      <c r="R47" s="22"/>
      <c r="S47" s="22">
        <f t="shared" si="19"/>
        <v>1257.7013977873721</v>
      </c>
      <c r="T47" s="22">
        <f t="shared" si="20"/>
        <v>2001.8863673077906</v>
      </c>
    </row>
    <row r="48" spans="1:20" x14ac:dyDescent="0.2">
      <c r="A48" s="5">
        <v>57</v>
      </c>
      <c r="B48" s="1">
        <f t="shared" si="13"/>
        <v>2.4933486986108435</v>
      </c>
      <c r="C48" s="5">
        <f t="shared" si="14"/>
        <v>79633.610144133665</v>
      </c>
      <c r="D48" s="5">
        <f t="shared" si="15"/>
        <v>77200.332958656581</v>
      </c>
      <c r="E48" s="5">
        <f t="shared" si="1"/>
        <v>67700.332958656581</v>
      </c>
      <c r="F48" s="5">
        <f t="shared" si="2"/>
        <v>25725.94200686703</v>
      </c>
      <c r="G48" s="5">
        <f t="shared" si="3"/>
        <v>51474.390951789552</v>
      </c>
      <c r="H48" s="22">
        <f t="shared" si="16"/>
        <v>34805.369081852688</v>
      </c>
      <c r="I48" s="5">
        <f t="shared" si="17"/>
        <v>84957.156008531834</v>
      </c>
      <c r="J48" s="26">
        <f t="shared" si="5"/>
        <v>0.2282957032539919</v>
      </c>
      <c r="L48" s="22">
        <f t="shared" si="18"/>
        <v>156131.48970921146</v>
      </c>
      <c r="M48" s="5">
        <f>scrimecost*Meta!O45</f>
        <v>348.10499999999996</v>
      </c>
      <c r="N48" s="5">
        <f>L48-Grade13!L48</f>
        <v>1631.7087510096026</v>
      </c>
      <c r="O48" s="5">
        <f>Grade13!M48-M48</f>
        <v>2.7599999999999909</v>
      </c>
      <c r="P48" s="22">
        <f t="shared" si="12"/>
        <v>168.79259297303145</v>
      </c>
      <c r="Q48" s="22"/>
      <c r="R48" s="22"/>
      <c r="S48" s="22">
        <f t="shared" si="19"/>
        <v>1289.4554031191342</v>
      </c>
      <c r="T48" s="22">
        <f t="shared" si="20"/>
        <v>2078.3751025861434</v>
      </c>
    </row>
    <row r="49" spans="1:20" x14ac:dyDescent="0.2">
      <c r="A49" s="5">
        <v>58</v>
      </c>
      <c r="B49" s="1">
        <f t="shared" si="13"/>
        <v>2.555682416076114</v>
      </c>
      <c r="C49" s="5">
        <f t="shared" si="14"/>
        <v>81624.45039773699</v>
      </c>
      <c r="D49" s="5">
        <f t="shared" si="15"/>
        <v>79115.521282622984</v>
      </c>
      <c r="E49" s="5">
        <f t="shared" si="1"/>
        <v>69615.521282622984</v>
      </c>
      <c r="F49" s="5">
        <f t="shared" si="2"/>
        <v>26542.769827038701</v>
      </c>
      <c r="G49" s="5">
        <f t="shared" si="3"/>
        <v>52572.751455584279</v>
      </c>
      <c r="H49" s="22">
        <f t="shared" si="16"/>
        <v>35675.503308898995</v>
      </c>
      <c r="I49" s="5">
        <f t="shared" si="17"/>
        <v>86892.585638745106</v>
      </c>
      <c r="J49" s="26">
        <f t="shared" si="5"/>
        <v>0.22996616586645158</v>
      </c>
      <c r="L49" s="22">
        <f t="shared" si="18"/>
        <v>160034.77695194169</v>
      </c>
      <c r="M49" s="5">
        <f>scrimecost*Meta!O46</f>
        <v>348.10499999999996</v>
      </c>
      <c r="N49" s="5">
        <f>L49-Grade13!L49</f>
        <v>1672.5014697847946</v>
      </c>
      <c r="O49" s="5">
        <f>Grade13!M49-M49</f>
        <v>2.7599999999999909</v>
      </c>
      <c r="P49" s="22">
        <f t="shared" si="12"/>
        <v>173.42633624372337</v>
      </c>
      <c r="Q49" s="22"/>
      <c r="R49" s="22"/>
      <c r="S49" s="22">
        <f t="shared" si="19"/>
        <v>1322.0032585841479</v>
      </c>
      <c r="T49" s="22">
        <f t="shared" si="20"/>
        <v>2157.7735092670277</v>
      </c>
    </row>
    <row r="50" spans="1:20" x14ac:dyDescent="0.2">
      <c r="A50" s="5">
        <v>59</v>
      </c>
      <c r="B50" s="1">
        <f t="shared" si="13"/>
        <v>2.6195744764780171</v>
      </c>
      <c r="C50" s="5">
        <f t="shared" si="14"/>
        <v>83665.061657680417</v>
      </c>
      <c r="D50" s="5">
        <f t="shared" si="15"/>
        <v>81078.589314688565</v>
      </c>
      <c r="E50" s="5">
        <f t="shared" si="1"/>
        <v>71578.589314688565</v>
      </c>
      <c r="F50" s="5">
        <f t="shared" si="2"/>
        <v>27380.018342714673</v>
      </c>
      <c r="G50" s="5">
        <f t="shared" si="3"/>
        <v>53698.570971973895</v>
      </c>
      <c r="H50" s="22">
        <f t="shared" si="16"/>
        <v>36567.390891621479</v>
      </c>
      <c r="I50" s="5">
        <f t="shared" si="17"/>
        <v>88876.401009713765</v>
      </c>
      <c r="J50" s="26">
        <f t="shared" si="5"/>
        <v>0.23159588548836346</v>
      </c>
      <c r="L50" s="22">
        <f t="shared" si="18"/>
        <v>164035.64637574024</v>
      </c>
      <c r="M50" s="5">
        <f>scrimecost*Meta!O47</f>
        <v>348.10499999999996</v>
      </c>
      <c r="N50" s="5">
        <f>L50-Grade13!L50</f>
        <v>1714.3140065294283</v>
      </c>
      <c r="O50" s="5">
        <f>Grade13!M50-M50</f>
        <v>2.7599999999999909</v>
      </c>
      <c r="P50" s="22">
        <f t="shared" si="12"/>
        <v>178.17592309618263</v>
      </c>
      <c r="Q50" s="22"/>
      <c r="R50" s="22"/>
      <c r="S50" s="22">
        <f t="shared" si="19"/>
        <v>1355.3648104358299</v>
      </c>
      <c r="T50" s="22">
        <f t="shared" si="20"/>
        <v>2240.1921115745527</v>
      </c>
    </row>
    <row r="51" spans="1:20" x14ac:dyDescent="0.2">
      <c r="A51" s="5">
        <v>60</v>
      </c>
      <c r="B51" s="1">
        <f t="shared" si="13"/>
        <v>2.6850638383899672</v>
      </c>
      <c r="C51" s="5">
        <f t="shared" si="14"/>
        <v>85756.688199122407</v>
      </c>
      <c r="D51" s="5">
        <f t="shared" si="15"/>
        <v>83090.734047555758</v>
      </c>
      <c r="E51" s="5">
        <f t="shared" si="1"/>
        <v>73590.734047555758</v>
      </c>
      <c r="F51" s="5">
        <f t="shared" si="2"/>
        <v>28238.198071282532</v>
      </c>
      <c r="G51" s="5">
        <f t="shared" si="3"/>
        <v>54852.535976273226</v>
      </c>
      <c r="H51" s="22">
        <f t="shared" si="16"/>
        <v>37481.575663912008</v>
      </c>
      <c r="I51" s="5">
        <f t="shared" si="17"/>
        <v>90909.811764956568</v>
      </c>
      <c r="J51" s="26">
        <f t="shared" si="5"/>
        <v>0.23318585585120433</v>
      </c>
      <c r="L51" s="22">
        <f t="shared" si="18"/>
        <v>168136.53753513371</v>
      </c>
      <c r="M51" s="5">
        <f>scrimecost*Meta!O48</f>
        <v>183.63800000000001</v>
      </c>
      <c r="N51" s="5">
        <f>L51-Grade13!L51</f>
        <v>1757.1718566926429</v>
      </c>
      <c r="O51" s="5">
        <f>Grade13!M51-M51</f>
        <v>1.4559999999999889</v>
      </c>
      <c r="P51" s="22">
        <f t="shared" si="12"/>
        <v>183.04424961995335</v>
      </c>
      <c r="Q51" s="22"/>
      <c r="R51" s="22"/>
      <c r="S51" s="22">
        <f t="shared" si="19"/>
        <v>1388.3828890837792</v>
      </c>
      <c r="T51" s="22">
        <f t="shared" si="20"/>
        <v>2323.7747956122134</v>
      </c>
    </row>
    <row r="52" spans="1:20" x14ac:dyDescent="0.2">
      <c r="A52" s="5">
        <v>61</v>
      </c>
      <c r="B52" s="1">
        <f t="shared" si="13"/>
        <v>2.7521904343497163</v>
      </c>
      <c r="C52" s="5">
        <f t="shared" si="14"/>
        <v>87900.605404100483</v>
      </c>
      <c r="D52" s="5">
        <f t="shared" si="15"/>
        <v>85153.18239874467</v>
      </c>
      <c r="E52" s="5">
        <f t="shared" si="1"/>
        <v>75653.18239874467</v>
      </c>
      <c r="F52" s="5">
        <f t="shared" si="2"/>
        <v>29117.832293064603</v>
      </c>
      <c r="G52" s="5">
        <f t="shared" si="3"/>
        <v>56035.350105680067</v>
      </c>
      <c r="H52" s="22">
        <f t="shared" si="16"/>
        <v>38418.615055509807</v>
      </c>
      <c r="I52" s="5">
        <f t="shared" si="17"/>
        <v>92994.0577890805</v>
      </c>
      <c r="J52" s="26">
        <f t="shared" si="5"/>
        <v>0.2347370464490979</v>
      </c>
      <c r="L52" s="22">
        <f t="shared" si="18"/>
        <v>172339.95097351205</v>
      </c>
      <c r="M52" s="5">
        <f>scrimecost*Meta!O49</f>
        <v>183.63800000000001</v>
      </c>
      <c r="N52" s="5">
        <f>L52-Grade13!L52</f>
        <v>1801.1011531099794</v>
      </c>
      <c r="O52" s="5">
        <f>Grade13!M52-M52</f>
        <v>1.4559999999999889</v>
      </c>
      <c r="P52" s="22">
        <f t="shared" si="12"/>
        <v>188.03428430681839</v>
      </c>
      <c r="Q52" s="22"/>
      <c r="R52" s="22"/>
      <c r="S52" s="22">
        <f t="shared" si="19"/>
        <v>1423.4333694979566</v>
      </c>
      <c r="T52" s="22">
        <f t="shared" si="20"/>
        <v>2412.5573917834959</v>
      </c>
    </row>
    <row r="53" spans="1:20" x14ac:dyDescent="0.2">
      <c r="A53" s="5">
        <v>62</v>
      </c>
      <c r="B53" s="1">
        <f t="shared" si="13"/>
        <v>2.8209951952084591</v>
      </c>
      <c r="C53" s="5">
        <f t="shared" si="14"/>
        <v>90098.120539202995</v>
      </c>
      <c r="D53" s="5">
        <f t="shared" si="15"/>
        <v>87267.191958713287</v>
      </c>
      <c r="E53" s="5">
        <f t="shared" si="1"/>
        <v>77767.191958713287</v>
      </c>
      <c r="F53" s="5">
        <f t="shared" si="2"/>
        <v>30019.457370391217</v>
      </c>
      <c r="G53" s="5">
        <f t="shared" si="3"/>
        <v>57247.73458832207</v>
      </c>
      <c r="H53" s="22">
        <f t="shared" si="16"/>
        <v>39379.08043189755</v>
      </c>
      <c r="I53" s="5">
        <f t="shared" si="17"/>
        <v>95130.409963807513</v>
      </c>
      <c r="J53" s="26">
        <f t="shared" si="5"/>
        <v>0.23625040312996964</v>
      </c>
      <c r="L53" s="22">
        <f t="shared" si="18"/>
        <v>176648.44974784984</v>
      </c>
      <c r="M53" s="5">
        <f>scrimecost*Meta!O50</f>
        <v>183.63800000000001</v>
      </c>
      <c r="N53" s="5">
        <f>L53-Grade13!L53</f>
        <v>1846.1286819376983</v>
      </c>
      <c r="O53" s="5">
        <f>Grade13!M53-M53</f>
        <v>1.4559999999999889</v>
      </c>
      <c r="P53" s="22">
        <f t="shared" si="12"/>
        <v>193.14906986085501</v>
      </c>
      <c r="Q53" s="22"/>
      <c r="R53" s="22"/>
      <c r="S53" s="22">
        <f t="shared" si="19"/>
        <v>1459.3601119224531</v>
      </c>
      <c r="T53" s="22">
        <f t="shared" si="20"/>
        <v>2504.7172619698313</v>
      </c>
    </row>
    <row r="54" spans="1:20" x14ac:dyDescent="0.2">
      <c r="A54" s="5">
        <v>63</v>
      </c>
      <c r="B54" s="1">
        <f t="shared" si="13"/>
        <v>2.8915200750886707</v>
      </c>
      <c r="C54" s="5">
        <f t="shared" si="14"/>
        <v>92350.573552683069</v>
      </c>
      <c r="D54" s="5">
        <f t="shared" si="15"/>
        <v>89434.051757681111</v>
      </c>
      <c r="E54" s="5">
        <f t="shared" si="1"/>
        <v>79934.051757681111</v>
      </c>
      <c r="F54" s="5">
        <f t="shared" si="2"/>
        <v>30943.623074650994</v>
      </c>
      <c r="G54" s="5">
        <f t="shared" si="3"/>
        <v>58490.428683030113</v>
      </c>
      <c r="H54" s="22">
        <f t="shared" si="16"/>
        <v>40363.55744269499</v>
      </c>
      <c r="I54" s="5">
        <f t="shared" si="17"/>
        <v>97320.170942902681</v>
      </c>
      <c r="J54" s="26">
        <f t="shared" si="5"/>
        <v>0.23772684867228344</v>
      </c>
      <c r="L54" s="22">
        <f t="shared" si="18"/>
        <v>181064.66099154612</v>
      </c>
      <c r="M54" s="5">
        <f>scrimecost*Meta!O51</f>
        <v>183.63800000000001</v>
      </c>
      <c r="N54" s="5">
        <f>L54-Grade13!L54</f>
        <v>1892.2818989861989</v>
      </c>
      <c r="O54" s="5">
        <f>Grade13!M54-M54</f>
        <v>1.4559999999999889</v>
      </c>
      <c r="P54" s="22">
        <f t="shared" si="12"/>
        <v>198.39172505374253</v>
      </c>
      <c r="Q54" s="22"/>
      <c r="R54" s="22"/>
      <c r="S54" s="22">
        <f t="shared" si="19"/>
        <v>1496.1850229076233</v>
      </c>
      <c r="T54" s="22">
        <f t="shared" si="20"/>
        <v>2600.3826915522827</v>
      </c>
    </row>
    <row r="55" spans="1:20" x14ac:dyDescent="0.2">
      <c r="A55" s="5">
        <v>64</v>
      </c>
      <c r="B55" s="1">
        <f t="shared" si="13"/>
        <v>2.9638080769658868</v>
      </c>
      <c r="C55" s="5">
        <f t="shared" si="14"/>
        <v>94659.337891500109</v>
      </c>
      <c r="D55" s="5">
        <f t="shared" si="15"/>
        <v>91655.083051623107</v>
      </c>
      <c r="E55" s="5">
        <f t="shared" si="1"/>
        <v>82155.083051623107</v>
      </c>
      <c r="F55" s="5">
        <f t="shared" si="2"/>
        <v>31890.892921517254</v>
      </c>
      <c r="G55" s="5">
        <f t="shared" si="3"/>
        <v>59764.190130105853</v>
      </c>
      <c r="H55" s="22">
        <f t="shared" si="16"/>
        <v>41372.646378762351</v>
      </c>
      <c r="I55" s="5">
        <f t="shared" si="17"/>
        <v>99564.675946475239</v>
      </c>
      <c r="J55" s="26">
        <f t="shared" si="5"/>
        <v>0.23916728334771162</v>
      </c>
      <c r="L55" s="22">
        <f t="shared" si="18"/>
        <v>185591.27751633473</v>
      </c>
      <c r="M55" s="5">
        <f>scrimecost*Meta!O52</f>
        <v>183.63800000000001</v>
      </c>
      <c r="N55" s="5">
        <f>L55-Grade13!L55</f>
        <v>1939.5889464608044</v>
      </c>
      <c r="O55" s="5">
        <f>Grade13!M55-M55</f>
        <v>1.4559999999999889</v>
      </c>
      <c r="P55" s="22">
        <f t="shared" si="12"/>
        <v>203.76544662645222</v>
      </c>
      <c r="Q55" s="22"/>
      <c r="R55" s="22"/>
      <c r="S55" s="22">
        <f t="shared" si="19"/>
        <v>1533.9305566673484</v>
      </c>
      <c r="T55" s="22">
        <f t="shared" si="20"/>
        <v>2699.6868364774259</v>
      </c>
    </row>
    <row r="56" spans="1:20" x14ac:dyDescent="0.2">
      <c r="A56" s="5">
        <v>65</v>
      </c>
      <c r="B56" s="1">
        <f t="shared" si="13"/>
        <v>3.0379032788900342</v>
      </c>
      <c r="C56" s="5">
        <f t="shared" si="14"/>
        <v>97025.821338787631</v>
      </c>
      <c r="D56" s="5">
        <f t="shared" si="15"/>
        <v>93931.640127913706</v>
      </c>
      <c r="E56" s="5">
        <f t="shared" si="1"/>
        <v>84431.640127913706</v>
      </c>
      <c r="F56" s="5">
        <f t="shared" si="2"/>
        <v>32886.793718392611</v>
      </c>
      <c r="G56" s="5">
        <f t="shared" si="3"/>
        <v>61044.846409521095</v>
      </c>
      <c r="H56" s="22">
        <f t="shared" si="16"/>
        <v>42406.962538231419</v>
      </c>
      <c r="I56" s="5">
        <f t="shared" si="17"/>
        <v>101840.34437129973</v>
      </c>
      <c r="J56" s="26">
        <f t="shared" si="5"/>
        <v>0.24075858708750936</v>
      </c>
      <c r="L56" s="22">
        <f t="shared" si="18"/>
        <v>190231.05945424311</v>
      </c>
      <c r="M56" s="5">
        <f>scrimecost*Meta!O53</f>
        <v>55.494999999999997</v>
      </c>
      <c r="N56" s="5">
        <f>L56-Grade13!L56</f>
        <v>1988.0786701223697</v>
      </c>
      <c r="O56" s="5">
        <f>Grade13!M56-M56</f>
        <v>0.44000000000000483</v>
      </c>
      <c r="P56" s="22">
        <f t="shared" si="12"/>
        <v>209.41504437745442</v>
      </c>
      <c r="Q56" s="22"/>
      <c r="R56" s="22"/>
      <c r="S56" s="22">
        <f t="shared" si="19"/>
        <v>1571.8300851956265</v>
      </c>
      <c r="T56" s="22">
        <f t="shared" si="20"/>
        <v>2801.3605827582355</v>
      </c>
    </row>
    <row r="57" spans="1:20" x14ac:dyDescent="0.2">
      <c r="A57" s="5">
        <v>66</v>
      </c>
      <c r="C57" s="5"/>
      <c r="H57" s="21"/>
      <c r="I57" s="5"/>
      <c r="M57" s="5">
        <f>scrimecost*Meta!O54</f>
        <v>55.494999999999997</v>
      </c>
      <c r="N57" s="5">
        <f>L57-Grade13!L57</f>
        <v>0</v>
      </c>
      <c r="O57" s="5">
        <f>Grade13!M57-M57</f>
        <v>0.44000000000000483</v>
      </c>
      <c r="Q57" s="22"/>
      <c r="R57" s="22"/>
      <c r="S57" s="22">
        <f t="shared" si="19"/>
        <v>0.39732000000000439</v>
      </c>
      <c r="T57" s="22">
        <f t="shared" si="20"/>
        <v>0.71706672485746725</v>
      </c>
    </row>
    <row r="58" spans="1:20" x14ac:dyDescent="0.2">
      <c r="A58" s="5">
        <v>67</v>
      </c>
      <c r="C58" s="5"/>
      <c r="H58" s="21"/>
      <c r="I58" s="5"/>
      <c r="M58" s="5">
        <f>scrimecost*Meta!O55</f>
        <v>55.494999999999997</v>
      </c>
      <c r="N58" s="5">
        <f>L58-Grade13!L58</f>
        <v>0</v>
      </c>
      <c r="O58" s="5">
        <f>Grade13!M58-M58</f>
        <v>0.44000000000000483</v>
      </c>
      <c r="Q58" s="22"/>
      <c r="R58" s="22"/>
      <c r="S58" s="22">
        <f t="shared" si="19"/>
        <v>0.39732000000000439</v>
      </c>
      <c r="T58" s="22">
        <f t="shared" si="20"/>
        <v>0.72613153189402169</v>
      </c>
    </row>
    <row r="59" spans="1:20" x14ac:dyDescent="0.2">
      <c r="A59" s="5">
        <v>68</v>
      </c>
      <c r="H59" s="21"/>
      <c r="I59" s="5"/>
      <c r="M59" s="5">
        <f>scrimecost*Meta!O56</f>
        <v>55.494999999999997</v>
      </c>
      <c r="N59" s="5">
        <f>L59-Grade13!L59</f>
        <v>0</v>
      </c>
      <c r="O59" s="5">
        <f>Grade13!M59-M59</f>
        <v>0.44000000000000483</v>
      </c>
      <c r="Q59" s="22"/>
      <c r="R59" s="22"/>
      <c r="S59" s="22">
        <f t="shared" si="19"/>
        <v>0.39732000000000439</v>
      </c>
      <c r="T59" s="22">
        <f t="shared" si="20"/>
        <v>0.73531093179029394</v>
      </c>
    </row>
    <row r="60" spans="1:20" x14ac:dyDescent="0.2">
      <c r="A60" s="5">
        <v>69</v>
      </c>
      <c r="H60" s="21"/>
      <c r="I60" s="5"/>
      <c r="M60" s="5">
        <f>scrimecost*Meta!O57</f>
        <v>55.494999999999997</v>
      </c>
      <c r="N60" s="5">
        <f>L60-Grade13!L60</f>
        <v>0</v>
      </c>
      <c r="O60" s="5">
        <f>Grade13!M60-M60</f>
        <v>0.44000000000000483</v>
      </c>
      <c r="Q60" s="22"/>
      <c r="R60" s="22"/>
      <c r="S60" s="22">
        <f t="shared" si="19"/>
        <v>0.39732000000000439</v>
      </c>
      <c r="T60" s="22">
        <f t="shared" si="20"/>
        <v>0.74460637317320422</v>
      </c>
    </row>
    <row r="61" spans="1:20" x14ac:dyDescent="0.2">
      <c r="A61" s="5">
        <v>70</v>
      </c>
      <c r="H61" s="21"/>
      <c r="I61" s="5"/>
      <c r="M61" s="5">
        <f>scrimecost*Meta!O58</f>
        <v>55.494999999999997</v>
      </c>
      <c r="N61" s="5">
        <f>L61-Grade13!L61</f>
        <v>0</v>
      </c>
      <c r="O61" s="5">
        <f>Grade13!M61-M61</f>
        <v>0.44000000000000483</v>
      </c>
      <c r="Q61" s="22"/>
      <c r="R61" s="22"/>
      <c r="S61" s="22">
        <f t="shared" si="19"/>
        <v>0.39732000000000439</v>
      </c>
      <c r="T61" s="22">
        <f t="shared" si="20"/>
        <v>0.75401932298250562</v>
      </c>
    </row>
    <row r="62" spans="1:20" x14ac:dyDescent="0.2">
      <c r="A62" s="5">
        <v>71</v>
      </c>
      <c r="H62" s="21"/>
      <c r="I62" s="5"/>
      <c r="M62" s="5">
        <f>scrimecost*Meta!O59</f>
        <v>55.494999999999997</v>
      </c>
      <c r="N62" s="5">
        <f>L62-Grade13!L62</f>
        <v>0</v>
      </c>
      <c r="O62" s="5">
        <f>Grade13!M62-M62</f>
        <v>0.44000000000000483</v>
      </c>
      <c r="Q62" s="22"/>
      <c r="R62" s="22"/>
      <c r="S62" s="22">
        <f t="shared" si="19"/>
        <v>0.39732000000000439</v>
      </c>
      <c r="T62" s="22">
        <f t="shared" si="20"/>
        <v>0.76355126670228768</v>
      </c>
    </row>
    <row r="63" spans="1:20" x14ac:dyDescent="0.2">
      <c r="A63" s="5">
        <v>72</v>
      </c>
      <c r="H63" s="21"/>
      <c r="M63" s="5">
        <f>scrimecost*Meta!O60</f>
        <v>55.494999999999997</v>
      </c>
      <c r="N63" s="5">
        <f>L63-Grade13!L63</f>
        <v>0</v>
      </c>
      <c r="O63" s="5">
        <f>Grade13!M63-M63</f>
        <v>0.44000000000000483</v>
      </c>
      <c r="Q63" s="22"/>
      <c r="R63" s="22"/>
      <c r="S63" s="22">
        <f t="shared" si="19"/>
        <v>0.39732000000000439</v>
      </c>
      <c r="T63" s="22">
        <f t="shared" si="20"/>
        <v>0.77320370859540255</v>
      </c>
    </row>
    <row r="64" spans="1:20" x14ac:dyDescent="0.2">
      <c r="A64" s="5">
        <v>73</v>
      </c>
      <c r="H64" s="21"/>
      <c r="M64" s="5">
        <f>scrimecost*Meta!O61</f>
        <v>55.494999999999997</v>
      </c>
      <c r="N64" s="5">
        <f>L64-Grade13!L64</f>
        <v>0</v>
      </c>
      <c r="O64" s="5">
        <f>Grade13!M64-M64</f>
        <v>0.44000000000000483</v>
      </c>
      <c r="Q64" s="22"/>
      <c r="R64" s="22"/>
      <c r="S64" s="22">
        <f t="shared" si="19"/>
        <v>0.39732000000000439</v>
      </c>
      <c r="T64" s="22">
        <f t="shared" si="20"/>
        <v>0.78297817194085861</v>
      </c>
    </row>
    <row r="65" spans="1:20" x14ac:dyDescent="0.2">
      <c r="A65" s="5">
        <v>74</v>
      </c>
      <c r="H65" s="21"/>
      <c r="M65" s="5">
        <f>scrimecost*Meta!O62</f>
        <v>55.494999999999997</v>
      </c>
      <c r="N65" s="5">
        <f>L65-Grade13!L65</f>
        <v>0</v>
      </c>
      <c r="O65" s="5">
        <f>Grade13!M65-M65</f>
        <v>0.44000000000000483</v>
      </c>
      <c r="Q65" s="22"/>
      <c r="R65" s="22"/>
      <c r="S65" s="22">
        <f t="shared" si="19"/>
        <v>0.39732000000000439</v>
      </c>
      <c r="T65" s="22">
        <f t="shared" si="20"/>
        <v>0.7928761992742126</v>
      </c>
    </row>
    <row r="66" spans="1:20" x14ac:dyDescent="0.2">
      <c r="A66" s="5">
        <v>75</v>
      </c>
      <c r="H66" s="21"/>
      <c r="M66" s="5">
        <f>scrimecost*Meta!O63</f>
        <v>55.494999999999997</v>
      </c>
      <c r="N66" s="5">
        <f>L66-Grade13!L66</f>
        <v>0</v>
      </c>
      <c r="O66" s="5">
        <f>Grade13!M66-M66</f>
        <v>0.44000000000000483</v>
      </c>
      <c r="Q66" s="22"/>
      <c r="R66" s="22"/>
      <c r="S66" s="22">
        <f t="shared" si="19"/>
        <v>0.39732000000000439</v>
      </c>
      <c r="T66" s="22">
        <f t="shared" si="20"/>
        <v>0.80289935263100243</v>
      </c>
    </row>
    <row r="67" spans="1:20" x14ac:dyDescent="0.2">
      <c r="A67" s="5">
        <v>76</v>
      </c>
      <c r="H67" s="21"/>
      <c r="M67" s="5">
        <f>scrimecost*Meta!O64</f>
        <v>55.494999999999997</v>
      </c>
      <c r="N67" s="5">
        <f>L67-Grade13!L67</f>
        <v>0</v>
      </c>
      <c r="O67" s="5">
        <f>Grade13!M67-M67</f>
        <v>0.44000000000000483</v>
      </c>
      <c r="Q67" s="22"/>
      <c r="R67" s="22"/>
      <c r="S67" s="22">
        <f t="shared" si="19"/>
        <v>0.39732000000000439</v>
      </c>
      <c r="T67" s="22">
        <f t="shared" si="20"/>
        <v>0.81304921379325501</v>
      </c>
    </row>
    <row r="68" spans="1:20" x14ac:dyDescent="0.2">
      <c r="A68" s="5">
        <v>77</v>
      </c>
      <c r="H68" s="21"/>
      <c r="M68" s="5">
        <f>scrimecost*Meta!O65</f>
        <v>55.494999999999997</v>
      </c>
      <c r="N68" s="5">
        <f>L68-Grade13!L68</f>
        <v>0</v>
      </c>
      <c r="O68" s="5">
        <f>Grade13!M68-M68</f>
        <v>0.44000000000000483</v>
      </c>
      <c r="Q68" s="22"/>
      <c r="R68" s="22"/>
      <c r="S68" s="22">
        <f t="shared" si="19"/>
        <v>0.39732000000000439</v>
      </c>
      <c r="T68" s="22">
        <f t="shared" si="20"/>
        <v>0.82332738453911269</v>
      </c>
    </row>
    <row r="69" spans="1:20" x14ac:dyDescent="0.2">
      <c r="A69" s="5">
        <v>78</v>
      </c>
      <c r="H69" s="21"/>
      <c r="M69" s="5">
        <f>scrimecost*Meta!O66</f>
        <v>55.494999999999997</v>
      </c>
      <c r="N69" s="5">
        <f>L69-Grade13!L69</f>
        <v>0</v>
      </c>
      <c r="O69" s="5">
        <f>Grade13!M69-M69</f>
        <v>0.44000000000000483</v>
      </c>
      <c r="Q69" s="22"/>
      <c r="R69" s="22"/>
      <c r="S69" s="22">
        <f t="shared" si="19"/>
        <v>0.39732000000000439</v>
      </c>
      <c r="T69" s="22">
        <f t="shared" si="20"/>
        <v>0.8337354868956145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-1.2688261552540325E-10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272</vt:i4>
      </vt:variant>
    </vt:vector>
  </HeadingPairs>
  <TitlesOfParts>
    <vt:vector size="285" baseType="lpstr">
      <vt:lpstr>Meta</vt:lpstr>
      <vt:lpstr>Output</vt:lpstr>
      <vt:lpstr>Grade8</vt:lpstr>
      <vt:lpstr>Grade9</vt:lpstr>
      <vt:lpstr>Grade10</vt:lpstr>
      <vt:lpstr>Grade11</vt:lpstr>
      <vt:lpstr>Grade12</vt:lpstr>
      <vt:lpstr>Grade13</vt:lpstr>
      <vt:lpstr>Grade14</vt:lpstr>
      <vt:lpstr>Grade15</vt:lpstr>
      <vt:lpstr>Grade16</vt:lpstr>
      <vt:lpstr>Grade17</vt:lpstr>
      <vt:lpstr>Grade18</vt:lpstr>
      <vt:lpstr>Meta!_edn1</vt:lpstr>
      <vt:lpstr>Output!_edn1</vt:lpstr>
      <vt:lpstr>Meta!_ednref1</vt:lpstr>
      <vt:lpstr>Output!_ednref1</vt:lpstr>
      <vt:lpstr>Meta!baseincome</vt:lpstr>
      <vt:lpstr>Grade10!benefits</vt:lpstr>
      <vt:lpstr>Grade11!benefits</vt:lpstr>
      <vt:lpstr>Grade12!benefits</vt:lpstr>
      <vt:lpstr>Grade13!benefits</vt:lpstr>
      <vt:lpstr>Grade14!benefits</vt:lpstr>
      <vt:lpstr>Grade15!benefits</vt:lpstr>
      <vt:lpstr>Grade16!benefits</vt:lpstr>
      <vt:lpstr>Grade17!benefits</vt:lpstr>
      <vt:lpstr>Grade18!benefits</vt:lpstr>
      <vt:lpstr>Grade9!benefits</vt:lpstr>
      <vt:lpstr>benefits</vt:lpstr>
      <vt:lpstr>Grade10!benrat</vt:lpstr>
      <vt:lpstr>Grade11!benrat</vt:lpstr>
      <vt:lpstr>Grade12!benrat</vt:lpstr>
      <vt:lpstr>Grade13!benrat</vt:lpstr>
      <vt:lpstr>Grade14!benrat</vt:lpstr>
      <vt:lpstr>Grade15!benrat</vt:lpstr>
      <vt:lpstr>Grade16!benrat</vt:lpstr>
      <vt:lpstr>Grade17!benrat</vt:lpstr>
      <vt:lpstr>Grade18!benrat</vt:lpstr>
      <vt:lpstr>Grade9!benrat</vt:lpstr>
      <vt:lpstr>benrat</vt:lpstr>
      <vt:lpstr>coltuition</vt:lpstr>
      <vt:lpstr>Grade10!completionprob</vt:lpstr>
      <vt:lpstr>Grade11!completionprob</vt:lpstr>
      <vt:lpstr>Grade12!completionprob</vt:lpstr>
      <vt:lpstr>Grade13!completionprob</vt:lpstr>
      <vt:lpstr>Grade14!completionprob</vt:lpstr>
      <vt:lpstr>Grade15!completionprob</vt:lpstr>
      <vt:lpstr>Grade16!completionprob</vt:lpstr>
      <vt:lpstr>Grade17!completionprob</vt:lpstr>
      <vt:lpstr>Grade18!completionprob</vt:lpstr>
      <vt:lpstr>completionprob</vt:lpstr>
      <vt:lpstr>Grade10!comprat</vt:lpstr>
      <vt:lpstr>Grade11!comprat</vt:lpstr>
      <vt:lpstr>Grade12!comprat</vt:lpstr>
      <vt:lpstr>Grade13!comprat</vt:lpstr>
      <vt:lpstr>Grade14!comprat</vt:lpstr>
      <vt:lpstr>Grade15!comprat</vt:lpstr>
      <vt:lpstr>Grade16!comprat</vt:lpstr>
      <vt:lpstr>Grade17!comprat</vt:lpstr>
      <vt:lpstr>Grade18!comprat</vt:lpstr>
      <vt:lpstr>Grade9!comprat</vt:lpstr>
      <vt:lpstr>comprat</vt:lpstr>
      <vt:lpstr>experiencepremium</vt:lpstr>
      <vt:lpstr>Grade10!expnorm</vt:lpstr>
      <vt:lpstr>Grade11!expnorm</vt:lpstr>
      <vt:lpstr>Grade12!expnorm</vt:lpstr>
      <vt:lpstr>Grade13!expnorm</vt:lpstr>
      <vt:lpstr>Grade14!expnorm</vt:lpstr>
      <vt:lpstr>Grade15!expnorm</vt:lpstr>
      <vt:lpstr>Grade16!expnorm</vt:lpstr>
      <vt:lpstr>Grade17!expnorm</vt:lpstr>
      <vt:lpstr>Grade18!expnorm</vt:lpstr>
      <vt:lpstr>Grade9!expnorm</vt:lpstr>
      <vt:lpstr>expnorm</vt:lpstr>
      <vt:lpstr>Grade10!expnorm8</vt:lpstr>
      <vt:lpstr>Grade11!expnorm8</vt:lpstr>
      <vt:lpstr>Grade12!expnorm8</vt:lpstr>
      <vt:lpstr>Grade13!expnorm8</vt:lpstr>
      <vt:lpstr>Grade14!expnorm8</vt:lpstr>
      <vt:lpstr>Grade15!expnorm8</vt:lpstr>
      <vt:lpstr>Grade16!expnorm8</vt:lpstr>
      <vt:lpstr>Grade17!expnorm8</vt:lpstr>
      <vt:lpstr>Grade18!expnorm8</vt:lpstr>
      <vt:lpstr>Grade9!expnorm8</vt:lpstr>
      <vt:lpstr>expnorm8</vt:lpstr>
      <vt:lpstr>feel</vt:lpstr>
      <vt:lpstr>hstuition</vt:lpstr>
      <vt:lpstr>Meta!incomeindex</vt:lpstr>
      <vt:lpstr>Grade10!initialbenrat</vt:lpstr>
      <vt:lpstr>Grade11!initialbenrat</vt:lpstr>
      <vt:lpstr>Grade12!initialbenrat</vt:lpstr>
      <vt:lpstr>Grade13!initialbenrat</vt:lpstr>
      <vt:lpstr>Grade14!initialbenrat</vt:lpstr>
      <vt:lpstr>Grade15!initialbenrat</vt:lpstr>
      <vt:lpstr>Grade16!initialbenrat</vt:lpstr>
      <vt:lpstr>Grade17!initialbenrat</vt:lpstr>
      <vt:lpstr>Grade18!initialbenrat</vt:lpstr>
      <vt:lpstr>Grade9!initialbenrat</vt:lpstr>
      <vt:lpstr>initialbenrat</vt:lpstr>
      <vt:lpstr>Grade10!initialpart</vt:lpstr>
      <vt:lpstr>Grade11!initialpart</vt:lpstr>
      <vt:lpstr>Grade12!initialpart</vt:lpstr>
      <vt:lpstr>Grade13!initialpart</vt:lpstr>
      <vt:lpstr>Grade14!initialpart</vt:lpstr>
      <vt:lpstr>Grade15!initialpart</vt:lpstr>
      <vt:lpstr>Grade16!initialpart</vt:lpstr>
      <vt:lpstr>Grade17!initialpart</vt:lpstr>
      <vt:lpstr>Grade18!initialpart</vt:lpstr>
      <vt:lpstr>initialpart</vt:lpstr>
      <vt:lpstr>Grade10!initialspart</vt:lpstr>
      <vt:lpstr>Grade11!initialspart</vt:lpstr>
      <vt:lpstr>Grade12!initialspart</vt:lpstr>
      <vt:lpstr>Grade13!initialspart</vt:lpstr>
      <vt:lpstr>Grade14!initialspart</vt:lpstr>
      <vt:lpstr>Grade15!initialspart</vt:lpstr>
      <vt:lpstr>Grade16!initialspart</vt:lpstr>
      <vt:lpstr>Grade17!initialspart</vt:lpstr>
      <vt:lpstr>Grade18!initialspart</vt:lpstr>
      <vt:lpstr>initialspart</vt:lpstr>
      <vt:lpstr>Grade10!initialunempprob</vt:lpstr>
      <vt:lpstr>Grade11!initialunempprob</vt:lpstr>
      <vt:lpstr>Grade12!initialunempprob</vt:lpstr>
      <vt:lpstr>Grade13!initialunempprob</vt:lpstr>
      <vt:lpstr>Grade14!initialunempprob</vt:lpstr>
      <vt:lpstr>Grade15!initialunempprob</vt:lpstr>
      <vt:lpstr>Grade16!initialunempprob</vt:lpstr>
      <vt:lpstr>Grade17!initialunempprob</vt:lpstr>
      <vt:lpstr>Grade18!initialunempprob</vt:lpstr>
      <vt:lpstr>Grade9!initialunempprob</vt:lpstr>
      <vt:lpstr>initialunempprob</vt:lpstr>
      <vt:lpstr>nptrans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  <vt:lpstr>part8</vt:lpstr>
      <vt:lpstr>part9</vt:lpstr>
      <vt:lpstr>Grade10!pretaxincome</vt:lpstr>
      <vt:lpstr>Grade11!pretaxincome</vt:lpstr>
      <vt:lpstr>Grade12!pretaxincome</vt:lpstr>
      <vt:lpstr>Grade13!pretaxincome</vt:lpstr>
      <vt:lpstr>Grade14!pretaxincome</vt:lpstr>
      <vt:lpstr>Grade15!pretaxincome</vt:lpstr>
      <vt:lpstr>Grade16!pretaxincome</vt:lpstr>
      <vt:lpstr>Grade17!pretaxincome</vt:lpstr>
      <vt:lpstr>Grade18!pretaxincome</vt:lpstr>
      <vt:lpstr>Grade9!pretaxincome</vt:lpstr>
      <vt:lpstr>pretaxincome</vt:lpstr>
      <vt:lpstr>Grade10!pretaxincome8</vt:lpstr>
      <vt:lpstr>Grade11!pretaxincome8</vt:lpstr>
      <vt:lpstr>Grade12!pretaxincome8</vt:lpstr>
      <vt:lpstr>Grade13!pretaxincome8</vt:lpstr>
      <vt:lpstr>Grade14!pretaxincome8</vt:lpstr>
      <vt:lpstr>Grade15!pretaxincome8</vt:lpstr>
      <vt:lpstr>Grade16!pretaxincome8</vt:lpstr>
      <vt:lpstr>Grade17!pretaxincome8</vt:lpstr>
      <vt:lpstr>Grade18!pretaxincome8</vt:lpstr>
      <vt:lpstr>Grade9!pretaxincome8</vt:lpstr>
      <vt:lpstr>pretaxincome8</vt:lpstr>
      <vt:lpstr>Grade10!pretaxincomey8</vt:lpstr>
      <vt:lpstr>Grade11!pretaxincomey8</vt:lpstr>
      <vt:lpstr>Grade12!pretaxincomey8</vt:lpstr>
      <vt:lpstr>Grade13!pretaxincomey8</vt:lpstr>
      <vt:lpstr>Grade14!pretaxincomey8</vt:lpstr>
      <vt:lpstr>Grade15!pretaxincomey8</vt:lpstr>
      <vt:lpstr>Grade16!pretaxincomey8</vt:lpstr>
      <vt:lpstr>Grade17!pretaxincomey8</vt:lpstr>
      <vt:lpstr>Grade18!pretaxincomey8</vt:lpstr>
      <vt:lpstr>Grade9!pretaxincomey8</vt:lpstr>
      <vt:lpstr>pretaxincomey8</vt:lpstr>
      <vt:lpstr>returntoexperience</vt:lpstr>
      <vt:lpstr>Grade10!sbenefits</vt:lpstr>
      <vt:lpstr>Grade11!sbenefits</vt:lpstr>
      <vt:lpstr>Grade12!sbenefits</vt:lpstr>
      <vt:lpstr>Grade13!sbenefits</vt:lpstr>
      <vt:lpstr>Grade14!sbenefits</vt:lpstr>
      <vt:lpstr>Grade15!sbenefits</vt:lpstr>
      <vt:lpstr>Grade16!sbenefits</vt:lpstr>
      <vt:lpstr>Grade17!sbenefits</vt:lpstr>
      <vt:lpstr>Grade18!sbenefits</vt:lpstr>
      <vt:lpstr>Grade9!sbenefits</vt:lpstr>
      <vt:lpstr>sbenefits</vt:lpstr>
      <vt:lpstr>Grade10!scrimecost</vt:lpstr>
      <vt:lpstr>Grade11!scrimecost</vt:lpstr>
      <vt:lpstr>Grade12!scrimecost</vt:lpstr>
      <vt:lpstr>Grade13!scrimecost</vt:lpstr>
      <vt:lpstr>Grade14!scrimecost</vt:lpstr>
      <vt:lpstr>Grade15!scrimecost</vt:lpstr>
      <vt:lpstr>Grade16!scrimecost</vt:lpstr>
      <vt:lpstr>Grade17!scrimecost</vt:lpstr>
      <vt:lpstr>Grade18!scrimecost</vt:lpstr>
      <vt:lpstr>Grade9!scrimecost</vt:lpstr>
      <vt:lpstr>scrimecost</vt:lpstr>
      <vt:lpstr>Grade10!sincome</vt:lpstr>
      <vt:lpstr>Grade11!sincome</vt:lpstr>
      <vt:lpstr>Grade12!sincome</vt:lpstr>
      <vt:lpstr>Grade13!sincome</vt:lpstr>
      <vt:lpstr>Grade14!sincome</vt:lpstr>
      <vt:lpstr>Grade15!sincome</vt:lpstr>
      <vt:lpstr>Grade16!sincome</vt:lpstr>
      <vt:lpstr>Grade17!sincome</vt:lpstr>
      <vt:lpstr>Grade18!sincome</vt:lpstr>
      <vt:lpstr>Grade9!sincome</vt:lpstr>
      <vt:lpstr>sincome</vt:lpstr>
      <vt:lpstr>Grade10!spart</vt:lpstr>
      <vt:lpstr>Grade11!spart</vt:lpstr>
      <vt:lpstr>Grade12!spart</vt:lpstr>
      <vt:lpstr>Grade13!spart</vt:lpstr>
      <vt:lpstr>Grade14!spart</vt:lpstr>
      <vt:lpstr>Grade15!spart</vt:lpstr>
      <vt:lpstr>Grade16!spart</vt:lpstr>
      <vt:lpstr>Grade17!spart</vt:lpstr>
      <vt:lpstr>Grade18!spart</vt:lpstr>
      <vt:lpstr>Grade9!spart</vt:lpstr>
      <vt:lpstr>spart</vt:lpstr>
      <vt:lpstr>Grade10!sreturn</vt:lpstr>
      <vt:lpstr>Grade11!sreturn</vt:lpstr>
      <vt:lpstr>Grade12!sreturn</vt:lpstr>
      <vt:lpstr>Grade13!sreturn</vt:lpstr>
      <vt:lpstr>Grade14!sreturn</vt:lpstr>
      <vt:lpstr>Grade15!sreturn</vt:lpstr>
      <vt:lpstr>Grade16!sreturn</vt:lpstr>
      <vt:lpstr>Grade17!sreturn</vt:lpstr>
      <vt:lpstr>Grade18!sreturn</vt:lpstr>
      <vt:lpstr>sreturn</vt:lpstr>
      <vt:lpstr>Grade10!startage</vt:lpstr>
      <vt:lpstr>Grade11!startage</vt:lpstr>
      <vt:lpstr>Grade12!startage</vt:lpstr>
      <vt:lpstr>Grade13!startage</vt:lpstr>
      <vt:lpstr>Grade14!startage</vt:lpstr>
      <vt:lpstr>Grade15!startage</vt:lpstr>
      <vt:lpstr>Grade16!startage</vt:lpstr>
      <vt:lpstr>Grade17!startage</vt:lpstr>
      <vt:lpstr>Grade18!startage</vt:lpstr>
      <vt:lpstr>Grade9!startage</vt:lpstr>
      <vt:lpstr>startage</vt:lpstr>
      <vt:lpstr>Grade10!sunemp</vt:lpstr>
      <vt:lpstr>Grade11!sunemp</vt:lpstr>
      <vt:lpstr>Grade12!sunemp</vt:lpstr>
      <vt:lpstr>Grade13!sunemp</vt:lpstr>
      <vt:lpstr>Grade14!sunemp</vt:lpstr>
      <vt:lpstr>Grade15!sunemp</vt:lpstr>
      <vt:lpstr>Grade16!sunemp</vt:lpstr>
      <vt:lpstr>Grade17!sunemp</vt:lpstr>
      <vt:lpstr>Grade18!sunemp</vt:lpstr>
      <vt:lpstr>Grade9!sunemp</vt:lpstr>
      <vt:lpstr>sunemp</vt:lpstr>
      <vt:lpstr>Grade10!unempprob</vt:lpstr>
      <vt:lpstr>Grade11!unempprob</vt:lpstr>
      <vt:lpstr>Grade12!unempprob</vt:lpstr>
      <vt:lpstr>Grade13!unempprob</vt:lpstr>
      <vt:lpstr>Grade14!unempprob</vt:lpstr>
      <vt:lpstr>Grade15!unempprob</vt:lpstr>
      <vt:lpstr>Grade16!unempprob</vt:lpstr>
      <vt:lpstr>Grade17!unempprob</vt:lpstr>
      <vt:lpstr>Grade18!unempprob</vt:lpstr>
      <vt:lpstr>Grade9!unempprob</vt:lpstr>
      <vt:lpstr>unempprob</vt:lpstr>
      <vt:lpstr>Grade10!unempprob8</vt:lpstr>
      <vt:lpstr>Grade11!unempprob8</vt:lpstr>
      <vt:lpstr>Grade12!unempprob8</vt:lpstr>
      <vt:lpstr>Grade13!unempprob8</vt:lpstr>
      <vt:lpstr>Grade14!unempprob8</vt:lpstr>
      <vt:lpstr>Grade15!unempprob8</vt:lpstr>
      <vt:lpstr>Grade16!unempprob8</vt:lpstr>
      <vt:lpstr>Grade17!unempprob8</vt:lpstr>
      <vt:lpstr>Grade18!unempprob8</vt:lpstr>
      <vt:lpstr>Grade9!unempprob8</vt:lpstr>
      <vt:lpstr>unempprob8</vt:lpstr>
      <vt:lpstr>Grade10!unempproby8</vt:lpstr>
      <vt:lpstr>Grade11!unempproby8</vt:lpstr>
      <vt:lpstr>Grade12!unempproby8</vt:lpstr>
      <vt:lpstr>Grade13!unempproby8</vt:lpstr>
      <vt:lpstr>Grade14!unempproby8</vt:lpstr>
      <vt:lpstr>Grade15!unempproby8</vt:lpstr>
      <vt:lpstr>Grade16!unempproby8</vt:lpstr>
      <vt:lpstr>Grade17!unempproby8</vt:lpstr>
      <vt:lpstr>Grade18!unempproby8</vt:lpstr>
      <vt:lpstr>Grade9!unempproby8</vt:lpstr>
      <vt:lpstr>unempproby8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bcaplan</dc:creator>
  <cp:lastModifiedBy>Caleb</cp:lastModifiedBy>
  <dcterms:created xsi:type="dcterms:W3CDTF">2014-05-28T17:05:58Z</dcterms:created>
  <dcterms:modified xsi:type="dcterms:W3CDTF">2015-04-20T18:53:47Z</dcterms:modified>
</cp:coreProperties>
</file>