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45" windowWidth="15180" windowHeight="11760" activeTab="1"/>
  </bookViews>
  <sheets>
    <sheet name="Meta" sheetId="4" r:id="rId1"/>
    <sheet name="Output" sheetId="50" r:id="rId2"/>
    <sheet name="Grade8" sheetId="1" r:id="rId3"/>
    <sheet name="Grade9" sheetId="52" r:id="rId4"/>
    <sheet name="Grade10" sheetId="53" r:id="rId5"/>
    <sheet name="Grade11" sheetId="54" r:id="rId6"/>
    <sheet name="Grade12" sheetId="55" r:id="rId7"/>
    <sheet name="Grade13" sheetId="56" r:id="rId8"/>
    <sheet name="Grade14" sheetId="57" r:id="rId9"/>
    <sheet name="Grade15" sheetId="58" r:id="rId10"/>
    <sheet name="Grade16" sheetId="59" r:id="rId11"/>
    <sheet name="Grade17" sheetId="60" r:id="rId12"/>
    <sheet name="Grade18" sheetId="61" r:id="rId13"/>
  </sheets>
  <definedNames>
    <definedName name="_edn1" localSheetId="0">Meta!$E$10</definedName>
    <definedName name="_edn1" localSheetId="1">Output!$B$10</definedName>
    <definedName name="_ednref1" localSheetId="0">Meta!$E$7</definedName>
    <definedName name="_ednref1" localSheetId="1">Output!$B$7</definedName>
    <definedName name="baseincome" localSheetId="0">Meta!$B$2</definedName>
    <definedName name="benefits" localSheetId="4">Grade10!$D$2</definedName>
    <definedName name="benefits" localSheetId="5">Grade11!$D$2</definedName>
    <definedName name="benefits" localSheetId="6">Grade12!$D$2</definedName>
    <definedName name="benefits" localSheetId="7">Grade13!$D$2</definedName>
    <definedName name="benefits" localSheetId="8">Grade14!$D$2</definedName>
    <definedName name="benefits" localSheetId="9">Grade15!$D$2</definedName>
    <definedName name="benefits" localSheetId="10">Grade16!$D$2</definedName>
    <definedName name="benefits" localSheetId="11">Grade17!$D$2</definedName>
    <definedName name="benefits" localSheetId="12">Grade18!$D$2</definedName>
    <definedName name="benefits" localSheetId="3">Grade9!$D$2</definedName>
    <definedName name="benefits">Grade8!$D$2</definedName>
    <definedName name="benrat" localSheetId="4">Grade10!$I$2</definedName>
    <definedName name="benrat" localSheetId="5">Grade11!$I$2</definedName>
    <definedName name="benrat" localSheetId="6">Grade12!$I$2</definedName>
    <definedName name="benrat" localSheetId="7">Grade13!$I$2</definedName>
    <definedName name="benrat" localSheetId="8">Grade14!$I$2</definedName>
    <definedName name="benrat" localSheetId="9">Grade15!$I$2</definedName>
    <definedName name="benrat" localSheetId="10">Grade16!$I$2</definedName>
    <definedName name="benrat" localSheetId="11">Grade17!$I$2</definedName>
    <definedName name="benrat" localSheetId="12">Grade18!$I$2</definedName>
    <definedName name="benrat" localSheetId="3">Grade9!$I$2</definedName>
    <definedName name="benrat">Grade8!$I$2</definedName>
    <definedName name="coltuition">Meta!$Q$2</definedName>
    <definedName name="compensationratio">#REF!</definedName>
    <definedName name="completionprob" localSheetId="4">Grade10!$H$2</definedName>
    <definedName name="completionprob" localSheetId="5">Grade11!$H$2</definedName>
    <definedName name="completionprob" localSheetId="6">Grade12!$H$2</definedName>
    <definedName name="completionprob" localSheetId="7">Grade13!$H$2</definedName>
    <definedName name="completionprob" localSheetId="8">Grade14!$H$2</definedName>
    <definedName name="completionprob" localSheetId="9">Grade15!$H$2</definedName>
    <definedName name="completionprob" localSheetId="10">Grade16!$H$2</definedName>
    <definedName name="completionprob" localSheetId="11">Grade17!$H$2</definedName>
    <definedName name="completionprob" localSheetId="12">Grade18!$H$2</definedName>
    <definedName name="completionprob">Grade9!$H$2</definedName>
    <definedName name="comprat" localSheetId="4">Grade10!$I$2</definedName>
    <definedName name="comprat" localSheetId="5">Grade11!$I$2</definedName>
    <definedName name="comprat" localSheetId="6">Grade12!$I$2</definedName>
    <definedName name="comprat" localSheetId="7">Grade13!$I$2</definedName>
    <definedName name="comprat" localSheetId="8">Grade14!$I$2</definedName>
    <definedName name="comprat" localSheetId="9">Grade15!$I$2</definedName>
    <definedName name="comprat" localSheetId="10">Grade16!$I$2</definedName>
    <definedName name="comprat" localSheetId="11">Grade17!$I$2</definedName>
    <definedName name="comprat" localSheetId="12">Grade18!$I$2</definedName>
    <definedName name="comprat" localSheetId="3">Grade9!$I$2</definedName>
    <definedName name="comprat">Grade8!$I$2</definedName>
    <definedName name="experiencepremium" localSheetId="1">Output!#REF!</definedName>
    <definedName name="experiencepremium">Meta!$H$2</definedName>
    <definedName name="expnorm" localSheetId="4">Grade10!$G$2</definedName>
    <definedName name="expnorm" localSheetId="5">Grade11!$G$2</definedName>
    <definedName name="expnorm" localSheetId="6">Grade12!$G$2</definedName>
    <definedName name="expnorm" localSheetId="7">Grade13!$G$2</definedName>
    <definedName name="expnorm" localSheetId="8">Grade14!$G$2</definedName>
    <definedName name="expnorm" localSheetId="9">Grade15!$G$2</definedName>
    <definedName name="expnorm" localSheetId="10">Grade16!$G$2</definedName>
    <definedName name="expnorm" localSheetId="11">Grade17!$G$2</definedName>
    <definedName name="expnorm" localSheetId="12">Grade18!$G$2</definedName>
    <definedName name="expnorm" localSheetId="3">Grade9!$G$2</definedName>
    <definedName name="expnorm">Grade8!$G$2</definedName>
    <definedName name="expnorm8" localSheetId="4">Grade10!$G$2</definedName>
    <definedName name="expnorm8" localSheetId="5">Grade11!$G$2</definedName>
    <definedName name="expnorm8" localSheetId="6">Grade12!$G$2</definedName>
    <definedName name="expnorm8" localSheetId="7">Grade13!$G$2</definedName>
    <definedName name="expnorm8" localSheetId="8">Grade14!$G$2</definedName>
    <definedName name="expnorm8" localSheetId="9">Grade15!$G$2</definedName>
    <definedName name="expnorm8" localSheetId="10">Grade16!$G$2</definedName>
    <definedName name="expnorm8" localSheetId="11">Grade17!$G$2</definedName>
    <definedName name="expnorm8" localSheetId="12">Grade18!$G$2</definedName>
    <definedName name="expnorm8" localSheetId="3">Grade9!$G$2</definedName>
    <definedName name="expnorm8">Grade8!$G$2</definedName>
    <definedName name="feel">Meta!$R$2</definedName>
    <definedName name="hstuition">Meta!$P$2</definedName>
    <definedName name="incomeindex" localSheetId="0">Meta!$E$2</definedName>
    <definedName name="initialbenrat" localSheetId="4">Grade10!$L$2</definedName>
    <definedName name="initialbenrat" localSheetId="5">Grade11!$L$2</definedName>
    <definedName name="initialbenrat" localSheetId="6">Grade12!$L$2</definedName>
    <definedName name="initialbenrat" localSheetId="7">Grade13!$L$2</definedName>
    <definedName name="initialbenrat" localSheetId="8">Grade14!$L$2</definedName>
    <definedName name="initialbenrat" localSheetId="9">Grade15!$L$2</definedName>
    <definedName name="initialbenrat" localSheetId="10">Grade16!$L$2</definedName>
    <definedName name="initialbenrat" localSheetId="11">Grade17!$L$2</definedName>
    <definedName name="initialbenrat" localSheetId="12">Grade18!$L$2</definedName>
    <definedName name="initialbenrat" localSheetId="3">Grade9!$L$2</definedName>
    <definedName name="initialbenrat">Grade8!$L$2</definedName>
    <definedName name="initialcompensationratio">#REF!</definedName>
    <definedName name="initialcomprat">#REF!</definedName>
    <definedName name="initialpart" localSheetId="4">Grade10!$L$2</definedName>
    <definedName name="initialpart" localSheetId="5">Grade11!$L$2</definedName>
    <definedName name="initialpart" localSheetId="6">Grade12!$L$2</definedName>
    <definedName name="initialpart" localSheetId="7">Grade13!$L$2</definedName>
    <definedName name="initialpart" localSheetId="8">Grade14!$L$2</definedName>
    <definedName name="initialpart" localSheetId="9">Grade15!$L$2</definedName>
    <definedName name="initialpart" localSheetId="10">Grade16!$L$2</definedName>
    <definedName name="initialpart" localSheetId="11">Grade17!$L$2</definedName>
    <definedName name="initialpart" localSheetId="12">Grade18!$L$2</definedName>
    <definedName name="initialpart">Grade9!$L$2</definedName>
    <definedName name="initialspart" localSheetId="4">Grade10!$J$2</definedName>
    <definedName name="initialspart" localSheetId="5">Grade11!$J$2</definedName>
    <definedName name="initialspart" localSheetId="6">Grade12!$J$2</definedName>
    <definedName name="initialspart" localSheetId="7">Grade13!$J$2</definedName>
    <definedName name="initialspart" localSheetId="8">Grade14!$J$2</definedName>
    <definedName name="initialspart" localSheetId="9">Grade15!$J$2</definedName>
    <definedName name="initialspart" localSheetId="10">Grade16!$J$2</definedName>
    <definedName name="initialspart" localSheetId="11">Grade17!$J$2</definedName>
    <definedName name="initialspart" localSheetId="12">Grade18!$J$2</definedName>
    <definedName name="initialspart">Grade9!$J$2</definedName>
    <definedName name="initialunempprob" localSheetId="4">Grade10!$K$2</definedName>
    <definedName name="initialunempprob" localSheetId="5">Grade11!$K$2</definedName>
    <definedName name="initialunempprob" localSheetId="6">Grade12!$K$2</definedName>
    <definedName name="initialunempprob" localSheetId="7">Grade13!$K$2</definedName>
    <definedName name="initialunempprob" localSheetId="8">Grade14!$K$2</definedName>
    <definedName name="initialunempprob" localSheetId="9">Grade15!$K$2</definedName>
    <definedName name="initialunempprob" localSheetId="10">Grade16!$K$2</definedName>
    <definedName name="initialunempprob" localSheetId="11">Grade17!$K$2</definedName>
    <definedName name="initialunempprob" localSheetId="12">Grade18!$K$2</definedName>
    <definedName name="initialunempprob" localSheetId="3">Grade9!$K$2</definedName>
    <definedName name="initialunempprob">Grade8!$K$2</definedName>
    <definedName name="nptrans">Meta!$S$2</definedName>
    <definedName name="part10">Meta!$F$4</definedName>
    <definedName name="part11">Meta!$F$5</definedName>
    <definedName name="part12">Meta!$F$6</definedName>
    <definedName name="part13">Meta!$F$7</definedName>
    <definedName name="part14">Meta!$F$8</definedName>
    <definedName name="part15">Meta!$F$9</definedName>
    <definedName name="part16">Meta!$F$10</definedName>
    <definedName name="part17">Meta!$F$11</definedName>
    <definedName name="part18">Meta!$F$12</definedName>
    <definedName name="part8">Meta!$F$2</definedName>
    <definedName name="part9">Meta!$F$3</definedName>
    <definedName name="pecuniaryreturn">#REF!</definedName>
    <definedName name="pretaxincome" localSheetId="4">Grade10!$C$2</definedName>
    <definedName name="pretaxincome" localSheetId="5">Grade11!$C$2</definedName>
    <definedName name="pretaxincome" localSheetId="6">Grade12!$C$2</definedName>
    <definedName name="pretaxincome" localSheetId="7">Grade13!$C$2</definedName>
    <definedName name="pretaxincome" localSheetId="8">Grade14!$C$2</definedName>
    <definedName name="pretaxincome" localSheetId="9">Grade15!$C$2</definedName>
    <definedName name="pretaxincome" localSheetId="10">Grade16!$C$2</definedName>
    <definedName name="pretaxincome" localSheetId="11">Grade17!$C$2</definedName>
    <definedName name="pretaxincome" localSheetId="12">Grade18!$C$2</definedName>
    <definedName name="pretaxincome" localSheetId="3">Grade9!$C$2</definedName>
    <definedName name="pretaxincome">Grade8!$C$2</definedName>
    <definedName name="pretaxincome8" localSheetId="4">Grade10!$C$2</definedName>
    <definedName name="pretaxincome8" localSheetId="5">Grade11!$C$2</definedName>
    <definedName name="pretaxincome8" localSheetId="6">Grade12!$C$2</definedName>
    <definedName name="pretaxincome8" localSheetId="7">Grade13!$C$2</definedName>
    <definedName name="pretaxincome8" localSheetId="8">Grade14!$C$2</definedName>
    <definedName name="pretaxincome8" localSheetId="9">Grade15!$C$2</definedName>
    <definedName name="pretaxincome8" localSheetId="10">Grade16!$C$2</definedName>
    <definedName name="pretaxincome8" localSheetId="11">Grade17!$C$2</definedName>
    <definedName name="pretaxincome8" localSheetId="12">Grade18!$C$2</definedName>
    <definedName name="pretaxincome8" localSheetId="3">Grade9!$C$2</definedName>
    <definedName name="pretaxincome8">Grade8!$C$2</definedName>
    <definedName name="pretaxincomey8" localSheetId="4">Grade10!$C$2</definedName>
    <definedName name="pretaxincomey8" localSheetId="5">Grade11!$C$2</definedName>
    <definedName name="pretaxincomey8" localSheetId="6">Grade12!$C$2</definedName>
    <definedName name="pretaxincomey8" localSheetId="7">Grade13!$C$2</definedName>
    <definedName name="pretaxincomey8" localSheetId="8">Grade14!$C$2</definedName>
    <definedName name="pretaxincomey8" localSheetId="9">Grade15!$C$2</definedName>
    <definedName name="pretaxincomey8" localSheetId="10">Grade16!$C$2</definedName>
    <definedName name="pretaxincomey8" localSheetId="11">Grade17!$C$2</definedName>
    <definedName name="pretaxincomey8" localSheetId="12">Grade18!$C$2</definedName>
    <definedName name="pretaxincomey8" localSheetId="3">Grade9!$C$2</definedName>
    <definedName name="pretaxincomey8">Grade8!$C$2</definedName>
    <definedName name="return">#REF!</definedName>
    <definedName name="returntoeducation">#REF!</definedName>
    <definedName name="returntoexperience" localSheetId="1">Output!#REF!</definedName>
    <definedName name="returntoexperience">Meta!$H$2</definedName>
    <definedName name="sbenefits" localSheetId="4">Grade10!$O$2</definedName>
    <definedName name="sbenefits" localSheetId="5">Grade11!$O$2</definedName>
    <definedName name="sbenefits" localSheetId="6">Grade12!$O$2</definedName>
    <definedName name="sbenefits" localSheetId="7">Grade13!$O$2</definedName>
    <definedName name="sbenefits" localSheetId="8">Grade14!$O$2</definedName>
    <definedName name="sbenefits" localSheetId="9">Grade15!$O$2</definedName>
    <definedName name="sbenefits" localSheetId="10">Grade16!$O$2</definedName>
    <definedName name="sbenefits" localSheetId="11">Grade17!$O$2</definedName>
    <definedName name="sbenefits" localSheetId="12">Grade18!$O$2</definedName>
    <definedName name="sbenefits" localSheetId="3">Grade9!$O$2</definedName>
    <definedName name="sbenefits">Grade8!$O$2</definedName>
    <definedName name="scrimecost" localSheetId="4">Grade10!$R$2</definedName>
    <definedName name="scrimecost" localSheetId="5">Grade11!$R$2</definedName>
    <definedName name="scrimecost" localSheetId="6">Grade12!$R$2</definedName>
    <definedName name="scrimecost" localSheetId="7">Grade13!$R$2</definedName>
    <definedName name="scrimecost" localSheetId="8">Grade14!$R$2</definedName>
    <definedName name="scrimecost" localSheetId="9">Grade15!$R$2</definedName>
    <definedName name="scrimecost" localSheetId="10">Grade16!$R$2</definedName>
    <definedName name="scrimecost" localSheetId="11">Grade17!$R$2</definedName>
    <definedName name="scrimecost" localSheetId="12">Grade18!$R$2</definedName>
    <definedName name="scrimecost" localSheetId="3">Grade9!$R$2</definedName>
    <definedName name="scrimecost">Grade8!$R$2</definedName>
    <definedName name="sincome" localSheetId="4">Grade10!$N$2</definedName>
    <definedName name="sincome" localSheetId="5">Grade11!$N$2</definedName>
    <definedName name="sincome" localSheetId="6">Grade12!$N$2</definedName>
    <definedName name="sincome" localSheetId="7">Grade13!$N$2</definedName>
    <definedName name="sincome" localSheetId="8">Grade14!$N$2</definedName>
    <definedName name="sincome" localSheetId="9">Grade15!$N$2</definedName>
    <definedName name="sincome" localSheetId="10">Grade16!$N$2</definedName>
    <definedName name="sincome" localSheetId="11">Grade17!$N$2</definedName>
    <definedName name="sincome" localSheetId="12">Grade18!$N$2</definedName>
    <definedName name="sincome" localSheetId="3">Grade9!$N$2</definedName>
    <definedName name="sincome">Grade8!$N$2</definedName>
    <definedName name="spart" localSheetId="4">Grade10!$Q$2</definedName>
    <definedName name="spart" localSheetId="5">Grade11!$Q$2</definedName>
    <definedName name="spart" localSheetId="6">Grade12!$Q$2</definedName>
    <definedName name="spart" localSheetId="7">Grade13!$Q$2</definedName>
    <definedName name="spart" localSheetId="8">Grade14!$Q$2</definedName>
    <definedName name="spart" localSheetId="9">Grade15!$Q$2</definedName>
    <definedName name="spart" localSheetId="10">Grade16!$Q$2</definedName>
    <definedName name="spart" localSheetId="11">Grade17!$Q$2</definedName>
    <definedName name="spart" localSheetId="12">Grade18!$Q$2</definedName>
    <definedName name="spart" localSheetId="3">Grade9!$Q$2</definedName>
    <definedName name="spart">Grade8!$Q$2</definedName>
    <definedName name="sreturn" localSheetId="4">Grade10!$T$2</definedName>
    <definedName name="sreturn" localSheetId="5">Grade11!$T$2</definedName>
    <definedName name="sreturn" localSheetId="6">Grade12!$T$2</definedName>
    <definedName name="sreturn" localSheetId="7">Grade13!$T$2</definedName>
    <definedName name="sreturn" localSheetId="8">Grade14!$T$2</definedName>
    <definedName name="sreturn" localSheetId="9">Grade15!$T$2</definedName>
    <definedName name="sreturn" localSheetId="10">Grade16!$T$2</definedName>
    <definedName name="sreturn" localSheetId="11">Grade17!$T$2</definedName>
    <definedName name="sreturn" localSheetId="12">Grade18!$T$2</definedName>
    <definedName name="sreturn">Grade9!$T$2</definedName>
    <definedName name="startage" localSheetId="4">Grade10!$B$2</definedName>
    <definedName name="startage" localSheetId="5">Grade11!$B$2</definedName>
    <definedName name="startage" localSheetId="6">Grade12!$B$2</definedName>
    <definedName name="startage" localSheetId="7">Grade13!$B$2</definedName>
    <definedName name="startage" localSheetId="8">Grade14!$B$2</definedName>
    <definedName name="startage" localSheetId="9">Grade15!$B$2</definedName>
    <definedName name="startage" localSheetId="10">Grade16!$B$2</definedName>
    <definedName name="startage" localSheetId="11">Grade17!$B$2</definedName>
    <definedName name="startage" localSheetId="12">Grade18!$B$2</definedName>
    <definedName name="startage" localSheetId="3">Grade9!$B$2</definedName>
    <definedName name="startage">Grade8!$B$2</definedName>
    <definedName name="sunemp" localSheetId="4">Grade10!$P$2</definedName>
    <definedName name="sunemp" localSheetId="5">Grade11!$P$2</definedName>
    <definedName name="sunemp" localSheetId="6">Grade12!$P$2</definedName>
    <definedName name="sunemp" localSheetId="7">Grade13!$P$2</definedName>
    <definedName name="sunemp" localSheetId="8">Grade14!$P$2</definedName>
    <definedName name="sunemp" localSheetId="9">Grade15!$P$2</definedName>
    <definedName name="sunemp" localSheetId="10">Grade16!$P$2</definedName>
    <definedName name="sunemp" localSheetId="11">Grade17!$P$2</definedName>
    <definedName name="sunemp" localSheetId="12">Grade18!$P$2</definedName>
    <definedName name="sunemp" localSheetId="3">Grade9!$P$2</definedName>
    <definedName name="sunemp">Grade8!$P$2</definedName>
    <definedName name="ttd">#REF!</definedName>
    <definedName name="unempprob" localSheetId="4">Grade10!$E$2</definedName>
    <definedName name="unempprob" localSheetId="5">Grade11!$E$2</definedName>
    <definedName name="unempprob" localSheetId="6">Grade12!$E$2</definedName>
    <definedName name="unempprob" localSheetId="7">Grade13!$E$2</definedName>
    <definedName name="unempprob" localSheetId="8">Grade14!$E$2</definedName>
    <definedName name="unempprob" localSheetId="9">Grade15!$E$2</definedName>
    <definedName name="unempprob" localSheetId="10">Grade16!$E$2</definedName>
    <definedName name="unempprob" localSheetId="11">Grade17!$E$2</definedName>
    <definedName name="unempprob" localSheetId="12">Grade18!$E$2</definedName>
    <definedName name="unempprob" localSheetId="3">Grade9!$E$2</definedName>
    <definedName name="unempprob">Grade8!$E$2</definedName>
    <definedName name="unempprob8" localSheetId="4">Grade10!$E$2</definedName>
    <definedName name="unempprob8" localSheetId="5">Grade11!$E$2</definedName>
    <definedName name="unempprob8" localSheetId="6">Grade12!$E$2</definedName>
    <definedName name="unempprob8" localSheetId="7">Grade13!$E$2</definedName>
    <definedName name="unempprob8" localSheetId="8">Grade14!$E$2</definedName>
    <definedName name="unempprob8" localSheetId="9">Grade15!$E$2</definedName>
    <definedName name="unempprob8" localSheetId="10">Grade16!$E$2</definedName>
    <definedName name="unempprob8" localSheetId="11">Grade17!$E$2</definedName>
    <definedName name="unempprob8" localSheetId="12">Grade18!$E$2</definedName>
    <definedName name="unempprob8" localSheetId="3">Grade9!$E$2</definedName>
    <definedName name="unempprob8">Grade8!$E$2</definedName>
    <definedName name="unempproby8" localSheetId="4">Grade10!$E$2</definedName>
    <definedName name="unempproby8" localSheetId="5">Grade11!$E$2</definedName>
    <definedName name="unempproby8" localSheetId="6">Grade12!$E$2</definedName>
    <definedName name="unempproby8" localSheetId="7">Grade13!$E$2</definedName>
    <definedName name="unempproby8" localSheetId="8">Grade14!$E$2</definedName>
    <definedName name="unempproby8" localSheetId="9">Grade15!$E$2</definedName>
    <definedName name="unempproby8" localSheetId="10">Grade16!$E$2</definedName>
    <definedName name="unempproby8" localSheetId="11">Grade17!$E$2</definedName>
    <definedName name="unempproby8" localSheetId="12">Grade18!$E$2</definedName>
    <definedName name="unempproby8" localSheetId="3">Grade9!$E$2</definedName>
    <definedName name="unempproby8">Grade8!$E$2</definedName>
  </definedNames>
  <calcPr calcId="145621"/>
</workbook>
</file>

<file path=xl/calcChain.xml><?xml version="1.0" encoding="utf-8"?>
<calcChain xmlns="http://schemas.openxmlformats.org/spreadsheetml/2006/main">
  <c r="R14" i="61" l="1"/>
  <c r="N57" i="61"/>
  <c r="N58" i="61"/>
  <c r="N59" i="61"/>
  <c r="N60" i="61"/>
  <c r="N61" i="61"/>
  <c r="N62" i="61"/>
  <c r="N63" i="61"/>
  <c r="N64" i="61"/>
  <c r="N65" i="61"/>
  <c r="N66" i="61"/>
  <c r="N67" i="61"/>
  <c r="N68" i="61"/>
  <c r="N69" i="61"/>
  <c r="R2" i="61"/>
  <c r="Q2" i="61"/>
  <c r="P2" i="61"/>
  <c r="O2" i="61"/>
  <c r="N2" i="61"/>
  <c r="K2" i="61"/>
  <c r="J2" i="61"/>
  <c r="H2" i="61"/>
  <c r="F2" i="61"/>
  <c r="E2" i="61"/>
  <c r="D2" i="61"/>
  <c r="C2" i="61"/>
  <c r="B2" i="61"/>
  <c r="R13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R2" i="60"/>
  <c r="Q2" i="60"/>
  <c r="P2" i="60"/>
  <c r="O2" i="60"/>
  <c r="N2" i="60"/>
  <c r="K2" i="60"/>
  <c r="J2" i="60"/>
  <c r="H2" i="60"/>
  <c r="F2" i="60"/>
  <c r="E2" i="60"/>
  <c r="D2" i="60"/>
  <c r="C2" i="60"/>
  <c r="B2" i="60"/>
  <c r="B22" i="60"/>
  <c r="R12" i="59"/>
  <c r="N57" i="59"/>
  <c r="N58" i="59"/>
  <c r="N59" i="59"/>
  <c r="N60" i="59"/>
  <c r="N61" i="59"/>
  <c r="N62" i="59"/>
  <c r="N63" i="59"/>
  <c r="N64" i="59"/>
  <c r="N65" i="59"/>
  <c r="N66" i="59"/>
  <c r="N67" i="59"/>
  <c r="N68" i="59"/>
  <c r="N69" i="59"/>
  <c r="R2" i="59"/>
  <c r="M68" i="59"/>
  <c r="Q2" i="59"/>
  <c r="P2" i="59"/>
  <c r="O2" i="59"/>
  <c r="N2" i="59"/>
  <c r="K2" i="59"/>
  <c r="J2" i="59"/>
  <c r="H2" i="59"/>
  <c r="F2" i="59"/>
  <c r="E2" i="59"/>
  <c r="D2" i="59"/>
  <c r="C2" i="59"/>
  <c r="B2" i="59"/>
  <c r="B31" i="59"/>
  <c r="R11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R2" i="58"/>
  <c r="M64" i="58"/>
  <c r="Q2" i="58"/>
  <c r="P2" i="58"/>
  <c r="O2" i="58"/>
  <c r="N2" i="58"/>
  <c r="K2" i="58"/>
  <c r="J2" i="58"/>
  <c r="H2" i="58"/>
  <c r="F2" i="58"/>
  <c r="E2" i="58"/>
  <c r="D2" i="58"/>
  <c r="C2" i="58"/>
  <c r="B2" i="58"/>
  <c r="R10" i="57"/>
  <c r="N57" i="57"/>
  <c r="N58" i="57"/>
  <c r="N59" i="57"/>
  <c r="N60" i="57"/>
  <c r="N61" i="57"/>
  <c r="N62" i="57"/>
  <c r="N63" i="57"/>
  <c r="N64" i="57"/>
  <c r="N65" i="57"/>
  <c r="N66" i="57"/>
  <c r="N67" i="57"/>
  <c r="N68" i="57"/>
  <c r="N69" i="57"/>
  <c r="R2" i="57"/>
  <c r="Q2" i="57"/>
  <c r="P2" i="57"/>
  <c r="O2" i="57"/>
  <c r="N2" i="57"/>
  <c r="K2" i="57"/>
  <c r="J2" i="57"/>
  <c r="H2" i="57"/>
  <c r="F2" i="57"/>
  <c r="E2" i="57"/>
  <c r="D2" i="57"/>
  <c r="C2" i="57"/>
  <c r="B2" i="57"/>
  <c r="B15" i="57"/>
  <c r="R9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R2" i="56"/>
  <c r="M53" i="56"/>
  <c r="Q2" i="56"/>
  <c r="P2" i="56"/>
  <c r="O2" i="56"/>
  <c r="N2" i="56"/>
  <c r="K2" i="56"/>
  <c r="J2" i="56"/>
  <c r="H2" i="56"/>
  <c r="F2" i="56"/>
  <c r="E2" i="56"/>
  <c r="D2" i="56"/>
  <c r="C2" i="56"/>
  <c r="B2" i="56"/>
  <c r="B56" i="56"/>
  <c r="R8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R2" i="55"/>
  <c r="Q2" i="55"/>
  <c r="P2" i="55"/>
  <c r="O2" i="55"/>
  <c r="L17" i="55"/>
  <c r="N2" i="55"/>
  <c r="L9" i="55"/>
  <c r="L9" i="56"/>
  <c r="K2" i="55"/>
  <c r="J2" i="55"/>
  <c r="H2" i="55"/>
  <c r="F2" i="55"/>
  <c r="E2" i="55"/>
  <c r="D2" i="55"/>
  <c r="C2" i="55"/>
  <c r="B2" i="55"/>
  <c r="B36" i="55"/>
  <c r="R7" i="54"/>
  <c r="R6" i="53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R2" i="54"/>
  <c r="M61" i="54"/>
  <c r="Q2" i="54"/>
  <c r="P2" i="54"/>
  <c r="O2" i="54"/>
  <c r="N2" i="54"/>
  <c r="K2" i="54"/>
  <c r="J2" i="54"/>
  <c r="H2" i="54"/>
  <c r="F2" i="54"/>
  <c r="E2" i="54"/>
  <c r="D2" i="54"/>
  <c r="C2" i="54"/>
  <c r="B2" i="54"/>
  <c r="B46" i="54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R2" i="53"/>
  <c r="M21" i="53"/>
  <c r="Q2" i="53"/>
  <c r="P2" i="53"/>
  <c r="O2" i="53"/>
  <c r="N2" i="53"/>
  <c r="K2" i="53"/>
  <c r="J2" i="53"/>
  <c r="H2" i="53"/>
  <c r="F2" i="53"/>
  <c r="E2" i="53"/>
  <c r="D2" i="53"/>
  <c r="C2" i="53"/>
  <c r="B2" i="53"/>
  <c r="B15" i="53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J2" i="52"/>
  <c r="Q2" i="52"/>
  <c r="R5" i="52"/>
  <c r="R2" i="52"/>
  <c r="M66" i="52"/>
  <c r="P2" i="52"/>
  <c r="O2" i="52"/>
  <c r="N2" i="52"/>
  <c r="H2" i="52"/>
  <c r="F2" i="52"/>
  <c r="E2" i="52"/>
  <c r="D2" i="52"/>
  <c r="C2" i="52"/>
  <c r="B2" i="52"/>
  <c r="B6" i="52"/>
  <c r="K2" i="52"/>
  <c r="R2" i="1"/>
  <c r="S2" i="4"/>
  <c r="F2" i="1"/>
  <c r="E2" i="1"/>
  <c r="Q2" i="1"/>
  <c r="P2" i="1"/>
  <c r="O2" i="1"/>
  <c r="N2" i="1"/>
  <c r="D2" i="1"/>
  <c r="C2" i="1"/>
  <c r="B7" i="50"/>
  <c r="B3" i="50"/>
  <c r="K3" i="50"/>
  <c r="B4" i="50"/>
  <c r="B5" i="50"/>
  <c r="B6" i="50"/>
  <c r="B8" i="50"/>
  <c r="B9" i="50"/>
  <c r="Q10" i="50"/>
  <c r="B10" i="50"/>
  <c r="B11" i="50"/>
  <c r="B12" i="50"/>
  <c r="B2" i="50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B2" i="1"/>
  <c r="B54" i="1"/>
  <c r="K2" i="1"/>
  <c r="H2" i="1"/>
  <c r="M23" i="61"/>
  <c r="B47" i="61"/>
  <c r="B35" i="61"/>
  <c r="M47" i="61"/>
  <c r="M34" i="59"/>
  <c r="M14" i="59"/>
  <c r="M22" i="59"/>
  <c r="M26" i="59"/>
  <c r="M30" i="59"/>
  <c r="B19" i="59"/>
  <c r="B23" i="59"/>
  <c r="B27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56" i="59"/>
  <c r="B55" i="59"/>
  <c r="B54" i="59"/>
  <c r="B53" i="59"/>
  <c r="B13" i="59"/>
  <c r="B15" i="59"/>
  <c r="B16" i="59"/>
  <c r="B20" i="59"/>
  <c r="B24" i="59"/>
  <c r="B28" i="59"/>
  <c r="M66" i="59"/>
  <c r="M62" i="59"/>
  <c r="M58" i="59"/>
  <c r="M67" i="59"/>
  <c r="M63" i="59"/>
  <c r="M59" i="59"/>
  <c r="M56" i="59"/>
  <c r="M55" i="59"/>
  <c r="M54" i="59"/>
  <c r="M53" i="59"/>
  <c r="M52" i="59"/>
  <c r="M51" i="59"/>
  <c r="M50" i="59"/>
  <c r="M49" i="59"/>
  <c r="M48" i="59"/>
  <c r="M47" i="59"/>
  <c r="M46" i="59"/>
  <c r="M45" i="59"/>
  <c r="M44" i="59"/>
  <c r="M43" i="59"/>
  <c r="M42" i="59"/>
  <c r="M41" i="59"/>
  <c r="M40" i="59"/>
  <c r="M39" i="59"/>
  <c r="M69" i="59"/>
  <c r="M65" i="59"/>
  <c r="M61" i="59"/>
  <c r="M57" i="59"/>
  <c r="M20" i="59"/>
  <c r="B21" i="59"/>
  <c r="M24" i="59"/>
  <c r="B25" i="59"/>
  <c r="M28" i="59"/>
  <c r="B29" i="59"/>
  <c r="M33" i="59"/>
  <c r="M35" i="59"/>
  <c r="M37" i="59"/>
  <c r="O37" i="59" s="1"/>
  <c r="B14" i="59"/>
  <c r="B17" i="59"/>
  <c r="B18" i="59"/>
  <c r="B22" i="59"/>
  <c r="B26" i="59"/>
  <c r="B30" i="59"/>
  <c r="M64" i="59"/>
  <c r="M45" i="58"/>
  <c r="O45" i="59" s="1"/>
  <c r="M37" i="58"/>
  <c r="M12" i="57"/>
  <c r="M28" i="57"/>
  <c r="B17" i="57"/>
  <c r="B30" i="57"/>
  <c r="M66" i="57"/>
  <c r="M64" i="57"/>
  <c r="M59" i="57"/>
  <c r="M53" i="57"/>
  <c r="M49" i="57"/>
  <c r="M45" i="57"/>
  <c r="M41" i="57"/>
  <c r="M61" i="57"/>
  <c r="M17" i="56"/>
  <c r="M46" i="56"/>
  <c r="M31" i="56"/>
  <c r="B31" i="56"/>
  <c r="B20" i="54"/>
  <c r="M28" i="54"/>
  <c r="B10" i="53"/>
  <c r="M16" i="53"/>
  <c r="M68" i="53"/>
  <c r="M33" i="53"/>
  <c r="M50" i="53"/>
  <c r="M42" i="53"/>
  <c r="M55" i="53"/>
  <c r="M23" i="53"/>
  <c r="B55" i="53"/>
  <c r="B53" i="53"/>
  <c r="B51" i="53"/>
  <c r="B49" i="53"/>
  <c r="B47" i="53"/>
  <c r="B45" i="53"/>
  <c r="B43" i="53"/>
  <c r="B41" i="53"/>
  <c r="B39" i="53"/>
  <c r="B37" i="53"/>
  <c r="B35" i="53"/>
  <c r="B33" i="53"/>
  <c r="B31" i="53"/>
  <c r="B29" i="53"/>
  <c r="B27" i="53"/>
  <c r="B25" i="53"/>
  <c r="B23" i="53"/>
  <c r="B21" i="53"/>
  <c r="B19" i="53"/>
  <c r="B17" i="53"/>
  <c r="B48" i="52"/>
  <c r="B15" i="52"/>
  <c r="B32" i="52"/>
  <c r="B7" i="52"/>
  <c r="B14" i="52"/>
  <c r="B10" i="52"/>
  <c r="B23" i="52"/>
  <c r="B54" i="52"/>
  <c r="B50" i="52"/>
  <c r="B46" i="52"/>
  <c r="B42" i="52"/>
  <c r="B38" i="52"/>
  <c r="B34" i="52"/>
  <c r="B30" i="52"/>
  <c r="B53" i="52"/>
  <c r="B49" i="52"/>
  <c r="B45" i="52"/>
  <c r="B41" i="52"/>
  <c r="B37" i="52"/>
  <c r="B33" i="52"/>
  <c r="B29" i="52"/>
  <c r="B55" i="52"/>
  <c r="B47" i="52"/>
  <c r="B39" i="52"/>
  <c r="B31" i="52"/>
  <c r="B24" i="52"/>
  <c r="B20" i="52"/>
  <c r="B16" i="52"/>
  <c r="B12" i="52"/>
  <c r="B52" i="52"/>
  <c r="B44" i="52"/>
  <c r="B36" i="52"/>
  <c r="B28" i="52"/>
  <c r="B25" i="52"/>
  <c r="B21" i="52"/>
  <c r="B17" i="52"/>
  <c r="B13" i="52"/>
  <c r="B56" i="52"/>
  <c r="B40" i="52"/>
  <c r="B27" i="52"/>
  <c r="B19" i="52"/>
  <c r="B8" i="52"/>
  <c r="B51" i="52"/>
  <c r="B35" i="52"/>
  <c r="B26" i="52"/>
  <c r="B18" i="52"/>
  <c r="B9" i="52"/>
  <c r="B11" i="52"/>
  <c r="B22" i="52"/>
  <c r="B43" i="52"/>
  <c r="M17" i="53"/>
  <c r="M11" i="53"/>
  <c r="M20" i="53"/>
  <c r="M65" i="53"/>
  <c r="M36" i="53"/>
  <c r="M53" i="53"/>
  <c r="M45" i="53"/>
  <c r="M32" i="53"/>
  <c r="M10" i="53"/>
  <c r="M24" i="53"/>
  <c r="M61" i="53"/>
  <c r="M35" i="53"/>
  <c r="M52" i="53"/>
  <c r="M44" i="53"/>
  <c r="M31" i="53"/>
  <c r="M15" i="53"/>
  <c r="M14" i="53"/>
  <c r="M18" i="53"/>
  <c r="M57" i="53"/>
  <c r="M34" i="53"/>
  <c r="M51" i="53"/>
  <c r="M43" i="53"/>
  <c r="M30" i="53"/>
  <c r="M19" i="53"/>
  <c r="M53" i="55"/>
  <c r="O53" i="56" s="1"/>
  <c r="S53" i="56" s="1"/>
  <c r="M62" i="1"/>
  <c r="M46" i="1"/>
  <c r="M30" i="1"/>
  <c r="M14" i="1"/>
  <c r="M61" i="1"/>
  <c r="M45" i="1"/>
  <c r="M29" i="1"/>
  <c r="M13" i="1"/>
  <c r="M68" i="1"/>
  <c r="M52" i="1"/>
  <c r="M36" i="1"/>
  <c r="M20" i="1"/>
  <c r="M33" i="57"/>
  <c r="M28" i="61"/>
  <c r="M58" i="61"/>
  <c r="M32" i="61"/>
  <c r="M22" i="61"/>
  <c r="M43" i="61"/>
  <c r="M66" i="56"/>
  <c r="M61" i="56"/>
  <c r="O61" i="57" s="1"/>
  <c r="S61" i="57" s="1"/>
  <c r="B29" i="60"/>
  <c r="M8" i="53"/>
  <c r="M47" i="53"/>
  <c r="M38" i="53"/>
  <c r="M12" i="53"/>
  <c r="M7" i="53"/>
  <c r="M48" i="53"/>
  <c r="M60" i="53"/>
  <c r="M27" i="53"/>
  <c r="M41" i="53"/>
  <c r="M67" i="53"/>
  <c r="M66" i="53"/>
  <c r="M13" i="53"/>
  <c r="B16" i="53"/>
  <c r="B20" i="53"/>
  <c r="B24" i="53"/>
  <c r="B28" i="53"/>
  <c r="B32" i="53"/>
  <c r="B36" i="53"/>
  <c r="B40" i="53"/>
  <c r="B44" i="53"/>
  <c r="B48" i="53"/>
  <c r="B52" i="53"/>
  <c r="B56" i="53"/>
  <c r="M56" i="53"/>
  <c r="M54" i="53"/>
  <c r="M69" i="53"/>
  <c r="M28" i="53"/>
  <c r="O28" i="54" s="1"/>
  <c r="S28" i="54" s="1"/>
  <c r="B17" i="55"/>
  <c r="M9" i="52"/>
  <c r="M39" i="53"/>
  <c r="M59" i="53"/>
  <c r="M58" i="53"/>
  <c r="M25" i="53"/>
  <c r="M40" i="53"/>
  <c r="M63" i="53"/>
  <c r="M62" i="53"/>
  <c r="M6" i="53"/>
  <c r="M49" i="53"/>
  <c r="M64" i="53"/>
  <c r="M26" i="53"/>
  <c r="M29" i="53"/>
  <c r="M44" i="52"/>
  <c r="O44" i="53" s="1"/>
  <c r="B18" i="53"/>
  <c r="B22" i="53"/>
  <c r="B26" i="53"/>
  <c r="B30" i="53"/>
  <c r="B34" i="53"/>
  <c r="B38" i="53"/>
  <c r="B42" i="53"/>
  <c r="B46" i="53"/>
  <c r="B50" i="53"/>
  <c r="B54" i="53"/>
  <c r="M9" i="53"/>
  <c r="M46" i="53"/>
  <c r="M37" i="53"/>
  <c r="M22" i="53"/>
  <c r="M53" i="54"/>
  <c r="B48" i="60"/>
  <c r="B11" i="53"/>
  <c r="B7" i="53"/>
  <c r="B14" i="53"/>
  <c r="M13" i="59"/>
  <c r="B9" i="53"/>
  <c r="M21" i="59"/>
  <c r="B12" i="53"/>
  <c r="M41" i="55"/>
  <c r="M46" i="55"/>
  <c r="O46" i="56" s="1"/>
  <c r="S46" i="56" s="1"/>
  <c r="M31" i="55"/>
  <c r="O31" i="56"/>
  <c r="M8" i="55"/>
  <c r="M32" i="54"/>
  <c r="M64" i="54"/>
  <c r="B33" i="54"/>
  <c r="M18" i="56"/>
  <c r="B46" i="58"/>
  <c r="B35" i="58"/>
  <c r="B50" i="58"/>
  <c r="B26" i="58"/>
  <c r="M23" i="58"/>
  <c r="M13" i="58"/>
  <c r="M35" i="58"/>
  <c r="O35" i="59" s="1"/>
  <c r="M63" i="58"/>
  <c r="O63" i="59" s="1"/>
  <c r="S63" i="59" s="1"/>
  <c r="M42" i="58"/>
  <c r="B45" i="55"/>
  <c r="B32" i="55"/>
  <c r="B13" i="55"/>
  <c r="B41" i="55"/>
  <c r="B28" i="55"/>
  <c r="B9" i="55"/>
  <c r="B53" i="55"/>
  <c r="B20" i="55"/>
  <c r="B24" i="55"/>
  <c r="L24" i="55"/>
  <c r="M10" i="55"/>
  <c r="M21" i="55"/>
  <c r="M58" i="55"/>
  <c r="M12" i="54"/>
  <c r="B27" i="54"/>
  <c r="B49" i="55"/>
  <c r="B56" i="54"/>
  <c r="B44" i="54"/>
  <c r="B34" i="54"/>
  <c r="B18" i="54"/>
  <c r="B10" i="54"/>
  <c r="B25" i="54"/>
  <c r="B52" i="54"/>
  <c r="B42" i="54"/>
  <c r="B30" i="54"/>
  <c r="B16" i="54"/>
  <c r="B8" i="54"/>
  <c r="B29" i="54"/>
  <c r="B48" i="54"/>
  <c r="B40" i="54"/>
  <c r="B22" i="54"/>
  <c r="B14" i="54"/>
  <c r="B35" i="54"/>
  <c r="B31" i="54"/>
  <c r="M67" i="54"/>
  <c r="M51" i="54"/>
  <c r="M43" i="54"/>
  <c r="M38" i="54"/>
  <c r="O38" i="54" s="1"/>
  <c r="M30" i="54"/>
  <c r="M26" i="54"/>
  <c r="M18" i="54"/>
  <c r="M10" i="54"/>
  <c r="M59" i="54"/>
  <c r="M49" i="54"/>
  <c r="M41" i="54"/>
  <c r="M36" i="54"/>
  <c r="M39" i="54"/>
  <c r="O39" i="54" s="1"/>
  <c r="S39" i="54" s="1"/>
  <c r="M24" i="54"/>
  <c r="O24" i="54" s="1"/>
  <c r="S24" i="54" s="1"/>
  <c r="M16" i="54"/>
  <c r="M8" i="54"/>
  <c r="M55" i="54"/>
  <c r="M47" i="54"/>
  <c r="M69" i="54"/>
  <c r="M34" i="54"/>
  <c r="M66" i="54"/>
  <c r="M22" i="54"/>
  <c r="M14" i="54"/>
  <c r="M28" i="55"/>
  <c r="O28" i="56" s="1"/>
  <c r="S28" i="56" s="1"/>
  <c r="M49" i="55"/>
  <c r="M54" i="55"/>
  <c r="M39" i="55"/>
  <c r="M20" i="54"/>
  <c r="M45" i="54"/>
  <c r="B12" i="54"/>
  <c r="M36" i="55"/>
  <c r="O36" i="56" s="1"/>
  <c r="S36" i="56" s="1"/>
  <c r="B11" i="1"/>
  <c r="B51" i="1"/>
  <c r="B8" i="1"/>
  <c r="Q5" i="50"/>
  <c r="Q6" i="50"/>
  <c r="M68" i="52"/>
  <c r="M62" i="52"/>
  <c r="M61" i="52"/>
  <c r="M22" i="52"/>
  <c r="O22" i="53"/>
  <c r="B18" i="56"/>
  <c r="B14" i="56"/>
  <c r="B52" i="56"/>
  <c r="B35" i="56"/>
  <c r="B40" i="56"/>
  <c r="B48" i="56"/>
  <c r="B39" i="56"/>
  <c r="B44" i="56"/>
  <c r="M11" i="56"/>
  <c r="M63" i="56"/>
  <c r="M50" i="56"/>
  <c r="M43" i="56"/>
  <c r="M38" i="56"/>
  <c r="M30" i="56"/>
  <c r="M20" i="56"/>
  <c r="M59" i="56"/>
  <c r="O59" i="57" s="1"/>
  <c r="M49" i="56"/>
  <c r="M42" i="56"/>
  <c r="M35" i="56"/>
  <c r="M60" i="56"/>
  <c r="M26" i="56"/>
  <c r="M65" i="56"/>
  <c r="M54" i="56"/>
  <c r="O54" i="56" s="1"/>
  <c r="M47" i="56"/>
  <c r="M39" i="56"/>
  <c r="M34" i="56"/>
  <c r="M12" i="56"/>
  <c r="M28" i="56"/>
  <c r="B13" i="53"/>
  <c r="B8" i="53"/>
  <c r="M38" i="57"/>
  <c r="M23" i="59"/>
  <c r="I3" i="4"/>
  <c r="G2" i="52"/>
  <c r="C28" i="52"/>
  <c r="D28" i="52"/>
  <c r="C43" i="52"/>
  <c r="D43" i="52"/>
  <c r="C41" i="52"/>
  <c r="D41" i="52"/>
  <c r="E41" i="52"/>
  <c r="F41" i="52"/>
  <c r="J41" i="52"/>
  <c r="I6" i="4"/>
  <c r="G2" i="55"/>
  <c r="N9" i="56"/>
  <c r="B12" i="57"/>
  <c r="B34" i="57"/>
  <c r="B21" i="57"/>
  <c r="M29" i="59"/>
  <c r="O45" i="54"/>
  <c r="H37" i="52"/>
  <c r="H56" i="52"/>
  <c r="B49" i="57"/>
  <c r="B38" i="57"/>
  <c r="B48" i="57"/>
  <c r="H16" i="52"/>
  <c r="H50" i="52"/>
  <c r="H6" i="52"/>
  <c r="H6" i="53"/>
  <c r="H17" i="52"/>
  <c r="H26" i="52"/>
  <c r="B26" i="57"/>
  <c r="B47" i="57"/>
  <c r="Q9" i="50"/>
  <c r="C34" i="52"/>
  <c r="D34" i="52"/>
  <c r="H9" i="52"/>
  <c r="H23" i="52"/>
  <c r="C51" i="52"/>
  <c r="D51" i="52"/>
  <c r="H15" i="52"/>
  <c r="H40" i="52"/>
  <c r="H51" i="52"/>
  <c r="C55" i="52"/>
  <c r="D55" i="52"/>
  <c r="E55" i="52"/>
  <c r="F55" i="52"/>
  <c r="C18" i="52"/>
  <c r="D18" i="52"/>
  <c r="H43" i="52"/>
  <c r="H41" i="52"/>
  <c r="B16" i="60"/>
  <c r="B20" i="60"/>
  <c r="B43" i="60"/>
  <c r="B39" i="60"/>
  <c r="B35" i="60"/>
  <c r="B31" i="60"/>
  <c r="B27" i="60"/>
  <c r="B55" i="60"/>
  <c r="B47" i="60"/>
  <c r="B52" i="60"/>
  <c r="B44" i="60"/>
  <c r="B17" i="60"/>
  <c r="B21" i="60"/>
  <c r="B42" i="60"/>
  <c r="B38" i="60"/>
  <c r="B34" i="60"/>
  <c r="B30" i="60"/>
  <c r="B26" i="60"/>
  <c r="B53" i="60"/>
  <c r="B45" i="60"/>
  <c r="B50" i="60"/>
  <c r="B19" i="60"/>
  <c r="B40" i="60"/>
  <c r="B32" i="60"/>
  <c r="B24" i="60"/>
  <c r="B54" i="60"/>
  <c r="B15" i="60"/>
  <c r="B23" i="60"/>
  <c r="B36" i="60"/>
  <c r="B28" i="60"/>
  <c r="B49" i="60"/>
  <c r="B46" i="60"/>
  <c r="B18" i="60"/>
  <c r="B33" i="60"/>
  <c r="B56" i="60"/>
  <c r="B41" i="60"/>
  <c r="B25" i="60"/>
  <c r="B14" i="60"/>
  <c r="B37" i="60"/>
  <c r="B51" i="60"/>
  <c r="C21" i="52"/>
  <c r="D21" i="52"/>
  <c r="E21" i="52"/>
  <c r="F21" i="52"/>
  <c r="B14" i="1"/>
  <c r="B50" i="57"/>
  <c r="B40" i="57"/>
  <c r="B20" i="57"/>
  <c r="B16" i="57"/>
  <c r="B44" i="57"/>
  <c r="B37" i="57"/>
  <c r="B33" i="57"/>
  <c r="B29" i="57"/>
  <c r="B25" i="57"/>
  <c r="B45" i="57"/>
  <c r="B14" i="57"/>
  <c r="B11" i="57"/>
  <c r="B56" i="57"/>
  <c r="B23" i="57"/>
  <c r="B19" i="57"/>
  <c r="B55" i="57"/>
  <c r="B42" i="57"/>
  <c r="B36" i="57"/>
  <c r="B32" i="57"/>
  <c r="B28" i="57"/>
  <c r="B24" i="57"/>
  <c r="B43" i="57"/>
  <c r="B54" i="57"/>
  <c r="B13" i="57"/>
  <c r="B22" i="57"/>
  <c r="B51" i="57"/>
  <c r="B35" i="57"/>
  <c r="B27" i="57"/>
  <c r="B41" i="57"/>
  <c r="B52" i="57"/>
  <c r="B18" i="57"/>
  <c r="B39" i="57"/>
  <c r="B31" i="57"/>
  <c r="B53" i="57"/>
  <c r="B46" i="57"/>
  <c r="B17" i="1"/>
  <c r="B56" i="1"/>
  <c r="B50" i="1"/>
  <c r="B52" i="1"/>
  <c r="B23" i="1"/>
  <c r="B35" i="1"/>
  <c r="B24" i="1"/>
  <c r="B30" i="1"/>
  <c r="B38" i="1"/>
  <c r="B13" i="1"/>
  <c r="B49" i="1"/>
  <c r="B55" i="1"/>
  <c r="B6" i="1"/>
  <c r="B10" i="1"/>
  <c r="B44" i="1"/>
  <c r="B39" i="1"/>
  <c r="B26" i="1"/>
  <c r="B9" i="1"/>
  <c r="B31" i="1"/>
  <c r="B20" i="1"/>
  <c r="I10" i="4"/>
  <c r="G2" i="59"/>
  <c r="I9" i="4"/>
  <c r="G2" i="58"/>
  <c r="C46" i="58"/>
  <c r="D46" i="58"/>
  <c r="B45" i="1"/>
  <c r="M27" i="1"/>
  <c r="M45" i="52"/>
  <c r="O45" i="53" s="1"/>
  <c r="S45" i="53" s="1"/>
  <c r="M8" i="52"/>
  <c r="M56" i="52"/>
  <c r="O56" i="53" s="1"/>
  <c r="S56" i="53" s="1"/>
  <c r="M40" i="52"/>
  <c r="M65" i="52"/>
  <c r="M51" i="52"/>
  <c r="M35" i="52"/>
  <c r="M59" i="52"/>
  <c r="O59" i="53" s="1"/>
  <c r="S59" i="53" s="1"/>
  <c r="M26" i="52"/>
  <c r="M14" i="52"/>
  <c r="M46" i="52"/>
  <c r="M19" i="52"/>
  <c r="M42" i="52"/>
  <c r="O42" i="53" s="1"/>
  <c r="M6" i="52"/>
  <c r="M20" i="52"/>
  <c r="O20" i="53" s="1"/>
  <c r="M64" i="52"/>
  <c r="O64" i="53" s="1"/>
  <c r="S64" i="53" s="1"/>
  <c r="M48" i="52"/>
  <c r="M32" i="52"/>
  <c r="O32" i="53" s="1"/>
  <c r="M57" i="52"/>
  <c r="M43" i="52"/>
  <c r="O43" i="53" s="1"/>
  <c r="S43" i="53" s="1"/>
  <c r="M27" i="52"/>
  <c r="M41" i="52"/>
  <c r="O41" i="53" s="1"/>
  <c r="S41" i="53" s="1"/>
  <c r="M58" i="52"/>
  <c r="M30" i="52"/>
  <c r="O30" i="53" s="1"/>
  <c r="M11" i="52"/>
  <c r="O11" i="53"/>
  <c r="M13" i="52"/>
  <c r="O13" i="53" s="1"/>
  <c r="S13" i="53" s="1"/>
  <c r="M37" i="52"/>
  <c r="O37" i="53" s="1"/>
  <c r="M7" i="52"/>
  <c r="M50" i="52"/>
  <c r="O50" i="53" s="1"/>
  <c r="B54" i="54"/>
  <c r="B50" i="54"/>
  <c r="B53" i="54"/>
  <c r="B49" i="54"/>
  <c r="B51" i="54"/>
  <c r="B45" i="54"/>
  <c r="B41" i="54"/>
  <c r="B38" i="54"/>
  <c r="B23" i="54"/>
  <c r="B19" i="54"/>
  <c r="B15" i="54"/>
  <c r="B11" i="54"/>
  <c r="B39" i="54"/>
  <c r="B26" i="54"/>
  <c r="B36" i="54"/>
  <c r="B55" i="54"/>
  <c r="B47" i="54"/>
  <c r="B43" i="54"/>
  <c r="B37" i="54"/>
  <c r="B32" i="54"/>
  <c r="B21" i="54"/>
  <c r="B17" i="54"/>
  <c r="B13" i="54"/>
  <c r="B9" i="54"/>
  <c r="B28" i="54"/>
  <c r="B24" i="54"/>
  <c r="M60" i="54"/>
  <c r="M56" i="54"/>
  <c r="M52" i="54"/>
  <c r="O52" i="54" s="1"/>
  <c r="S52" i="54" s="1"/>
  <c r="M48" i="54"/>
  <c r="M44" i="54"/>
  <c r="O44" i="54"/>
  <c r="M40" i="54"/>
  <c r="M57" i="54"/>
  <c r="M35" i="54"/>
  <c r="M31" i="54"/>
  <c r="O31" i="55" s="1"/>
  <c r="M62" i="54"/>
  <c r="M27" i="54"/>
  <c r="M23" i="54"/>
  <c r="M19" i="54"/>
  <c r="M15" i="54"/>
  <c r="M11" i="54"/>
  <c r="M7" i="54"/>
  <c r="M68" i="54"/>
  <c r="M63" i="54"/>
  <c r="M54" i="54"/>
  <c r="M50" i="54"/>
  <c r="M46" i="54"/>
  <c r="M42" i="54"/>
  <c r="O42" i="54" s="1"/>
  <c r="S42" i="54" s="1"/>
  <c r="M65" i="54"/>
  <c r="M37" i="54"/>
  <c r="M33" i="54"/>
  <c r="O33" i="54" s="1"/>
  <c r="S33" i="54" s="1"/>
  <c r="M29" i="54"/>
  <c r="O29" i="54" s="1"/>
  <c r="S29" i="54" s="1"/>
  <c r="M58" i="54"/>
  <c r="M25" i="54"/>
  <c r="M21" i="54"/>
  <c r="M17" i="54"/>
  <c r="O17" i="54" s="1"/>
  <c r="S17" i="54" s="1"/>
  <c r="M13" i="54"/>
  <c r="M9" i="54"/>
  <c r="B55" i="55"/>
  <c r="B51" i="55"/>
  <c r="B47" i="55"/>
  <c r="B43" i="55"/>
  <c r="B22" i="55"/>
  <c r="B38" i="55"/>
  <c r="B34" i="55"/>
  <c r="B30" i="55"/>
  <c r="B26" i="55"/>
  <c r="B19" i="55"/>
  <c r="C19" i="55"/>
  <c r="D19" i="55"/>
  <c r="B15" i="55"/>
  <c r="B11" i="55"/>
  <c r="B54" i="55"/>
  <c r="B50" i="55"/>
  <c r="B46" i="55"/>
  <c r="B42" i="55"/>
  <c r="B21" i="55"/>
  <c r="B37" i="55"/>
  <c r="B33" i="55"/>
  <c r="B29" i="55"/>
  <c r="B25" i="55"/>
  <c r="B18" i="55"/>
  <c r="C18" i="55"/>
  <c r="D18" i="55"/>
  <c r="B14" i="55"/>
  <c r="B10" i="55"/>
  <c r="B56" i="55"/>
  <c r="B48" i="55"/>
  <c r="B40" i="55"/>
  <c r="B35" i="55"/>
  <c r="B27" i="55"/>
  <c r="B16" i="55"/>
  <c r="B52" i="55"/>
  <c r="B44" i="55"/>
  <c r="B39" i="55"/>
  <c r="B31" i="55"/>
  <c r="B23" i="55"/>
  <c r="B12" i="55"/>
  <c r="M11" i="55"/>
  <c r="O11" i="56" s="1"/>
  <c r="S11" i="56" s="1"/>
  <c r="M24" i="55"/>
  <c r="M15" i="55"/>
  <c r="O15" i="55"/>
  <c r="B19" i="61"/>
  <c r="B46" i="61"/>
  <c r="M24" i="61"/>
  <c r="M54" i="61"/>
  <c r="M38" i="61"/>
  <c r="M17" i="61"/>
  <c r="M62" i="61"/>
  <c r="M45" i="61"/>
  <c r="M29" i="61"/>
  <c r="M29" i="56"/>
  <c r="M23" i="56"/>
  <c r="M10" i="56"/>
  <c r="M57" i="56"/>
  <c r="M56" i="56"/>
  <c r="M52" i="56"/>
  <c r="M48" i="56"/>
  <c r="M45" i="56"/>
  <c r="M41" i="56"/>
  <c r="M62" i="56"/>
  <c r="M37" i="56"/>
  <c r="M33" i="56"/>
  <c r="O33" i="57" s="1"/>
  <c r="S33" i="57" s="1"/>
  <c r="M68" i="56"/>
  <c r="M14" i="56"/>
  <c r="M22" i="56"/>
  <c r="M25" i="56"/>
  <c r="M13" i="56"/>
  <c r="M69" i="56"/>
  <c r="M67" i="56"/>
  <c r="M55" i="56"/>
  <c r="M51" i="56"/>
  <c r="M44" i="56"/>
  <c r="M40" i="56"/>
  <c r="M58" i="56"/>
  <c r="M36" i="56"/>
  <c r="M32" i="56"/>
  <c r="M64" i="56"/>
  <c r="O64" i="57"/>
  <c r="M16" i="56"/>
  <c r="M24" i="56"/>
  <c r="M15" i="59"/>
  <c r="O38" i="57"/>
  <c r="H16" i="59"/>
  <c r="H22" i="59"/>
  <c r="H28" i="59"/>
  <c r="H44" i="59"/>
  <c r="H31" i="59"/>
  <c r="H27" i="59"/>
  <c r="H49" i="59"/>
  <c r="H17" i="59"/>
  <c r="H18" i="59"/>
  <c r="H15" i="59"/>
  <c r="H34" i="59"/>
  <c r="H48" i="59"/>
  <c r="H39" i="59"/>
  <c r="H23" i="59"/>
  <c r="H46" i="59"/>
  <c r="H30" i="59"/>
  <c r="H32" i="59"/>
  <c r="H52" i="59"/>
  <c r="H19" i="59"/>
  <c r="H37" i="59"/>
  <c r="L19" i="59"/>
  <c r="L32" i="59"/>
  <c r="B40" i="58"/>
  <c r="B36" i="58"/>
  <c r="B32" i="58"/>
  <c r="B55" i="58"/>
  <c r="B51" i="58"/>
  <c r="B47" i="58"/>
  <c r="B12" i="58"/>
  <c r="B16" i="58"/>
  <c r="B20" i="58"/>
  <c r="B24" i="58"/>
  <c r="B29" i="58"/>
  <c r="B42" i="58"/>
  <c r="B38" i="58"/>
  <c r="B34" i="58"/>
  <c r="B30" i="58"/>
  <c r="B53" i="58"/>
  <c r="B49" i="58"/>
  <c r="B45" i="58"/>
  <c r="B14" i="58"/>
  <c r="B18" i="58"/>
  <c r="B22" i="58"/>
  <c r="B27" i="58"/>
  <c r="B41" i="58"/>
  <c r="B37" i="58"/>
  <c r="B33" i="58"/>
  <c r="B56" i="58"/>
  <c r="B52" i="58"/>
  <c r="B48" i="58"/>
  <c r="B44" i="58"/>
  <c r="B15" i="58"/>
  <c r="B19" i="58"/>
  <c r="B23" i="58"/>
  <c r="B28" i="58"/>
  <c r="B25" i="58"/>
  <c r="B43" i="58"/>
  <c r="B54" i="58"/>
  <c r="B17" i="58"/>
  <c r="B31" i="58"/>
  <c r="B13" i="58"/>
  <c r="B21" i="58"/>
  <c r="B39" i="58"/>
  <c r="B42" i="56"/>
  <c r="B27" i="56"/>
  <c r="B23" i="56"/>
  <c r="B12" i="56"/>
  <c r="B29" i="56"/>
  <c r="B24" i="56"/>
  <c r="B20" i="56"/>
  <c r="B16" i="56"/>
  <c r="B13" i="56"/>
  <c r="B26" i="56"/>
  <c r="B19" i="56"/>
  <c r="B25" i="56"/>
  <c r="B53" i="56"/>
  <c r="B49" i="56"/>
  <c r="B45" i="56"/>
  <c r="B30" i="56"/>
  <c r="B34" i="56"/>
  <c r="B38" i="56"/>
  <c r="B17" i="56"/>
  <c r="B55" i="56"/>
  <c r="B51" i="56"/>
  <c r="B47" i="56"/>
  <c r="B10" i="56"/>
  <c r="B32" i="56"/>
  <c r="B36" i="56"/>
  <c r="B41" i="56"/>
  <c r="B28" i="56"/>
  <c r="B21" i="56"/>
  <c r="B15" i="56"/>
  <c r="B22" i="56"/>
  <c r="B54" i="56"/>
  <c r="B50" i="56"/>
  <c r="B46" i="56"/>
  <c r="B11" i="56"/>
  <c r="B33" i="56"/>
  <c r="B37" i="56"/>
  <c r="B43" i="56"/>
  <c r="I4" i="4"/>
  <c r="G2" i="53"/>
  <c r="I5" i="4"/>
  <c r="G2" i="54"/>
  <c r="I2" i="4"/>
  <c r="G2" i="1"/>
  <c r="I8" i="4"/>
  <c r="G2" i="57"/>
  <c r="I7" i="4"/>
  <c r="G2" i="56"/>
  <c r="I11" i="4"/>
  <c r="G2" i="60"/>
  <c r="I12" i="4"/>
  <c r="G2" i="61"/>
  <c r="H47" i="61"/>
  <c r="K7" i="50"/>
  <c r="K8" i="50"/>
  <c r="M18" i="60"/>
  <c r="M39" i="60"/>
  <c r="M23" i="60"/>
  <c r="M49" i="60"/>
  <c r="M25" i="60"/>
  <c r="B27" i="61"/>
  <c r="B23" i="61"/>
  <c r="B56" i="61"/>
  <c r="B48" i="61"/>
  <c r="B40" i="61"/>
  <c r="B49" i="61"/>
  <c r="B41" i="61"/>
  <c r="B36" i="61"/>
  <c r="B32" i="61"/>
  <c r="B18" i="61"/>
  <c r="B22" i="61"/>
  <c r="B28" i="61"/>
  <c r="B24" i="61"/>
  <c r="B50" i="61"/>
  <c r="B42" i="61"/>
  <c r="B51" i="61"/>
  <c r="B43" i="61"/>
  <c r="B37" i="61"/>
  <c r="B33" i="61"/>
  <c r="B17" i="61"/>
  <c r="B21" i="61"/>
  <c r="B25" i="61"/>
  <c r="B52" i="61"/>
  <c r="B53" i="61"/>
  <c r="B38" i="61"/>
  <c r="B16" i="61"/>
  <c r="B31" i="61"/>
  <c r="B30" i="61"/>
  <c r="B44" i="61"/>
  <c r="B45" i="61"/>
  <c r="B34" i="61"/>
  <c r="B20" i="61"/>
  <c r="B26" i="61"/>
  <c r="B54" i="61"/>
  <c r="B55" i="61"/>
  <c r="B39" i="61"/>
  <c r="B15" i="61"/>
  <c r="B29" i="61"/>
  <c r="N10" i="50"/>
  <c r="M11" i="1"/>
  <c r="O11" i="52"/>
  <c r="S11" i="52" s="1"/>
  <c r="M23" i="1"/>
  <c r="M35" i="1"/>
  <c r="O35" i="52"/>
  <c r="M51" i="1"/>
  <c r="O51" i="52" s="1"/>
  <c r="M63" i="1"/>
  <c r="M7" i="1"/>
  <c r="M19" i="1"/>
  <c r="M31" i="1"/>
  <c r="M47" i="1"/>
  <c r="M59" i="1"/>
  <c r="O59" i="52"/>
  <c r="S59" i="52" s="1"/>
  <c r="M8" i="1"/>
  <c r="M43" i="1"/>
  <c r="M15" i="1"/>
  <c r="M14" i="57"/>
  <c r="O14" i="57" s="1"/>
  <c r="M22" i="57"/>
  <c r="M35" i="57"/>
  <c r="O35" i="58" s="1"/>
  <c r="M32" i="59"/>
  <c r="M25" i="59"/>
  <c r="O25" i="60" s="1"/>
  <c r="M19" i="59"/>
  <c r="M16" i="59"/>
  <c r="M12" i="59"/>
  <c r="M36" i="59"/>
  <c r="M38" i="59"/>
  <c r="M27" i="59"/>
  <c r="M17" i="59"/>
  <c r="B33" i="1"/>
  <c r="B29" i="1"/>
  <c r="B36" i="1"/>
  <c r="B53" i="1"/>
  <c r="B37" i="1"/>
  <c r="B7" i="1"/>
  <c r="B43" i="1"/>
  <c r="B19" i="1"/>
  <c r="B16" i="1"/>
  <c r="B32" i="1"/>
  <c r="B22" i="1"/>
  <c r="B25" i="1"/>
  <c r="B48" i="1"/>
  <c r="B46" i="1"/>
  <c r="B42" i="1"/>
  <c r="B40" i="1"/>
  <c r="B21" i="1"/>
  <c r="B5" i="1"/>
  <c r="B41" i="1"/>
  <c r="B15" i="1"/>
  <c r="B47" i="1"/>
  <c r="B27" i="1"/>
  <c r="B12" i="1"/>
  <c r="B28" i="1"/>
  <c r="B18" i="1"/>
  <c r="B34" i="1"/>
  <c r="M67" i="1"/>
  <c r="M39" i="1"/>
  <c r="M21" i="56"/>
  <c r="M15" i="57"/>
  <c r="M23" i="57"/>
  <c r="M18" i="59"/>
  <c r="M31" i="59"/>
  <c r="M16" i="52"/>
  <c r="O16" i="53" s="1"/>
  <c r="S16" i="53" s="1"/>
  <c r="M17" i="52"/>
  <c r="M24" i="52"/>
  <c r="M19" i="56"/>
  <c r="M15" i="56"/>
  <c r="O15" i="56" s="1"/>
  <c r="M27" i="56"/>
  <c r="M9" i="56"/>
  <c r="M31" i="57"/>
  <c r="M25" i="57"/>
  <c r="M21" i="57"/>
  <c r="M17" i="57"/>
  <c r="M36" i="57"/>
  <c r="M34" i="57"/>
  <c r="M26" i="57"/>
  <c r="M13" i="57"/>
  <c r="O49" i="56"/>
  <c r="O41" i="55"/>
  <c r="O66" i="54"/>
  <c r="S66" i="54"/>
  <c r="O69" i="54"/>
  <c r="S69" i="54"/>
  <c r="H47" i="60"/>
  <c r="C9" i="55"/>
  <c r="O64" i="54"/>
  <c r="S64" i="54" s="1"/>
  <c r="H19" i="52"/>
  <c r="C40" i="52"/>
  <c r="D40" i="52"/>
  <c r="E40" i="52"/>
  <c r="F40" i="52"/>
  <c r="L46" i="58"/>
  <c r="C19" i="52"/>
  <c r="D19" i="52"/>
  <c r="E19" i="52"/>
  <c r="F19" i="52"/>
  <c r="J19" i="52"/>
  <c r="C24" i="55"/>
  <c r="D24" i="55"/>
  <c r="E24" i="55"/>
  <c r="F24" i="55"/>
  <c r="G24" i="55"/>
  <c r="H7" i="52"/>
  <c r="L42" i="52"/>
  <c r="C39" i="52"/>
  <c r="D39" i="52"/>
  <c r="E39" i="52"/>
  <c r="F39" i="52"/>
  <c r="C50" i="52"/>
  <c r="D50" i="52"/>
  <c r="E50" i="52"/>
  <c r="F50" i="52"/>
  <c r="J50" i="52"/>
  <c r="H24" i="52"/>
  <c r="H38" i="52"/>
  <c r="H21" i="52"/>
  <c r="H27" i="52"/>
  <c r="H8" i="52"/>
  <c r="C45" i="52"/>
  <c r="D45" i="52"/>
  <c r="E45" i="52"/>
  <c r="F45" i="52"/>
  <c r="C12" i="52"/>
  <c r="D12" i="52"/>
  <c r="O41" i="54"/>
  <c r="O9" i="53"/>
  <c r="L18" i="53"/>
  <c r="L45" i="52"/>
  <c r="N45" i="52"/>
  <c r="H20" i="52"/>
  <c r="C52" i="52"/>
  <c r="D52" i="52"/>
  <c r="E52" i="52"/>
  <c r="F52" i="52"/>
  <c r="H29" i="52"/>
  <c r="C13" i="52"/>
  <c r="D13" i="52"/>
  <c r="E13" i="52"/>
  <c r="F13" i="52"/>
  <c r="J13" i="52"/>
  <c r="L56" i="52"/>
  <c r="N56" i="52"/>
  <c r="H31" i="52"/>
  <c r="H48" i="52"/>
  <c r="C30" i="52"/>
  <c r="D30" i="52"/>
  <c r="H54" i="52"/>
  <c r="C42" i="52"/>
  <c r="D42" i="52"/>
  <c r="E42" i="52"/>
  <c r="F42" i="52"/>
  <c r="H28" i="52"/>
  <c r="L10" i="52"/>
  <c r="N10" i="52"/>
  <c r="L30" i="52"/>
  <c r="H46" i="52"/>
  <c r="H36" i="52"/>
  <c r="H53" i="52"/>
  <c r="H34" i="52"/>
  <c r="C27" i="52"/>
  <c r="D27" i="52"/>
  <c r="E27" i="52"/>
  <c r="F27" i="52"/>
  <c r="J27" i="52"/>
  <c r="C44" i="60"/>
  <c r="D44" i="60"/>
  <c r="G41" i="52"/>
  <c r="I41" i="52"/>
  <c r="H18" i="52"/>
  <c r="H55" i="52"/>
  <c r="L19" i="52"/>
  <c r="H52" i="52"/>
  <c r="C6" i="52"/>
  <c r="C44" i="52"/>
  <c r="D44" i="52"/>
  <c r="E44" i="52"/>
  <c r="F44" i="52"/>
  <c r="C56" i="52"/>
  <c r="D56" i="52"/>
  <c r="E56" i="52"/>
  <c r="F56" i="52"/>
  <c r="J56" i="52"/>
  <c r="P56" i="52"/>
  <c r="C46" i="52"/>
  <c r="D46" i="52"/>
  <c r="E46" i="52"/>
  <c r="H30" i="52"/>
  <c r="C49" i="52"/>
  <c r="D49" i="52"/>
  <c r="O39" i="55"/>
  <c r="H45" i="52"/>
  <c r="C35" i="52"/>
  <c r="D35" i="52"/>
  <c r="H35" i="52"/>
  <c r="L11" i="52"/>
  <c r="N11" i="52"/>
  <c r="C26" i="52"/>
  <c r="D26" i="52"/>
  <c r="C8" i="52"/>
  <c r="D8" i="52"/>
  <c r="E8" i="52"/>
  <c r="C25" i="52"/>
  <c r="D25" i="52"/>
  <c r="E25" i="52"/>
  <c r="F25" i="52"/>
  <c r="C29" i="52"/>
  <c r="D29" i="52"/>
  <c r="C17" i="52"/>
  <c r="D17" i="52"/>
  <c r="C48" i="52"/>
  <c r="D48" i="52"/>
  <c r="E48" i="52"/>
  <c r="F48" i="52"/>
  <c r="G48" i="52"/>
  <c r="I48" i="52"/>
  <c r="C36" i="52"/>
  <c r="D36" i="52"/>
  <c r="E36" i="52"/>
  <c r="F36" i="52"/>
  <c r="G36" i="52"/>
  <c r="I36" i="52"/>
  <c r="L20" i="55"/>
  <c r="C10" i="52"/>
  <c r="D10" i="52"/>
  <c r="C20" i="52"/>
  <c r="D20" i="52"/>
  <c r="E20" i="52"/>
  <c r="F20" i="52"/>
  <c r="C37" i="52"/>
  <c r="D37" i="52"/>
  <c r="E37" i="52"/>
  <c r="F37" i="52"/>
  <c r="J37" i="52"/>
  <c r="C53" i="52"/>
  <c r="D53" i="52"/>
  <c r="E53" i="52"/>
  <c r="F53" i="52"/>
  <c r="J53" i="52"/>
  <c r="C15" i="52"/>
  <c r="D15" i="52"/>
  <c r="E15" i="52"/>
  <c r="F15" i="52"/>
  <c r="J15" i="52"/>
  <c r="C38" i="52"/>
  <c r="D38" i="52"/>
  <c r="E38" i="52"/>
  <c r="F38" i="52"/>
  <c r="J38" i="52"/>
  <c r="O49" i="55"/>
  <c r="E28" i="52"/>
  <c r="F28" i="52"/>
  <c r="L49" i="59"/>
  <c r="H43" i="59"/>
  <c r="H38" i="59"/>
  <c r="H53" i="59"/>
  <c r="H29" i="59"/>
  <c r="H33" i="59"/>
  <c r="H47" i="59"/>
  <c r="H24" i="59"/>
  <c r="L13" i="55"/>
  <c r="L36" i="55"/>
  <c r="O20" i="52"/>
  <c r="H13" i="52"/>
  <c r="H44" i="52"/>
  <c r="H32" i="52"/>
  <c r="H11" i="52"/>
  <c r="L35" i="52"/>
  <c r="H39" i="52"/>
  <c r="J39" i="52"/>
  <c r="H47" i="52"/>
  <c r="L25" i="52"/>
  <c r="P25" i="52"/>
  <c r="H22" i="52"/>
  <c r="H12" i="52"/>
  <c r="C9" i="52"/>
  <c r="D9" i="52"/>
  <c r="C32" i="52"/>
  <c r="D32" i="52"/>
  <c r="E32" i="52"/>
  <c r="F32" i="52"/>
  <c r="C47" i="52"/>
  <c r="D47" i="52"/>
  <c r="C23" i="52"/>
  <c r="D23" i="52"/>
  <c r="C31" i="52"/>
  <c r="D31" i="52"/>
  <c r="E31" i="52"/>
  <c r="F31" i="52"/>
  <c r="C54" i="52"/>
  <c r="D54" i="52"/>
  <c r="E54" i="52"/>
  <c r="F54" i="52"/>
  <c r="C16" i="52"/>
  <c r="D16" i="52"/>
  <c r="H25" i="52"/>
  <c r="O49" i="54"/>
  <c r="S49" i="54" s="1"/>
  <c r="O39" i="56"/>
  <c r="O43" i="54"/>
  <c r="C11" i="52"/>
  <c r="D11" i="52"/>
  <c r="H42" i="52"/>
  <c r="H33" i="52"/>
  <c r="H10" i="52"/>
  <c r="C7" i="52"/>
  <c r="D7" i="52"/>
  <c r="C22" i="52"/>
  <c r="D22" i="52"/>
  <c r="O59" i="54"/>
  <c r="S59" i="54" s="1"/>
  <c r="O30" i="54"/>
  <c r="O67" i="54"/>
  <c r="S67" i="54" s="1"/>
  <c r="H14" i="52"/>
  <c r="C35" i="58"/>
  <c r="D35" i="58"/>
  <c r="E35" i="58"/>
  <c r="F35" i="58"/>
  <c r="L50" i="58"/>
  <c r="O21" i="55"/>
  <c r="O60" i="54"/>
  <c r="S60" i="54" s="1"/>
  <c r="J45" i="52"/>
  <c r="P45" i="52"/>
  <c r="C33" i="52"/>
  <c r="D33" i="52"/>
  <c r="C14" i="52"/>
  <c r="D14" i="52"/>
  <c r="H49" i="52"/>
  <c r="C24" i="52"/>
  <c r="D24" i="52"/>
  <c r="O62" i="52"/>
  <c r="S62" i="52" s="1"/>
  <c r="O23" i="59"/>
  <c r="G37" i="52"/>
  <c r="I37" i="52"/>
  <c r="C13" i="55"/>
  <c r="D13" i="55"/>
  <c r="L32" i="55"/>
  <c r="C17" i="55"/>
  <c r="D17" i="55"/>
  <c r="E17" i="55"/>
  <c r="F17" i="55"/>
  <c r="H32" i="55"/>
  <c r="L41" i="55"/>
  <c r="C28" i="55"/>
  <c r="D28" i="55"/>
  <c r="E28" i="55"/>
  <c r="F28" i="55"/>
  <c r="C10" i="55"/>
  <c r="D10" i="55"/>
  <c r="E10" i="55"/>
  <c r="F10" i="55"/>
  <c r="H19" i="61"/>
  <c r="C12" i="55"/>
  <c r="D12" i="55"/>
  <c r="E12" i="55"/>
  <c r="F12" i="55"/>
  <c r="C20" i="55"/>
  <c r="D20" i="55"/>
  <c r="C49" i="55"/>
  <c r="D49" i="55"/>
  <c r="E49" i="55"/>
  <c r="F49" i="55"/>
  <c r="L53" i="55"/>
  <c r="C45" i="55"/>
  <c r="D45" i="55"/>
  <c r="E45" i="55"/>
  <c r="F45" i="55"/>
  <c r="C41" i="55"/>
  <c r="D41" i="55"/>
  <c r="O8" i="52"/>
  <c r="C55" i="60"/>
  <c r="D55" i="60"/>
  <c r="E55" i="60"/>
  <c r="F55" i="60"/>
  <c r="C26" i="55"/>
  <c r="D26" i="55"/>
  <c r="E26" i="55"/>
  <c r="F26" i="55"/>
  <c r="G26" i="55"/>
  <c r="C36" i="55"/>
  <c r="D36" i="55"/>
  <c r="E36" i="55"/>
  <c r="F36" i="55"/>
  <c r="L45" i="55"/>
  <c r="C32" i="55"/>
  <c r="D32" i="55"/>
  <c r="E32" i="55"/>
  <c r="F32" i="55"/>
  <c r="C53" i="55"/>
  <c r="D53" i="55"/>
  <c r="L28" i="55"/>
  <c r="F8" i="52"/>
  <c r="J8" i="52"/>
  <c r="F46" i="52"/>
  <c r="J46" i="52"/>
  <c r="L49" i="55"/>
  <c r="C35" i="55"/>
  <c r="D35" i="55"/>
  <c r="L35" i="55"/>
  <c r="C29" i="55"/>
  <c r="D29" i="55"/>
  <c r="E29" i="55"/>
  <c r="F29" i="55"/>
  <c r="L29" i="55"/>
  <c r="C11" i="55"/>
  <c r="D11" i="55"/>
  <c r="L11" i="55"/>
  <c r="O25" i="54"/>
  <c r="O50" i="54"/>
  <c r="O19" i="52"/>
  <c r="C43" i="60"/>
  <c r="D43" i="60"/>
  <c r="E43" i="60"/>
  <c r="F43" i="60"/>
  <c r="C39" i="55"/>
  <c r="D39" i="55"/>
  <c r="E39" i="55"/>
  <c r="F39" i="55"/>
  <c r="L39" i="55"/>
  <c r="C27" i="55"/>
  <c r="D27" i="55"/>
  <c r="L27" i="55"/>
  <c r="L56" i="55"/>
  <c r="C56" i="55"/>
  <c r="D56" i="55"/>
  <c r="C25" i="55"/>
  <c r="D25" i="55"/>
  <c r="L25" i="55"/>
  <c r="C21" i="55"/>
  <c r="D21" i="55"/>
  <c r="L21" i="55"/>
  <c r="L54" i="55"/>
  <c r="C54" i="55"/>
  <c r="D54" i="55"/>
  <c r="L26" i="55"/>
  <c r="C22" i="55"/>
  <c r="D22" i="55"/>
  <c r="L22" i="55"/>
  <c r="C55" i="55"/>
  <c r="D55" i="55"/>
  <c r="L55" i="55"/>
  <c r="O19" i="54"/>
  <c r="H50" i="59"/>
  <c r="H21" i="59"/>
  <c r="H56" i="59"/>
  <c r="H51" i="59"/>
  <c r="L36" i="59"/>
  <c r="H20" i="59"/>
  <c r="H36" i="59"/>
  <c r="L50" i="59"/>
  <c r="H41" i="59"/>
  <c r="H26" i="59"/>
  <c r="H13" i="59"/>
  <c r="H13" i="60"/>
  <c r="L35" i="59"/>
  <c r="H55" i="59"/>
  <c r="H54" i="59"/>
  <c r="H14" i="59"/>
  <c r="H42" i="59"/>
  <c r="H25" i="59"/>
  <c r="H40" i="59"/>
  <c r="H45" i="59"/>
  <c r="L40" i="59"/>
  <c r="L23" i="59"/>
  <c r="L53" i="59"/>
  <c r="L46" i="59"/>
  <c r="L27" i="59"/>
  <c r="L20" i="59"/>
  <c r="L21" i="59"/>
  <c r="L31" i="59"/>
  <c r="L37" i="59"/>
  <c r="L22" i="59"/>
  <c r="L25" i="59"/>
  <c r="L38" i="59"/>
  <c r="L15" i="59"/>
  <c r="L56" i="59"/>
  <c r="L28" i="59"/>
  <c r="L44" i="59"/>
  <c r="L26" i="59"/>
  <c r="L39" i="59"/>
  <c r="L29" i="59"/>
  <c r="L24" i="59"/>
  <c r="L45" i="59"/>
  <c r="L13" i="59"/>
  <c r="L51" i="59"/>
  <c r="L55" i="59"/>
  <c r="L43" i="59"/>
  <c r="C20" i="59"/>
  <c r="D20" i="59"/>
  <c r="L33" i="59"/>
  <c r="L18" i="59"/>
  <c r="L48" i="59"/>
  <c r="L41" i="59"/>
  <c r="H35" i="59"/>
  <c r="L17" i="59"/>
  <c r="L14" i="59"/>
  <c r="L52" i="59"/>
  <c r="L42" i="59"/>
  <c r="L47" i="59"/>
  <c r="L30" i="59"/>
  <c r="G21" i="52"/>
  <c r="I21" i="52"/>
  <c r="J21" i="52"/>
  <c r="C9" i="56"/>
  <c r="D9" i="56"/>
  <c r="D9" i="55"/>
  <c r="E9" i="55"/>
  <c r="F9" i="55"/>
  <c r="O14" i="52"/>
  <c r="O27" i="54"/>
  <c r="C44" i="55"/>
  <c r="D44" i="55"/>
  <c r="L44" i="55"/>
  <c r="N44" i="56"/>
  <c r="H10" i="55"/>
  <c r="L10" i="55"/>
  <c r="C42" i="55"/>
  <c r="D42" i="55"/>
  <c r="L42" i="55"/>
  <c r="C43" i="55"/>
  <c r="D43" i="55"/>
  <c r="E43" i="55"/>
  <c r="L43" i="55"/>
  <c r="O23" i="54"/>
  <c r="O43" i="52"/>
  <c r="S43" i="52" s="1"/>
  <c r="C23" i="55"/>
  <c r="D23" i="55"/>
  <c r="L23" i="55"/>
  <c r="C52" i="55"/>
  <c r="D52" i="55"/>
  <c r="L52" i="55"/>
  <c r="C40" i="55"/>
  <c r="D40" i="55"/>
  <c r="L40" i="55"/>
  <c r="L14" i="55"/>
  <c r="C14" i="55"/>
  <c r="D14" i="55"/>
  <c r="C33" i="55"/>
  <c r="D33" i="55"/>
  <c r="E33" i="55"/>
  <c r="L33" i="55"/>
  <c r="L46" i="55"/>
  <c r="C46" i="55"/>
  <c r="D46" i="55"/>
  <c r="L15" i="55"/>
  <c r="C15" i="55"/>
  <c r="D15" i="55"/>
  <c r="C34" i="55"/>
  <c r="D34" i="55"/>
  <c r="L34" i="55"/>
  <c r="C47" i="55"/>
  <c r="D47" i="55"/>
  <c r="L47" i="55"/>
  <c r="O13" i="54"/>
  <c r="O65" i="54"/>
  <c r="S65" i="54" s="1"/>
  <c r="O57" i="54"/>
  <c r="S57" i="54" s="1"/>
  <c r="O57" i="53"/>
  <c r="S57" i="53" s="1"/>
  <c r="G39" i="52"/>
  <c r="O13" i="52"/>
  <c r="L12" i="55"/>
  <c r="C30" i="55"/>
  <c r="D30" i="55"/>
  <c r="L30" i="55"/>
  <c r="E18" i="52"/>
  <c r="F18" i="52"/>
  <c r="J18" i="52"/>
  <c r="E34" i="52"/>
  <c r="F34" i="52"/>
  <c r="O40" i="53"/>
  <c r="L31" i="55"/>
  <c r="C31" i="55"/>
  <c r="D31" i="55"/>
  <c r="C16" i="55"/>
  <c r="D16" i="55"/>
  <c r="L16" i="55"/>
  <c r="N16" i="56"/>
  <c r="L48" i="55"/>
  <c r="C48" i="55"/>
  <c r="D48" i="55"/>
  <c r="L18" i="55"/>
  <c r="N18" i="55"/>
  <c r="C37" i="55"/>
  <c r="D37" i="55"/>
  <c r="L37" i="55"/>
  <c r="L50" i="55"/>
  <c r="C50" i="55"/>
  <c r="D50" i="55"/>
  <c r="E50" i="55"/>
  <c r="F50" i="55"/>
  <c r="L19" i="55"/>
  <c r="C38" i="55"/>
  <c r="D38" i="55"/>
  <c r="L38" i="55"/>
  <c r="C51" i="55"/>
  <c r="D51" i="55"/>
  <c r="L51" i="55"/>
  <c r="O63" i="54"/>
  <c r="S63" i="54"/>
  <c r="C26" i="58"/>
  <c r="D26" i="58"/>
  <c r="C50" i="58"/>
  <c r="D50" i="58"/>
  <c r="L35" i="58"/>
  <c r="L26" i="58"/>
  <c r="N26" i="59"/>
  <c r="G55" i="52"/>
  <c r="J55" i="52"/>
  <c r="L15" i="1"/>
  <c r="H15" i="1"/>
  <c r="L25" i="1"/>
  <c r="H25" i="1"/>
  <c r="L53" i="1"/>
  <c r="H53" i="1"/>
  <c r="H26" i="61"/>
  <c r="C26" i="61"/>
  <c r="D26" i="61"/>
  <c r="C53" i="61"/>
  <c r="D53" i="61"/>
  <c r="H53" i="61"/>
  <c r="H28" i="61"/>
  <c r="C28" i="61"/>
  <c r="D28" i="61"/>
  <c r="C56" i="61"/>
  <c r="D56" i="61"/>
  <c r="H56" i="61"/>
  <c r="O49" i="60"/>
  <c r="H35" i="57"/>
  <c r="L24" i="57"/>
  <c r="L27" i="57"/>
  <c r="C43" i="57"/>
  <c r="D43" i="57"/>
  <c r="H13" i="57"/>
  <c r="H14" i="57"/>
  <c r="H22" i="57"/>
  <c r="H18" i="57"/>
  <c r="H55" i="57"/>
  <c r="H46" i="57"/>
  <c r="H39" i="57"/>
  <c r="H12" i="57"/>
  <c r="C50" i="57"/>
  <c r="H34" i="57"/>
  <c r="L19" i="57"/>
  <c r="H28" i="57"/>
  <c r="H23" i="57"/>
  <c r="H29" i="57"/>
  <c r="C45" i="57"/>
  <c r="D45" i="57"/>
  <c r="C33" i="57"/>
  <c r="D33" i="57"/>
  <c r="C25" i="57"/>
  <c r="D25" i="57"/>
  <c r="L34" i="57"/>
  <c r="C14" i="57"/>
  <c r="D14" i="57"/>
  <c r="C18" i="57"/>
  <c r="C22" i="57"/>
  <c r="D22" i="57"/>
  <c r="L18" i="57"/>
  <c r="H20" i="57"/>
  <c r="C48" i="57"/>
  <c r="C24" i="57"/>
  <c r="D24" i="57"/>
  <c r="L33" i="57"/>
  <c r="H21" i="57"/>
  <c r="L56" i="57"/>
  <c r="L36" i="57"/>
  <c r="C41" i="57"/>
  <c r="H16" i="57"/>
  <c r="L52" i="57"/>
  <c r="C23" i="57"/>
  <c r="D23" i="57"/>
  <c r="H52" i="57"/>
  <c r="C27" i="57"/>
  <c r="H15" i="57"/>
  <c r="C31" i="57"/>
  <c r="H19" i="57"/>
  <c r="H51" i="57"/>
  <c r="C42" i="57"/>
  <c r="H49" i="57"/>
  <c r="H37" i="57"/>
  <c r="C49" i="57"/>
  <c r="C37" i="57"/>
  <c r="C29" i="57"/>
  <c r="L46" i="57"/>
  <c r="C12" i="57"/>
  <c r="C16" i="57"/>
  <c r="C20" i="57"/>
  <c r="H32" i="57"/>
  <c r="H44" i="57"/>
  <c r="C13" i="57"/>
  <c r="H36" i="57"/>
  <c r="C36" i="57"/>
  <c r="L45" i="57"/>
  <c r="L22" i="57"/>
  <c r="C39" i="57"/>
  <c r="L35" i="57"/>
  <c r="C35" i="57"/>
  <c r="L32" i="57"/>
  <c r="C54" i="57"/>
  <c r="H47" i="57"/>
  <c r="C34" i="57"/>
  <c r="H53" i="57"/>
  <c r="C28" i="57"/>
  <c r="H25" i="57"/>
  <c r="C44" i="57"/>
  <c r="D44" i="57"/>
  <c r="H48" i="57"/>
  <c r="H45" i="57"/>
  <c r="H31" i="57"/>
  <c r="C46" i="57"/>
  <c r="D46" i="57"/>
  <c r="H27" i="57"/>
  <c r="H26" i="57"/>
  <c r="C26" i="57"/>
  <c r="C52" i="57"/>
  <c r="D52" i="57"/>
  <c r="H42" i="57"/>
  <c r="L53" i="57"/>
  <c r="C11" i="57"/>
  <c r="L16" i="57"/>
  <c r="C19" i="57"/>
  <c r="H43" i="57"/>
  <c r="C21" i="57"/>
  <c r="D21" i="57"/>
  <c r="L31" i="57"/>
  <c r="H54" i="57"/>
  <c r="H11" i="57"/>
  <c r="H11" i="58"/>
  <c r="L43" i="57"/>
  <c r="C40" i="57"/>
  <c r="D40" i="57"/>
  <c r="H33" i="57"/>
  <c r="C56" i="57"/>
  <c r="L12" i="57"/>
  <c r="H50" i="57"/>
  <c r="C15" i="57"/>
  <c r="L21" i="57"/>
  <c r="H40" i="57"/>
  <c r="H38" i="57"/>
  <c r="C32" i="57"/>
  <c r="H41" i="57"/>
  <c r="H24" i="57"/>
  <c r="H56" i="57"/>
  <c r="C30" i="57"/>
  <c r="D30" i="57"/>
  <c r="L48" i="57"/>
  <c r="L40" i="57"/>
  <c r="L25" i="57"/>
  <c r="L26" i="57"/>
  <c r="L47" i="57"/>
  <c r="L17" i="57"/>
  <c r="L11" i="57"/>
  <c r="L20" i="57"/>
  <c r="L14" i="57"/>
  <c r="L37" i="57"/>
  <c r="L41" i="57"/>
  <c r="L51" i="57"/>
  <c r="L38" i="57"/>
  <c r="L55" i="57"/>
  <c r="L30" i="57"/>
  <c r="L54" i="57"/>
  <c r="L50" i="57"/>
  <c r="L44" i="57"/>
  <c r="L28" i="57"/>
  <c r="C53" i="57"/>
  <c r="D53" i="57"/>
  <c r="L13" i="57"/>
  <c r="L39" i="57"/>
  <c r="L29" i="57"/>
  <c r="L23" i="57"/>
  <c r="C55" i="57"/>
  <c r="L42" i="57"/>
  <c r="L15" i="57"/>
  <c r="L49" i="57"/>
  <c r="C17" i="57"/>
  <c r="D17" i="57"/>
  <c r="C51" i="57"/>
  <c r="D51" i="57"/>
  <c r="L15" i="56"/>
  <c r="H15" i="56"/>
  <c r="C15" i="56"/>
  <c r="D15" i="56"/>
  <c r="L53" i="56"/>
  <c r="H53" i="56"/>
  <c r="L42" i="56"/>
  <c r="H42" i="56"/>
  <c r="C17" i="58"/>
  <c r="D17" i="58"/>
  <c r="L17" i="58"/>
  <c r="C15" i="58"/>
  <c r="D15" i="58"/>
  <c r="L15" i="58"/>
  <c r="C14" i="58"/>
  <c r="D14" i="58"/>
  <c r="L14" i="58"/>
  <c r="N14" i="59"/>
  <c r="C12" i="58"/>
  <c r="L12" i="58"/>
  <c r="C38" i="57"/>
  <c r="D38" i="57"/>
  <c r="O36" i="57"/>
  <c r="O31" i="57"/>
  <c r="L12" i="1"/>
  <c r="H12" i="1"/>
  <c r="L41" i="1"/>
  <c r="H41" i="1"/>
  <c r="H42" i="1"/>
  <c r="L42" i="1"/>
  <c r="H22" i="1"/>
  <c r="L22" i="1"/>
  <c r="H43" i="1"/>
  <c r="L43" i="1"/>
  <c r="H36" i="1"/>
  <c r="L36" i="1"/>
  <c r="H39" i="61"/>
  <c r="C39" i="61"/>
  <c r="D39" i="61"/>
  <c r="C34" i="61"/>
  <c r="D34" i="61"/>
  <c r="H34" i="61"/>
  <c r="H31" i="61"/>
  <c r="C31" i="61"/>
  <c r="D31" i="61"/>
  <c r="H52" i="61"/>
  <c r="C52" i="61"/>
  <c r="D52" i="61"/>
  <c r="C33" i="61"/>
  <c r="D33" i="61"/>
  <c r="H33" i="61"/>
  <c r="C42" i="61"/>
  <c r="D42" i="61"/>
  <c r="H42" i="61"/>
  <c r="H18" i="61"/>
  <c r="C18" i="61"/>
  <c r="D18" i="61"/>
  <c r="H49" i="61"/>
  <c r="C49" i="61"/>
  <c r="D49" i="61"/>
  <c r="C23" i="61"/>
  <c r="D23" i="61"/>
  <c r="H23" i="61"/>
  <c r="H35" i="61"/>
  <c r="H46" i="61"/>
  <c r="L46" i="61"/>
  <c r="C46" i="61"/>
  <c r="D46" i="61"/>
  <c r="C19" i="61"/>
  <c r="D19" i="61"/>
  <c r="H24" i="1"/>
  <c r="H45" i="1"/>
  <c r="L39" i="1"/>
  <c r="H11" i="1"/>
  <c r="L52" i="1"/>
  <c r="L11" i="1"/>
  <c r="H23" i="1"/>
  <c r="L55" i="1"/>
  <c r="H44" i="1"/>
  <c r="L49" i="1"/>
  <c r="L6" i="1"/>
  <c r="C31" i="1"/>
  <c r="D31" i="1"/>
  <c r="H6" i="1"/>
  <c r="L44" i="1"/>
  <c r="L38" i="1"/>
  <c r="H50" i="1"/>
  <c r="H55" i="1"/>
  <c r="L13" i="1"/>
  <c r="C23" i="1"/>
  <c r="D23" i="1"/>
  <c r="L8" i="1"/>
  <c r="H35" i="1"/>
  <c r="L20" i="1"/>
  <c r="L14" i="1"/>
  <c r="H30" i="1"/>
  <c r="L26" i="1"/>
  <c r="H56" i="1"/>
  <c r="H39" i="1"/>
  <c r="H54" i="1"/>
  <c r="C54" i="1"/>
  <c r="D54" i="1"/>
  <c r="E54" i="1"/>
  <c r="H49" i="1"/>
  <c r="H14" i="1"/>
  <c r="C51" i="1"/>
  <c r="D51" i="1"/>
  <c r="E51" i="1"/>
  <c r="L9" i="1"/>
  <c r="L30" i="1"/>
  <c r="L23" i="1"/>
  <c r="H31" i="1"/>
  <c r="L45" i="1"/>
  <c r="L35" i="1"/>
  <c r="L10" i="1"/>
  <c r="L24" i="1"/>
  <c r="H17" i="1"/>
  <c r="C11" i="1"/>
  <c r="D11" i="1"/>
  <c r="H20" i="1"/>
  <c r="H10" i="1"/>
  <c r="L56" i="1"/>
  <c r="C50" i="1"/>
  <c r="D50" i="1"/>
  <c r="L54" i="1"/>
  <c r="L51" i="1"/>
  <c r="H52" i="1"/>
  <c r="L17" i="1"/>
  <c r="H51" i="1"/>
  <c r="H13" i="1"/>
  <c r="L31" i="1"/>
  <c r="L50" i="1"/>
  <c r="H38" i="1"/>
  <c r="H8" i="1"/>
  <c r="H9" i="1"/>
  <c r="H26" i="1"/>
  <c r="H37" i="56"/>
  <c r="L37" i="56"/>
  <c r="N37" i="57"/>
  <c r="L50" i="56"/>
  <c r="H50" i="56"/>
  <c r="C50" i="56"/>
  <c r="D50" i="56"/>
  <c r="L21" i="56"/>
  <c r="N21" i="56"/>
  <c r="H21" i="56"/>
  <c r="L32" i="56"/>
  <c r="H32" i="56"/>
  <c r="H55" i="56"/>
  <c r="L55" i="56"/>
  <c r="L30" i="56"/>
  <c r="H30" i="56"/>
  <c r="C30" i="56"/>
  <c r="D30" i="56"/>
  <c r="L25" i="56"/>
  <c r="H25" i="56"/>
  <c r="C16" i="56"/>
  <c r="D16" i="56"/>
  <c r="H16" i="56"/>
  <c r="L16" i="56"/>
  <c r="H12" i="56"/>
  <c r="L12" i="56"/>
  <c r="C54" i="58"/>
  <c r="D54" i="58"/>
  <c r="L54" i="58"/>
  <c r="H54" i="58"/>
  <c r="C28" i="58"/>
  <c r="D28" i="58"/>
  <c r="L28" i="58"/>
  <c r="C44" i="58"/>
  <c r="D44" i="58"/>
  <c r="L44" i="58"/>
  <c r="C33" i="58"/>
  <c r="D33" i="58"/>
  <c r="L33" i="58"/>
  <c r="N33" i="58"/>
  <c r="C27" i="58"/>
  <c r="D27" i="58"/>
  <c r="L27" i="58"/>
  <c r="C45" i="58"/>
  <c r="D45" i="58"/>
  <c r="L45" i="58"/>
  <c r="L34" i="58"/>
  <c r="C34" i="58"/>
  <c r="D34" i="58"/>
  <c r="C24" i="58"/>
  <c r="D24" i="58"/>
  <c r="L24" i="58"/>
  <c r="C47" i="58"/>
  <c r="D47" i="58"/>
  <c r="L47" i="58"/>
  <c r="L36" i="58"/>
  <c r="C36" i="58"/>
  <c r="D36" i="58"/>
  <c r="H43" i="60"/>
  <c r="J43" i="60"/>
  <c r="H30" i="57"/>
  <c r="C47" i="61"/>
  <c r="D47" i="61"/>
  <c r="O15" i="57"/>
  <c r="S15" i="57" s="1"/>
  <c r="O18" i="60"/>
  <c r="H20" i="61"/>
  <c r="C20" i="61"/>
  <c r="D20" i="61"/>
  <c r="L20" i="61"/>
  <c r="H17" i="61"/>
  <c r="C17" i="61"/>
  <c r="D17" i="61"/>
  <c r="L17" i="61"/>
  <c r="L22" i="61"/>
  <c r="C22" i="61"/>
  <c r="D22" i="61"/>
  <c r="H22" i="61"/>
  <c r="H46" i="56"/>
  <c r="L46" i="56"/>
  <c r="N46" i="57"/>
  <c r="H51" i="56"/>
  <c r="L51" i="56"/>
  <c r="C51" i="56"/>
  <c r="D51" i="56"/>
  <c r="E51" i="56"/>
  <c r="L13" i="56"/>
  <c r="H13" i="56"/>
  <c r="H21" i="58"/>
  <c r="C21" i="58"/>
  <c r="D21" i="58"/>
  <c r="L21" i="58"/>
  <c r="N21" i="58"/>
  <c r="C29" i="58"/>
  <c r="D29" i="58"/>
  <c r="L29" i="58"/>
  <c r="H27" i="1"/>
  <c r="L27" i="1"/>
  <c r="H46" i="1"/>
  <c r="L46" i="1"/>
  <c r="L7" i="1"/>
  <c r="H7" i="1"/>
  <c r="C45" i="61"/>
  <c r="D45" i="61"/>
  <c r="H45" i="61"/>
  <c r="L45" i="61"/>
  <c r="H16" i="61"/>
  <c r="C16" i="61"/>
  <c r="D16" i="61"/>
  <c r="L16" i="61"/>
  <c r="P16" i="61"/>
  <c r="C25" i="61"/>
  <c r="D25" i="61"/>
  <c r="H25" i="61"/>
  <c r="L25" i="61"/>
  <c r="N25" i="61"/>
  <c r="C37" i="61"/>
  <c r="D37" i="61"/>
  <c r="H37" i="61"/>
  <c r="L37" i="61"/>
  <c r="L50" i="61"/>
  <c r="H50" i="61"/>
  <c r="C50" i="61"/>
  <c r="D50" i="61"/>
  <c r="C32" i="61"/>
  <c r="D32" i="61"/>
  <c r="H32" i="61"/>
  <c r="L32" i="61"/>
  <c r="P32" i="61"/>
  <c r="C40" i="61"/>
  <c r="D40" i="61"/>
  <c r="H40" i="61"/>
  <c r="L40" i="61"/>
  <c r="C27" i="61"/>
  <c r="D27" i="61"/>
  <c r="H27" i="61"/>
  <c r="L27" i="61"/>
  <c r="C26" i="60"/>
  <c r="D26" i="60"/>
  <c r="C50" i="60"/>
  <c r="D50" i="60"/>
  <c r="H18" i="60"/>
  <c r="L24" i="60"/>
  <c r="H51" i="60"/>
  <c r="C48" i="60"/>
  <c r="D48" i="60"/>
  <c r="L45" i="60"/>
  <c r="H56" i="60"/>
  <c r="H37" i="60"/>
  <c r="C32" i="60"/>
  <c r="D32" i="60"/>
  <c r="L48" i="60"/>
  <c r="C30" i="60"/>
  <c r="D30" i="60"/>
  <c r="C51" i="60"/>
  <c r="D51" i="60"/>
  <c r="C19" i="60"/>
  <c r="D19" i="60"/>
  <c r="L42" i="60"/>
  <c r="H14" i="60"/>
  <c r="H14" i="61"/>
  <c r="C53" i="60"/>
  <c r="D53" i="60"/>
  <c r="C41" i="60"/>
  <c r="D41" i="60"/>
  <c r="H54" i="60"/>
  <c r="H46" i="60"/>
  <c r="H34" i="60"/>
  <c r="C40" i="60"/>
  <c r="D40" i="60"/>
  <c r="C54" i="60"/>
  <c r="D54" i="60"/>
  <c r="L56" i="60"/>
  <c r="H27" i="60"/>
  <c r="H20" i="60"/>
  <c r="C20" i="60"/>
  <c r="D20" i="60"/>
  <c r="H22" i="60"/>
  <c r="C34" i="60"/>
  <c r="D34" i="60"/>
  <c r="C31" i="60"/>
  <c r="D31" i="60"/>
  <c r="H40" i="60"/>
  <c r="H28" i="60"/>
  <c r="C45" i="60"/>
  <c r="D45" i="60"/>
  <c r="C38" i="60"/>
  <c r="D38" i="60"/>
  <c r="L22" i="60"/>
  <c r="H50" i="60"/>
  <c r="C56" i="60"/>
  <c r="D56" i="60"/>
  <c r="H31" i="60"/>
  <c r="C28" i="60"/>
  <c r="D28" i="60"/>
  <c r="C18" i="60"/>
  <c r="D18" i="60"/>
  <c r="C29" i="60"/>
  <c r="D29" i="60"/>
  <c r="E29" i="60"/>
  <c r="C36" i="60"/>
  <c r="D36" i="60"/>
  <c r="C23" i="60"/>
  <c r="D23" i="60"/>
  <c r="H45" i="60"/>
  <c r="C46" i="60"/>
  <c r="D46" i="60"/>
  <c r="C15" i="60"/>
  <c r="D15" i="60"/>
  <c r="H53" i="60"/>
  <c r="H25" i="60"/>
  <c r="C47" i="60"/>
  <c r="D47" i="60"/>
  <c r="E47" i="60"/>
  <c r="H42" i="60"/>
  <c r="C37" i="60"/>
  <c r="D37" i="60"/>
  <c r="C42" i="60"/>
  <c r="D42" i="60"/>
  <c r="C17" i="60"/>
  <c r="D17" i="60"/>
  <c r="H30" i="60"/>
  <c r="H26" i="60"/>
  <c r="H49" i="60"/>
  <c r="H48" i="60"/>
  <c r="H39" i="60"/>
  <c r="H52" i="60"/>
  <c r="H33" i="60"/>
  <c r="H24" i="60"/>
  <c r="H15" i="60"/>
  <c r="H41" i="60"/>
  <c r="H29" i="60"/>
  <c r="C25" i="60"/>
  <c r="D25" i="60"/>
  <c r="C33" i="60"/>
  <c r="D33" i="60"/>
  <c r="C24" i="60"/>
  <c r="D24" i="60"/>
  <c r="C49" i="60"/>
  <c r="D49" i="60"/>
  <c r="H21" i="60"/>
  <c r="C21" i="60"/>
  <c r="D21" i="60"/>
  <c r="H32" i="60"/>
  <c r="C39" i="60"/>
  <c r="D39" i="60"/>
  <c r="H16" i="60"/>
  <c r="C22" i="60"/>
  <c r="D22" i="60"/>
  <c r="H23" i="60"/>
  <c r="H17" i="60"/>
  <c r="H35" i="60"/>
  <c r="H36" i="60"/>
  <c r="H55" i="60"/>
  <c r="H38" i="60"/>
  <c r="C16" i="60"/>
  <c r="D16" i="60"/>
  <c r="E16" i="60"/>
  <c r="L39" i="60"/>
  <c r="N39" i="60"/>
  <c r="L49" i="60"/>
  <c r="L55" i="60"/>
  <c r="L16" i="60"/>
  <c r="L25" i="60"/>
  <c r="L43" i="60"/>
  <c r="L50" i="60"/>
  <c r="L33" i="60"/>
  <c r="N33" i="60"/>
  <c r="L54" i="60"/>
  <c r="C14" i="60"/>
  <c r="L31" i="60"/>
  <c r="N31" i="60"/>
  <c r="L37" i="60"/>
  <c r="N37" i="60"/>
  <c r="L20" i="60"/>
  <c r="L19" i="60"/>
  <c r="L41" i="60"/>
  <c r="L35" i="60"/>
  <c r="N35" i="60"/>
  <c r="L26" i="60"/>
  <c r="L46" i="60"/>
  <c r="L40" i="60"/>
  <c r="L28" i="60"/>
  <c r="N28" i="60"/>
  <c r="L17" i="60"/>
  <c r="L29" i="60"/>
  <c r="L38" i="60"/>
  <c r="N38" i="60"/>
  <c r="L27" i="60"/>
  <c r="N27" i="60"/>
  <c r="L21" i="60"/>
  <c r="L44" i="60"/>
  <c r="N44" i="60"/>
  <c r="L14" i="60"/>
  <c r="L51" i="60"/>
  <c r="N51" i="60"/>
  <c r="L52" i="60"/>
  <c r="L32" i="60"/>
  <c r="L30" i="60"/>
  <c r="L18" i="60"/>
  <c r="H19" i="60"/>
  <c r="L47" i="60"/>
  <c r="L36" i="60"/>
  <c r="L15" i="60"/>
  <c r="N15" i="61"/>
  <c r="L53" i="60"/>
  <c r="L23" i="60"/>
  <c r="L34" i="60"/>
  <c r="C8" i="54"/>
  <c r="D8" i="54"/>
  <c r="C18" i="54"/>
  <c r="D18" i="54"/>
  <c r="C20" i="54"/>
  <c r="D20" i="54"/>
  <c r="C11" i="54"/>
  <c r="D11" i="54"/>
  <c r="E11" i="54"/>
  <c r="L14" i="54"/>
  <c r="C19" i="54"/>
  <c r="D19" i="54"/>
  <c r="C21" i="54"/>
  <c r="D21" i="54"/>
  <c r="C16" i="54"/>
  <c r="D16" i="54"/>
  <c r="E16" i="54"/>
  <c r="L22" i="54"/>
  <c r="L53" i="54"/>
  <c r="P53" i="54"/>
  <c r="C13" i="54"/>
  <c r="D13" i="54"/>
  <c r="C51" i="54"/>
  <c r="D51" i="54"/>
  <c r="E51" i="54"/>
  <c r="L30" i="54"/>
  <c r="L21" i="54"/>
  <c r="N21" i="55"/>
  <c r="H41" i="54"/>
  <c r="H16" i="54"/>
  <c r="L15" i="54"/>
  <c r="H14" i="54"/>
  <c r="L25" i="54"/>
  <c r="H44" i="54"/>
  <c r="H23" i="54"/>
  <c r="L49" i="54"/>
  <c r="N49" i="55"/>
  <c r="L32" i="54"/>
  <c r="H43" i="54"/>
  <c r="C53" i="54"/>
  <c r="D53" i="54"/>
  <c r="C38" i="54"/>
  <c r="D38" i="54"/>
  <c r="C44" i="54"/>
  <c r="D44" i="54"/>
  <c r="L27" i="54"/>
  <c r="L8" i="54"/>
  <c r="C29" i="54"/>
  <c r="D29" i="54"/>
  <c r="H46" i="54"/>
  <c r="H40" i="54"/>
  <c r="H13" i="54"/>
  <c r="H47" i="54"/>
  <c r="C15" i="54"/>
  <c r="D15" i="54"/>
  <c r="L18" i="54"/>
  <c r="C17" i="54"/>
  <c r="D17" i="54"/>
  <c r="E17" i="54"/>
  <c r="L55" i="54"/>
  <c r="C12" i="54"/>
  <c r="D12" i="54"/>
  <c r="H34" i="54"/>
  <c r="H28" i="54"/>
  <c r="L26" i="54"/>
  <c r="L13" i="54"/>
  <c r="H49" i="54"/>
  <c r="H31" i="54"/>
  <c r="H8" i="54"/>
  <c r="H8" i="55"/>
  <c r="H37" i="54"/>
  <c r="L48" i="54"/>
  <c r="L29" i="54"/>
  <c r="N29" i="54"/>
  <c r="H52" i="54"/>
  <c r="H30" i="54"/>
  <c r="H15" i="54"/>
  <c r="L23" i="54"/>
  <c r="N23" i="54"/>
  <c r="H22" i="54"/>
  <c r="C45" i="54"/>
  <c r="D45" i="54"/>
  <c r="C52" i="54"/>
  <c r="D52" i="54"/>
  <c r="L52" i="54"/>
  <c r="L16" i="54"/>
  <c r="H54" i="54"/>
  <c r="H36" i="54"/>
  <c r="H21" i="54"/>
  <c r="L41" i="54"/>
  <c r="L36" i="54"/>
  <c r="P36" i="54"/>
  <c r="H18" i="54"/>
  <c r="C28" i="54"/>
  <c r="D28" i="54"/>
  <c r="C10" i="54"/>
  <c r="D10" i="54"/>
  <c r="L43" i="54"/>
  <c r="L33" i="54"/>
  <c r="C22" i="54"/>
  <c r="D22" i="54"/>
  <c r="E22" i="54"/>
  <c r="C40" i="54"/>
  <c r="D40" i="54"/>
  <c r="C50" i="54"/>
  <c r="D50" i="54"/>
  <c r="L38" i="54"/>
  <c r="H45" i="54"/>
  <c r="C30" i="54"/>
  <c r="D30" i="54"/>
  <c r="L24" i="54"/>
  <c r="C36" i="54"/>
  <c r="D36" i="54"/>
  <c r="L40" i="54"/>
  <c r="H48" i="54"/>
  <c r="H11" i="54"/>
  <c r="L28" i="54"/>
  <c r="N28" i="54"/>
  <c r="H39" i="54"/>
  <c r="L31" i="54"/>
  <c r="H50" i="54"/>
  <c r="H17" i="54"/>
  <c r="C54" i="54"/>
  <c r="D54" i="54"/>
  <c r="H10" i="54"/>
  <c r="L39" i="54"/>
  <c r="C34" i="54"/>
  <c r="D34" i="54"/>
  <c r="C24" i="54"/>
  <c r="D24" i="54"/>
  <c r="L10" i="54"/>
  <c r="N10" i="55"/>
  <c r="C37" i="54"/>
  <c r="D37" i="54"/>
  <c r="L50" i="54"/>
  <c r="L17" i="54"/>
  <c r="H20" i="54"/>
  <c r="C35" i="54"/>
  <c r="D35" i="54"/>
  <c r="H26" i="54"/>
  <c r="C48" i="54"/>
  <c r="D48" i="54"/>
  <c r="C31" i="54"/>
  <c r="D31" i="54"/>
  <c r="H27" i="54"/>
  <c r="C39" i="54"/>
  <c r="D39" i="54"/>
  <c r="H55" i="54"/>
  <c r="L44" i="54"/>
  <c r="L20" i="54"/>
  <c r="N20" i="54"/>
  <c r="H32" i="54"/>
  <c r="C27" i="54"/>
  <c r="D27" i="54"/>
  <c r="L19" i="54"/>
  <c r="N19" i="55"/>
  <c r="C14" i="54"/>
  <c r="D14" i="54"/>
  <c r="C26" i="54"/>
  <c r="D26" i="54"/>
  <c r="C23" i="54"/>
  <c r="D23" i="54"/>
  <c r="C33" i="54"/>
  <c r="D33" i="54"/>
  <c r="H53" i="54"/>
  <c r="L54" i="54"/>
  <c r="L56" i="54"/>
  <c r="H19" i="54"/>
  <c r="H33" i="54"/>
  <c r="L35" i="54"/>
  <c r="N35" i="55"/>
  <c r="H25" i="54"/>
  <c r="H29" i="54"/>
  <c r="C43" i="54"/>
  <c r="D43" i="54"/>
  <c r="L42" i="54"/>
  <c r="H12" i="54"/>
  <c r="C49" i="54"/>
  <c r="D49" i="54"/>
  <c r="H56" i="54"/>
  <c r="C46" i="54"/>
  <c r="D46" i="54"/>
  <c r="C47" i="54"/>
  <c r="D47" i="54"/>
  <c r="C41" i="54"/>
  <c r="D41" i="54"/>
  <c r="L34" i="54"/>
  <c r="N34" i="55"/>
  <c r="L51" i="54"/>
  <c r="C25" i="54"/>
  <c r="D25" i="54"/>
  <c r="L9" i="54"/>
  <c r="N9" i="55"/>
  <c r="C55" i="54"/>
  <c r="D55" i="54"/>
  <c r="C56" i="54"/>
  <c r="D56" i="54"/>
  <c r="H38" i="54"/>
  <c r="L11" i="54"/>
  <c r="P11" i="54"/>
  <c r="H42" i="54"/>
  <c r="L46" i="54"/>
  <c r="H35" i="54"/>
  <c r="L45" i="54"/>
  <c r="N45" i="55"/>
  <c r="C9" i="54"/>
  <c r="D9" i="54"/>
  <c r="L37" i="54"/>
  <c r="H9" i="54"/>
  <c r="C42" i="54"/>
  <c r="D42" i="54"/>
  <c r="C32" i="54"/>
  <c r="D32" i="54"/>
  <c r="H51" i="54"/>
  <c r="L12" i="54"/>
  <c r="L47" i="54"/>
  <c r="N47" i="54"/>
  <c r="H33" i="56"/>
  <c r="L33" i="56"/>
  <c r="L54" i="56"/>
  <c r="H54" i="56"/>
  <c r="H28" i="56"/>
  <c r="L28" i="56"/>
  <c r="H10" i="56"/>
  <c r="H10" i="57"/>
  <c r="L10" i="56"/>
  <c r="N10" i="56"/>
  <c r="H17" i="56"/>
  <c r="L17" i="56"/>
  <c r="H45" i="56"/>
  <c r="C45" i="56"/>
  <c r="D45" i="56"/>
  <c r="L45" i="56"/>
  <c r="N45" i="56"/>
  <c r="H19" i="56"/>
  <c r="L19" i="56"/>
  <c r="H20" i="56"/>
  <c r="L20" i="56"/>
  <c r="N20" i="56"/>
  <c r="H23" i="56"/>
  <c r="L23" i="56"/>
  <c r="H13" i="58"/>
  <c r="L13" i="58"/>
  <c r="C13" i="58"/>
  <c r="D13" i="58"/>
  <c r="L43" i="58"/>
  <c r="C43" i="58"/>
  <c r="D43" i="58"/>
  <c r="C23" i="58"/>
  <c r="D23" i="58"/>
  <c r="H23" i="58"/>
  <c r="L23" i="58"/>
  <c r="C48" i="58"/>
  <c r="D48" i="58"/>
  <c r="L48" i="58"/>
  <c r="L37" i="58"/>
  <c r="C37" i="58"/>
  <c r="D37" i="58"/>
  <c r="H22" i="58"/>
  <c r="C22" i="58"/>
  <c r="D22" i="58"/>
  <c r="L22" i="58"/>
  <c r="N22" i="59"/>
  <c r="H49" i="58"/>
  <c r="C49" i="58"/>
  <c r="D49" i="58"/>
  <c r="L49" i="58"/>
  <c r="C38" i="58"/>
  <c r="D38" i="58"/>
  <c r="L38" i="58"/>
  <c r="N38" i="59"/>
  <c r="C20" i="58"/>
  <c r="D20" i="58"/>
  <c r="H20" i="58"/>
  <c r="L20" i="58"/>
  <c r="N20" i="58"/>
  <c r="C51" i="58"/>
  <c r="D51" i="58"/>
  <c r="E51" i="58"/>
  <c r="L51" i="58"/>
  <c r="C40" i="58"/>
  <c r="D40" i="58"/>
  <c r="L40" i="58"/>
  <c r="O39" i="60"/>
  <c r="C35" i="60"/>
  <c r="D35" i="60"/>
  <c r="C52" i="60"/>
  <c r="D52" i="60"/>
  <c r="O22" i="57"/>
  <c r="H17" i="57"/>
  <c r="E46" i="58"/>
  <c r="F46" i="58"/>
  <c r="H28" i="1"/>
  <c r="L28" i="1"/>
  <c r="H40" i="1"/>
  <c r="C40" i="1"/>
  <c r="D40" i="1"/>
  <c r="L40" i="1"/>
  <c r="L19" i="1"/>
  <c r="H19" i="1"/>
  <c r="H15" i="61"/>
  <c r="C15" i="61"/>
  <c r="D15" i="61"/>
  <c r="L15" i="61"/>
  <c r="C30" i="61"/>
  <c r="D30" i="61"/>
  <c r="H30" i="61"/>
  <c r="L30" i="61"/>
  <c r="N30" i="61"/>
  <c r="H51" i="61"/>
  <c r="C51" i="61"/>
  <c r="D51" i="61"/>
  <c r="L51" i="61"/>
  <c r="H41" i="61"/>
  <c r="C41" i="61"/>
  <c r="D41" i="61"/>
  <c r="L41" i="61"/>
  <c r="P41" i="61"/>
  <c r="L43" i="56"/>
  <c r="H43" i="56"/>
  <c r="L36" i="56"/>
  <c r="C36" i="56"/>
  <c r="D36" i="56"/>
  <c r="H36" i="56"/>
  <c r="H34" i="56"/>
  <c r="L34" i="56"/>
  <c r="L29" i="56"/>
  <c r="H29" i="56"/>
  <c r="C56" i="58"/>
  <c r="D56" i="58"/>
  <c r="L56" i="58"/>
  <c r="C30" i="58"/>
  <c r="D30" i="58"/>
  <c r="L30" i="58"/>
  <c r="C32" i="58"/>
  <c r="D32" i="58"/>
  <c r="L32" i="58"/>
  <c r="N32" i="59"/>
  <c r="E18" i="55"/>
  <c r="F18" i="55"/>
  <c r="O13" i="58"/>
  <c r="O13" i="57"/>
  <c r="L34" i="1"/>
  <c r="C34" i="1"/>
  <c r="D34" i="1"/>
  <c r="H34" i="1"/>
  <c r="H5" i="1"/>
  <c r="H5" i="52"/>
  <c r="L5" i="1"/>
  <c r="L5" i="52"/>
  <c r="N5" i="52"/>
  <c r="H32" i="1"/>
  <c r="L32" i="1"/>
  <c r="L29" i="1"/>
  <c r="C29" i="1"/>
  <c r="D29" i="1"/>
  <c r="E29" i="1"/>
  <c r="H29" i="1"/>
  <c r="L55" i="61"/>
  <c r="C55" i="61"/>
  <c r="D55" i="61"/>
  <c r="H55" i="61"/>
  <c r="O26" i="57"/>
  <c r="O17" i="53"/>
  <c r="O21" i="57"/>
  <c r="S21" i="57" s="1"/>
  <c r="L18" i="1"/>
  <c r="H18" i="1"/>
  <c r="H47" i="1"/>
  <c r="L47" i="1"/>
  <c r="H21" i="1"/>
  <c r="L21" i="1"/>
  <c r="C48" i="1"/>
  <c r="D48" i="1"/>
  <c r="L48" i="1"/>
  <c r="H48" i="1"/>
  <c r="H16" i="1"/>
  <c r="L16" i="1"/>
  <c r="H37" i="1"/>
  <c r="L37" i="1"/>
  <c r="H33" i="1"/>
  <c r="L33" i="1"/>
  <c r="H29" i="61"/>
  <c r="C29" i="61"/>
  <c r="D29" i="61"/>
  <c r="L29" i="61"/>
  <c r="C54" i="61"/>
  <c r="D54" i="61"/>
  <c r="H54" i="61"/>
  <c r="L54" i="61"/>
  <c r="H44" i="61"/>
  <c r="C44" i="61"/>
  <c r="D44" i="61"/>
  <c r="L44" i="61"/>
  <c r="N44" i="61"/>
  <c r="C38" i="61"/>
  <c r="D38" i="61"/>
  <c r="E38" i="61"/>
  <c r="H38" i="61"/>
  <c r="L38" i="61"/>
  <c r="P38" i="61"/>
  <c r="C21" i="61"/>
  <c r="D21" i="61"/>
  <c r="E21" i="61"/>
  <c r="H21" i="61"/>
  <c r="L21" i="61"/>
  <c r="N21" i="61"/>
  <c r="H43" i="61"/>
  <c r="C43" i="61"/>
  <c r="D43" i="61"/>
  <c r="E43" i="61"/>
  <c r="L43" i="61"/>
  <c r="H24" i="61"/>
  <c r="C24" i="61"/>
  <c r="D24" i="61"/>
  <c r="L24" i="61"/>
  <c r="C36" i="61"/>
  <c r="D36" i="61"/>
  <c r="H36" i="61"/>
  <c r="L36" i="61"/>
  <c r="L48" i="61"/>
  <c r="C48" i="61"/>
  <c r="D48" i="61"/>
  <c r="H48" i="61"/>
  <c r="H35" i="56"/>
  <c r="L52" i="56"/>
  <c r="H31" i="56"/>
  <c r="C14" i="56"/>
  <c r="D14" i="56"/>
  <c r="L14" i="56"/>
  <c r="N14" i="57"/>
  <c r="H40" i="56"/>
  <c r="L31" i="56"/>
  <c r="H56" i="56"/>
  <c r="H44" i="56"/>
  <c r="L48" i="56"/>
  <c r="L35" i="56"/>
  <c r="N35" i="57"/>
  <c r="L56" i="56"/>
  <c r="L18" i="56"/>
  <c r="N18" i="56"/>
  <c r="H48" i="56"/>
  <c r="C52" i="56"/>
  <c r="D52" i="56"/>
  <c r="L44" i="56"/>
  <c r="L39" i="56"/>
  <c r="H14" i="56"/>
  <c r="L40" i="56"/>
  <c r="H52" i="56"/>
  <c r="H18" i="56"/>
  <c r="C31" i="56"/>
  <c r="D31" i="56"/>
  <c r="H39" i="56"/>
  <c r="C40" i="53"/>
  <c r="D40" i="53"/>
  <c r="C54" i="53"/>
  <c r="D54" i="53"/>
  <c r="L40" i="53"/>
  <c r="C22" i="53"/>
  <c r="D22" i="53"/>
  <c r="E22" i="53"/>
  <c r="H52" i="53"/>
  <c r="H48" i="53"/>
  <c r="H51" i="53"/>
  <c r="C32" i="53"/>
  <c r="D32" i="53"/>
  <c r="L26" i="53"/>
  <c r="H38" i="53"/>
  <c r="C30" i="53"/>
  <c r="D30" i="53"/>
  <c r="L22" i="53"/>
  <c r="H31" i="53"/>
  <c r="L39" i="53"/>
  <c r="H26" i="53"/>
  <c r="H13" i="53"/>
  <c r="H37" i="53"/>
  <c r="L8" i="53"/>
  <c r="N8" i="54"/>
  <c r="L45" i="53"/>
  <c r="H28" i="53"/>
  <c r="C35" i="53"/>
  <c r="D35" i="53"/>
  <c r="L36" i="53"/>
  <c r="H56" i="53"/>
  <c r="H17" i="53"/>
  <c r="C11" i="53"/>
  <c r="D11" i="53"/>
  <c r="C13" i="53"/>
  <c r="D13" i="53"/>
  <c r="L33" i="53"/>
  <c r="L17" i="53"/>
  <c r="H49" i="53"/>
  <c r="L10" i="53"/>
  <c r="H24" i="53"/>
  <c r="C43" i="53"/>
  <c r="D43" i="53"/>
  <c r="E43" i="53"/>
  <c r="C23" i="53"/>
  <c r="D23" i="53"/>
  <c r="L12" i="53"/>
  <c r="L35" i="53"/>
  <c r="L48" i="53"/>
  <c r="N48" i="54"/>
  <c r="L31" i="53"/>
  <c r="H39" i="53"/>
  <c r="H54" i="53"/>
  <c r="L38" i="53"/>
  <c r="N38" i="54"/>
  <c r="L49" i="53"/>
  <c r="H42" i="53"/>
  <c r="C24" i="53"/>
  <c r="D24" i="53"/>
  <c r="L34" i="53"/>
  <c r="C52" i="53"/>
  <c r="D52" i="53"/>
  <c r="C46" i="53"/>
  <c r="D46" i="53"/>
  <c r="L55" i="53"/>
  <c r="C36" i="53"/>
  <c r="D36" i="53"/>
  <c r="H40" i="53"/>
  <c r="H27" i="53"/>
  <c r="L53" i="53"/>
  <c r="H8" i="53"/>
  <c r="H35" i="53"/>
  <c r="C47" i="53"/>
  <c r="D47" i="53"/>
  <c r="C27" i="53"/>
  <c r="D27" i="53"/>
  <c r="L43" i="53"/>
  <c r="H25" i="53"/>
  <c r="C9" i="53"/>
  <c r="D9" i="53"/>
  <c r="E9" i="53"/>
  <c r="L41" i="53"/>
  <c r="N41" i="54"/>
  <c r="L37" i="53"/>
  <c r="L25" i="53"/>
  <c r="H14" i="53"/>
  <c r="H20" i="53"/>
  <c r="L24" i="53"/>
  <c r="H15" i="53"/>
  <c r="L11" i="53"/>
  <c r="N11" i="53"/>
  <c r="C56" i="53"/>
  <c r="D56" i="53"/>
  <c r="C31" i="53"/>
  <c r="D31" i="53"/>
  <c r="L56" i="53"/>
  <c r="L44" i="53"/>
  <c r="C55" i="53"/>
  <c r="D55" i="53"/>
  <c r="L30" i="53"/>
  <c r="C38" i="53"/>
  <c r="D38" i="53"/>
  <c r="H36" i="53"/>
  <c r="L50" i="53"/>
  <c r="C16" i="53"/>
  <c r="D16" i="53"/>
  <c r="L47" i="53"/>
  <c r="L19" i="53"/>
  <c r="H34" i="53"/>
  <c r="C28" i="53"/>
  <c r="D28" i="53"/>
  <c r="L52" i="53"/>
  <c r="C49" i="53"/>
  <c r="D49" i="53"/>
  <c r="C33" i="53"/>
  <c r="D33" i="53"/>
  <c r="C21" i="53"/>
  <c r="D21" i="53"/>
  <c r="H45" i="53"/>
  <c r="H21" i="53"/>
  <c r="L9" i="53"/>
  <c r="L21" i="53"/>
  <c r="H9" i="53"/>
  <c r="C19" i="53"/>
  <c r="D19" i="53"/>
  <c r="C10" i="53"/>
  <c r="D10" i="53"/>
  <c r="E10" i="53"/>
  <c r="H53" i="53"/>
  <c r="C50" i="53"/>
  <c r="D50" i="53"/>
  <c r="H46" i="53"/>
  <c r="C18" i="53"/>
  <c r="D18" i="53"/>
  <c r="H18" i="53"/>
  <c r="C26" i="53"/>
  <c r="D26" i="53"/>
  <c r="H43" i="53"/>
  <c r="H10" i="53"/>
  <c r="C41" i="53"/>
  <c r="D41" i="53"/>
  <c r="C29" i="53"/>
  <c r="D29" i="53"/>
  <c r="L14" i="53"/>
  <c r="H55" i="53"/>
  <c r="C39" i="53"/>
  <c r="D39" i="53"/>
  <c r="L16" i="53"/>
  <c r="C15" i="53"/>
  <c r="D15" i="53"/>
  <c r="L28" i="53"/>
  <c r="C44" i="53"/>
  <c r="D44" i="53"/>
  <c r="L51" i="53"/>
  <c r="H32" i="53"/>
  <c r="H44" i="53"/>
  <c r="L42" i="53"/>
  <c r="C53" i="53"/>
  <c r="D53" i="53"/>
  <c r="C25" i="53"/>
  <c r="D25" i="53"/>
  <c r="H41" i="53"/>
  <c r="C8" i="53"/>
  <c r="D8" i="53"/>
  <c r="C20" i="53"/>
  <c r="D20" i="53"/>
  <c r="L54" i="53"/>
  <c r="H23" i="53"/>
  <c r="L46" i="53"/>
  <c r="P46" i="53"/>
  <c r="H12" i="53"/>
  <c r="C37" i="53"/>
  <c r="D37" i="53"/>
  <c r="H11" i="53"/>
  <c r="H29" i="53"/>
  <c r="L29" i="53"/>
  <c r="C12" i="53"/>
  <c r="D12" i="53"/>
  <c r="L15" i="53"/>
  <c r="H50" i="53"/>
  <c r="C34" i="53"/>
  <c r="D34" i="53"/>
  <c r="H30" i="53"/>
  <c r="C48" i="53"/>
  <c r="D48" i="53"/>
  <c r="E48" i="53"/>
  <c r="H33" i="53"/>
  <c r="C14" i="53"/>
  <c r="D14" i="53"/>
  <c r="H16" i="53"/>
  <c r="C7" i="53"/>
  <c r="L13" i="53"/>
  <c r="L32" i="53"/>
  <c r="H7" i="53"/>
  <c r="H7" i="54"/>
  <c r="L23" i="53"/>
  <c r="H47" i="53"/>
  <c r="C42" i="53"/>
  <c r="D42" i="53"/>
  <c r="L20" i="53"/>
  <c r="C45" i="53"/>
  <c r="D45" i="53"/>
  <c r="C51" i="53"/>
  <c r="D51" i="53"/>
  <c r="E51" i="53"/>
  <c r="C17" i="53"/>
  <c r="D17" i="53"/>
  <c r="L7" i="53"/>
  <c r="H22" i="53"/>
  <c r="L27" i="53"/>
  <c r="H19" i="53"/>
  <c r="L11" i="56"/>
  <c r="N11" i="56"/>
  <c r="H11" i="56"/>
  <c r="L22" i="56"/>
  <c r="N22" i="56"/>
  <c r="H22" i="56"/>
  <c r="C41" i="56"/>
  <c r="D41" i="56"/>
  <c r="L41" i="56"/>
  <c r="H41" i="56"/>
  <c r="H47" i="56"/>
  <c r="L47" i="56"/>
  <c r="L38" i="56"/>
  <c r="H38" i="56"/>
  <c r="H49" i="56"/>
  <c r="L49" i="56"/>
  <c r="L26" i="56"/>
  <c r="H26" i="56"/>
  <c r="C26" i="56"/>
  <c r="D26" i="56"/>
  <c r="E26" i="56"/>
  <c r="H24" i="56"/>
  <c r="L24" i="56"/>
  <c r="H27" i="56"/>
  <c r="L27" i="56"/>
  <c r="C39" i="58"/>
  <c r="D39" i="58"/>
  <c r="L39" i="58"/>
  <c r="N39" i="58"/>
  <c r="C31" i="58"/>
  <c r="D31" i="58"/>
  <c r="H31" i="58"/>
  <c r="L31" i="58"/>
  <c r="H25" i="58"/>
  <c r="C25" i="58"/>
  <c r="D25" i="58"/>
  <c r="L25" i="58"/>
  <c r="C19" i="58"/>
  <c r="D19" i="58"/>
  <c r="E19" i="58"/>
  <c r="L19" i="58"/>
  <c r="N19" i="59"/>
  <c r="C52" i="58"/>
  <c r="D52" i="58"/>
  <c r="L52" i="58"/>
  <c r="C41" i="58"/>
  <c r="D41" i="58"/>
  <c r="L41" i="58"/>
  <c r="N41" i="58"/>
  <c r="L18" i="58"/>
  <c r="C18" i="58"/>
  <c r="D18" i="58"/>
  <c r="C53" i="58"/>
  <c r="D53" i="58"/>
  <c r="E53" i="58"/>
  <c r="L53" i="58"/>
  <c r="N53" i="58"/>
  <c r="C42" i="58"/>
  <c r="D42" i="58"/>
  <c r="E42" i="58"/>
  <c r="L42" i="58"/>
  <c r="N42" i="58"/>
  <c r="C16" i="58"/>
  <c r="D16" i="58"/>
  <c r="L16" i="58"/>
  <c r="N16" i="58"/>
  <c r="C55" i="58"/>
  <c r="D55" i="58"/>
  <c r="L55" i="58"/>
  <c r="N55" i="58"/>
  <c r="C35" i="61"/>
  <c r="D35" i="61"/>
  <c r="H24" i="54"/>
  <c r="C27" i="60"/>
  <c r="D27" i="60"/>
  <c r="H44" i="60"/>
  <c r="E19" i="55"/>
  <c r="F19" i="55"/>
  <c r="C47" i="57"/>
  <c r="J25" i="52"/>
  <c r="J28" i="52"/>
  <c r="J52" i="52"/>
  <c r="G45" i="52"/>
  <c r="I45" i="52"/>
  <c r="J54" i="52"/>
  <c r="J31" i="52"/>
  <c r="J42" i="52"/>
  <c r="J10" i="55"/>
  <c r="P10" i="55"/>
  <c r="N50" i="58"/>
  <c r="J34" i="52"/>
  <c r="I39" i="52"/>
  <c r="G27" i="52"/>
  <c r="I27" i="52"/>
  <c r="N30" i="52"/>
  <c r="N50" i="59"/>
  <c r="G56" i="52"/>
  <c r="I56" i="52"/>
  <c r="J36" i="52"/>
  <c r="E30" i="52"/>
  <c r="F30" i="52"/>
  <c r="J30" i="52"/>
  <c r="P30" i="52"/>
  <c r="N35" i="52"/>
  <c r="J32" i="55"/>
  <c r="P32" i="55"/>
  <c r="G31" i="52"/>
  <c r="I31" i="52"/>
  <c r="G28" i="52"/>
  <c r="I28" i="52"/>
  <c r="E10" i="52"/>
  <c r="F10" i="52"/>
  <c r="J10" i="52"/>
  <c r="P10" i="52"/>
  <c r="E49" i="52"/>
  <c r="F49" i="52"/>
  <c r="G49" i="52"/>
  <c r="I49" i="52"/>
  <c r="E17" i="52"/>
  <c r="F17" i="52"/>
  <c r="J17" i="52"/>
  <c r="E26" i="52"/>
  <c r="F26" i="52"/>
  <c r="J26" i="52"/>
  <c r="J44" i="52"/>
  <c r="E35" i="52"/>
  <c r="F35" i="52"/>
  <c r="J35" i="52"/>
  <c r="G20" i="52"/>
  <c r="I20" i="52"/>
  <c r="J20" i="52"/>
  <c r="E47" i="52"/>
  <c r="F47" i="52"/>
  <c r="J47" i="52"/>
  <c r="G34" i="52"/>
  <c r="I34" i="52"/>
  <c r="G8" i="52"/>
  <c r="I8" i="52"/>
  <c r="J55" i="60"/>
  <c r="P55" i="60"/>
  <c r="E24" i="52"/>
  <c r="F24" i="52"/>
  <c r="J24" i="52"/>
  <c r="E14" i="52"/>
  <c r="F14" i="52"/>
  <c r="J14" i="52"/>
  <c r="J49" i="52"/>
  <c r="E23" i="52"/>
  <c r="F23" i="52"/>
  <c r="J23" i="52"/>
  <c r="E9" i="52"/>
  <c r="F9" i="52"/>
  <c r="J9" i="52"/>
  <c r="E16" i="52"/>
  <c r="F16" i="52"/>
  <c r="J16" i="52"/>
  <c r="G19" i="52"/>
  <c r="I19" i="52"/>
  <c r="G46" i="52"/>
  <c r="I46" i="52"/>
  <c r="E11" i="52"/>
  <c r="F11" i="52"/>
  <c r="J11" i="52"/>
  <c r="P11" i="52"/>
  <c r="G32" i="52"/>
  <c r="I32" i="52"/>
  <c r="J32" i="52"/>
  <c r="E33" i="52"/>
  <c r="F33" i="52"/>
  <c r="J33" i="52"/>
  <c r="E22" i="52"/>
  <c r="F22" i="52"/>
  <c r="G22" i="52"/>
  <c r="I22" i="52"/>
  <c r="E13" i="55"/>
  <c r="F13" i="55"/>
  <c r="G36" i="55"/>
  <c r="J48" i="52"/>
  <c r="G54" i="52"/>
  <c r="I54" i="52"/>
  <c r="E41" i="55"/>
  <c r="F41" i="55"/>
  <c r="G28" i="55"/>
  <c r="G15" i="52"/>
  <c r="I15" i="52"/>
  <c r="G9" i="55"/>
  <c r="Q9" i="56"/>
  <c r="S9" i="56"/>
  <c r="G50" i="52"/>
  <c r="I50" i="52"/>
  <c r="E20" i="55"/>
  <c r="F20" i="55"/>
  <c r="E53" i="55"/>
  <c r="F53" i="55"/>
  <c r="G53" i="55"/>
  <c r="E37" i="55"/>
  <c r="F37" i="55"/>
  <c r="E16" i="55"/>
  <c r="F16" i="55"/>
  <c r="E30" i="55"/>
  <c r="F30" i="55"/>
  <c r="E14" i="55"/>
  <c r="F14" i="55"/>
  <c r="E55" i="55"/>
  <c r="F55" i="55"/>
  <c r="G17" i="55"/>
  <c r="G10" i="55"/>
  <c r="I10" i="55"/>
  <c r="G32" i="55"/>
  <c r="I32" i="55"/>
  <c r="G52" i="52"/>
  <c r="I52" i="52"/>
  <c r="E50" i="58"/>
  <c r="F50" i="58"/>
  <c r="E38" i="55"/>
  <c r="F38" i="55"/>
  <c r="E48" i="55"/>
  <c r="F48" i="55"/>
  <c r="G49" i="55"/>
  <c r="E15" i="55"/>
  <c r="F15" i="55"/>
  <c r="E52" i="55"/>
  <c r="F52" i="55"/>
  <c r="E22" i="55"/>
  <c r="F22" i="55"/>
  <c r="E56" i="55"/>
  <c r="F56" i="55"/>
  <c r="E27" i="55"/>
  <c r="F27" i="55"/>
  <c r="G29" i="55"/>
  <c r="E51" i="55"/>
  <c r="F51" i="55"/>
  <c r="G18" i="52"/>
  <c r="I18" i="52"/>
  <c r="G45" i="55"/>
  <c r="E47" i="55"/>
  <c r="F47" i="55"/>
  <c r="E34" i="55"/>
  <c r="F34" i="55"/>
  <c r="E42" i="55"/>
  <c r="F42" i="55"/>
  <c r="G42" i="52"/>
  <c r="I42" i="52"/>
  <c r="G13" i="52"/>
  <c r="I13" i="52"/>
  <c r="E20" i="59"/>
  <c r="F20" i="59"/>
  <c r="J20" i="59"/>
  <c r="P20" i="59"/>
  <c r="L13" i="60"/>
  <c r="N13" i="60"/>
  <c r="E26" i="58"/>
  <c r="F26" i="58"/>
  <c r="E40" i="55"/>
  <c r="F40" i="55"/>
  <c r="E9" i="56"/>
  <c r="F9" i="56"/>
  <c r="E11" i="55"/>
  <c r="F11" i="55"/>
  <c r="E31" i="55"/>
  <c r="F31" i="55"/>
  <c r="E46" i="55"/>
  <c r="F46" i="55"/>
  <c r="F33" i="55"/>
  <c r="E23" i="55"/>
  <c r="F23" i="55"/>
  <c r="F43" i="55"/>
  <c r="E44" i="55"/>
  <c r="F44" i="55"/>
  <c r="N35" i="59"/>
  <c r="E54" i="55"/>
  <c r="F54" i="55"/>
  <c r="E21" i="55"/>
  <c r="F21" i="55"/>
  <c r="E25" i="55"/>
  <c r="F25" i="55"/>
  <c r="G39" i="55"/>
  <c r="E35" i="55"/>
  <c r="F35" i="55"/>
  <c r="F42" i="58"/>
  <c r="F19" i="58"/>
  <c r="N23" i="56"/>
  <c r="E25" i="54"/>
  <c r="F25" i="54"/>
  <c r="J25" i="54"/>
  <c r="N56" i="55"/>
  <c r="N56" i="54"/>
  <c r="E27" i="54"/>
  <c r="F27" i="54"/>
  <c r="J27" i="54"/>
  <c r="E54" i="54"/>
  <c r="F54" i="54"/>
  <c r="J54" i="54"/>
  <c r="P54" i="54"/>
  <c r="E28" i="54"/>
  <c r="F28" i="54"/>
  <c r="J28" i="54"/>
  <c r="F17" i="54"/>
  <c r="J17" i="54"/>
  <c r="L8" i="55"/>
  <c r="N8" i="55"/>
  <c r="N30" i="54"/>
  <c r="N30" i="55"/>
  <c r="N14" i="54"/>
  <c r="N14" i="55"/>
  <c r="N15" i="60"/>
  <c r="E25" i="60"/>
  <c r="F25" i="60"/>
  <c r="J25" i="60"/>
  <c r="F47" i="60"/>
  <c r="J47" i="60"/>
  <c r="P47" i="60"/>
  <c r="F29" i="60"/>
  <c r="J29" i="60"/>
  <c r="P29" i="60"/>
  <c r="E45" i="60"/>
  <c r="F45" i="60"/>
  <c r="E53" i="60"/>
  <c r="F53" i="60"/>
  <c r="J53" i="60"/>
  <c r="E26" i="60"/>
  <c r="F26" i="60"/>
  <c r="N40" i="61"/>
  <c r="N50" i="61"/>
  <c r="P43" i="60"/>
  <c r="G43" i="60"/>
  <c r="I43" i="60"/>
  <c r="E35" i="61"/>
  <c r="F35" i="61"/>
  <c r="J35" i="61"/>
  <c r="E52" i="58"/>
  <c r="F52" i="58"/>
  <c r="F26" i="56"/>
  <c r="J26" i="56"/>
  <c r="P26" i="56"/>
  <c r="L7" i="54"/>
  <c r="N7" i="54"/>
  <c r="E12" i="53"/>
  <c r="F12" i="53"/>
  <c r="J12" i="53"/>
  <c r="P12" i="53"/>
  <c r="E37" i="53"/>
  <c r="F37" i="53"/>
  <c r="J37" i="53"/>
  <c r="P37" i="53"/>
  <c r="E25" i="53"/>
  <c r="F25" i="53"/>
  <c r="J25" i="53"/>
  <c r="E15" i="53"/>
  <c r="F15" i="53"/>
  <c r="J15" i="53"/>
  <c r="P15" i="53"/>
  <c r="E19" i="53"/>
  <c r="F19" i="53"/>
  <c r="J19" i="53"/>
  <c r="P19" i="53"/>
  <c r="E49" i="53"/>
  <c r="F49" i="53"/>
  <c r="J49" i="53"/>
  <c r="F9" i="53"/>
  <c r="J9" i="53"/>
  <c r="E52" i="60"/>
  <c r="F52" i="60"/>
  <c r="J52" i="60"/>
  <c r="F51" i="58"/>
  <c r="N38" i="58"/>
  <c r="E49" i="58"/>
  <c r="F49" i="58"/>
  <c r="J49" i="58"/>
  <c r="N30" i="56"/>
  <c r="F51" i="1"/>
  <c r="F54" i="1"/>
  <c r="J54" i="1"/>
  <c r="E19" i="61"/>
  <c r="F19" i="61"/>
  <c r="N41" i="59"/>
  <c r="G18" i="55"/>
  <c r="N17" i="56"/>
  <c r="N12" i="55"/>
  <c r="N12" i="54"/>
  <c r="E47" i="54"/>
  <c r="F47" i="54"/>
  <c r="J47" i="54"/>
  <c r="E23" i="54"/>
  <c r="F23" i="54"/>
  <c r="J23" i="54"/>
  <c r="E48" i="54"/>
  <c r="F48" i="54"/>
  <c r="J48" i="54"/>
  <c r="P48" i="54"/>
  <c r="E24" i="54"/>
  <c r="F24" i="54"/>
  <c r="J24" i="54"/>
  <c r="P24" i="54"/>
  <c r="N40" i="55"/>
  <c r="N40" i="54"/>
  <c r="F22" i="54"/>
  <c r="E53" i="54"/>
  <c r="F53" i="54"/>
  <c r="J53" i="54"/>
  <c r="N15" i="54"/>
  <c r="N15" i="55"/>
  <c r="N22" i="54"/>
  <c r="N22" i="55"/>
  <c r="C8" i="55"/>
  <c r="D8" i="55"/>
  <c r="F16" i="60"/>
  <c r="J16" i="60"/>
  <c r="E17" i="60"/>
  <c r="F17" i="60"/>
  <c r="J17" i="60"/>
  <c r="E46" i="60"/>
  <c r="F46" i="60"/>
  <c r="J46" i="60"/>
  <c r="P46" i="60"/>
  <c r="E56" i="60"/>
  <c r="F56" i="60"/>
  <c r="J56" i="60"/>
  <c r="P56" i="60"/>
  <c r="E34" i="60"/>
  <c r="F34" i="60"/>
  <c r="J34" i="60"/>
  <c r="E51" i="60"/>
  <c r="F51" i="60"/>
  <c r="J51" i="60"/>
  <c r="E16" i="61"/>
  <c r="F16" i="61"/>
  <c r="J16" i="61"/>
  <c r="E45" i="61"/>
  <c r="F45" i="61"/>
  <c r="J45" i="61"/>
  <c r="E33" i="61"/>
  <c r="F33" i="61"/>
  <c r="J33" i="61"/>
  <c r="E15" i="58"/>
  <c r="F15" i="58"/>
  <c r="E18" i="58"/>
  <c r="F18" i="58"/>
  <c r="E16" i="58"/>
  <c r="F16" i="58"/>
  <c r="F29" i="1"/>
  <c r="E40" i="1"/>
  <c r="F40" i="1"/>
  <c r="E22" i="61"/>
  <c r="F22" i="61"/>
  <c r="F53" i="58"/>
  <c r="E27" i="60"/>
  <c r="F27" i="60"/>
  <c r="E55" i="58"/>
  <c r="F55" i="58"/>
  <c r="E31" i="58"/>
  <c r="F31" i="58"/>
  <c r="J31" i="58"/>
  <c r="E39" i="58"/>
  <c r="F39" i="58"/>
  <c r="N27" i="56"/>
  <c r="N26" i="56"/>
  <c r="E41" i="56"/>
  <c r="F41" i="56"/>
  <c r="J41" i="56"/>
  <c r="P41" i="56"/>
  <c r="F51" i="53"/>
  <c r="J51" i="53"/>
  <c r="P51" i="53"/>
  <c r="E8" i="53"/>
  <c r="F8" i="53"/>
  <c r="E44" i="53"/>
  <c r="F44" i="53"/>
  <c r="E39" i="53"/>
  <c r="F39" i="53"/>
  <c r="J39" i="53"/>
  <c r="E41" i="53"/>
  <c r="F41" i="53"/>
  <c r="E21" i="53"/>
  <c r="F21" i="53"/>
  <c r="E28" i="53"/>
  <c r="F28" i="53"/>
  <c r="J28" i="53"/>
  <c r="P28" i="53"/>
  <c r="E16" i="53"/>
  <c r="F16" i="53"/>
  <c r="N30" i="53"/>
  <c r="E31" i="53"/>
  <c r="F31" i="53"/>
  <c r="E36" i="53"/>
  <c r="F36" i="53"/>
  <c r="F43" i="53"/>
  <c r="E32" i="53"/>
  <c r="F32" i="53"/>
  <c r="J32" i="53"/>
  <c r="F22" i="53"/>
  <c r="N48" i="56"/>
  <c r="N52" i="56"/>
  <c r="E48" i="61"/>
  <c r="F48" i="61"/>
  <c r="E36" i="61"/>
  <c r="F36" i="61"/>
  <c r="J36" i="61"/>
  <c r="P36" i="61"/>
  <c r="N43" i="61"/>
  <c r="F38" i="61"/>
  <c r="J38" i="61"/>
  <c r="N54" i="61"/>
  <c r="E29" i="61"/>
  <c r="F29" i="61"/>
  <c r="J29" i="61"/>
  <c r="N55" i="61"/>
  <c r="E30" i="58"/>
  <c r="F30" i="58"/>
  <c r="N34" i="56"/>
  <c r="E36" i="56"/>
  <c r="F36" i="56"/>
  <c r="J36" i="56"/>
  <c r="P36" i="56"/>
  <c r="E41" i="61"/>
  <c r="F41" i="61"/>
  <c r="J41" i="61"/>
  <c r="F51" i="56"/>
  <c r="J51" i="56"/>
  <c r="P51" i="56"/>
  <c r="N36" i="58"/>
  <c r="N36" i="59"/>
  <c r="E34" i="58"/>
  <c r="F34" i="58"/>
  <c r="N44" i="58"/>
  <c r="N44" i="59"/>
  <c r="E28" i="58"/>
  <c r="F28" i="58"/>
  <c r="E54" i="58"/>
  <c r="F54" i="58"/>
  <c r="J54" i="58"/>
  <c r="P54" i="58"/>
  <c r="N42" i="56"/>
  <c r="E15" i="56"/>
  <c r="F15" i="56"/>
  <c r="E51" i="57"/>
  <c r="F51" i="57"/>
  <c r="J51" i="57"/>
  <c r="N42" i="57"/>
  <c r="N44" i="57"/>
  <c r="N55" i="57"/>
  <c r="N17" i="57"/>
  <c r="N40" i="57"/>
  <c r="N12" i="57"/>
  <c r="E21" i="57"/>
  <c r="F21" i="57"/>
  <c r="J21" i="57"/>
  <c r="D11" i="57"/>
  <c r="C11" i="58"/>
  <c r="D11" i="58"/>
  <c r="N35" i="58"/>
  <c r="N33" i="57"/>
  <c r="N18" i="57"/>
  <c r="N34" i="57"/>
  <c r="N24" i="57"/>
  <c r="E53" i="61"/>
  <c r="F53" i="61"/>
  <c r="J53" i="61"/>
  <c r="N49" i="56"/>
  <c r="E45" i="53"/>
  <c r="F45" i="53"/>
  <c r="J45" i="53"/>
  <c r="P45" i="53"/>
  <c r="D7" i="53"/>
  <c r="C7" i="54"/>
  <c r="D7" i="54"/>
  <c r="F48" i="53"/>
  <c r="J48" i="53"/>
  <c r="E18" i="53"/>
  <c r="F18" i="53"/>
  <c r="F10" i="53"/>
  <c r="J10" i="53"/>
  <c r="E33" i="53"/>
  <c r="F33" i="53"/>
  <c r="E55" i="53"/>
  <c r="F55" i="53"/>
  <c r="J55" i="53"/>
  <c r="E56" i="53"/>
  <c r="F56" i="53"/>
  <c r="E27" i="53"/>
  <c r="F27" i="53"/>
  <c r="J27" i="53"/>
  <c r="E24" i="53"/>
  <c r="F24" i="53"/>
  <c r="J24" i="53"/>
  <c r="P24" i="53"/>
  <c r="N45" i="53"/>
  <c r="E30" i="53"/>
  <c r="F30" i="53"/>
  <c r="J30" i="53"/>
  <c r="P30" i="53"/>
  <c r="N14" i="56"/>
  <c r="N48" i="61"/>
  <c r="F43" i="61"/>
  <c r="J43" i="61"/>
  <c r="P43" i="61"/>
  <c r="F21" i="61"/>
  <c r="E34" i="1"/>
  <c r="F34" i="1"/>
  <c r="J34" i="1"/>
  <c r="G55" i="60"/>
  <c r="I55" i="60"/>
  <c r="E32" i="58"/>
  <c r="F32" i="58"/>
  <c r="N36" i="56"/>
  <c r="E15" i="61"/>
  <c r="F15" i="61"/>
  <c r="J15" i="61"/>
  <c r="E35" i="60"/>
  <c r="F35" i="60"/>
  <c r="J35" i="60"/>
  <c r="E40" i="58"/>
  <c r="F40" i="58"/>
  <c r="N20" i="59"/>
  <c r="E37" i="58"/>
  <c r="F37" i="58"/>
  <c r="E23" i="58"/>
  <c r="F23" i="58"/>
  <c r="J23" i="58"/>
  <c r="P23" i="58"/>
  <c r="N33" i="56"/>
  <c r="N37" i="55"/>
  <c r="N37" i="54"/>
  <c r="N46" i="55"/>
  <c r="E56" i="54"/>
  <c r="F56" i="54"/>
  <c r="J56" i="54"/>
  <c r="P56" i="54"/>
  <c r="E46" i="54"/>
  <c r="F46" i="54"/>
  <c r="N42" i="55"/>
  <c r="N35" i="54"/>
  <c r="N54" i="54"/>
  <c r="N54" i="55"/>
  <c r="E26" i="54"/>
  <c r="F26" i="54"/>
  <c r="J26" i="54"/>
  <c r="E39" i="54"/>
  <c r="F39" i="54"/>
  <c r="G39" i="54"/>
  <c r="N50" i="54"/>
  <c r="E34" i="54"/>
  <c r="F34" i="54"/>
  <c r="J34" i="54"/>
  <c r="N28" i="55"/>
  <c r="E36" i="54"/>
  <c r="F36" i="54"/>
  <c r="J36" i="54"/>
  <c r="N33" i="54"/>
  <c r="N33" i="55"/>
  <c r="E52" i="54"/>
  <c r="F52" i="54"/>
  <c r="J52" i="54"/>
  <c r="N48" i="55"/>
  <c r="N18" i="54"/>
  <c r="N27" i="55"/>
  <c r="P27" i="54"/>
  <c r="F51" i="54"/>
  <c r="J51" i="54"/>
  <c r="F16" i="54"/>
  <c r="J16" i="54"/>
  <c r="P16" i="54"/>
  <c r="F11" i="54"/>
  <c r="J11" i="54"/>
  <c r="P34" i="60"/>
  <c r="N36" i="60"/>
  <c r="N30" i="60"/>
  <c r="N14" i="60"/>
  <c r="L14" i="61"/>
  <c r="N14" i="61"/>
  <c r="N40" i="60"/>
  <c r="N41" i="60"/>
  <c r="N50" i="60"/>
  <c r="N55" i="60"/>
  <c r="E39" i="60"/>
  <c r="F39" i="60"/>
  <c r="E49" i="60"/>
  <c r="F49" i="60"/>
  <c r="J49" i="60"/>
  <c r="E42" i="60"/>
  <c r="F42" i="60"/>
  <c r="E18" i="60"/>
  <c r="F18" i="60"/>
  <c r="J18" i="60"/>
  <c r="N56" i="60"/>
  <c r="E30" i="60"/>
  <c r="F30" i="60"/>
  <c r="E32" i="61"/>
  <c r="F32" i="61"/>
  <c r="J32" i="61"/>
  <c r="N29" i="58"/>
  <c r="N29" i="59"/>
  <c r="N51" i="56"/>
  <c r="N22" i="61"/>
  <c r="N20" i="61"/>
  <c r="E47" i="61"/>
  <c r="F47" i="61"/>
  <c r="G35" i="58"/>
  <c r="E45" i="58"/>
  <c r="F45" i="58"/>
  <c r="N33" i="59"/>
  <c r="N12" i="56"/>
  <c r="N25" i="56"/>
  <c r="N37" i="56"/>
  <c r="E23" i="1"/>
  <c r="F23" i="1"/>
  <c r="J23" i="1"/>
  <c r="E46" i="61"/>
  <c r="F46" i="61"/>
  <c r="E49" i="61"/>
  <c r="F49" i="61"/>
  <c r="J49" i="61"/>
  <c r="E18" i="61"/>
  <c r="F18" i="61"/>
  <c r="E42" i="61"/>
  <c r="F42" i="61"/>
  <c r="J42" i="61"/>
  <c r="E52" i="61"/>
  <c r="F52" i="61"/>
  <c r="E31" i="61"/>
  <c r="F31" i="61"/>
  <c r="J31" i="61"/>
  <c r="E34" i="61"/>
  <c r="F34" i="61"/>
  <c r="E38" i="57"/>
  <c r="F38" i="57"/>
  <c r="J38" i="57"/>
  <c r="P38" i="57"/>
  <c r="N12" i="58"/>
  <c r="L12" i="59"/>
  <c r="N12" i="59"/>
  <c r="S12" i="59"/>
  <c r="N14" i="58"/>
  <c r="E17" i="57"/>
  <c r="F17" i="57"/>
  <c r="J17" i="57"/>
  <c r="P17" i="57"/>
  <c r="N13" i="57"/>
  <c r="N50" i="57"/>
  <c r="N38" i="57"/>
  <c r="S38" i="57"/>
  <c r="N47" i="57"/>
  <c r="N48" i="57"/>
  <c r="N21" i="57"/>
  <c r="N53" i="57"/>
  <c r="E23" i="57"/>
  <c r="F23" i="57"/>
  <c r="N36" i="57"/>
  <c r="E24" i="57"/>
  <c r="F24" i="57"/>
  <c r="J24" i="57"/>
  <c r="P24" i="57"/>
  <c r="E22" i="57"/>
  <c r="F22" i="57"/>
  <c r="J22" i="57"/>
  <c r="E25" i="57"/>
  <c r="F25" i="57"/>
  <c r="J25" i="57"/>
  <c r="E47" i="53"/>
  <c r="F47" i="53"/>
  <c r="E46" i="53"/>
  <c r="F46" i="53"/>
  <c r="J46" i="53"/>
  <c r="P10" i="53"/>
  <c r="N10" i="53"/>
  <c r="E13" i="53"/>
  <c r="F13" i="53"/>
  <c r="G13" i="53"/>
  <c r="I13" i="53"/>
  <c r="P39" i="53"/>
  <c r="E54" i="53"/>
  <c r="F54" i="53"/>
  <c r="J54" i="53"/>
  <c r="P54" i="53"/>
  <c r="E31" i="56"/>
  <c r="F31" i="56"/>
  <c r="N40" i="56"/>
  <c r="E52" i="56"/>
  <c r="F52" i="56"/>
  <c r="J52" i="56"/>
  <c r="P52" i="56"/>
  <c r="N56" i="56"/>
  <c r="E14" i="56"/>
  <c r="F14" i="56"/>
  <c r="J14" i="56"/>
  <c r="N36" i="61"/>
  <c r="E24" i="61"/>
  <c r="F24" i="61"/>
  <c r="J24" i="61"/>
  <c r="P24" i="61"/>
  <c r="E44" i="61"/>
  <c r="F44" i="61"/>
  <c r="E54" i="61"/>
  <c r="F54" i="61"/>
  <c r="J54" i="61"/>
  <c r="P54" i="61"/>
  <c r="N30" i="58"/>
  <c r="N30" i="59"/>
  <c r="E56" i="58"/>
  <c r="F56" i="58"/>
  <c r="E38" i="58"/>
  <c r="F38" i="58"/>
  <c r="N22" i="58"/>
  <c r="N37" i="58"/>
  <c r="N37" i="59"/>
  <c r="E48" i="58"/>
  <c r="F48" i="58"/>
  <c r="E43" i="58"/>
  <c r="F43" i="58"/>
  <c r="E13" i="58"/>
  <c r="F13" i="58"/>
  <c r="E45" i="56"/>
  <c r="F45" i="56"/>
  <c r="E32" i="54"/>
  <c r="F32" i="54"/>
  <c r="J32" i="54"/>
  <c r="P32" i="54"/>
  <c r="E9" i="54"/>
  <c r="F9" i="54"/>
  <c r="J9" i="54"/>
  <c r="E55" i="54"/>
  <c r="F55" i="54"/>
  <c r="N34" i="54"/>
  <c r="E43" i="54"/>
  <c r="F43" i="54"/>
  <c r="E14" i="54"/>
  <c r="F14" i="54"/>
  <c r="J14" i="54"/>
  <c r="P14" i="54"/>
  <c r="E35" i="54"/>
  <c r="F35" i="54"/>
  <c r="E37" i="54"/>
  <c r="F37" i="54"/>
  <c r="N39" i="55"/>
  <c r="N24" i="55"/>
  <c r="N24" i="54"/>
  <c r="E50" i="54"/>
  <c r="F50" i="54"/>
  <c r="G50" i="54"/>
  <c r="N43" i="54"/>
  <c r="N43" i="55"/>
  <c r="N36" i="55"/>
  <c r="E45" i="54"/>
  <c r="F45" i="54"/>
  <c r="N13" i="55"/>
  <c r="N13" i="54"/>
  <c r="E12" i="54"/>
  <c r="F12" i="54"/>
  <c r="J12" i="54"/>
  <c r="P12" i="54"/>
  <c r="E15" i="54"/>
  <c r="F15" i="54"/>
  <c r="E44" i="54"/>
  <c r="F44" i="54"/>
  <c r="J44" i="54"/>
  <c r="P44" i="54"/>
  <c r="N25" i="54"/>
  <c r="E13" i="54"/>
  <c r="F13" i="54"/>
  <c r="E21" i="54"/>
  <c r="F21" i="54"/>
  <c r="G21" i="54"/>
  <c r="E20" i="54"/>
  <c r="F20" i="54"/>
  <c r="G20" i="54"/>
  <c r="N23" i="60"/>
  <c r="N47" i="60"/>
  <c r="N32" i="60"/>
  <c r="N29" i="60"/>
  <c r="N46" i="60"/>
  <c r="C14" i="61"/>
  <c r="D14" i="61"/>
  <c r="D14" i="60"/>
  <c r="N43" i="60"/>
  <c r="N49" i="60"/>
  <c r="P49" i="60"/>
  <c r="S49" i="60"/>
  <c r="E24" i="60"/>
  <c r="F24" i="60"/>
  <c r="E37" i="60"/>
  <c r="F37" i="60"/>
  <c r="E23" i="60"/>
  <c r="F23" i="60"/>
  <c r="J23" i="60"/>
  <c r="E28" i="60"/>
  <c r="F28" i="60"/>
  <c r="J28" i="60"/>
  <c r="P28" i="60"/>
  <c r="N22" i="60"/>
  <c r="E20" i="60"/>
  <c r="F20" i="60"/>
  <c r="G20" i="60"/>
  <c r="J20" i="60"/>
  <c r="P20" i="60"/>
  <c r="E54" i="60"/>
  <c r="F54" i="60"/>
  <c r="G54" i="60"/>
  <c r="N48" i="60"/>
  <c r="E40" i="61"/>
  <c r="F40" i="61"/>
  <c r="G40" i="61"/>
  <c r="J40" i="61"/>
  <c r="P40" i="61"/>
  <c r="E50" i="61"/>
  <c r="F50" i="61"/>
  <c r="J50" i="61"/>
  <c r="P50" i="61"/>
  <c r="E25" i="61"/>
  <c r="F25" i="61"/>
  <c r="J25" i="61"/>
  <c r="P25" i="61"/>
  <c r="P45" i="61"/>
  <c r="N21" i="59"/>
  <c r="N17" i="61"/>
  <c r="E20" i="61"/>
  <c r="F20" i="61"/>
  <c r="J20" i="61"/>
  <c r="P20" i="61"/>
  <c r="N47" i="58"/>
  <c r="N47" i="59"/>
  <c r="N24" i="58"/>
  <c r="N24" i="59"/>
  <c r="N34" i="58"/>
  <c r="N27" i="59"/>
  <c r="N27" i="58"/>
  <c r="E44" i="58"/>
  <c r="F44" i="58"/>
  <c r="E16" i="56"/>
  <c r="F16" i="56"/>
  <c r="J16" i="56"/>
  <c r="P16" i="56"/>
  <c r="E30" i="56"/>
  <c r="F30" i="56"/>
  <c r="J30" i="56"/>
  <c r="P30" i="56"/>
  <c r="N55" i="56"/>
  <c r="N32" i="56"/>
  <c r="E50" i="56"/>
  <c r="F50" i="56"/>
  <c r="J50" i="56"/>
  <c r="E50" i="1"/>
  <c r="F50" i="1"/>
  <c r="J50" i="1"/>
  <c r="N46" i="61"/>
  <c r="E14" i="58"/>
  <c r="F14" i="58"/>
  <c r="N17" i="58"/>
  <c r="N17" i="59"/>
  <c r="N15" i="56"/>
  <c r="N49" i="57"/>
  <c r="N23" i="57"/>
  <c r="E53" i="57"/>
  <c r="F53" i="57"/>
  <c r="J53" i="57"/>
  <c r="P53" i="57"/>
  <c r="N54" i="57"/>
  <c r="N51" i="57"/>
  <c r="P51" i="57"/>
  <c r="N20" i="57"/>
  <c r="N26" i="57"/>
  <c r="E30" i="57"/>
  <c r="F30" i="57"/>
  <c r="N32" i="57"/>
  <c r="N52" i="57"/>
  <c r="N56" i="57"/>
  <c r="E33" i="57"/>
  <c r="F33" i="57"/>
  <c r="E43" i="57"/>
  <c r="F43" i="57"/>
  <c r="E56" i="61"/>
  <c r="F56" i="61"/>
  <c r="E26" i="61"/>
  <c r="F26" i="61"/>
  <c r="N53" i="59"/>
  <c r="N18" i="58"/>
  <c r="N18" i="59"/>
  <c r="E41" i="58"/>
  <c r="F41" i="58"/>
  <c r="N19" i="58"/>
  <c r="E25" i="58"/>
  <c r="F25" i="58"/>
  <c r="N39" i="59"/>
  <c r="N24" i="56"/>
  <c r="N47" i="56"/>
  <c r="N41" i="56"/>
  <c r="E17" i="53"/>
  <c r="F17" i="53"/>
  <c r="J17" i="53"/>
  <c r="E42" i="53"/>
  <c r="F42" i="53"/>
  <c r="E14" i="53"/>
  <c r="F14" i="53"/>
  <c r="E34" i="53"/>
  <c r="F34" i="53"/>
  <c r="J34" i="53"/>
  <c r="P34" i="53"/>
  <c r="E20" i="53"/>
  <c r="F20" i="53"/>
  <c r="J20" i="53"/>
  <c r="P20" i="53"/>
  <c r="E53" i="53"/>
  <c r="F53" i="53"/>
  <c r="G53" i="53"/>
  <c r="J53" i="53"/>
  <c r="P53" i="53"/>
  <c r="E29" i="53"/>
  <c r="F29" i="53"/>
  <c r="J29" i="53"/>
  <c r="P29" i="53"/>
  <c r="E26" i="53"/>
  <c r="F26" i="53"/>
  <c r="E50" i="53"/>
  <c r="F50" i="53"/>
  <c r="J50" i="53"/>
  <c r="P50" i="53"/>
  <c r="E38" i="53"/>
  <c r="F38" i="53"/>
  <c r="N56" i="53"/>
  <c r="P25" i="53"/>
  <c r="N25" i="53"/>
  <c r="E52" i="53"/>
  <c r="F52" i="53"/>
  <c r="J52" i="53"/>
  <c r="P52" i="53"/>
  <c r="P49" i="53"/>
  <c r="E23" i="53"/>
  <c r="F23" i="53"/>
  <c r="G23" i="53"/>
  <c r="E11" i="53"/>
  <c r="F11" i="53"/>
  <c r="J11" i="53"/>
  <c r="P11" i="53"/>
  <c r="E35" i="53"/>
  <c r="F35" i="53"/>
  <c r="E40" i="53"/>
  <c r="F40" i="53"/>
  <c r="J40" i="53"/>
  <c r="P40" i="53"/>
  <c r="N29" i="61"/>
  <c r="P29" i="61"/>
  <c r="E48" i="1"/>
  <c r="F48" i="1"/>
  <c r="J48" i="1"/>
  <c r="E55" i="61"/>
  <c r="F55" i="61"/>
  <c r="G55" i="61"/>
  <c r="N32" i="58"/>
  <c r="N41" i="61"/>
  <c r="E51" i="61"/>
  <c r="F51" i="61"/>
  <c r="G51" i="61"/>
  <c r="E30" i="61"/>
  <c r="F30" i="61"/>
  <c r="J30" i="61"/>
  <c r="P30" i="61"/>
  <c r="G46" i="58"/>
  <c r="N40" i="59"/>
  <c r="N40" i="58"/>
  <c r="N51" i="58"/>
  <c r="N51" i="59"/>
  <c r="E20" i="58"/>
  <c r="F20" i="58"/>
  <c r="J20" i="58"/>
  <c r="P20" i="58"/>
  <c r="E22" i="58"/>
  <c r="F22" i="58"/>
  <c r="J22" i="58"/>
  <c r="P22" i="58"/>
  <c r="N23" i="58"/>
  <c r="N23" i="59"/>
  <c r="N13" i="58"/>
  <c r="N19" i="56"/>
  <c r="L10" i="57"/>
  <c r="N10" i="57"/>
  <c r="N28" i="56"/>
  <c r="N54" i="56"/>
  <c r="E42" i="54"/>
  <c r="F42" i="54"/>
  <c r="N11" i="55"/>
  <c r="E41" i="54"/>
  <c r="F41" i="54"/>
  <c r="E49" i="54"/>
  <c r="F49" i="54"/>
  <c r="E33" i="54"/>
  <c r="F33" i="54"/>
  <c r="N44" i="55"/>
  <c r="E31" i="54"/>
  <c r="F31" i="54"/>
  <c r="J31" i="54"/>
  <c r="P31" i="54"/>
  <c r="N10" i="54"/>
  <c r="N31" i="54"/>
  <c r="N31" i="55"/>
  <c r="E30" i="54"/>
  <c r="F30" i="54"/>
  <c r="G30" i="54"/>
  <c r="E40" i="54"/>
  <c r="F40" i="54"/>
  <c r="J40" i="54"/>
  <c r="P40" i="54"/>
  <c r="E10" i="54"/>
  <c r="F10" i="54"/>
  <c r="N41" i="55"/>
  <c r="N16" i="55"/>
  <c r="N16" i="54"/>
  <c r="N26" i="54"/>
  <c r="N55" i="55"/>
  <c r="E29" i="54"/>
  <c r="F29" i="54"/>
  <c r="E38" i="54"/>
  <c r="F38" i="54"/>
  <c r="N49" i="54"/>
  <c r="N53" i="55"/>
  <c r="E19" i="54"/>
  <c r="F19" i="54"/>
  <c r="J19" i="54"/>
  <c r="E18" i="54"/>
  <c r="F18" i="54"/>
  <c r="N53" i="60"/>
  <c r="P53" i="60"/>
  <c r="N21" i="60"/>
  <c r="P17" i="60"/>
  <c r="N17" i="60"/>
  <c r="N26" i="60"/>
  <c r="N20" i="60"/>
  <c r="N25" i="60"/>
  <c r="P25" i="60"/>
  <c r="E22" i="60"/>
  <c r="F22" i="60"/>
  <c r="E21" i="60"/>
  <c r="F21" i="60"/>
  <c r="J21" i="60"/>
  <c r="P21" i="60"/>
  <c r="E33" i="60"/>
  <c r="F33" i="60"/>
  <c r="G33" i="60"/>
  <c r="E15" i="60"/>
  <c r="F15" i="60"/>
  <c r="J15" i="60"/>
  <c r="E36" i="60"/>
  <c r="F36" i="60"/>
  <c r="E38" i="60"/>
  <c r="F38" i="60"/>
  <c r="J38" i="60"/>
  <c r="P38" i="60"/>
  <c r="E31" i="60"/>
  <c r="F31" i="60"/>
  <c r="G31" i="60"/>
  <c r="I31" i="60"/>
  <c r="E40" i="60"/>
  <c r="F40" i="60"/>
  <c r="J40" i="60"/>
  <c r="P40" i="60"/>
  <c r="E41" i="60"/>
  <c r="F41" i="60"/>
  <c r="J41" i="60"/>
  <c r="P41" i="60"/>
  <c r="E19" i="60"/>
  <c r="F19" i="60"/>
  <c r="J19" i="60"/>
  <c r="E32" i="60"/>
  <c r="F32" i="60"/>
  <c r="E48" i="60"/>
  <c r="F48" i="60"/>
  <c r="J48" i="60"/>
  <c r="P48" i="60"/>
  <c r="E50" i="60"/>
  <c r="F50" i="60"/>
  <c r="E27" i="61"/>
  <c r="F27" i="61"/>
  <c r="N32" i="61"/>
  <c r="E37" i="61"/>
  <c r="F37" i="61"/>
  <c r="E29" i="58"/>
  <c r="F29" i="58"/>
  <c r="E21" i="58"/>
  <c r="F21" i="58"/>
  <c r="N13" i="56"/>
  <c r="N46" i="56"/>
  <c r="E17" i="61"/>
  <c r="F17" i="61"/>
  <c r="J17" i="61"/>
  <c r="P17" i="61"/>
  <c r="N32" i="55"/>
  <c r="E36" i="58"/>
  <c r="F36" i="58"/>
  <c r="E47" i="58"/>
  <c r="F47" i="58"/>
  <c r="E24" i="58"/>
  <c r="F24" i="58"/>
  <c r="N45" i="59"/>
  <c r="N45" i="58"/>
  <c r="E27" i="58"/>
  <c r="F27" i="58"/>
  <c r="E33" i="58"/>
  <c r="F33" i="58"/>
  <c r="N28" i="58"/>
  <c r="N28" i="59"/>
  <c r="N54" i="58"/>
  <c r="E11" i="1"/>
  <c r="F11" i="1"/>
  <c r="E31" i="1"/>
  <c r="F31" i="1"/>
  <c r="J31" i="1"/>
  <c r="E23" i="61"/>
  <c r="F23" i="61"/>
  <c r="E39" i="61"/>
  <c r="F39" i="61"/>
  <c r="J39" i="61"/>
  <c r="C12" i="59"/>
  <c r="D12" i="59"/>
  <c r="D12" i="58"/>
  <c r="N15" i="58"/>
  <c r="N15" i="59"/>
  <c r="E17" i="58"/>
  <c r="F17" i="58"/>
  <c r="G17" i="58"/>
  <c r="N53" i="56"/>
  <c r="N15" i="57"/>
  <c r="N28" i="57"/>
  <c r="N30" i="57"/>
  <c r="N41" i="57"/>
  <c r="L11" i="58"/>
  <c r="N11" i="58"/>
  <c r="N11" i="57"/>
  <c r="P25" i="57"/>
  <c r="N25" i="57"/>
  <c r="E40" i="57"/>
  <c r="F40" i="57"/>
  <c r="G40" i="57"/>
  <c r="I40" i="57"/>
  <c r="N16" i="57"/>
  <c r="E52" i="57"/>
  <c r="F52" i="57"/>
  <c r="E46" i="57"/>
  <c r="F46" i="57"/>
  <c r="E44" i="57"/>
  <c r="F44" i="57"/>
  <c r="J44" i="57"/>
  <c r="P44" i="57"/>
  <c r="N45" i="57"/>
  <c r="E14" i="57"/>
  <c r="F14" i="57"/>
  <c r="E45" i="57"/>
  <c r="F45" i="57"/>
  <c r="N19" i="57"/>
  <c r="N27" i="57"/>
  <c r="E28" i="61"/>
  <c r="F28" i="61"/>
  <c r="G35" i="52"/>
  <c r="I35" i="52"/>
  <c r="G44" i="58"/>
  <c r="G51" i="60"/>
  <c r="I51" i="60"/>
  <c r="G28" i="54"/>
  <c r="I28" i="54"/>
  <c r="G25" i="54"/>
  <c r="I25" i="54"/>
  <c r="G23" i="52"/>
  <c r="I23" i="52"/>
  <c r="G26" i="52"/>
  <c r="I26" i="52"/>
  <c r="G30" i="55"/>
  <c r="G10" i="52"/>
  <c r="I10" i="52"/>
  <c r="G30" i="52"/>
  <c r="I30" i="52"/>
  <c r="G38" i="57"/>
  <c r="I38" i="57"/>
  <c r="G51" i="57"/>
  <c r="I51" i="57"/>
  <c r="G41" i="55"/>
  <c r="G17" i="52"/>
  <c r="I17" i="52"/>
  <c r="I40" i="61"/>
  <c r="G54" i="53"/>
  <c r="I54" i="53"/>
  <c r="G16" i="54"/>
  <c r="I16" i="54"/>
  <c r="G34" i="54"/>
  <c r="I34" i="54"/>
  <c r="G19" i="53"/>
  <c r="I19" i="53"/>
  <c r="G25" i="53"/>
  <c r="I25" i="53"/>
  <c r="J22" i="52"/>
  <c r="G33" i="52"/>
  <c r="I33" i="52"/>
  <c r="G24" i="52"/>
  <c r="I24" i="52"/>
  <c r="G47" i="52"/>
  <c r="I47" i="52"/>
  <c r="G41" i="60"/>
  <c r="I41" i="60"/>
  <c r="I20" i="60"/>
  <c r="G14" i="56"/>
  <c r="I14" i="56"/>
  <c r="G46" i="53"/>
  <c r="I46" i="53"/>
  <c r="G22" i="57"/>
  <c r="I22" i="57"/>
  <c r="G15" i="61"/>
  <c r="I15" i="61"/>
  <c r="G29" i="60"/>
  <c r="I29" i="60"/>
  <c r="G23" i="55"/>
  <c r="G9" i="56"/>
  <c r="G11" i="52"/>
  <c r="I11" i="52"/>
  <c r="G16" i="52"/>
  <c r="I16" i="52"/>
  <c r="G14" i="52"/>
  <c r="I14" i="52"/>
  <c r="G33" i="58"/>
  <c r="I33" i="60"/>
  <c r="G48" i="1"/>
  <c r="I48" i="1"/>
  <c r="G25" i="61"/>
  <c r="I25" i="61"/>
  <c r="G28" i="60"/>
  <c r="I28" i="60"/>
  <c r="G48" i="58"/>
  <c r="G45" i="58"/>
  <c r="G34" i="1"/>
  <c r="I34" i="1"/>
  <c r="G43" i="61"/>
  <c r="I43" i="61"/>
  <c r="G21" i="57"/>
  <c r="I21" i="57"/>
  <c r="G34" i="58"/>
  <c r="G51" i="58"/>
  <c r="G37" i="53"/>
  <c r="I37" i="53"/>
  <c r="G26" i="56"/>
  <c r="I26" i="56"/>
  <c r="G53" i="60"/>
  <c r="I53" i="60"/>
  <c r="G22" i="55"/>
  <c r="G52" i="55"/>
  <c r="G13" i="55"/>
  <c r="G17" i="60"/>
  <c r="I17" i="60"/>
  <c r="G31" i="55"/>
  <c r="G11" i="55"/>
  <c r="G34" i="55"/>
  <c r="G27" i="55"/>
  <c r="G15" i="55"/>
  <c r="G55" i="55"/>
  <c r="G20" i="55"/>
  <c r="G17" i="61"/>
  <c r="I17" i="61"/>
  <c r="G53" i="57"/>
  <c r="I53" i="57"/>
  <c r="G16" i="56"/>
  <c r="I16" i="56"/>
  <c r="G37" i="58"/>
  <c r="G35" i="60"/>
  <c r="I35" i="60"/>
  <c r="G45" i="53"/>
  <c r="I45" i="53"/>
  <c r="G30" i="58"/>
  <c r="G56" i="60"/>
  <c r="I56" i="60"/>
  <c r="G54" i="1"/>
  <c r="I54" i="1"/>
  <c r="G25" i="60"/>
  <c r="I25" i="60"/>
  <c r="G46" i="55"/>
  <c r="G42" i="55"/>
  <c r="G37" i="55"/>
  <c r="G40" i="58"/>
  <c r="J40" i="1"/>
  <c r="G40" i="1"/>
  <c r="I40" i="1"/>
  <c r="G43" i="55"/>
  <c r="G44" i="57"/>
  <c r="I44" i="57"/>
  <c r="G27" i="58"/>
  <c r="G31" i="54"/>
  <c r="I31" i="54"/>
  <c r="I55" i="61"/>
  <c r="G41" i="58"/>
  <c r="P50" i="56"/>
  <c r="G50" i="56"/>
  <c r="I50" i="56"/>
  <c r="G30" i="56"/>
  <c r="I30" i="56"/>
  <c r="G50" i="61"/>
  <c r="I50" i="61"/>
  <c r="I54" i="60"/>
  <c r="I21" i="54"/>
  <c r="J50" i="54"/>
  <c r="P50" i="54"/>
  <c r="I50" i="54"/>
  <c r="G54" i="61"/>
  <c r="I54" i="61"/>
  <c r="G52" i="56"/>
  <c r="I52" i="56"/>
  <c r="J46" i="61"/>
  <c r="P46" i="61"/>
  <c r="G46" i="61"/>
  <c r="I46" i="61"/>
  <c r="P52" i="54"/>
  <c r="G52" i="54"/>
  <c r="I52" i="54"/>
  <c r="J29" i="1"/>
  <c r="G29" i="1"/>
  <c r="I29" i="1"/>
  <c r="J22" i="54"/>
  <c r="P22" i="54"/>
  <c r="G22" i="54"/>
  <c r="I22" i="54"/>
  <c r="G19" i="58"/>
  <c r="G54" i="55"/>
  <c r="G33" i="55"/>
  <c r="G40" i="55"/>
  <c r="J39" i="54"/>
  <c r="I39" i="54"/>
  <c r="J45" i="60"/>
  <c r="P45" i="60"/>
  <c r="G45" i="60"/>
  <c r="I45" i="60"/>
  <c r="I53" i="53"/>
  <c r="G14" i="58"/>
  <c r="J24" i="60"/>
  <c r="P24" i="60"/>
  <c r="G24" i="60"/>
  <c r="I24" i="60"/>
  <c r="G9" i="54"/>
  <c r="I9" i="54"/>
  <c r="J13" i="53"/>
  <c r="P13" i="53"/>
  <c r="J47" i="61"/>
  <c r="G47" i="61"/>
  <c r="I47" i="61"/>
  <c r="J15" i="56"/>
  <c r="P15" i="56"/>
  <c r="G15" i="56"/>
  <c r="I15" i="56"/>
  <c r="J26" i="60"/>
  <c r="P26" i="60"/>
  <c r="G26" i="60"/>
  <c r="I26" i="60"/>
  <c r="G25" i="55"/>
  <c r="J19" i="61"/>
  <c r="G19" i="61"/>
  <c r="I19" i="61"/>
  <c r="G38" i="55"/>
  <c r="G39" i="61"/>
  <c r="I39" i="61"/>
  <c r="G40" i="53"/>
  <c r="I40" i="53"/>
  <c r="P23" i="60"/>
  <c r="G23" i="60"/>
  <c r="I23" i="60"/>
  <c r="J20" i="54"/>
  <c r="I20" i="54"/>
  <c r="J31" i="56"/>
  <c r="P31" i="56"/>
  <c r="G31" i="56"/>
  <c r="I31" i="56"/>
  <c r="J51" i="1"/>
  <c r="G51" i="1"/>
  <c r="I51" i="1"/>
  <c r="G48" i="55"/>
  <c r="G50" i="55"/>
  <c r="G50" i="58"/>
  <c r="G24" i="61"/>
  <c r="I24" i="61"/>
  <c r="G25" i="57"/>
  <c r="I25" i="57"/>
  <c r="G24" i="57"/>
  <c r="I24" i="57"/>
  <c r="G31" i="61"/>
  <c r="I31" i="61"/>
  <c r="G23" i="1"/>
  <c r="I23" i="1"/>
  <c r="G11" i="54"/>
  <c r="I11" i="54"/>
  <c r="G51" i="54"/>
  <c r="I51" i="54"/>
  <c r="G27" i="53"/>
  <c r="I27" i="53"/>
  <c r="G36" i="56"/>
  <c r="I36" i="56"/>
  <c r="G36" i="61"/>
  <c r="I36" i="61"/>
  <c r="G32" i="53"/>
  <c r="I32" i="53"/>
  <c r="G46" i="60"/>
  <c r="I46" i="60"/>
  <c r="G16" i="60"/>
  <c r="I16" i="60"/>
  <c r="G49" i="58"/>
  <c r="I49" i="58"/>
  <c r="G35" i="55"/>
  <c r="G21" i="55"/>
  <c r="G44" i="55"/>
  <c r="G26" i="58"/>
  <c r="G20" i="59"/>
  <c r="I20" i="59"/>
  <c r="G47" i="55"/>
  <c r="G51" i="55"/>
  <c r="G56" i="55"/>
  <c r="G14" i="55"/>
  <c r="G16" i="55"/>
  <c r="J37" i="61"/>
  <c r="P37" i="61"/>
  <c r="G37" i="61"/>
  <c r="I37" i="61"/>
  <c r="J36" i="53"/>
  <c r="G36" i="53"/>
  <c r="I36" i="53"/>
  <c r="J38" i="53"/>
  <c r="G38" i="53"/>
  <c r="I38" i="53"/>
  <c r="J26" i="61"/>
  <c r="G26" i="61"/>
  <c r="I26" i="61"/>
  <c r="E7" i="53"/>
  <c r="F7" i="53"/>
  <c r="J7" i="53"/>
  <c r="P7" i="53"/>
  <c r="J21" i="53"/>
  <c r="P21" i="53"/>
  <c r="G21" i="53"/>
  <c r="I21" i="53"/>
  <c r="G39" i="58"/>
  <c r="J26" i="53"/>
  <c r="P26" i="53"/>
  <c r="G26" i="53"/>
  <c r="I26" i="53"/>
  <c r="J43" i="54"/>
  <c r="P43" i="54"/>
  <c r="S43" i="54"/>
  <c r="G43" i="54"/>
  <c r="I43" i="54"/>
  <c r="J46" i="54"/>
  <c r="P46" i="54"/>
  <c r="G46" i="54"/>
  <c r="I46" i="54"/>
  <c r="J14" i="57"/>
  <c r="P14" i="57"/>
  <c r="G14" i="57"/>
  <c r="I14" i="57"/>
  <c r="J50" i="60"/>
  <c r="P50" i="60"/>
  <c r="G50" i="60"/>
  <c r="I50" i="60"/>
  <c r="J51" i="61"/>
  <c r="I51" i="61"/>
  <c r="J56" i="61"/>
  <c r="G56" i="61"/>
  <c r="I56" i="61"/>
  <c r="J18" i="61"/>
  <c r="G18" i="61"/>
  <c r="I18" i="61"/>
  <c r="J56" i="53"/>
  <c r="P56" i="53"/>
  <c r="G56" i="53"/>
  <c r="I56" i="53"/>
  <c r="J43" i="53"/>
  <c r="P43" i="53"/>
  <c r="G43" i="53"/>
  <c r="I43" i="53"/>
  <c r="J28" i="61"/>
  <c r="G28" i="61"/>
  <c r="I28" i="61"/>
  <c r="J36" i="60"/>
  <c r="P36" i="60"/>
  <c r="G36" i="60"/>
  <c r="I36" i="60"/>
  <c r="I23" i="53"/>
  <c r="J35" i="54"/>
  <c r="P35" i="54"/>
  <c r="G35" i="54"/>
  <c r="I35" i="54"/>
  <c r="J45" i="56"/>
  <c r="P45" i="56"/>
  <c r="G45" i="56"/>
  <c r="I45" i="56"/>
  <c r="J39" i="60"/>
  <c r="P39" i="60"/>
  <c r="S39" i="60"/>
  <c r="G39" i="60"/>
  <c r="I39" i="60"/>
  <c r="J21" i="61"/>
  <c r="G21" i="61"/>
  <c r="I21" i="61"/>
  <c r="G28" i="58"/>
  <c r="J31" i="53"/>
  <c r="P31" i="53"/>
  <c r="G31" i="53"/>
  <c r="I31" i="53"/>
  <c r="J44" i="53"/>
  <c r="G44" i="53"/>
  <c r="I44" i="53"/>
  <c r="G16" i="58"/>
  <c r="J32" i="60"/>
  <c r="P32" i="60"/>
  <c r="G32" i="60"/>
  <c r="I32" i="60"/>
  <c r="J30" i="54"/>
  <c r="P30" i="54"/>
  <c r="I30" i="54"/>
  <c r="J15" i="54"/>
  <c r="P15" i="54"/>
  <c r="G15" i="54"/>
  <c r="I15" i="54"/>
  <c r="J55" i="54"/>
  <c r="P55" i="54"/>
  <c r="G55" i="54"/>
  <c r="I55" i="54"/>
  <c r="J52" i="61"/>
  <c r="G52" i="61"/>
  <c r="I52" i="61"/>
  <c r="J48" i="61"/>
  <c r="P48" i="61"/>
  <c r="G48" i="61"/>
  <c r="I48" i="61"/>
  <c r="J27" i="60"/>
  <c r="G27" i="60"/>
  <c r="I27" i="60"/>
  <c r="G36" i="58"/>
  <c r="J27" i="61"/>
  <c r="P27" i="61"/>
  <c r="G27" i="61"/>
  <c r="I27" i="61"/>
  <c r="J42" i="54"/>
  <c r="P42" i="54"/>
  <c r="G42" i="54"/>
  <c r="I42" i="54"/>
  <c r="J35" i="53"/>
  <c r="P35" i="53"/>
  <c r="G35" i="53"/>
  <c r="I35" i="53"/>
  <c r="J42" i="53"/>
  <c r="P42" i="53"/>
  <c r="G42" i="53"/>
  <c r="I42" i="53"/>
  <c r="J33" i="57"/>
  <c r="P33" i="57"/>
  <c r="G33" i="57"/>
  <c r="I33" i="57"/>
  <c r="G43" i="58"/>
  <c r="J23" i="57"/>
  <c r="P23" i="57"/>
  <c r="G23" i="57"/>
  <c r="I23" i="57"/>
  <c r="J34" i="61"/>
  <c r="G34" i="61"/>
  <c r="I34" i="61"/>
  <c r="J42" i="60"/>
  <c r="G42" i="60"/>
  <c r="I42" i="60"/>
  <c r="J18" i="53"/>
  <c r="P18" i="53"/>
  <c r="G18" i="53"/>
  <c r="I18" i="53"/>
  <c r="J22" i="53"/>
  <c r="P22" i="53"/>
  <c r="G22" i="53"/>
  <c r="I22" i="53"/>
  <c r="J16" i="53"/>
  <c r="P16" i="53"/>
  <c r="G16" i="53"/>
  <c r="I16" i="53"/>
  <c r="J41" i="53"/>
  <c r="P41" i="53"/>
  <c r="G41" i="53"/>
  <c r="I41" i="53"/>
  <c r="J8" i="53"/>
  <c r="G8" i="53"/>
  <c r="I8" i="53"/>
  <c r="J22" i="61"/>
  <c r="P22" i="61"/>
  <c r="G22" i="61"/>
  <c r="I22" i="61"/>
  <c r="G31" i="1"/>
  <c r="I31" i="1"/>
  <c r="G48" i="60"/>
  <c r="I48" i="60"/>
  <c r="G19" i="60"/>
  <c r="I19" i="60"/>
  <c r="G40" i="60"/>
  <c r="I40" i="60"/>
  <c r="G38" i="60"/>
  <c r="I38" i="60"/>
  <c r="G15" i="60"/>
  <c r="I15" i="60"/>
  <c r="G21" i="60"/>
  <c r="I21" i="60"/>
  <c r="G19" i="54"/>
  <c r="I19" i="54"/>
  <c r="G30" i="61"/>
  <c r="I30" i="61"/>
  <c r="G11" i="53"/>
  <c r="I11" i="53"/>
  <c r="G52" i="53"/>
  <c r="I52" i="53"/>
  <c r="G50" i="53"/>
  <c r="I50" i="53"/>
  <c r="G29" i="53"/>
  <c r="I29" i="53"/>
  <c r="G20" i="53"/>
  <c r="I20" i="53"/>
  <c r="G34" i="53"/>
  <c r="I34" i="53"/>
  <c r="G17" i="53"/>
  <c r="I17" i="53"/>
  <c r="G50" i="1"/>
  <c r="I50" i="1"/>
  <c r="G20" i="61"/>
  <c r="I20" i="61"/>
  <c r="G44" i="54"/>
  <c r="I44" i="54"/>
  <c r="G14" i="54"/>
  <c r="I14" i="54"/>
  <c r="G38" i="58"/>
  <c r="G56" i="58"/>
  <c r="G42" i="61"/>
  <c r="I42" i="61"/>
  <c r="G49" i="61"/>
  <c r="I49" i="61"/>
  <c r="G32" i="61"/>
  <c r="I32" i="61"/>
  <c r="G18" i="60"/>
  <c r="I18" i="60"/>
  <c r="G49" i="60"/>
  <c r="I49" i="60"/>
  <c r="G36" i="54"/>
  <c r="I36" i="54"/>
  <c r="G26" i="54"/>
  <c r="I26" i="54"/>
  <c r="G56" i="54"/>
  <c r="I56" i="54"/>
  <c r="G23" i="58"/>
  <c r="I23" i="58"/>
  <c r="G32" i="58"/>
  <c r="G30" i="53"/>
  <c r="I30" i="53"/>
  <c r="G24" i="53"/>
  <c r="I24" i="53"/>
  <c r="G55" i="53"/>
  <c r="I55" i="53"/>
  <c r="G10" i="53"/>
  <c r="I10" i="53"/>
  <c r="G48" i="53"/>
  <c r="I48" i="53"/>
  <c r="G53" i="61"/>
  <c r="I53" i="61"/>
  <c r="G54" i="58"/>
  <c r="I54" i="58"/>
  <c r="G51" i="56"/>
  <c r="I51" i="56"/>
  <c r="G41" i="61"/>
  <c r="I41" i="61"/>
  <c r="G29" i="61"/>
  <c r="I29" i="61"/>
  <c r="G38" i="61"/>
  <c r="I38" i="61"/>
  <c r="S30" i="53"/>
  <c r="G28" i="53"/>
  <c r="I28" i="53"/>
  <c r="G39" i="53"/>
  <c r="I39" i="53"/>
  <c r="G51" i="53"/>
  <c r="I51" i="53"/>
  <c r="G41" i="56"/>
  <c r="I41" i="56"/>
  <c r="G31" i="58"/>
  <c r="I31" i="58"/>
  <c r="G55" i="58"/>
  <c r="G53" i="58"/>
  <c r="G18" i="58"/>
  <c r="G15" i="58"/>
  <c r="G33" i="61"/>
  <c r="I33" i="61"/>
  <c r="G45" i="61"/>
  <c r="I45" i="61"/>
  <c r="G34" i="60"/>
  <c r="I34" i="60"/>
  <c r="E8" i="55"/>
  <c r="F8" i="55"/>
  <c r="G53" i="54"/>
  <c r="I53" i="54"/>
  <c r="G24" i="54"/>
  <c r="I24" i="54"/>
  <c r="G23" i="54"/>
  <c r="I23" i="54"/>
  <c r="G52" i="60"/>
  <c r="I52" i="60"/>
  <c r="G15" i="53"/>
  <c r="I15" i="53"/>
  <c r="G12" i="53"/>
  <c r="I12" i="53"/>
  <c r="G35" i="61"/>
  <c r="I35" i="61"/>
  <c r="E8" i="54"/>
  <c r="F8" i="54"/>
  <c r="E12" i="58"/>
  <c r="F12" i="58"/>
  <c r="E14" i="60"/>
  <c r="F14" i="60"/>
  <c r="S50" i="54"/>
  <c r="E11" i="58"/>
  <c r="F11" i="58"/>
  <c r="E12" i="59"/>
  <c r="F12" i="59"/>
  <c r="G40" i="54"/>
  <c r="I40" i="54"/>
  <c r="G22" i="58"/>
  <c r="I22" i="58"/>
  <c r="G20" i="58"/>
  <c r="I20" i="58"/>
  <c r="E14" i="61"/>
  <c r="F14" i="61"/>
  <c r="J14" i="61"/>
  <c r="G17" i="57"/>
  <c r="I17" i="57"/>
  <c r="E7" i="54"/>
  <c r="F7" i="54"/>
  <c r="J7" i="54"/>
  <c r="E11" i="57"/>
  <c r="F11" i="57"/>
  <c r="G16" i="61"/>
  <c r="I16" i="61"/>
  <c r="G48" i="54"/>
  <c r="I48" i="54"/>
  <c r="G47" i="54"/>
  <c r="I47" i="54"/>
  <c r="G9" i="53"/>
  <c r="I9" i="53"/>
  <c r="G49" i="53"/>
  <c r="I49" i="53"/>
  <c r="G52" i="58"/>
  <c r="G47" i="60"/>
  <c r="I47" i="60"/>
  <c r="G17" i="54"/>
  <c r="I17" i="54"/>
  <c r="G54" i="54"/>
  <c r="I54" i="54"/>
  <c r="G27" i="54"/>
  <c r="I27" i="54"/>
  <c r="G42" i="58"/>
  <c r="G7" i="53"/>
  <c r="I7" i="53"/>
  <c r="G7" i="54"/>
  <c r="I7" i="54"/>
  <c r="G14" i="61"/>
  <c r="I14" i="61"/>
  <c r="G12" i="58"/>
  <c r="Q12" i="59"/>
  <c r="N17" i="55"/>
  <c r="N52" i="54"/>
  <c r="N52" i="55"/>
  <c r="P23" i="54"/>
  <c r="S23" i="54"/>
  <c r="N23" i="55"/>
  <c r="N18" i="60"/>
  <c r="O24" i="53"/>
  <c r="P36" i="53"/>
  <c r="P20" i="54"/>
  <c r="P9" i="54"/>
  <c r="N16" i="61"/>
  <c r="P15" i="60"/>
  <c r="N21" i="54"/>
  <c r="N55" i="54"/>
  <c r="N19" i="54"/>
  <c r="N11" i="54"/>
  <c r="N22" i="57"/>
  <c r="N26" i="58"/>
  <c r="N36" i="54"/>
  <c r="N20" i="55"/>
  <c r="N37" i="61"/>
  <c r="N27" i="61"/>
  <c r="P34" i="54"/>
  <c r="P48" i="53"/>
  <c r="N29" i="55"/>
  <c r="O37" i="54"/>
  <c r="O46" i="55"/>
  <c r="O46" i="54"/>
  <c r="O11" i="54"/>
  <c r="S11" i="54" s="1"/>
  <c r="O11" i="55"/>
  <c r="O46" i="53"/>
  <c r="P8" i="53"/>
  <c r="S30" i="54"/>
  <c r="P44" i="53"/>
  <c r="P38" i="53"/>
  <c r="P19" i="54"/>
  <c r="N9" i="54"/>
  <c r="N45" i="54"/>
  <c r="N47" i="55"/>
  <c r="P17" i="53"/>
  <c r="N38" i="61"/>
  <c r="P14" i="56"/>
  <c r="N46" i="58"/>
  <c r="N43" i="58"/>
  <c r="N43" i="59"/>
  <c r="P27" i="60"/>
  <c r="P21" i="61"/>
  <c r="P39" i="54"/>
  <c r="N44" i="54"/>
  <c r="S44" i="54"/>
  <c r="N27" i="54"/>
  <c r="S27" i="54"/>
  <c r="P28" i="54"/>
  <c r="N55" i="59"/>
  <c r="P17" i="54"/>
  <c r="O16" i="54"/>
  <c r="S16" i="54" s="1"/>
  <c r="O12" i="54"/>
  <c r="S12" i="54" s="1"/>
  <c r="O10" i="55"/>
  <c r="S10" i="55" s="1"/>
  <c r="P22" i="57"/>
  <c r="S22" i="57"/>
  <c r="P18" i="60"/>
  <c r="P15" i="61"/>
  <c r="P27" i="53"/>
  <c r="P55" i="53"/>
  <c r="P21" i="57"/>
  <c r="P51" i="60"/>
  <c r="O7" i="52"/>
  <c r="O7" i="53"/>
  <c r="P47" i="54"/>
  <c r="O24" i="56"/>
  <c r="O24" i="55"/>
  <c r="O27" i="53"/>
  <c r="S27" i="53" s="1"/>
  <c r="O26" i="54"/>
  <c r="O26" i="53"/>
  <c r="O62" i="53"/>
  <c r="S62" i="53"/>
  <c r="O62" i="54"/>
  <c r="S62" i="54"/>
  <c r="O58" i="54"/>
  <c r="S58" i="54"/>
  <c r="O58" i="53"/>
  <c r="S58" i="53"/>
  <c r="O14" i="54"/>
  <c r="O14" i="53"/>
  <c r="O66" i="57"/>
  <c r="S66" i="57"/>
  <c r="O66" i="53"/>
  <c r="S66" i="53"/>
  <c r="P35" i="60"/>
  <c r="P16" i="60"/>
  <c r="N25" i="52"/>
  <c r="P37" i="52"/>
  <c r="M21" i="52"/>
  <c r="M33" i="52"/>
  <c r="M38" i="58"/>
  <c r="M48" i="58"/>
  <c r="O53" i="54"/>
  <c r="O53" i="55"/>
  <c r="O28" i="55"/>
  <c r="M37" i="57"/>
  <c r="M16" i="57"/>
  <c r="M32" i="57"/>
  <c r="M62" i="57"/>
  <c r="M60" i="57"/>
  <c r="M56" i="57"/>
  <c r="M52" i="57"/>
  <c r="M48" i="57"/>
  <c r="M44" i="57"/>
  <c r="M40" i="57"/>
  <c r="M69" i="57"/>
  <c r="M20" i="57"/>
  <c r="M58" i="57"/>
  <c r="M67" i="57"/>
  <c r="M55" i="57"/>
  <c r="M51" i="57"/>
  <c r="O51" i="57" s="1"/>
  <c r="S51" i="57" s="1"/>
  <c r="M47" i="57"/>
  <c r="M43" i="57"/>
  <c r="M57" i="57"/>
  <c r="M39" i="57"/>
  <c r="O39" i="57" s="1"/>
  <c r="M11" i="57"/>
  <c r="O11" i="57" s="1"/>
  <c r="S11" i="57" s="1"/>
  <c r="M19" i="57"/>
  <c r="M10" i="57"/>
  <c r="M30" i="57"/>
  <c r="M24" i="57"/>
  <c r="M68" i="57"/>
  <c r="O68" i="57" s="1"/>
  <c r="S68" i="57" s="1"/>
  <c r="M63" i="57"/>
  <c r="M54" i="57"/>
  <c r="M50" i="57"/>
  <c r="M46" i="57"/>
  <c r="O46" i="57"/>
  <c r="S46" i="57" s="1"/>
  <c r="M42" i="57"/>
  <c r="M65" i="57"/>
  <c r="O65" i="57" s="1"/>
  <c r="S65" i="57" s="1"/>
  <c r="M27" i="57"/>
  <c r="M18" i="57"/>
  <c r="M29" i="57"/>
  <c r="O12" i="57"/>
  <c r="O53" i="57"/>
  <c r="S53" i="57" s="1"/>
  <c r="M67" i="52"/>
  <c r="M55" i="52"/>
  <c r="M23" i="52"/>
  <c r="M18" i="52"/>
  <c r="O18" i="53" s="1"/>
  <c r="S18" i="53" s="1"/>
  <c r="M47" i="52"/>
  <c r="M53" i="52"/>
  <c r="M63" i="52"/>
  <c r="M28" i="52"/>
  <c r="M12" i="52"/>
  <c r="M10" i="52"/>
  <c r="M49" i="52"/>
  <c r="O49" i="53"/>
  <c r="S49" i="53" s="1"/>
  <c r="M60" i="52"/>
  <c r="M39" i="52"/>
  <c r="M54" i="52"/>
  <c r="M52" i="52"/>
  <c r="O52" i="53" s="1"/>
  <c r="S52" i="53" s="1"/>
  <c r="M38" i="52"/>
  <c r="M34" i="52"/>
  <c r="M69" i="52"/>
  <c r="M29" i="52"/>
  <c r="M36" i="52"/>
  <c r="M15" i="52"/>
  <c r="M25" i="52"/>
  <c r="O25" i="53" s="1"/>
  <c r="S25" i="53" s="1"/>
  <c r="M31" i="52"/>
  <c r="O31" i="53" s="1"/>
  <c r="S31" i="53" s="1"/>
  <c r="L26" i="52"/>
  <c r="P26" i="52"/>
  <c r="L47" i="52"/>
  <c r="L8" i="52"/>
  <c r="L41" i="52"/>
  <c r="L43" i="52"/>
  <c r="L23" i="52"/>
  <c r="L55" i="52"/>
  <c r="N55" i="52"/>
  <c r="L52" i="52"/>
  <c r="L37" i="52"/>
  <c r="L24" i="52"/>
  <c r="L48" i="52"/>
  <c r="N48" i="52"/>
  <c r="L20" i="52"/>
  <c r="M17" i="58"/>
  <c r="M59" i="58"/>
  <c r="O59" i="59" s="1"/>
  <c r="S59" i="59" s="1"/>
  <c r="M33" i="58"/>
  <c r="O33" i="59" s="1"/>
  <c r="S33" i="59" s="1"/>
  <c r="M15" i="58"/>
  <c r="O15" i="59" s="1"/>
  <c r="S15" i="59" s="1"/>
  <c r="M44" i="58"/>
  <c r="O44" i="59" s="1"/>
  <c r="M57" i="58"/>
  <c r="M28" i="58"/>
  <c r="M58" i="58"/>
  <c r="O58" i="59"/>
  <c r="M47" i="58"/>
  <c r="O47" i="59"/>
  <c r="M69" i="58"/>
  <c r="O69" i="59"/>
  <c r="S69" i="59" s="1"/>
  <c r="M19" i="58"/>
  <c r="O19" i="59" s="1"/>
  <c r="M50" i="58"/>
  <c r="O50" i="59" s="1"/>
  <c r="M34" i="58"/>
  <c r="M26" i="58"/>
  <c r="M12" i="58"/>
  <c r="O12" i="58" s="1"/>
  <c r="S12" i="58" s="1"/>
  <c r="M20" i="58"/>
  <c r="O20" i="59" s="1"/>
  <c r="S20" i="59" s="1"/>
  <c r="M18" i="58"/>
  <c r="M53" i="58"/>
  <c r="M41" i="58"/>
  <c r="O41" i="58" s="1"/>
  <c r="M29" i="58"/>
  <c r="M22" i="58"/>
  <c r="O22" i="58"/>
  <c r="S22" i="58" s="1"/>
  <c r="M62" i="58"/>
  <c r="O62" i="59" s="1"/>
  <c r="S62" i="59" s="1"/>
  <c r="M56" i="58"/>
  <c r="M36" i="58"/>
  <c r="M55" i="58"/>
  <c r="O55" i="59" s="1"/>
  <c r="S55" i="59" s="1"/>
  <c r="M39" i="58"/>
  <c r="O39" i="59" s="1"/>
  <c r="S39" i="59" s="1"/>
  <c r="M31" i="58"/>
  <c r="O31" i="58" s="1"/>
  <c r="S31" i="58" s="1"/>
  <c r="M11" i="58"/>
  <c r="M65" i="58"/>
  <c r="O65" i="59" s="1"/>
  <c r="S65" i="59" s="1"/>
  <c r="M24" i="58"/>
  <c r="M66" i="58"/>
  <c r="O66" i="59" s="1"/>
  <c r="S66" i="59" s="1"/>
  <c r="M49" i="58"/>
  <c r="O49" i="59" s="1"/>
  <c r="S49" i="59" s="1"/>
  <c r="M61" i="58"/>
  <c r="O61" i="59"/>
  <c r="M25" i="58"/>
  <c r="M60" i="58"/>
  <c r="M52" i="58"/>
  <c r="O52" i="59"/>
  <c r="M40" i="58"/>
  <c r="O40" i="59"/>
  <c r="S40" i="59" s="1"/>
  <c r="M32" i="58"/>
  <c r="O32" i="59"/>
  <c r="M21" i="58"/>
  <c r="M67" i="58"/>
  <c r="M51" i="58"/>
  <c r="O51" i="59"/>
  <c r="S51" i="59" s="1"/>
  <c r="M43" i="58"/>
  <c r="O43" i="59" s="1"/>
  <c r="M27" i="58"/>
  <c r="O27" i="59" s="1"/>
  <c r="S27" i="59" s="1"/>
  <c r="M68" i="58"/>
  <c r="O68" i="59"/>
  <c r="S68" i="59" s="1"/>
  <c r="M54" i="58"/>
  <c r="O54" i="59" s="1"/>
  <c r="M46" i="58"/>
  <c r="M30" i="58"/>
  <c r="O30" i="59"/>
  <c r="M16" i="58"/>
  <c r="O16" i="59"/>
  <c r="M14" i="58"/>
  <c r="M60" i="59"/>
  <c r="I34" i="58"/>
  <c r="J11" i="57"/>
  <c r="P11" i="57"/>
  <c r="G11" i="57"/>
  <c r="J14" i="60"/>
  <c r="P14" i="60"/>
  <c r="G14" i="60"/>
  <c r="I42" i="55"/>
  <c r="J8" i="54"/>
  <c r="P8" i="54"/>
  <c r="G8" i="54"/>
  <c r="J8" i="55"/>
  <c r="G8" i="55"/>
  <c r="I8" i="55"/>
  <c r="G12" i="59"/>
  <c r="I12" i="59"/>
  <c r="J11" i="58"/>
  <c r="G11" i="58"/>
  <c r="I11" i="58"/>
  <c r="J12" i="58"/>
  <c r="P12" i="58"/>
  <c r="G11" i="1"/>
  <c r="I11" i="1"/>
  <c r="J11" i="1"/>
  <c r="G21" i="58"/>
  <c r="I21" i="58"/>
  <c r="J21" i="58"/>
  <c r="P21" i="58"/>
  <c r="J10" i="54"/>
  <c r="P10" i="54"/>
  <c r="G10" i="54"/>
  <c r="I10" i="54"/>
  <c r="J13" i="54"/>
  <c r="P13" i="54"/>
  <c r="S13" i="54"/>
  <c r="G13" i="54"/>
  <c r="I13" i="54"/>
  <c r="J37" i="54"/>
  <c r="P37" i="54"/>
  <c r="G37" i="54"/>
  <c r="I37" i="54"/>
  <c r="G47" i="53"/>
  <c r="I47" i="53"/>
  <c r="J47" i="53"/>
  <c r="P47" i="53"/>
  <c r="Q7" i="54"/>
  <c r="S7" i="54"/>
  <c r="J40" i="57"/>
  <c r="P40" i="57"/>
  <c r="I44" i="55"/>
  <c r="J52" i="57"/>
  <c r="P52" i="57"/>
  <c r="G52" i="57"/>
  <c r="I52" i="57"/>
  <c r="G29" i="58"/>
  <c r="J18" i="54"/>
  <c r="P18" i="54"/>
  <c r="G18" i="54"/>
  <c r="I18" i="54"/>
  <c r="J41" i="54"/>
  <c r="P41" i="54"/>
  <c r="S41" i="54"/>
  <c r="G41" i="54"/>
  <c r="I41" i="54"/>
  <c r="G14" i="53"/>
  <c r="I14" i="53"/>
  <c r="J14" i="53"/>
  <c r="P14" i="53"/>
  <c r="J25" i="58"/>
  <c r="P25" i="58"/>
  <c r="G25" i="58"/>
  <c r="I25" i="58"/>
  <c r="J43" i="57"/>
  <c r="P43" i="57"/>
  <c r="G43" i="57"/>
  <c r="I43" i="57"/>
  <c r="J37" i="60"/>
  <c r="P37" i="60"/>
  <c r="G37" i="60"/>
  <c r="I37" i="60"/>
  <c r="G44" i="61"/>
  <c r="I44" i="61"/>
  <c r="J44" i="61"/>
  <c r="P44" i="61"/>
  <c r="G12" i="54"/>
  <c r="I12" i="54"/>
  <c r="J31" i="60"/>
  <c r="P31" i="60"/>
  <c r="I16" i="58"/>
  <c r="I33" i="55"/>
  <c r="I27" i="55"/>
  <c r="I41" i="55"/>
  <c r="J45" i="57"/>
  <c r="P45" i="57"/>
  <c r="G45" i="57"/>
  <c r="I45" i="57"/>
  <c r="J23" i="61"/>
  <c r="G23" i="61"/>
  <c r="I23" i="61"/>
  <c r="J29" i="54"/>
  <c r="P29" i="54"/>
  <c r="G29" i="54"/>
  <c r="I29" i="54"/>
  <c r="J33" i="54"/>
  <c r="P33" i="54"/>
  <c r="G33" i="54"/>
  <c r="I33" i="54"/>
  <c r="G47" i="58"/>
  <c r="J23" i="53"/>
  <c r="P23" i="53"/>
  <c r="G32" i="54"/>
  <c r="I32" i="54"/>
  <c r="J46" i="57"/>
  <c r="P46" i="57"/>
  <c r="G46" i="57"/>
  <c r="I46" i="57"/>
  <c r="G24" i="58"/>
  <c r="G22" i="60"/>
  <c r="I22" i="60"/>
  <c r="J22" i="60"/>
  <c r="P22" i="60"/>
  <c r="J49" i="54"/>
  <c r="P49" i="54"/>
  <c r="G49" i="54"/>
  <c r="I49" i="54"/>
  <c r="G30" i="57"/>
  <c r="I30" i="57"/>
  <c r="J30" i="57"/>
  <c r="P30" i="57"/>
  <c r="J40" i="58"/>
  <c r="P40" i="58"/>
  <c r="I15" i="55"/>
  <c r="J33" i="60"/>
  <c r="P33" i="60"/>
  <c r="J38" i="54"/>
  <c r="P38" i="54"/>
  <c r="S38" i="54"/>
  <c r="G38" i="54"/>
  <c r="I38" i="54"/>
  <c r="I46" i="58"/>
  <c r="J55" i="61"/>
  <c r="P55" i="61"/>
  <c r="J45" i="54"/>
  <c r="P45" i="54"/>
  <c r="S45" i="54"/>
  <c r="G45" i="54"/>
  <c r="I45" i="54"/>
  <c r="I40" i="55"/>
  <c r="J21" i="54"/>
  <c r="P21" i="54"/>
  <c r="I35" i="55"/>
  <c r="J13" i="58"/>
  <c r="G13" i="58"/>
  <c r="I13" i="58"/>
  <c r="J30" i="60"/>
  <c r="P30" i="60"/>
  <c r="G30" i="60"/>
  <c r="I30" i="60"/>
  <c r="J33" i="53"/>
  <c r="P33" i="53"/>
  <c r="G33" i="53"/>
  <c r="I33" i="53"/>
  <c r="J54" i="60"/>
  <c r="P54" i="60"/>
  <c r="J53" i="58"/>
  <c r="P53" i="58"/>
  <c r="J52" i="55"/>
  <c r="P52" i="55"/>
  <c r="G19" i="55"/>
  <c r="I18" i="55"/>
  <c r="I17" i="55"/>
  <c r="J14" i="55"/>
  <c r="P14" i="55"/>
  <c r="G9" i="52"/>
  <c r="I9" i="52"/>
  <c r="J12" i="55"/>
  <c r="P12" i="55"/>
  <c r="G12" i="55"/>
  <c r="K5" i="50"/>
  <c r="N4" i="50"/>
  <c r="N5" i="50"/>
  <c r="N6" i="50"/>
  <c r="K6" i="50"/>
  <c r="K4" i="50"/>
  <c r="C39" i="1"/>
  <c r="D39" i="1"/>
  <c r="C55" i="1"/>
  <c r="D55" i="1"/>
  <c r="C15" i="1"/>
  <c r="D15" i="1"/>
  <c r="C53" i="1"/>
  <c r="D53" i="1"/>
  <c r="C42" i="1"/>
  <c r="D42" i="1"/>
  <c r="C43" i="1"/>
  <c r="D43" i="1"/>
  <c r="C36" i="1"/>
  <c r="D36" i="1"/>
  <c r="C13" i="1"/>
  <c r="D13" i="1"/>
  <c r="C17" i="1"/>
  <c r="D17" i="1"/>
  <c r="C25" i="1"/>
  <c r="D25" i="1"/>
  <c r="C9" i="1"/>
  <c r="D9" i="1"/>
  <c r="C10" i="1"/>
  <c r="D10" i="1"/>
  <c r="C24" i="1"/>
  <c r="D24" i="1"/>
  <c r="C20" i="1"/>
  <c r="D20" i="1"/>
  <c r="C35" i="1"/>
  <c r="D35" i="1"/>
  <c r="C33" i="1"/>
  <c r="D33" i="1"/>
  <c r="C12" i="1"/>
  <c r="D12" i="1"/>
  <c r="C52" i="1"/>
  <c r="D52" i="1"/>
  <c r="C6" i="1"/>
  <c r="D6" i="1"/>
  <c r="C44" i="1"/>
  <c r="D44" i="1"/>
  <c r="C38" i="1"/>
  <c r="D38" i="1"/>
  <c r="C46" i="1"/>
  <c r="D46" i="1"/>
  <c r="C28" i="1"/>
  <c r="D28" i="1"/>
  <c r="C32" i="1"/>
  <c r="D32" i="1"/>
  <c r="C47" i="1"/>
  <c r="D47" i="1"/>
  <c r="C37" i="1"/>
  <c r="D37" i="1"/>
  <c r="C41" i="1"/>
  <c r="D41" i="1"/>
  <c r="C26" i="1"/>
  <c r="D26" i="1"/>
  <c r="C49" i="1"/>
  <c r="D49" i="1"/>
  <c r="C30" i="1"/>
  <c r="D30" i="1"/>
  <c r="C27" i="1"/>
  <c r="D27" i="1"/>
  <c r="C7" i="1"/>
  <c r="D7" i="1"/>
  <c r="C22" i="1"/>
  <c r="D22" i="1"/>
  <c r="C45" i="1"/>
  <c r="D45" i="1"/>
  <c r="C56" i="1"/>
  <c r="D56" i="1"/>
  <c r="C14" i="1"/>
  <c r="D14" i="1"/>
  <c r="C8" i="1"/>
  <c r="D8" i="1"/>
  <c r="C19" i="1"/>
  <c r="D19" i="1"/>
  <c r="C5" i="1"/>
  <c r="C18" i="1"/>
  <c r="D18" i="1"/>
  <c r="C21" i="1"/>
  <c r="D21" i="1"/>
  <c r="C16" i="1"/>
  <c r="D16" i="1"/>
  <c r="H53" i="55"/>
  <c r="H39" i="55"/>
  <c r="H21" i="55"/>
  <c r="I21" i="55"/>
  <c r="H22" i="55"/>
  <c r="I22" i="55"/>
  <c r="H55" i="55"/>
  <c r="I55" i="55"/>
  <c r="H36" i="55"/>
  <c r="J36" i="55"/>
  <c r="P36" i="55"/>
  <c r="H45" i="55"/>
  <c r="J45" i="55"/>
  <c r="P45" i="55"/>
  <c r="H41" i="55"/>
  <c r="J41" i="55"/>
  <c r="P41" i="55"/>
  <c r="S41" i="55"/>
  <c r="H56" i="55"/>
  <c r="J56" i="55"/>
  <c r="P56" i="55"/>
  <c r="H29" i="55"/>
  <c r="H11" i="55"/>
  <c r="H49" i="55"/>
  <c r="H28" i="55"/>
  <c r="H13" i="55"/>
  <c r="I13" i="55"/>
  <c r="H43" i="55"/>
  <c r="J43" i="55"/>
  <c r="P43" i="55"/>
  <c r="H42" i="55"/>
  <c r="J42" i="55"/>
  <c r="P42" i="55"/>
  <c r="H23" i="55"/>
  <c r="I23" i="55"/>
  <c r="H14" i="55"/>
  <c r="I14" i="55"/>
  <c r="H46" i="55"/>
  <c r="J46" i="55"/>
  <c r="P46" i="55"/>
  <c r="S46" i="55"/>
  <c r="H15" i="55"/>
  <c r="J15" i="55"/>
  <c r="P15" i="55"/>
  <c r="S15" i="55"/>
  <c r="H34" i="55"/>
  <c r="J34" i="55"/>
  <c r="P34" i="55"/>
  <c r="H37" i="55"/>
  <c r="I37" i="55"/>
  <c r="H9" i="55"/>
  <c r="H27" i="55"/>
  <c r="J27" i="55"/>
  <c r="P27" i="55"/>
  <c r="H25" i="55"/>
  <c r="H54" i="55"/>
  <c r="J54" i="55"/>
  <c r="P54" i="55"/>
  <c r="H26" i="55"/>
  <c r="H31" i="55"/>
  <c r="J31" i="55"/>
  <c r="P31" i="55"/>
  <c r="H50" i="55"/>
  <c r="I50" i="55"/>
  <c r="H51" i="55"/>
  <c r="J51" i="55"/>
  <c r="P51" i="55"/>
  <c r="H24" i="55"/>
  <c r="J24" i="55"/>
  <c r="P24" i="55"/>
  <c r="S24" i="55"/>
  <c r="H33" i="55"/>
  <c r="J33" i="55"/>
  <c r="P33" i="55"/>
  <c r="H12" i="55"/>
  <c r="H18" i="55"/>
  <c r="J18" i="55"/>
  <c r="P18" i="55"/>
  <c r="H38" i="55"/>
  <c r="H40" i="55"/>
  <c r="J40" i="55"/>
  <c r="P40" i="55"/>
  <c r="H47" i="55"/>
  <c r="J47" i="55"/>
  <c r="P47" i="55"/>
  <c r="H19" i="55"/>
  <c r="J19" i="55"/>
  <c r="P19" i="55"/>
  <c r="H48" i="55"/>
  <c r="J48" i="55"/>
  <c r="P48" i="55"/>
  <c r="H35" i="55"/>
  <c r="J35" i="55"/>
  <c r="P35" i="55"/>
  <c r="H52" i="55"/>
  <c r="I52" i="55"/>
  <c r="H30" i="55"/>
  <c r="I30" i="55"/>
  <c r="H16" i="55"/>
  <c r="I16" i="55"/>
  <c r="H20" i="55"/>
  <c r="I20" i="55"/>
  <c r="H17" i="55"/>
  <c r="J17" i="55"/>
  <c r="P17" i="55"/>
  <c r="H44" i="55"/>
  <c r="C42" i="56"/>
  <c r="D42" i="56"/>
  <c r="C53" i="56"/>
  <c r="D53" i="56"/>
  <c r="C37" i="56"/>
  <c r="D37" i="56"/>
  <c r="C21" i="56"/>
  <c r="D21" i="56"/>
  <c r="C32" i="56"/>
  <c r="D32" i="56"/>
  <c r="C12" i="56"/>
  <c r="D12" i="56"/>
  <c r="C13" i="56"/>
  <c r="D13" i="56"/>
  <c r="C10" i="56"/>
  <c r="C17" i="56"/>
  <c r="D17" i="56"/>
  <c r="C43" i="56"/>
  <c r="D43" i="56"/>
  <c r="C29" i="56"/>
  <c r="D29" i="56"/>
  <c r="C39" i="56"/>
  <c r="D39" i="56"/>
  <c r="C48" i="56"/>
  <c r="D48" i="56"/>
  <c r="C11" i="56"/>
  <c r="D11" i="56"/>
  <c r="C38" i="56"/>
  <c r="D38" i="56"/>
  <c r="C27" i="56"/>
  <c r="D27" i="56"/>
  <c r="C33" i="56"/>
  <c r="D33" i="56"/>
  <c r="C28" i="56"/>
  <c r="D28" i="56"/>
  <c r="C19" i="56"/>
  <c r="D19" i="56"/>
  <c r="C20" i="56"/>
  <c r="D20" i="56"/>
  <c r="C34" i="56"/>
  <c r="D34" i="56"/>
  <c r="C35" i="56"/>
  <c r="D35" i="56"/>
  <c r="C56" i="56"/>
  <c r="D56" i="56"/>
  <c r="C40" i="56"/>
  <c r="D40" i="56"/>
  <c r="C44" i="56"/>
  <c r="D44" i="56"/>
  <c r="C18" i="56"/>
  <c r="D18" i="56"/>
  <c r="C55" i="56"/>
  <c r="D55" i="56"/>
  <c r="C22" i="56"/>
  <c r="D22" i="56"/>
  <c r="C49" i="56"/>
  <c r="D49" i="56"/>
  <c r="C25" i="56"/>
  <c r="D25" i="56"/>
  <c r="C46" i="56"/>
  <c r="D46" i="56"/>
  <c r="C54" i="56"/>
  <c r="D54" i="56"/>
  <c r="C23" i="56"/>
  <c r="D23" i="56"/>
  <c r="C47" i="56"/>
  <c r="D47" i="56"/>
  <c r="C24" i="56"/>
  <c r="D24" i="56"/>
  <c r="D27" i="57"/>
  <c r="D56" i="57"/>
  <c r="D15" i="57"/>
  <c r="D34" i="57"/>
  <c r="D12" i="57"/>
  <c r="D20" i="57"/>
  <c r="D13" i="57"/>
  <c r="D35" i="57"/>
  <c r="D16" i="57"/>
  <c r="D47" i="57"/>
  <c r="H50" i="58"/>
  <c r="J50" i="58"/>
  <c r="P50" i="58"/>
  <c r="H46" i="58"/>
  <c r="J46" i="58"/>
  <c r="P46" i="58"/>
  <c r="H12" i="58"/>
  <c r="H12" i="59"/>
  <c r="J12" i="59"/>
  <c r="H16" i="58"/>
  <c r="J16" i="58"/>
  <c r="P16" i="58"/>
  <c r="H14" i="58"/>
  <c r="I14" i="58"/>
  <c r="H26" i="58"/>
  <c r="I26" i="58"/>
  <c r="H35" i="58"/>
  <c r="H17" i="58"/>
  <c r="J17" i="58"/>
  <c r="P17" i="58"/>
  <c r="H15" i="58"/>
  <c r="I15" i="58"/>
  <c r="H28" i="58"/>
  <c r="J28" i="58"/>
  <c r="P28" i="58"/>
  <c r="H27" i="58"/>
  <c r="J27" i="58"/>
  <c r="P27" i="58"/>
  <c r="H47" i="58"/>
  <c r="J47" i="58"/>
  <c r="P47" i="58"/>
  <c r="H36" i="58"/>
  <c r="H51" i="58"/>
  <c r="I51" i="58"/>
  <c r="H30" i="58"/>
  <c r="H32" i="58"/>
  <c r="I32" i="58"/>
  <c r="H52" i="58"/>
  <c r="I52" i="58"/>
  <c r="H41" i="58"/>
  <c r="I41" i="58"/>
  <c r="H53" i="58"/>
  <c r="I53" i="58"/>
  <c r="H44" i="58"/>
  <c r="J44" i="58"/>
  <c r="P44" i="58"/>
  <c r="H33" i="58"/>
  <c r="J33" i="58"/>
  <c r="P33" i="58"/>
  <c r="H45" i="58"/>
  <c r="H43" i="58"/>
  <c r="H56" i="58"/>
  <c r="H18" i="58"/>
  <c r="H42" i="58"/>
  <c r="I42" i="58"/>
  <c r="H55" i="58"/>
  <c r="I55" i="58"/>
  <c r="H34" i="58"/>
  <c r="J34" i="58"/>
  <c r="P34" i="58"/>
  <c r="H29" i="58"/>
  <c r="J29" i="58"/>
  <c r="P29" i="58"/>
  <c r="H37" i="58"/>
  <c r="J37" i="58"/>
  <c r="P37" i="58"/>
  <c r="H38" i="58"/>
  <c r="I38" i="58"/>
  <c r="H40" i="58"/>
  <c r="I40" i="58"/>
  <c r="H24" i="58"/>
  <c r="J24" i="58"/>
  <c r="P24" i="58"/>
  <c r="H48" i="58"/>
  <c r="J48" i="58"/>
  <c r="P48" i="58"/>
  <c r="H39" i="58"/>
  <c r="H19" i="58"/>
  <c r="C55" i="59"/>
  <c r="D55" i="59"/>
  <c r="C32" i="59"/>
  <c r="D32" i="59"/>
  <c r="C33" i="59"/>
  <c r="D33" i="59"/>
  <c r="C15" i="59"/>
  <c r="D15" i="59"/>
  <c r="C13" i="59"/>
  <c r="C37" i="59"/>
  <c r="D37" i="59"/>
  <c r="C30" i="59"/>
  <c r="D30" i="59"/>
  <c r="C29" i="59"/>
  <c r="D29" i="59"/>
  <c r="C38" i="59"/>
  <c r="D38" i="59"/>
  <c r="C25" i="59"/>
  <c r="D25" i="59"/>
  <c r="C22" i="59"/>
  <c r="D22" i="59"/>
  <c r="C51" i="59"/>
  <c r="D51" i="59"/>
  <c r="C54" i="59"/>
  <c r="D54" i="59"/>
  <c r="C44" i="59"/>
  <c r="D44" i="59"/>
  <c r="C23" i="59"/>
  <c r="D23" i="59"/>
  <c r="C21" i="59"/>
  <c r="D21" i="59"/>
  <c r="C53" i="59"/>
  <c r="D53" i="59"/>
  <c r="C35" i="59"/>
  <c r="D35" i="59"/>
  <c r="C48" i="59"/>
  <c r="D48" i="59"/>
  <c r="C19" i="59"/>
  <c r="D19" i="59"/>
  <c r="C24" i="59"/>
  <c r="D24" i="59"/>
  <c r="C39" i="59"/>
  <c r="D39" i="59"/>
  <c r="C42" i="59"/>
  <c r="D42" i="59"/>
  <c r="C18" i="59"/>
  <c r="D18" i="59"/>
  <c r="C28" i="59"/>
  <c r="D28" i="59"/>
  <c r="C45" i="59"/>
  <c r="D45" i="59"/>
  <c r="C14" i="59"/>
  <c r="D14" i="59"/>
  <c r="C50" i="59"/>
  <c r="D50" i="59"/>
  <c r="C56" i="59"/>
  <c r="D56" i="59"/>
  <c r="C36" i="59"/>
  <c r="D36" i="59"/>
  <c r="C41" i="59"/>
  <c r="D41" i="59"/>
  <c r="C40" i="59"/>
  <c r="D40" i="59"/>
  <c r="C16" i="59"/>
  <c r="D16" i="59"/>
  <c r="C43" i="59"/>
  <c r="D43" i="59"/>
  <c r="C31" i="59"/>
  <c r="D31" i="59"/>
  <c r="C52" i="59"/>
  <c r="D52" i="59"/>
  <c r="C46" i="59"/>
  <c r="D46" i="59"/>
  <c r="C17" i="59"/>
  <c r="D17" i="59"/>
  <c r="C27" i="59"/>
  <c r="D27" i="59"/>
  <c r="C34" i="59"/>
  <c r="D34" i="59"/>
  <c r="C49" i="59"/>
  <c r="D49" i="59"/>
  <c r="C47" i="59"/>
  <c r="D47" i="59"/>
  <c r="C26" i="59"/>
  <c r="D26" i="59"/>
  <c r="S61" i="59"/>
  <c r="S58" i="59"/>
  <c r="J42" i="58"/>
  <c r="P42" i="58"/>
  <c r="J44" i="55"/>
  <c r="P44" i="55"/>
  <c r="J23" i="55"/>
  <c r="P23" i="55"/>
  <c r="I49" i="55"/>
  <c r="J20" i="55"/>
  <c r="P20" i="55"/>
  <c r="I36" i="55"/>
  <c r="G44" i="52"/>
  <c r="I44" i="52"/>
  <c r="G38" i="52"/>
  <c r="I38" i="52"/>
  <c r="D54" i="57"/>
  <c r="D36" i="57"/>
  <c r="J9" i="55"/>
  <c r="P9" i="55"/>
  <c r="D37" i="57"/>
  <c r="D42" i="57"/>
  <c r="J40" i="52"/>
  <c r="G40" i="52"/>
  <c r="I40" i="52"/>
  <c r="E7" i="52"/>
  <c r="F7" i="52"/>
  <c r="J7" i="52"/>
  <c r="C6" i="53"/>
  <c r="D6" i="53"/>
  <c r="D6" i="52"/>
  <c r="E51" i="52"/>
  <c r="F51" i="52"/>
  <c r="J51" i="52"/>
  <c r="D55" i="57"/>
  <c r="D26" i="57"/>
  <c r="D39" i="57"/>
  <c r="D29" i="57"/>
  <c r="D31" i="57"/>
  <c r="D41" i="57"/>
  <c r="D50" i="57"/>
  <c r="I55" i="52"/>
  <c r="G25" i="52"/>
  <c r="I25" i="52"/>
  <c r="J49" i="55"/>
  <c r="P49" i="55"/>
  <c r="S49" i="55"/>
  <c r="D32" i="57"/>
  <c r="D19" i="57"/>
  <c r="D28" i="57"/>
  <c r="D49" i="57"/>
  <c r="D48" i="57"/>
  <c r="D18" i="57"/>
  <c r="G53" i="52"/>
  <c r="I53" i="52"/>
  <c r="E29" i="52"/>
  <c r="F29" i="52"/>
  <c r="J29" i="52"/>
  <c r="E44" i="60"/>
  <c r="F44" i="60"/>
  <c r="J44" i="60"/>
  <c r="P44" i="60"/>
  <c r="G44" i="60"/>
  <c r="I44" i="60"/>
  <c r="E12" i="52"/>
  <c r="F12" i="52"/>
  <c r="J12" i="52"/>
  <c r="K11" i="50"/>
  <c r="K12" i="50"/>
  <c r="E43" i="52"/>
  <c r="F43" i="52"/>
  <c r="J43" i="52"/>
  <c r="P43" i="52"/>
  <c r="K10" i="50"/>
  <c r="N8" i="50"/>
  <c r="N9" i="50"/>
  <c r="K9" i="50"/>
  <c r="O25" i="58"/>
  <c r="S25" i="58" s="1"/>
  <c r="O25" i="59"/>
  <c r="O26" i="58"/>
  <c r="O59" i="58"/>
  <c r="S59" i="58" s="1"/>
  <c r="N24" i="52"/>
  <c r="N24" i="53"/>
  <c r="S24" i="53"/>
  <c r="N23" i="52"/>
  <c r="P23" i="52"/>
  <c r="N23" i="53"/>
  <c r="N47" i="52"/>
  <c r="N47" i="53"/>
  <c r="O69" i="53"/>
  <c r="S69" i="53" s="1"/>
  <c r="O54" i="53"/>
  <c r="O10" i="53"/>
  <c r="S10" i="53"/>
  <c r="O53" i="53"/>
  <c r="O55" i="53"/>
  <c r="O61" i="58"/>
  <c r="S61" i="58"/>
  <c r="O29" i="58"/>
  <c r="S29" i="58"/>
  <c r="O29" i="57"/>
  <c r="O42" i="57"/>
  <c r="O57" i="57"/>
  <c r="S57" i="57"/>
  <c r="O55" i="58"/>
  <c r="O69" i="58"/>
  <c r="S69" i="58" s="1"/>
  <c r="O69" i="57"/>
  <c r="S69" i="57" s="1"/>
  <c r="O52" i="58"/>
  <c r="O52" i="57"/>
  <c r="S52" i="57" s="1"/>
  <c r="O32" i="57"/>
  <c r="S32" i="57" s="1"/>
  <c r="O32" i="58"/>
  <c r="O21" i="53"/>
  <c r="P47" i="52"/>
  <c r="O31" i="52"/>
  <c r="S37" i="54"/>
  <c r="O14" i="59"/>
  <c r="O14" i="58"/>
  <c r="O22" i="59"/>
  <c r="S22" i="59" s="1"/>
  <c r="O34" i="59"/>
  <c r="O17" i="58"/>
  <c r="S17" i="58" s="1"/>
  <c r="O17" i="59"/>
  <c r="N37" i="52"/>
  <c r="N37" i="53"/>
  <c r="S37" i="53"/>
  <c r="N43" i="53"/>
  <c r="N43" i="52"/>
  <c r="N26" i="52"/>
  <c r="N26" i="53"/>
  <c r="S26" i="53"/>
  <c r="O15" i="53"/>
  <c r="O15" i="52"/>
  <c r="S15" i="52" s="1"/>
  <c r="O34" i="53"/>
  <c r="O39" i="53"/>
  <c r="O39" i="52"/>
  <c r="O12" i="53"/>
  <c r="O47" i="52"/>
  <c r="O67" i="53"/>
  <c r="S67" i="53"/>
  <c r="O68" i="58"/>
  <c r="S68" i="58" s="1"/>
  <c r="O19" i="58"/>
  <c r="S19" i="58" s="1"/>
  <c r="O19" i="57"/>
  <c r="O67" i="57"/>
  <c r="S67" i="57" s="1"/>
  <c r="O40" i="58"/>
  <c r="O40" i="57"/>
  <c r="S40" i="57"/>
  <c r="O56" i="57"/>
  <c r="O16" i="58"/>
  <c r="S16" i="58" s="1"/>
  <c r="O16" i="57"/>
  <c r="O60" i="57"/>
  <c r="S60" i="57" s="1"/>
  <c r="O15" i="58"/>
  <c r="S15" i="58" s="1"/>
  <c r="P48" i="52"/>
  <c r="P24" i="52"/>
  <c r="S18" i="60"/>
  <c r="O36" i="59"/>
  <c r="S36" i="59" s="1"/>
  <c r="O36" i="58"/>
  <c r="S36" i="58" s="1"/>
  <c r="N20" i="52"/>
  <c r="S20" i="52"/>
  <c r="N20" i="53"/>
  <c r="S20" i="53"/>
  <c r="N52" i="52"/>
  <c r="P52" i="52"/>
  <c r="N52" i="53"/>
  <c r="P41" i="52"/>
  <c r="N41" i="52"/>
  <c r="N41" i="53"/>
  <c r="O36" i="52"/>
  <c r="O36" i="53"/>
  <c r="O38" i="53"/>
  <c r="S38" i="53" s="1"/>
  <c r="O60" i="53"/>
  <c r="S60" i="53" s="1"/>
  <c r="O27" i="58"/>
  <c r="S27" i="58" s="1"/>
  <c r="O27" i="57"/>
  <c r="O50" i="57"/>
  <c r="S50" i="57" s="1"/>
  <c r="O50" i="58"/>
  <c r="S50" i="58" s="1"/>
  <c r="O24" i="57"/>
  <c r="S24" i="57"/>
  <c r="O47" i="58"/>
  <c r="S47" i="58" s="1"/>
  <c r="O47" i="57"/>
  <c r="S47" i="57" s="1"/>
  <c r="O58" i="57"/>
  <c r="S58" i="57" s="1"/>
  <c r="O58" i="58"/>
  <c r="S58" i="58" s="1"/>
  <c r="O44" i="58"/>
  <c r="S44" i="58" s="1"/>
  <c r="O44" i="57"/>
  <c r="S44" i="57" s="1"/>
  <c r="O37" i="58"/>
  <c r="S37" i="58" s="1"/>
  <c r="O37" i="57"/>
  <c r="O38" i="58"/>
  <c r="O38" i="59"/>
  <c r="S40" i="58"/>
  <c r="O21" i="58"/>
  <c r="S21" i="58"/>
  <c r="O21" i="59"/>
  <c r="O31" i="59"/>
  <c r="S31" i="59" s="1"/>
  <c r="O28" i="59"/>
  <c r="O28" i="58"/>
  <c r="S28" i="58" s="1"/>
  <c r="O33" i="58"/>
  <c r="S33" i="58" s="1"/>
  <c r="O65" i="58"/>
  <c r="S65" i="58" s="1"/>
  <c r="O54" i="57"/>
  <c r="S54" i="57" s="1"/>
  <c r="O54" i="58"/>
  <c r="S54" i="58" s="1"/>
  <c r="O30" i="58"/>
  <c r="S30" i="58" s="1"/>
  <c r="O30" i="57"/>
  <c r="S30" i="57" s="1"/>
  <c r="O39" i="58"/>
  <c r="S39" i="58" s="1"/>
  <c r="O51" i="58"/>
  <c r="O20" i="57"/>
  <c r="S20" i="57" s="1"/>
  <c r="O20" i="58"/>
  <c r="S20" i="58"/>
  <c r="O48" i="57"/>
  <c r="S48" i="57"/>
  <c r="O33" i="53"/>
  <c r="P55" i="52"/>
  <c r="O66" i="58"/>
  <c r="S66" i="58" s="1"/>
  <c r="P20" i="52"/>
  <c r="N8" i="53"/>
  <c r="S19" i="54"/>
  <c r="N55" i="53"/>
  <c r="G28" i="57"/>
  <c r="I28" i="57"/>
  <c r="E28" i="57"/>
  <c r="F28" i="57"/>
  <c r="J28" i="57"/>
  <c r="P28" i="57"/>
  <c r="E49" i="59"/>
  <c r="F49" i="59"/>
  <c r="J49" i="59"/>
  <c r="P49" i="59"/>
  <c r="E24" i="59"/>
  <c r="F24" i="59"/>
  <c r="J24" i="59"/>
  <c r="P24" i="59"/>
  <c r="G24" i="59"/>
  <c r="I24" i="59"/>
  <c r="E55" i="59"/>
  <c r="F55" i="59"/>
  <c r="J55" i="59"/>
  <c r="P55" i="59"/>
  <c r="J18" i="58"/>
  <c r="P18" i="58"/>
  <c r="I18" i="58"/>
  <c r="J36" i="58"/>
  <c r="P36" i="58"/>
  <c r="I36" i="58"/>
  <c r="E44" i="56"/>
  <c r="F44" i="56"/>
  <c r="J44" i="56"/>
  <c r="P44" i="56"/>
  <c r="E17" i="56"/>
  <c r="F17" i="56"/>
  <c r="J17" i="56"/>
  <c r="P17" i="56"/>
  <c r="I26" i="55"/>
  <c r="J26" i="55"/>
  <c r="P26" i="55"/>
  <c r="E21" i="1"/>
  <c r="F21" i="1"/>
  <c r="J21" i="1"/>
  <c r="G21" i="1"/>
  <c r="I21" i="1"/>
  <c r="E49" i="1"/>
  <c r="F49" i="1"/>
  <c r="J49" i="1"/>
  <c r="E12" i="1"/>
  <c r="F12" i="1"/>
  <c r="J12" i="1"/>
  <c r="G12" i="1"/>
  <c r="I12" i="1"/>
  <c r="J52" i="58"/>
  <c r="P52" i="58"/>
  <c r="J15" i="58"/>
  <c r="P15" i="58"/>
  <c r="E31" i="57"/>
  <c r="F31" i="57"/>
  <c r="J31" i="57"/>
  <c r="P31" i="57"/>
  <c r="G31" i="57"/>
  <c r="I31" i="57"/>
  <c r="E6" i="53"/>
  <c r="F6" i="53"/>
  <c r="J6" i="53"/>
  <c r="E56" i="59"/>
  <c r="F56" i="59"/>
  <c r="J56" i="59"/>
  <c r="P56" i="59"/>
  <c r="E54" i="59"/>
  <c r="F54" i="59"/>
  <c r="J54" i="59"/>
  <c r="G54" i="59"/>
  <c r="I54" i="59"/>
  <c r="D13" i="59"/>
  <c r="C13" i="60"/>
  <c r="D13" i="60"/>
  <c r="E13" i="57"/>
  <c r="F13" i="57"/>
  <c r="J13" i="57"/>
  <c r="P13" i="57"/>
  <c r="S13" i="57"/>
  <c r="G13" i="57"/>
  <c r="I13" i="57"/>
  <c r="E34" i="56"/>
  <c r="F34" i="56"/>
  <c r="J34" i="56"/>
  <c r="P34" i="56"/>
  <c r="G34" i="56"/>
  <c r="I34" i="56"/>
  <c r="J38" i="55"/>
  <c r="P38" i="55"/>
  <c r="I38" i="55"/>
  <c r="E22" i="1"/>
  <c r="F22" i="1"/>
  <c r="J22" i="1"/>
  <c r="E38" i="1"/>
  <c r="F38" i="1"/>
  <c r="J38" i="1"/>
  <c r="E17" i="1"/>
  <c r="F17" i="1"/>
  <c r="J17" i="1"/>
  <c r="E39" i="1"/>
  <c r="F39" i="1"/>
  <c r="J39" i="1"/>
  <c r="G39" i="1"/>
  <c r="I39" i="1"/>
  <c r="J14" i="58"/>
  <c r="P14" i="58"/>
  <c r="I24" i="58"/>
  <c r="I33" i="58"/>
  <c r="I11" i="57"/>
  <c r="Q11" i="58"/>
  <c r="S11" i="58"/>
  <c r="E18" i="57"/>
  <c r="F18" i="57"/>
  <c r="J18" i="57"/>
  <c r="P18" i="57"/>
  <c r="G18" i="57"/>
  <c r="I18" i="57"/>
  <c r="E19" i="57"/>
  <c r="F19" i="57"/>
  <c r="J19" i="57"/>
  <c r="P19" i="57"/>
  <c r="S19" i="57"/>
  <c r="E29" i="57"/>
  <c r="F29" i="57"/>
  <c r="J29" i="57"/>
  <c r="P29" i="57"/>
  <c r="G51" i="52"/>
  <c r="I51" i="52"/>
  <c r="G7" i="52"/>
  <c r="I7" i="52"/>
  <c r="I24" i="55"/>
  <c r="E36" i="57"/>
  <c r="F36" i="57"/>
  <c r="J36" i="57"/>
  <c r="P36" i="57"/>
  <c r="S36" i="57"/>
  <c r="G36" i="57"/>
  <c r="I36" i="57"/>
  <c r="I45" i="55"/>
  <c r="E34" i="59"/>
  <c r="F34" i="59"/>
  <c r="J34" i="59"/>
  <c r="G34" i="59"/>
  <c r="I34" i="59"/>
  <c r="E52" i="59"/>
  <c r="F52" i="59"/>
  <c r="J52" i="59"/>
  <c r="P52" i="59"/>
  <c r="E40" i="59"/>
  <c r="F40" i="59"/>
  <c r="J40" i="59"/>
  <c r="P40" i="59"/>
  <c r="G40" i="59"/>
  <c r="I40" i="59"/>
  <c r="E50" i="59"/>
  <c r="F50" i="59"/>
  <c r="J50" i="59"/>
  <c r="P50" i="59"/>
  <c r="S50" i="59"/>
  <c r="E18" i="59"/>
  <c r="F18" i="59"/>
  <c r="J18" i="59"/>
  <c r="P18" i="59"/>
  <c r="G18" i="59"/>
  <c r="I18" i="59"/>
  <c r="E19" i="59"/>
  <c r="F19" i="59"/>
  <c r="J19" i="59"/>
  <c r="P19" i="59"/>
  <c r="S19" i="59"/>
  <c r="E21" i="59"/>
  <c r="F21" i="59"/>
  <c r="J21" i="59"/>
  <c r="P21" i="59"/>
  <c r="S21" i="59"/>
  <c r="G21" i="59"/>
  <c r="I21" i="59"/>
  <c r="E51" i="59"/>
  <c r="F51" i="59"/>
  <c r="J51" i="59"/>
  <c r="P51" i="59"/>
  <c r="E29" i="59"/>
  <c r="F29" i="59"/>
  <c r="J29" i="59"/>
  <c r="P29" i="59"/>
  <c r="G29" i="59"/>
  <c r="I29" i="59"/>
  <c r="E15" i="59"/>
  <c r="F15" i="59"/>
  <c r="J15" i="59"/>
  <c r="P15" i="59"/>
  <c r="J19" i="58"/>
  <c r="P19" i="58"/>
  <c r="I19" i="58"/>
  <c r="J56" i="58"/>
  <c r="P56" i="58"/>
  <c r="I56" i="58"/>
  <c r="E47" i="57"/>
  <c r="F47" i="57"/>
  <c r="J47" i="57"/>
  <c r="P47" i="57"/>
  <c r="G47" i="57"/>
  <c r="I47" i="57"/>
  <c r="G20" i="57"/>
  <c r="I20" i="57"/>
  <c r="E20" i="57"/>
  <c r="F20" i="57"/>
  <c r="J20" i="57"/>
  <c r="P20" i="57"/>
  <c r="E56" i="57"/>
  <c r="F56" i="57"/>
  <c r="J56" i="57"/>
  <c r="P56" i="57"/>
  <c r="S56" i="57"/>
  <c r="G56" i="57"/>
  <c r="I56" i="57"/>
  <c r="E54" i="56"/>
  <c r="F54" i="56"/>
  <c r="J54" i="56"/>
  <c r="P54" i="56"/>
  <c r="S54" i="56"/>
  <c r="E22" i="56"/>
  <c r="F22" i="56"/>
  <c r="J22" i="56"/>
  <c r="P22" i="56"/>
  <c r="E40" i="56"/>
  <c r="F40" i="56"/>
  <c r="J40" i="56"/>
  <c r="P40" i="56"/>
  <c r="G40" i="56"/>
  <c r="I40" i="56"/>
  <c r="E20" i="56"/>
  <c r="F20" i="56"/>
  <c r="J20" i="56"/>
  <c r="P20" i="56"/>
  <c r="E27" i="56"/>
  <c r="F27" i="56"/>
  <c r="J27" i="56"/>
  <c r="P27" i="56"/>
  <c r="G27" i="56"/>
  <c r="I27" i="56"/>
  <c r="E39" i="56"/>
  <c r="F39" i="56"/>
  <c r="J39" i="56"/>
  <c r="P39" i="56"/>
  <c r="C10" i="57"/>
  <c r="D10" i="57"/>
  <c r="D10" i="56"/>
  <c r="E21" i="56"/>
  <c r="F21" i="56"/>
  <c r="J21" i="56"/>
  <c r="P21" i="56"/>
  <c r="J29" i="55"/>
  <c r="P29" i="55"/>
  <c r="I29" i="55"/>
  <c r="J39" i="55"/>
  <c r="P39" i="55"/>
  <c r="S39" i="55"/>
  <c r="I39" i="55"/>
  <c r="E18" i="1"/>
  <c r="F18" i="1"/>
  <c r="J18" i="1"/>
  <c r="E14" i="1"/>
  <c r="F14" i="1"/>
  <c r="J14" i="1"/>
  <c r="E7" i="1"/>
  <c r="F7" i="1"/>
  <c r="J7" i="1"/>
  <c r="G7" i="1"/>
  <c r="I7" i="1"/>
  <c r="E26" i="1"/>
  <c r="F26" i="1"/>
  <c r="J26" i="1"/>
  <c r="E32" i="1"/>
  <c r="F32" i="1"/>
  <c r="J32" i="1"/>
  <c r="G32" i="1"/>
  <c r="I32" i="1"/>
  <c r="E44" i="1"/>
  <c r="F44" i="1"/>
  <c r="J44" i="1"/>
  <c r="E33" i="1"/>
  <c r="F33" i="1"/>
  <c r="J33" i="1"/>
  <c r="G33" i="1"/>
  <c r="I33" i="1"/>
  <c r="E10" i="1"/>
  <c r="F10" i="1"/>
  <c r="J10" i="1"/>
  <c r="E13" i="1"/>
  <c r="F13" i="1"/>
  <c r="J13" i="1"/>
  <c r="G13" i="1"/>
  <c r="I13" i="1"/>
  <c r="E53" i="1"/>
  <c r="F53" i="1"/>
  <c r="J53" i="1"/>
  <c r="J13" i="55"/>
  <c r="P13" i="55"/>
  <c r="J51" i="58"/>
  <c r="P51" i="58"/>
  <c r="S51" i="58"/>
  <c r="J22" i="55"/>
  <c r="P22" i="55"/>
  <c r="J50" i="55"/>
  <c r="P50" i="55"/>
  <c r="J55" i="58"/>
  <c r="P55" i="58"/>
  <c r="S55" i="58"/>
  <c r="I48" i="58"/>
  <c r="I48" i="55"/>
  <c r="I34" i="55"/>
  <c r="I47" i="58"/>
  <c r="I17" i="58"/>
  <c r="I46" i="55"/>
  <c r="I50" i="58"/>
  <c r="I29" i="58"/>
  <c r="I44" i="58"/>
  <c r="I54" i="55"/>
  <c r="E55" i="57"/>
  <c r="F55" i="57"/>
  <c r="J55" i="57"/>
  <c r="P55" i="57"/>
  <c r="E16" i="59"/>
  <c r="F16" i="59"/>
  <c r="J16" i="59"/>
  <c r="E53" i="59"/>
  <c r="F53" i="59"/>
  <c r="J53" i="59"/>
  <c r="P53" i="59"/>
  <c r="G53" i="59"/>
  <c r="I53" i="59"/>
  <c r="E49" i="56"/>
  <c r="F49" i="56"/>
  <c r="J49" i="56"/>
  <c r="P49" i="56"/>
  <c r="S49" i="56"/>
  <c r="G49" i="56"/>
  <c r="I49" i="56"/>
  <c r="E48" i="56"/>
  <c r="F48" i="56"/>
  <c r="J48" i="56"/>
  <c r="P48" i="56"/>
  <c r="E42" i="56"/>
  <c r="F42" i="56"/>
  <c r="J42" i="56"/>
  <c r="P42" i="56"/>
  <c r="G42" i="56"/>
  <c r="I42" i="56"/>
  <c r="J11" i="55"/>
  <c r="P11" i="55"/>
  <c r="S11" i="55"/>
  <c r="I11" i="55"/>
  <c r="G8" i="1"/>
  <c r="I8" i="1"/>
  <c r="E8" i="1"/>
  <c r="F8" i="1"/>
  <c r="J8" i="1"/>
  <c r="E47" i="1"/>
  <c r="F47" i="1"/>
  <c r="J47" i="1"/>
  <c r="G47" i="1"/>
  <c r="I47" i="1"/>
  <c r="G24" i="1"/>
  <c r="I24" i="1"/>
  <c r="E24" i="1"/>
  <c r="F24" i="1"/>
  <c r="J24" i="1"/>
  <c r="E42" i="1"/>
  <c r="F42" i="1"/>
  <c r="J42" i="1"/>
  <c r="G42" i="1"/>
  <c r="I42" i="1"/>
  <c r="G43" i="52"/>
  <c r="I43" i="52"/>
  <c r="G12" i="52"/>
  <c r="I12" i="52"/>
  <c r="G29" i="52"/>
  <c r="I29" i="52"/>
  <c r="E48" i="57"/>
  <c r="F48" i="57"/>
  <c r="J48" i="57"/>
  <c r="P48" i="57"/>
  <c r="E32" i="57"/>
  <c r="F32" i="57"/>
  <c r="J32" i="57"/>
  <c r="P32" i="57"/>
  <c r="G32" i="57"/>
  <c r="I32" i="57"/>
  <c r="E50" i="57"/>
  <c r="F50" i="57"/>
  <c r="J50" i="57"/>
  <c r="P50" i="57"/>
  <c r="E39" i="57"/>
  <c r="F39" i="57"/>
  <c r="J39" i="57"/>
  <c r="P39" i="57"/>
  <c r="G39" i="57"/>
  <c r="I39" i="57"/>
  <c r="E42" i="57"/>
  <c r="F42" i="57"/>
  <c r="J42" i="57"/>
  <c r="P42" i="57"/>
  <c r="S42" i="57"/>
  <c r="G42" i="57"/>
  <c r="I42" i="57"/>
  <c r="G54" i="57"/>
  <c r="I54" i="57"/>
  <c r="E54" i="57"/>
  <c r="F54" i="57"/>
  <c r="J54" i="57"/>
  <c r="P54" i="57"/>
  <c r="E26" i="59"/>
  <c r="F26" i="59"/>
  <c r="J26" i="59"/>
  <c r="P26" i="59"/>
  <c r="G26" i="59"/>
  <c r="I26" i="59"/>
  <c r="E27" i="59"/>
  <c r="F27" i="59"/>
  <c r="J27" i="59"/>
  <c r="P27" i="59"/>
  <c r="E31" i="59"/>
  <c r="F31" i="59"/>
  <c r="J31" i="59"/>
  <c r="P31" i="59"/>
  <c r="G31" i="59"/>
  <c r="I31" i="59"/>
  <c r="E41" i="59"/>
  <c r="F41" i="59"/>
  <c r="J41" i="59"/>
  <c r="P41" i="59"/>
  <c r="E14" i="59"/>
  <c r="F14" i="59"/>
  <c r="J14" i="59"/>
  <c r="P14" i="59"/>
  <c r="S14" i="59"/>
  <c r="G14" i="59"/>
  <c r="I14" i="59"/>
  <c r="E42" i="59"/>
  <c r="F42" i="59"/>
  <c r="J42" i="59"/>
  <c r="P42" i="59"/>
  <c r="E48" i="59"/>
  <c r="F48" i="59"/>
  <c r="J48" i="59"/>
  <c r="P48" i="59"/>
  <c r="G48" i="59"/>
  <c r="I48" i="59"/>
  <c r="E23" i="59"/>
  <c r="F23" i="59"/>
  <c r="J23" i="59"/>
  <c r="P23" i="59"/>
  <c r="S23" i="59"/>
  <c r="E22" i="59"/>
  <c r="F22" i="59"/>
  <c r="J22" i="59"/>
  <c r="P22" i="59"/>
  <c r="G22" i="59"/>
  <c r="I22" i="59"/>
  <c r="E30" i="59"/>
  <c r="F30" i="59"/>
  <c r="J30" i="59"/>
  <c r="P30" i="59"/>
  <c r="S30" i="59"/>
  <c r="E33" i="59"/>
  <c r="F33" i="59"/>
  <c r="J33" i="59"/>
  <c r="P33" i="59"/>
  <c r="G33" i="59"/>
  <c r="I33" i="59"/>
  <c r="J39" i="58"/>
  <c r="P39" i="58"/>
  <c r="I39" i="58"/>
  <c r="J43" i="58"/>
  <c r="P43" i="58"/>
  <c r="I43" i="58"/>
  <c r="J30" i="58"/>
  <c r="P30" i="58"/>
  <c r="I30" i="58"/>
  <c r="J35" i="58"/>
  <c r="P35" i="58"/>
  <c r="S35" i="58"/>
  <c r="I35" i="58"/>
  <c r="E16" i="57"/>
  <c r="F16" i="57"/>
  <c r="J16" i="57"/>
  <c r="P16" i="57"/>
  <c r="G16" i="57"/>
  <c r="I16" i="57"/>
  <c r="E12" i="57"/>
  <c r="F12" i="57"/>
  <c r="J12" i="57"/>
  <c r="P12" i="57"/>
  <c r="S12" i="57"/>
  <c r="E27" i="57"/>
  <c r="F27" i="57"/>
  <c r="J27" i="57"/>
  <c r="P27" i="57"/>
  <c r="S27" i="57"/>
  <c r="G27" i="57"/>
  <c r="I27" i="57"/>
  <c r="E24" i="56"/>
  <c r="F24" i="56"/>
  <c r="J24" i="56"/>
  <c r="P24" i="56"/>
  <c r="S24" i="56"/>
  <c r="G24" i="56"/>
  <c r="I24" i="56"/>
  <c r="E46" i="56"/>
  <c r="F46" i="56"/>
  <c r="J46" i="56"/>
  <c r="P46" i="56"/>
  <c r="E55" i="56"/>
  <c r="F55" i="56"/>
  <c r="J55" i="56"/>
  <c r="P55" i="56"/>
  <c r="G55" i="56"/>
  <c r="I55" i="56"/>
  <c r="G56" i="56"/>
  <c r="I56" i="56"/>
  <c r="E56" i="56"/>
  <c r="F56" i="56"/>
  <c r="J56" i="56"/>
  <c r="P56" i="56"/>
  <c r="E19" i="56"/>
  <c r="F19" i="56"/>
  <c r="J19" i="56"/>
  <c r="P19" i="56"/>
  <c r="E38" i="56"/>
  <c r="F38" i="56"/>
  <c r="J38" i="56"/>
  <c r="P38" i="56"/>
  <c r="E29" i="56"/>
  <c r="F29" i="56"/>
  <c r="J29" i="56"/>
  <c r="P29" i="56"/>
  <c r="G29" i="56"/>
  <c r="I29" i="56"/>
  <c r="E13" i="56"/>
  <c r="F13" i="56"/>
  <c r="J13" i="56"/>
  <c r="P13" i="56"/>
  <c r="E37" i="56"/>
  <c r="F37" i="56"/>
  <c r="J37" i="56"/>
  <c r="P37" i="56"/>
  <c r="I25" i="55"/>
  <c r="J25" i="55"/>
  <c r="P25" i="55"/>
  <c r="J28" i="55"/>
  <c r="P28" i="55"/>
  <c r="S28" i="55"/>
  <c r="I28" i="55"/>
  <c r="I53" i="55"/>
  <c r="J53" i="55"/>
  <c r="P53" i="55"/>
  <c r="S53" i="55"/>
  <c r="C5" i="52"/>
  <c r="D5" i="52"/>
  <c r="D5" i="1"/>
  <c r="E56" i="1"/>
  <c r="F56" i="1"/>
  <c r="J56" i="1"/>
  <c r="G56" i="1"/>
  <c r="I56" i="1"/>
  <c r="E27" i="1"/>
  <c r="F27" i="1"/>
  <c r="J27" i="1"/>
  <c r="E41" i="1"/>
  <c r="F41" i="1"/>
  <c r="J41" i="1"/>
  <c r="G41" i="1"/>
  <c r="I41" i="1"/>
  <c r="E28" i="1"/>
  <c r="F28" i="1"/>
  <c r="J28" i="1"/>
  <c r="E6" i="1"/>
  <c r="F6" i="1"/>
  <c r="J6" i="1"/>
  <c r="G6" i="1"/>
  <c r="I6" i="1"/>
  <c r="E35" i="1"/>
  <c r="F35" i="1"/>
  <c r="J35" i="1"/>
  <c r="E9" i="1"/>
  <c r="F9" i="1"/>
  <c r="J9" i="1"/>
  <c r="G9" i="1"/>
  <c r="I9" i="1"/>
  <c r="E36" i="1"/>
  <c r="F36" i="1"/>
  <c r="J36" i="1"/>
  <c r="E15" i="1"/>
  <c r="F15" i="1"/>
  <c r="J15" i="1"/>
  <c r="G15" i="1"/>
  <c r="I15" i="1"/>
  <c r="J37" i="55"/>
  <c r="P37" i="55"/>
  <c r="J21" i="55"/>
  <c r="P21" i="55"/>
  <c r="S21" i="55"/>
  <c r="I19" i="55"/>
  <c r="J55" i="55"/>
  <c r="P55" i="55"/>
  <c r="J38" i="58"/>
  <c r="P38" i="58"/>
  <c r="S38" i="58"/>
  <c r="I31" i="55"/>
  <c r="I51" i="55"/>
  <c r="I37" i="58"/>
  <c r="I27" i="58"/>
  <c r="I56" i="55"/>
  <c r="Q8" i="55"/>
  <c r="S8" i="55"/>
  <c r="I8" i="54"/>
  <c r="I47" i="55"/>
  <c r="Q14" i="61"/>
  <c r="S14" i="61"/>
  <c r="I14" i="60"/>
  <c r="E46" i="59"/>
  <c r="F46" i="59"/>
  <c r="J46" i="59"/>
  <c r="P46" i="59"/>
  <c r="G46" i="59"/>
  <c r="I46" i="59"/>
  <c r="E28" i="59"/>
  <c r="F28" i="59"/>
  <c r="J28" i="59"/>
  <c r="P28" i="59"/>
  <c r="S28" i="59"/>
  <c r="E38" i="59"/>
  <c r="F38" i="59"/>
  <c r="J38" i="59"/>
  <c r="P38" i="59"/>
  <c r="E15" i="57"/>
  <c r="F15" i="57"/>
  <c r="J15" i="57"/>
  <c r="P15" i="57"/>
  <c r="E23" i="56"/>
  <c r="F23" i="56"/>
  <c r="J23" i="56"/>
  <c r="P23" i="56"/>
  <c r="G23" i="56"/>
  <c r="I23" i="56"/>
  <c r="E33" i="56"/>
  <c r="F33" i="56"/>
  <c r="J33" i="56"/>
  <c r="P33" i="56"/>
  <c r="E32" i="56"/>
  <c r="F32" i="56"/>
  <c r="J32" i="56"/>
  <c r="P32" i="56"/>
  <c r="G32" i="56"/>
  <c r="I32" i="56"/>
  <c r="H9" i="56"/>
  <c r="I9" i="55"/>
  <c r="E49" i="57"/>
  <c r="F49" i="57"/>
  <c r="J49" i="57"/>
  <c r="P49" i="57"/>
  <c r="G49" i="57"/>
  <c r="I49" i="57"/>
  <c r="E41" i="57"/>
  <c r="F41" i="57"/>
  <c r="J41" i="57"/>
  <c r="P41" i="57"/>
  <c r="E26" i="57"/>
  <c r="F26" i="57"/>
  <c r="J26" i="57"/>
  <c r="P26" i="57"/>
  <c r="S26" i="57"/>
  <c r="G26" i="57"/>
  <c r="I26" i="57"/>
  <c r="E6" i="52"/>
  <c r="F6" i="52"/>
  <c r="J6" i="52"/>
  <c r="E37" i="57"/>
  <c r="F37" i="57"/>
  <c r="J37" i="57"/>
  <c r="P37" i="57"/>
  <c r="S37" i="57"/>
  <c r="G37" i="57"/>
  <c r="I37" i="57"/>
  <c r="J16" i="55"/>
  <c r="P16" i="55"/>
  <c r="E47" i="59"/>
  <c r="F47" i="59"/>
  <c r="J47" i="59"/>
  <c r="P47" i="59"/>
  <c r="S47" i="59"/>
  <c r="E17" i="59"/>
  <c r="F17" i="59"/>
  <c r="J17" i="59"/>
  <c r="P17" i="59"/>
  <c r="S17" i="59"/>
  <c r="G17" i="59"/>
  <c r="I17" i="59"/>
  <c r="E43" i="59"/>
  <c r="F43" i="59"/>
  <c r="J43" i="59"/>
  <c r="P43" i="59"/>
  <c r="S43" i="59"/>
  <c r="E36" i="59"/>
  <c r="F36" i="59"/>
  <c r="J36" i="59"/>
  <c r="P36" i="59"/>
  <c r="G36" i="59"/>
  <c r="I36" i="59"/>
  <c r="E45" i="59"/>
  <c r="F45" i="59"/>
  <c r="J45" i="59"/>
  <c r="P45" i="59"/>
  <c r="S45" i="59"/>
  <c r="E39" i="59"/>
  <c r="F39" i="59"/>
  <c r="J39" i="59"/>
  <c r="P39" i="59"/>
  <c r="G39" i="59"/>
  <c r="I39" i="59"/>
  <c r="E35" i="59"/>
  <c r="F35" i="59"/>
  <c r="J35" i="59"/>
  <c r="P35" i="59"/>
  <c r="S35" i="59"/>
  <c r="E44" i="59"/>
  <c r="F44" i="59"/>
  <c r="J44" i="59"/>
  <c r="P44" i="59"/>
  <c r="S44" i="59"/>
  <c r="G44" i="59"/>
  <c r="I44" i="59"/>
  <c r="E25" i="59"/>
  <c r="F25" i="59"/>
  <c r="J25" i="59"/>
  <c r="P25" i="59"/>
  <c r="E37" i="59"/>
  <c r="F37" i="59"/>
  <c r="J37" i="59"/>
  <c r="P37" i="59"/>
  <c r="S37" i="59"/>
  <c r="G37" i="59"/>
  <c r="I37" i="59"/>
  <c r="E32" i="59"/>
  <c r="F32" i="59"/>
  <c r="J32" i="59"/>
  <c r="P32" i="59"/>
  <c r="S32" i="59"/>
  <c r="J45" i="58"/>
  <c r="P45" i="58"/>
  <c r="I45" i="58"/>
  <c r="G35" i="57"/>
  <c r="I35" i="57"/>
  <c r="E35" i="57"/>
  <c r="F35" i="57"/>
  <c r="J35" i="57"/>
  <c r="P35" i="57"/>
  <c r="E34" i="57"/>
  <c r="F34" i="57"/>
  <c r="J34" i="57"/>
  <c r="P34" i="57"/>
  <c r="E47" i="56"/>
  <c r="F47" i="56"/>
  <c r="J47" i="56"/>
  <c r="P47" i="56"/>
  <c r="E25" i="56"/>
  <c r="F25" i="56"/>
  <c r="J25" i="56"/>
  <c r="P25" i="56"/>
  <c r="G25" i="56"/>
  <c r="I25" i="56"/>
  <c r="E18" i="56"/>
  <c r="F18" i="56"/>
  <c r="J18" i="56"/>
  <c r="P18" i="56"/>
  <c r="E35" i="56"/>
  <c r="F35" i="56"/>
  <c r="J35" i="56"/>
  <c r="P35" i="56"/>
  <c r="G35" i="56"/>
  <c r="I35" i="56"/>
  <c r="E28" i="56"/>
  <c r="F28" i="56"/>
  <c r="J28" i="56"/>
  <c r="P28" i="56"/>
  <c r="E11" i="56"/>
  <c r="F11" i="56"/>
  <c r="J11" i="56"/>
  <c r="P11" i="56"/>
  <c r="G11" i="56"/>
  <c r="I11" i="56"/>
  <c r="E43" i="56"/>
  <c r="F43" i="56"/>
  <c r="J43" i="56"/>
  <c r="P43" i="56"/>
  <c r="E12" i="56"/>
  <c r="F12" i="56"/>
  <c r="J12" i="56"/>
  <c r="P12" i="56"/>
  <c r="G12" i="56"/>
  <c r="I12" i="56"/>
  <c r="G53" i="56"/>
  <c r="I53" i="56"/>
  <c r="E53" i="56"/>
  <c r="F53" i="56"/>
  <c r="J53" i="56"/>
  <c r="P53" i="56"/>
  <c r="E16" i="1"/>
  <c r="F16" i="1"/>
  <c r="J16" i="1"/>
  <c r="E19" i="1"/>
  <c r="F19" i="1"/>
  <c r="J19" i="1"/>
  <c r="E45" i="1"/>
  <c r="F45" i="1"/>
  <c r="J45" i="1"/>
  <c r="G45" i="1"/>
  <c r="I45" i="1"/>
  <c r="E30" i="1"/>
  <c r="F30" i="1"/>
  <c r="J30" i="1"/>
  <c r="E37" i="1"/>
  <c r="F37" i="1"/>
  <c r="J37" i="1"/>
  <c r="G37" i="1"/>
  <c r="I37" i="1"/>
  <c r="G46" i="1"/>
  <c r="I46" i="1"/>
  <c r="E46" i="1"/>
  <c r="F46" i="1"/>
  <c r="J46" i="1"/>
  <c r="E52" i="1"/>
  <c r="F52" i="1"/>
  <c r="J52" i="1"/>
  <c r="G52" i="1"/>
  <c r="I52" i="1"/>
  <c r="E20" i="1"/>
  <c r="F20" i="1"/>
  <c r="J20" i="1"/>
  <c r="E25" i="1"/>
  <c r="F25" i="1"/>
  <c r="J25" i="1"/>
  <c r="G25" i="1"/>
  <c r="I25" i="1"/>
  <c r="E43" i="1"/>
  <c r="F43" i="1"/>
  <c r="J43" i="1"/>
  <c r="E55" i="1"/>
  <c r="F55" i="1"/>
  <c r="J55" i="1"/>
  <c r="G55" i="1"/>
  <c r="I55" i="1"/>
  <c r="I12" i="55"/>
  <c r="J30" i="55"/>
  <c r="P30" i="55"/>
  <c r="J26" i="58"/>
  <c r="P26" i="58"/>
  <c r="S26" i="58"/>
  <c r="J32" i="58"/>
  <c r="P32" i="58"/>
  <c r="S32" i="58"/>
  <c r="J41" i="58"/>
  <c r="P41" i="58"/>
  <c r="I43" i="55"/>
  <c r="I12" i="58"/>
  <c r="I28" i="58"/>
  <c r="S38" i="59"/>
  <c r="S16" i="57"/>
  <c r="S47" i="52"/>
  <c r="S14" i="58"/>
  <c r="S55" i="53"/>
  <c r="E5" i="52"/>
  <c r="F5" i="52"/>
  <c r="J5" i="52"/>
  <c r="G5" i="52"/>
  <c r="I5" i="52"/>
  <c r="E10" i="56"/>
  <c r="F10" i="56"/>
  <c r="J10" i="56"/>
  <c r="P10" i="56"/>
  <c r="G10" i="56"/>
  <c r="G18" i="1"/>
  <c r="I18" i="1"/>
  <c r="G10" i="57"/>
  <c r="I10" i="57"/>
  <c r="E10" i="57"/>
  <c r="F10" i="57"/>
  <c r="J10" i="57"/>
  <c r="G54" i="56"/>
  <c r="I54" i="56"/>
  <c r="G34" i="57"/>
  <c r="I34" i="57"/>
  <c r="G38" i="59"/>
  <c r="I38" i="59"/>
  <c r="G16" i="1"/>
  <c r="I16" i="1"/>
  <c r="G32" i="59"/>
  <c r="I32" i="59"/>
  <c r="G25" i="59"/>
  <c r="I25" i="59"/>
  <c r="G35" i="59"/>
  <c r="I35" i="59"/>
  <c r="G45" i="59"/>
  <c r="I45" i="59"/>
  <c r="G43" i="59"/>
  <c r="I43" i="59"/>
  <c r="G47" i="59"/>
  <c r="I47" i="59"/>
  <c r="G6" i="52"/>
  <c r="G41" i="57"/>
  <c r="I41" i="57"/>
  <c r="G33" i="56"/>
  <c r="I33" i="56"/>
  <c r="G15" i="57"/>
  <c r="I15" i="57"/>
  <c r="G28" i="59"/>
  <c r="I28" i="59"/>
  <c r="G37" i="56"/>
  <c r="I37" i="56"/>
  <c r="G19" i="56"/>
  <c r="I19" i="56"/>
  <c r="G30" i="59"/>
  <c r="I30" i="59"/>
  <c r="G23" i="59"/>
  <c r="I23" i="59"/>
  <c r="G42" i="59"/>
  <c r="I42" i="59"/>
  <c r="G41" i="59"/>
  <c r="I41" i="59"/>
  <c r="G27" i="59"/>
  <c r="I27" i="59"/>
  <c r="G48" i="56"/>
  <c r="I48" i="56"/>
  <c r="G16" i="59"/>
  <c r="I16" i="59"/>
  <c r="G55" i="57"/>
  <c r="I55" i="57"/>
  <c r="G53" i="1"/>
  <c r="I53" i="1"/>
  <c r="G10" i="1"/>
  <c r="I10" i="1"/>
  <c r="G44" i="1"/>
  <c r="I44" i="1"/>
  <c r="G26" i="1"/>
  <c r="I26" i="1"/>
  <c r="G14" i="1"/>
  <c r="I14" i="1"/>
  <c r="G21" i="56"/>
  <c r="I21" i="56"/>
  <c r="G39" i="56"/>
  <c r="I39" i="56"/>
  <c r="G20" i="56"/>
  <c r="I20" i="56"/>
  <c r="G22" i="56"/>
  <c r="I22" i="56"/>
  <c r="G15" i="59"/>
  <c r="I15" i="59"/>
  <c r="G51" i="59"/>
  <c r="I51" i="59"/>
  <c r="G19" i="59"/>
  <c r="I19" i="59"/>
  <c r="G50" i="59"/>
  <c r="I50" i="59"/>
  <c r="G52" i="59"/>
  <c r="I52" i="59"/>
  <c r="G29" i="57"/>
  <c r="I29" i="57"/>
  <c r="G38" i="1"/>
  <c r="I38" i="1"/>
  <c r="E13" i="60"/>
  <c r="F13" i="60"/>
  <c r="J13" i="60"/>
  <c r="G13" i="60"/>
  <c r="I13" i="60"/>
  <c r="G56" i="59"/>
  <c r="I56" i="59"/>
  <c r="G6" i="53"/>
  <c r="I6" i="53"/>
  <c r="G49" i="1"/>
  <c r="I49" i="1"/>
  <c r="G17" i="56"/>
  <c r="I17" i="56"/>
  <c r="G55" i="59"/>
  <c r="I55" i="59"/>
  <c r="G49" i="59"/>
  <c r="I49" i="59"/>
  <c r="G43" i="1"/>
  <c r="I43" i="1"/>
  <c r="G20" i="1"/>
  <c r="I20" i="1"/>
  <c r="G30" i="1"/>
  <c r="I30" i="1"/>
  <c r="G19" i="1"/>
  <c r="I19" i="1"/>
  <c r="G43" i="56"/>
  <c r="I43" i="56"/>
  <c r="G28" i="56"/>
  <c r="I28" i="56"/>
  <c r="G18" i="56"/>
  <c r="I18" i="56"/>
  <c r="G47" i="56"/>
  <c r="I47" i="56"/>
  <c r="J9" i="56"/>
  <c r="I9" i="56"/>
  <c r="G36" i="1"/>
  <c r="I36" i="1"/>
  <c r="G35" i="1"/>
  <c r="I35" i="1"/>
  <c r="G28" i="1"/>
  <c r="I28" i="1"/>
  <c r="G27" i="1"/>
  <c r="I27" i="1"/>
  <c r="E5" i="1"/>
  <c r="F5" i="1"/>
  <c r="J5" i="1"/>
  <c r="G13" i="56"/>
  <c r="I13" i="56"/>
  <c r="G38" i="56"/>
  <c r="I38" i="56"/>
  <c r="G46" i="56"/>
  <c r="I46" i="56"/>
  <c r="G12" i="57"/>
  <c r="I12" i="57"/>
  <c r="G50" i="57"/>
  <c r="I50" i="57"/>
  <c r="G48" i="57"/>
  <c r="I48" i="57"/>
  <c r="G19" i="57"/>
  <c r="I19" i="57"/>
  <c r="G17" i="1"/>
  <c r="I17" i="1"/>
  <c r="G22" i="1"/>
  <c r="I22" i="1"/>
  <c r="E13" i="59"/>
  <c r="F13" i="59"/>
  <c r="J13" i="59"/>
  <c r="P13" i="59"/>
  <c r="G13" i="59"/>
  <c r="G44" i="56"/>
  <c r="I44" i="56"/>
  <c r="G5" i="1"/>
  <c r="I10" i="56"/>
  <c r="Q10" i="57"/>
  <c r="S10" i="57"/>
  <c r="Q13" i="60"/>
  <c r="S13" i="60"/>
  <c r="I13" i="59"/>
  <c r="I6" i="52"/>
  <c r="Q6" i="53"/>
  <c r="Q5" i="52"/>
  <c r="S5" i="52"/>
  <c r="I5" i="1"/>
  <c r="O52" i="52"/>
  <c r="S52" i="52" s="1"/>
  <c r="O63" i="52"/>
  <c r="S63" i="52" s="1"/>
  <c r="O63" i="53"/>
  <c r="S63" i="53" s="1"/>
  <c r="O23" i="52"/>
  <c r="S23" i="52" s="1"/>
  <c r="O23" i="53"/>
  <c r="S23" i="53" s="1"/>
  <c r="O18" i="59"/>
  <c r="S18" i="59" s="1"/>
  <c r="O18" i="58"/>
  <c r="S18" i="58" s="1"/>
  <c r="N8" i="52"/>
  <c r="P8" i="52"/>
  <c r="S41" i="58"/>
  <c r="S15" i="56"/>
  <c r="N52" i="58"/>
  <c r="S52" i="58"/>
  <c r="N52" i="59"/>
  <c r="S52" i="59"/>
  <c r="P32" i="53"/>
  <c r="N32" i="54"/>
  <c r="O23" i="61"/>
  <c r="O23" i="60"/>
  <c r="S23" i="60" s="1"/>
  <c r="O55" i="54"/>
  <c r="S55" i="54" s="1"/>
  <c r="O58" i="56"/>
  <c r="S58" i="56"/>
  <c r="O58" i="55"/>
  <c r="S58" i="55"/>
  <c r="N48" i="53"/>
  <c r="S25" i="60"/>
  <c r="N35" i="56"/>
  <c r="S11" i="53"/>
  <c r="N53" i="54"/>
  <c r="S53" i="54"/>
  <c r="N39" i="53"/>
  <c r="S39" i="53"/>
  <c r="S14" i="57"/>
  <c r="N17" i="54"/>
  <c r="P52" i="60"/>
  <c r="N52" i="60"/>
  <c r="N19" i="60"/>
  <c r="P19" i="60"/>
  <c r="P42" i="52"/>
  <c r="N42" i="52"/>
  <c r="S31" i="55"/>
  <c r="N56" i="58"/>
  <c r="N56" i="59"/>
  <c r="N29" i="56"/>
  <c r="N29" i="57"/>
  <c r="S29" i="57"/>
  <c r="N43" i="56"/>
  <c r="N43" i="57"/>
  <c r="O53" i="59"/>
  <c r="S53" i="59" s="1"/>
  <c r="O53" i="58"/>
  <c r="S53" i="58" s="1"/>
  <c r="N42" i="59"/>
  <c r="S14" i="54"/>
  <c r="N17" i="53"/>
  <c r="S17" i="53"/>
  <c r="N31" i="57"/>
  <c r="S31" i="57"/>
  <c r="N31" i="56"/>
  <c r="S31" i="56"/>
  <c r="N51" i="61"/>
  <c r="P51" i="61"/>
  <c r="N49" i="59"/>
  <c r="P49" i="58"/>
  <c r="N49" i="58"/>
  <c r="N48" i="58"/>
  <c r="N48" i="59"/>
  <c r="N13" i="59"/>
  <c r="P13" i="58"/>
  <c r="S13" i="58"/>
  <c r="N51" i="54"/>
  <c r="P51" i="54"/>
  <c r="N51" i="55"/>
  <c r="P26" i="54"/>
  <c r="S26" i="54"/>
  <c r="N26" i="55"/>
  <c r="P25" i="54"/>
  <c r="S25" i="54"/>
  <c r="N25" i="55"/>
  <c r="N42" i="60"/>
  <c r="P42" i="60"/>
  <c r="N45" i="61"/>
  <c r="N45" i="60"/>
  <c r="N24" i="61"/>
  <c r="N24" i="60"/>
  <c r="N19" i="52"/>
  <c r="S19" i="52"/>
  <c r="P19" i="52"/>
  <c r="N19" i="53"/>
  <c r="N29" i="53"/>
  <c r="N39" i="56"/>
  <c r="S39" i="56"/>
  <c r="N39" i="57"/>
  <c r="S39" i="57"/>
  <c r="N39" i="54"/>
  <c r="N38" i="56"/>
  <c r="N38" i="55"/>
  <c r="N50" i="56"/>
  <c r="N50" i="55"/>
  <c r="P35" i="52"/>
  <c r="S35" i="52"/>
  <c r="N35" i="53"/>
  <c r="N25" i="58"/>
  <c r="N25" i="59"/>
  <c r="S25" i="59"/>
  <c r="N31" i="58"/>
  <c r="P31" i="58"/>
  <c r="N31" i="59"/>
  <c r="N46" i="53"/>
  <c r="S46" i="53"/>
  <c r="N46" i="54"/>
  <c r="S46" i="54"/>
  <c r="N42" i="53"/>
  <c r="S42" i="53"/>
  <c r="N42" i="54"/>
  <c r="P9" i="53"/>
  <c r="N46" i="59"/>
  <c r="O20" i="54"/>
  <c r="S20" i="54" s="1"/>
  <c r="L22" i="52"/>
  <c r="L51" i="52"/>
  <c r="L32" i="52"/>
  <c r="L7" i="52"/>
  <c r="L34" i="52"/>
  <c r="L36" i="52"/>
  <c r="L44" i="52"/>
  <c r="L33" i="52"/>
  <c r="L28" i="52"/>
  <c r="L16" i="52"/>
  <c r="L49" i="52"/>
  <c r="L50" i="52"/>
  <c r="L9" i="52"/>
  <c r="L15" i="52"/>
  <c r="L13" i="52"/>
  <c r="L29" i="52"/>
  <c r="L12" i="52"/>
  <c r="L39" i="52"/>
  <c r="L40" i="52"/>
  <c r="L27" i="52"/>
  <c r="L18" i="52"/>
  <c r="N18" i="53"/>
  <c r="L17" i="52"/>
  <c r="L54" i="52"/>
  <c r="L21" i="52"/>
  <c r="L6" i="52"/>
  <c r="L38" i="52"/>
  <c r="L53" i="52"/>
  <c r="N53" i="53"/>
  <c r="S53" i="53"/>
  <c r="L46" i="52"/>
  <c r="L14" i="52"/>
  <c r="L31" i="52"/>
  <c r="P38" i="52"/>
  <c r="P15" i="52"/>
  <c r="O61" i="54"/>
  <c r="S61" i="54" s="1"/>
  <c r="M17" i="60"/>
  <c r="O17" i="61" s="1"/>
  <c r="S17" i="61"/>
  <c r="M22" i="60"/>
  <c r="M62" i="60"/>
  <c r="O62" i="60" s="1"/>
  <c r="S62" i="60" s="1"/>
  <c r="M61" i="60"/>
  <c r="M59" i="60"/>
  <c r="M43" i="60"/>
  <c r="M30" i="60"/>
  <c r="M63" i="60"/>
  <c r="M57" i="60"/>
  <c r="M27" i="60"/>
  <c r="M14" i="60"/>
  <c r="O14" i="60" s="1"/>
  <c r="S14" i="60" s="1"/>
  <c r="M67" i="60"/>
  <c r="M46" i="60"/>
  <c r="M54" i="60"/>
  <c r="M21" i="60"/>
  <c r="M13" i="60"/>
  <c r="M55" i="60"/>
  <c r="M35" i="60"/>
  <c r="M44" i="60"/>
  <c r="O44" i="61" s="1"/>
  <c r="S44" i="61" s="1"/>
  <c r="M65" i="60"/>
  <c r="M20" i="60"/>
  <c r="M38" i="60"/>
  <c r="M56" i="60"/>
  <c r="M26" i="60"/>
  <c r="M33" i="60"/>
  <c r="M52" i="60"/>
  <c r="M37" i="60"/>
  <c r="M58" i="60"/>
  <c r="M50" i="60"/>
  <c r="M32" i="60"/>
  <c r="M15" i="60"/>
  <c r="O15" i="61" s="1"/>
  <c r="M66" i="60"/>
  <c r="M69" i="60"/>
  <c r="O69" i="60" s="1"/>
  <c r="M41" i="60"/>
  <c r="M47" i="60"/>
  <c r="M24" i="60"/>
  <c r="M45" i="60"/>
  <c r="O45" i="61" s="1"/>
  <c r="M48" i="60"/>
  <c r="M53" i="60"/>
  <c r="O53" i="61" s="1"/>
  <c r="M51" i="60"/>
  <c r="M19" i="60"/>
  <c r="M34" i="60"/>
  <c r="M31" i="60"/>
  <c r="O31" i="60" s="1"/>
  <c r="S31" i="60" s="1"/>
  <c r="M29" i="60"/>
  <c r="M28" i="60"/>
  <c r="O28" i="60" s="1"/>
  <c r="M16" i="60"/>
  <c r="M60" i="60"/>
  <c r="M68" i="60"/>
  <c r="M64" i="60"/>
  <c r="M40" i="60"/>
  <c r="M36" i="60"/>
  <c r="O36" i="61" s="1"/>
  <c r="S36" i="61" s="1"/>
  <c r="M42" i="60"/>
  <c r="L26" i="61"/>
  <c r="L53" i="61"/>
  <c r="L56" i="61"/>
  <c r="L49" i="61"/>
  <c r="L23" i="61"/>
  <c r="L19" i="61"/>
  <c r="L47" i="61"/>
  <c r="L28" i="61"/>
  <c r="L52" i="61"/>
  <c r="L39" i="61"/>
  <c r="L34" i="61"/>
  <c r="L31" i="61"/>
  <c r="L33" i="61"/>
  <c r="L42" i="61"/>
  <c r="L18" i="61"/>
  <c r="L35" i="61"/>
  <c r="O17" i="60"/>
  <c r="S17" i="60" s="1"/>
  <c r="O41" i="56"/>
  <c r="S41" i="56" s="1"/>
  <c r="O41" i="57"/>
  <c r="S41" i="57" s="1"/>
  <c r="O8" i="53"/>
  <c r="S8" i="53" s="1"/>
  <c r="O10" i="54"/>
  <c r="S10" i="54" s="1"/>
  <c r="O36" i="54"/>
  <c r="S36" i="54" s="1"/>
  <c r="O45" i="58"/>
  <c r="S45" i="58" s="1"/>
  <c r="O45" i="57"/>
  <c r="S45" i="57" s="1"/>
  <c r="M19" i="61"/>
  <c r="M39" i="61"/>
  <c r="O39" i="61" s="1"/>
  <c r="S39" i="61" s="1"/>
  <c r="M36" i="61"/>
  <c r="M26" i="61"/>
  <c r="M40" i="61"/>
  <c r="O40" i="61" s="1"/>
  <c r="M14" i="61"/>
  <c r="M51" i="61"/>
  <c r="M64" i="61"/>
  <c r="M50" i="61"/>
  <c r="M34" i="61"/>
  <c r="M59" i="61"/>
  <c r="M41" i="61"/>
  <c r="M57" i="61"/>
  <c r="M31" i="61"/>
  <c r="M44" i="61"/>
  <c r="M18" i="61"/>
  <c r="O18" i="61"/>
  <c r="M48" i="61"/>
  <c r="M61" i="61"/>
  <c r="M67" i="61"/>
  <c r="M16" i="61"/>
  <c r="M66" i="61"/>
  <c r="M46" i="61"/>
  <c r="M30" i="61"/>
  <c r="M21" i="61"/>
  <c r="M53" i="61"/>
  <c r="M37" i="61"/>
  <c r="M69" i="61"/>
  <c r="M15" i="61"/>
  <c r="M55" i="61"/>
  <c r="M60" i="61"/>
  <c r="M52" i="61"/>
  <c r="M68" i="61"/>
  <c r="M56" i="61"/>
  <c r="M35" i="61"/>
  <c r="O35" i="61" s="1"/>
  <c r="S35" i="61" s="1"/>
  <c r="M27" i="61"/>
  <c r="M20" i="61"/>
  <c r="M63" i="61"/>
  <c r="M42" i="61"/>
  <c r="M65" i="61"/>
  <c r="M25" i="61"/>
  <c r="O25" i="61" s="1"/>
  <c r="S25" i="61" s="1"/>
  <c r="M49" i="61"/>
  <c r="O49" i="61" s="1"/>
  <c r="S49" i="61" s="1"/>
  <c r="M33" i="61"/>
  <c r="O21" i="56"/>
  <c r="S21" i="56" s="1"/>
  <c r="O40" i="54"/>
  <c r="S40" i="54" s="1"/>
  <c r="M58" i="1"/>
  <c r="O58" i="52" s="1"/>
  <c r="S58" i="52" s="1"/>
  <c r="M42" i="1"/>
  <c r="O42" i="52" s="1"/>
  <c r="S42" i="52" s="1"/>
  <c r="M26" i="1"/>
  <c r="O26" i="52" s="1"/>
  <c r="S26" i="52" s="1"/>
  <c r="M10" i="1"/>
  <c r="O10" i="52" s="1"/>
  <c r="S10" i="52" s="1"/>
  <c r="M57" i="1"/>
  <c r="O57" i="52" s="1"/>
  <c r="S57" i="52" s="1"/>
  <c r="M41" i="1"/>
  <c r="O41" i="52" s="1"/>
  <c r="S41" i="52" s="1"/>
  <c r="M25" i="1"/>
  <c r="O25" i="52" s="1"/>
  <c r="S25" i="52" s="1"/>
  <c r="M9" i="1"/>
  <c r="O9" i="52"/>
  <c r="M64" i="1"/>
  <c r="O64" i="52"/>
  <c r="S64" i="52" s="1"/>
  <c r="M48" i="1"/>
  <c r="O48" i="52" s="1"/>
  <c r="S48" i="52" s="1"/>
  <c r="M32" i="1"/>
  <c r="O32" i="52" s="1"/>
  <c r="S32" i="52" s="1"/>
  <c r="M16" i="1"/>
  <c r="O16" i="52" s="1"/>
  <c r="S16" i="52" s="1"/>
  <c r="M55" i="1"/>
  <c r="O55" i="52" s="1"/>
  <c r="S55" i="52" s="1"/>
  <c r="M54" i="1"/>
  <c r="O54" i="52" s="1"/>
  <c r="M38" i="1"/>
  <c r="O38" i="52" s="1"/>
  <c r="S38" i="52" s="1"/>
  <c r="M22" i="1"/>
  <c r="O22" i="52" s="1"/>
  <c r="M6" i="1"/>
  <c r="O6" i="52" s="1"/>
  <c r="S6" i="52" s="1"/>
  <c r="M53" i="1"/>
  <c r="O53" i="52" s="1"/>
  <c r="M37" i="1"/>
  <c r="O37" i="52" s="1"/>
  <c r="S37" i="52" s="1"/>
  <c r="M21" i="1"/>
  <c r="O21" i="52" s="1"/>
  <c r="S21" i="52" s="1"/>
  <c r="M69" i="1"/>
  <c r="O69" i="52" s="1"/>
  <c r="S69" i="52" s="1"/>
  <c r="M60" i="1"/>
  <c r="O60" i="52" s="1"/>
  <c r="S60" i="52" s="1"/>
  <c r="M44" i="1"/>
  <c r="O44" i="52"/>
  <c r="M28" i="1"/>
  <c r="M12" i="1"/>
  <c r="O12" i="52" s="1"/>
  <c r="S12" i="52" s="1"/>
  <c r="M66" i="1"/>
  <c r="O66" i="52" s="1"/>
  <c r="S66" i="52" s="1"/>
  <c r="M50" i="1"/>
  <c r="O50" i="52" s="1"/>
  <c r="M34" i="1"/>
  <c r="O34" i="52" s="1"/>
  <c r="S34" i="52" s="1"/>
  <c r="M18" i="1"/>
  <c r="O18" i="52" s="1"/>
  <c r="M65" i="1"/>
  <c r="O65" i="52" s="1"/>
  <c r="S65" i="52" s="1"/>
  <c r="M49" i="1"/>
  <c r="O49" i="52" s="1"/>
  <c r="S49" i="52" s="1"/>
  <c r="M33" i="1"/>
  <c r="O33" i="52" s="1"/>
  <c r="S33" i="52" s="1"/>
  <c r="M17" i="1"/>
  <c r="O17" i="52" s="1"/>
  <c r="S17" i="52" s="1"/>
  <c r="M5" i="1"/>
  <c r="M56" i="1"/>
  <c r="M40" i="1"/>
  <c r="O40" i="52" s="1"/>
  <c r="S40" i="52" s="1"/>
  <c r="M24" i="1"/>
  <c r="O24" i="52" s="1"/>
  <c r="S24" i="52" s="1"/>
  <c r="L34" i="59"/>
  <c r="L54" i="59"/>
  <c r="L16" i="59"/>
  <c r="M18" i="55"/>
  <c r="M27" i="55"/>
  <c r="M37" i="55"/>
  <c r="M13" i="55"/>
  <c r="O13" i="56" s="1"/>
  <c r="S13" i="56" s="1"/>
  <c r="M59" i="55"/>
  <c r="M29" i="55"/>
  <c r="M34" i="55"/>
  <c r="M56" i="55"/>
  <c r="O56" i="56" s="1"/>
  <c r="S56" i="56" s="1"/>
  <c r="M65" i="55"/>
  <c r="M17" i="55"/>
  <c r="M55" i="55"/>
  <c r="O55" i="56"/>
  <c r="S55" i="56" s="1"/>
  <c r="M61" i="55"/>
  <c r="O61" i="56" s="1"/>
  <c r="S61" i="56" s="1"/>
  <c r="M67" i="55"/>
  <c r="O67" i="56" s="1"/>
  <c r="S67" i="56" s="1"/>
  <c r="M63" i="55"/>
  <c r="O63" i="56" s="1"/>
  <c r="M19" i="55"/>
  <c r="O19" i="55" s="1"/>
  <c r="S19" i="55" s="1"/>
  <c r="M42" i="55"/>
  <c r="O42" i="56" s="1"/>
  <c r="S42" i="56" s="1"/>
  <c r="M14" i="55"/>
  <c r="M68" i="55"/>
  <c r="O68" i="55" s="1"/>
  <c r="S68" i="55" s="1"/>
  <c r="M47" i="55"/>
  <c r="M45" i="55"/>
  <c r="M50" i="55"/>
  <c r="M35" i="55"/>
  <c r="O35" i="56" s="1"/>
  <c r="M44" i="55"/>
  <c r="M22" i="55"/>
  <c r="O22" i="56" s="1"/>
  <c r="S22" i="56" s="1"/>
  <c r="M16" i="55"/>
  <c r="M62" i="55"/>
  <c r="O62" i="56" s="1"/>
  <c r="S62" i="56" s="1"/>
  <c r="M40" i="55"/>
  <c r="O40" i="56" s="1"/>
  <c r="S40" i="56" s="1"/>
  <c r="M32" i="55"/>
  <c r="M26" i="55"/>
  <c r="M43" i="55"/>
  <c r="O43" i="56" s="1"/>
  <c r="S43" i="56" s="1"/>
  <c r="M66" i="55"/>
  <c r="O66" i="56"/>
  <c r="S66" i="56" s="1"/>
  <c r="M12" i="55"/>
  <c r="O12" i="55" s="1"/>
  <c r="S12" i="55" s="1"/>
  <c r="M25" i="55"/>
  <c r="M30" i="55"/>
  <c r="M9" i="55"/>
  <c r="O9" i="55" s="1"/>
  <c r="S9" i="55" s="1"/>
  <c r="M57" i="55"/>
  <c r="O57" i="55" s="1"/>
  <c r="S57" i="55" s="1"/>
  <c r="M64" i="55"/>
  <c r="M69" i="55"/>
  <c r="M51" i="55"/>
  <c r="O51" i="56"/>
  <c r="S51" i="56" s="1"/>
  <c r="M33" i="55"/>
  <c r="O33" i="55" s="1"/>
  <c r="S33" i="55" s="1"/>
  <c r="M38" i="55"/>
  <c r="O38" i="55" s="1"/>
  <c r="M23" i="55"/>
  <c r="M60" i="55"/>
  <c r="O60" i="56" s="1"/>
  <c r="S60" i="56" s="1"/>
  <c r="M48" i="55"/>
  <c r="O48" i="55" s="1"/>
  <c r="S48" i="55" s="1"/>
  <c r="M20" i="55"/>
  <c r="O20" i="56" s="1"/>
  <c r="S20" i="56" s="1"/>
  <c r="M52" i="55"/>
  <c r="S64" i="57"/>
  <c r="S59" i="57"/>
  <c r="O60" i="55"/>
  <c r="S60" i="55" s="1"/>
  <c r="O40" i="55"/>
  <c r="S40" i="55" s="1"/>
  <c r="O47" i="55"/>
  <c r="S47" i="55" s="1"/>
  <c r="O47" i="56"/>
  <c r="S47" i="56" s="1"/>
  <c r="O19" i="56"/>
  <c r="S19" i="56" s="1"/>
  <c r="P42" i="61"/>
  <c r="N42" i="61"/>
  <c r="P53" i="61"/>
  <c r="N53" i="61"/>
  <c r="O34" i="60"/>
  <c r="S34" i="60" s="1"/>
  <c r="O34" i="61"/>
  <c r="O32" i="61"/>
  <c r="S32" i="61" s="1"/>
  <c r="O32" i="60"/>
  <c r="S32" i="60" s="1"/>
  <c r="O54" i="61"/>
  <c r="S54" i="61" s="1"/>
  <c r="O54" i="60"/>
  <c r="L6" i="53"/>
  <c r="N6" i="53"/>
  <c r="S6" i="53"/>
  <c r="N6" i="52"/>
  <c r="P6" i="52"/>
  <c r="N9" i="52"/>
  <c r="P9" i="52"/>
  <c r="N9" i="53"/>
  <c r="S9" i="53"/>
  <c r="O64" i="56"/>
  <c r="S64" i="56" s="1"/>
  <c r="O64" i="55"/>
  <c r="S64" i="55" s="1"/>
  <c r="O26" i="55"/>
  <c r="O26" i="56"/>
  <c r="S26" i="56" s="1"/>
  <c r="O50" i="56"/>
  <c r="S50" i="56" s="1"/>
  <c r="O50" i="55"/>
  <c r="S50" i="55" s="1"/>
  <c r="O14" i="56"/>
  <c r="S14" i="56" s="1"/>
  <c r="O14" i="55"/>
  <c r="S14" i="55" s="1"/>
  <c r="O48" i="56"/>
  <c r="S48" i="56" s="1"/>
  <c r="O12" i="56"/>
  <c r="S12" i="56" s="1"/>
  <c r="O32" i="55"/>
  <c r="S32" i="55" s="1"/>
  <c r="O32" i="56"/>
  <c r="S32" i="56" s="1"/>
  <c r="O22" i="55"/>
  <c r="S22" i="55" s="1"/>
  <c r="O45" i="55"/>
  <c r="S45" i="55" s="1"/>
  <c r="O45" i="56"/>
  <c r="S45" i="56" s="1"/>
  <c r="O42" i="55"/>
  <c r="S42" i="55" s="1"/>
  <c r="O56" i="55"/>
  <c r="S56" i="55" s="1"/>
  <c r="O13" i="55"/>
  <c r="S13" i="55" s="1"/>
  <c r="N34" i="59"/>
  <c r="N34" i="60"/>
  <c r="P34" i="59"/>
  <c r="O67" i="55"/>
  <c r="S67" i="55" s="1"/>
  <c r="P18" i="61"/>
  <c r="N18" i="61"/>
  <c r="P34" i="61"/>
  <c r="N34" i="61"/>
  <c r="S34" i="61"/>
  <c r="N47" i="61"/>
  <c r="P47" i="61"/>
  <c r="P56" i="61"/>
  <c r="N56" i="61"/>
  <c r="O36" i="60"/>
  <c r="S36" i="60" s="1"/>
  <c r="O60" i="61"/>
  <c r="S60" i="61" s="1"/>
  <c r="O60" i="60"/>
  <c r="S60" i="60" s="1"/>
  <c r="O53" i="60"/>
  <c r="S53" i="60" s="1"/>
  <c r="O47" i="60"/>
  <c r="S47" i="60" s="1"/>
  <c r="O47" i="61"/>
  <c r="S15" i="61"/>
  <c r="O37" i="60"/>
  <c r="S37" i="60" s="1"/>
  <c r="O56" i="61"/>
  <c r="S56" i="61" s="1"/>
  <c r="O56" i="60"/>
  <c r="S56" i="60" s="1"/>
  <c r="O44" i="60"/>
  <c r="S44" i="60" s="1"/>
  <c r="O21" i="61"/>
  <c r="S21" i="61" s="1"/>
  <c r="O21" i="60"/>
  <c r="S21" i="60" s="1"/>
  <c r="O30" i="60"/>
  <c r="S30" i="60" s="1"/>
  <c r="O30" i="61"/>
  <c r="S30" i="61" s="1"/>
  <c r="N31" i="52"/>
  <c r="N31" i="53"/>
  <c r="P31" i="52"/>
  <c r="N38" i="52"/>
  <c r="N38" i="53"/>
  <c r="N17" i="52"/>
  <c r="P17" i="52"/>
  <c r="N39" i="52"/>
  <c r="S39" i="52"/>
  <c r="P39" i="52"/>
  <c r="N15" i="53"/>
  <c r="S15" i="53"/>
  <c r="N15" i="52"/>
  <c r="N16" i="52"/>
  <c r="P16" i="52"/>
  <c r="N16" i="53"/>
  <c r="P36" i="52"/>
  <c r="N36" i="52"/>
  <c r="N36" i="53"/>
  <c r="S36" i="53"/>
  <c r="N51" i="52"/>
  <c r="N51" i="53"/>
  <c r="P51" i="52"/>
  <c r="O55" i="55"/>
  <c r="S55" i="55" s="1"/>
  <c r="S8" i="52"/>
  <c r="O44" i="55"/>
  <c r="S44" i="55" s="1"/>
  <c r="O44" i="56"/>
  <c r="S44" i="56" s="1"/>
  <c r="N39" i="61"/>
  <c r="P39" i="61"/>
  <c r="S40" i="61"/>
  <c r="O40" i="60"/>
  <c r="S40" i="60" s="1"/>
  <c r="O48" i="61"/>
  <c r="S48" i="61" s="1"/>
  <c r="O48" i="60"/>
  <c r="S48" i="60" s="1"/>
  <c r="O52" i="61"/>
  <c r="O52" i="60"/>
  <c r="S52" i="60" s="1"/>
  <c r="O35" i="60"/>
  <c r="S35" i="60" s="1"/>
  <c r="O27" i="61"/>
  <c r="S27" i="61" s="1"/>
  <c r="O27" i="60"/>
  <c r="S27" i="60" s="1"/>
  <c r="O22" i="61"/>
  <c r="S22" i="61" s="1"/>
  <c r="O22" i="60"/>
  <c r="S22" i="60" s="1"/>
  <c r="P14" i="52"/>
  <c r="N14" i="52"/>
  <c r="N14" i="53"/>
  <c r="S14" i="53"/>
  <c r="N12" i="53"/>
  <c r="S12" i="53"/>
  <c r="N12" i="52"/>
  <c r="P12" i="52"/>
  <c r="N34" i="52"/>
  <c r="P34" i="52"/>
  <c r="N34" i="53"/>
  <c r="S34" i="53"/>
  <c r="O52" i="55"/>
  <c r="S52" i="55" s="1"/>
  <c r="O52" i="56"/>
  <c r="S52" i="56" s="1"/>
  <c r="O23" i="55"/>
  <c r="S23" i="55" s="1"/>
  <c r="O23" i="56"/>
  <c r="S23" i="56" s="1"/>
  <c r="O69" i="55"/>
  <c r="S69" i="55" s="1"/>
  <c r="O69" i="56"/>
  <c r="S69" i="56" s="1"/>
  <c r="O30" i="56"/>
  <c r="S30" i="56" s="1"/>
  <c r="O30" i="55"/>
  <c r="S30" i="55" s="1"/>
  <c r="O43" i="55"/>
  <c r="S43" i="55" s="1"/>
  <c r="O35" i="55"/>
  <c r="S35" i="55" s="1"/>
  <c r="O68" i="56"/>
  <c r="S68" i="56" s="1"/>
  <c r="S63" i="56"/>
  <c r="O17" i="55"/>
  <c r="S17" i="55" s="1"/>
  <c r="O29" i="55"/>
  <c r="S29" i="55" s="1"/>
  <c r="O29" i="56"/>
  <c r="S29" i="56"/>
  <c r="O27" i="55"/>
  <c r="S27" i="55" s="1"/>
  <c r="O27" i="56"/>
  <c r="S27" i="56" s="1"/>
  <c r="N16" i="60"/>
  <c r="P16" i="59"/>
  <c r="N16" i="59"/>
  <c r="P33" i="61"/>
  <c r="N33" i="61"/>
  <c r="P52" i="61"/>
  <c r="N52" i="61"/>
  <c r="N23" i="61"/>
  <c r="S23" i="61"/>
  <c r="P23" i="61"/>
  <c r="N26" i="61"/>
  <c r="P26" i="61"/>
  <c r="O64" i="60"/>
  <c r="S64" i="60" s="1"/>
  <c r="O64" i="61"/>
  <c r="S64" i="61" s="1"/>
  <c r="O28" i="61"/>
  <c r="S28" i="60"/>
  <c r="O19" i="61"/>
  <c r="S19" i="61" s="1"/>
  <c r="O19" i="60"/>
  <c r="S45" i="61"/>
  <c r="O45" i="60"/>
  <c r="S45" i="60" s="1"/>
  <c r="S69" i="60"/>
  <c r="O69" i="61"/>
  <c r="S69" i="61"/>
  <c r="O50" i="60"/>
  <c r="S50" i="60" s="1"/>
  <c r="O33" i="60"/>
  <c r="S33" i="60" s="1"/>
  <c r="O20" i="60"/>
  <c r="S20" i="60" s="1"/>
  <c r="O20" i="61"/>
  <c r="S20" i="61"/>
  <c r="O55" i="60"/>
  <c r="S55" i="60" s="1"/>
  <c r="O55" i="61"/>
  <c r="S55" i="61" s="1"/>
  <c r="O46" i="61"/>
  <c r="S46" i="61" s="1"/>
  <c r="O46" i="60"/>
  <c r="S46" i="60" s="1"/>
  <c r="O57" i="60"/>
  <c r="S57" i="60" s="1"/>
  <c r="O57" i="61"/>
  <c r="S57" i="61" s="1"/>
  <c r="O59" i="61"/>
  <c r="S59" i="61" s="1"/>
  <c r="O59" i="60"/>
  <c r="S59" i="60"/>
  <c r="P46" i="52"/>
  <c r="N46" i="52"/>
  <c r="P21" i="52"/>
  <c r="N21" i="53"/>
  <c r="S21" i="53"/>
  <c r="N21" i="52"/>
  <c r="P27" i="52"/>
  <c r="N27" i="53"/>
  <c r="N27" i="52"/>
  <c r="N29" i="52"/>
  <c r="P29" i="52"/>
  <c r="N50" i="52"/>
  <c r="P50" i="52"/>
  <c r="N50" i="53"/>
  <c r="S50" i="53"/>
  <c r="N33" i="52"/>
  <c r="N33" i="53"/>
  <c r="S33" i="53"/>
  <c r="P33" i="52"/>
  <c r="N7" i="52"/>
  <c r="S7" i="52"/>
  <c r="N7" i="53"/>
  <c r="S7" i="53"/>
  <c r="P7" i="52"/>
  <c r="O20" i="55"/>
  <c r="S20" i="55" s="1"/>
  <c r="S26" i="55"/>
  <c r="O51" i="55"/>
  <c r="O66" i="55"/>
  <c r="S66" i="55" s="1"/>
  <c r="O34" i="56"/>
  <c r="S34" i="56" s="1"/>
  <c r="O34" i="55"/>
  <c r="S34" i="55" s="1"/>
  <c r="O37" i="56"/>
  <c r="S37" i="56"/>
  <c r="O37" i="55"/>
  <c r="S37" i="55" s="1"/>
  <c r="N19" i="61"/>
  <c r="P19" i="61"/>
  <c r="O16" i="61"/>
  <c r="S16" i="61"/>
  <c r="O16" i="60"/>
  <c r="S16" i="60" s="1"/>
  <c r="O41" i="60"/>
  <c r="S41" i="60" s="1"/>
  <c r="O41" i="61"/>
  <c r="S41" i="61"/>
  <c r="O38" i="61"/>
  <c r="S38" i="61" s="1"/>
  <c r="O38" i="60"/>
  <c r="S38" i="60" s="1"/>
  <c r="O43" i="61"/>
  <c r="S43" i="61" s="1"/>
  <c r="O43" i="60"/>
  <c r="S43" i="60" s="1"/>
  <c r="P18" i="52"/>
  <c r="N18" i="52"/>
  <c r="N28" i="52"/>
  <c r="P28" i="52"/>
  <c r="N28" i="53"/>
  <c r="N22" i="52"/>
  <c r="S22" i="52"/>
  <c r="N22" i="53"/>
  <c r="S22" i="53"/>
  <c r="P22" i="52"/>
  <c r="S51" i="55"/>
  <c r="O25" i="55"/>
  <c r="S25" i="55"/>
  <c r="O25" i="56"/>
  <c r="S25" i="56" s="1"/>
  <c r="O16" i="56"/>
  <c r="S16" i="56" s="1"/>
  <c r="O16" i="55"/>
  <c r="S16" i="55" s="1"/>
  <c r="O65" i="56"/>
  <c r="S65" i="56"/>
  <c r="O65" i="55"/>
  <c r="S65" i="55" s="1"/>
  <c r="O59" i="56"/>
  <c r="S59" i="56" s="1"/>
  <c r="O59" i="55"/>
  <c r="S59" i="55" s="1"/>
  <c r="O18" i="55"/>
  <c r="S18" i="55"/>
  <c r="N54" i="59"/>
  <c r="N54" i="60"/>
  <c r="S54" i="60"/>
  <c r="P54" i="59"/>
  <c r="P35" i="61"/>
  <c r="N35" i="61"/>
  <c r="P31" i="61"/>
  <c r="N31" i="61"/>
  <c r="P28" i="61"/>
  <c r="N28" i="61"/>
  <c r="S28" i="61"/>
  <c r="P49" i="61"/>
  <c r="N49" i="61"/>
  <c r="O42" i="60"/>
  <c r="S42" i="60" s="1"/>
  <c r="O42" i="61"/>
  <c r="O68" i="60"/>
  <c r="S68" i="60" s="1"/>
  <c r="O68" i="61"/>
  <c r="S68" i="61" s="1"/>
  <c r="O29" i="61"/>
  <c r="S29" i="61" s="1"/>
  <c r="O29" i="60"/>
  <c r="S29" i="60" s="1"/>
  <c r="O51" i="60"/>
  <c r="S51" i="60" s="1"/>
  <c r="O51" i="61"/>
  <c r="S51" i="61"/>
  <c r="O24" i="61"/>
  <c r="O24" i="60"/>
  <c r="S24" i="60" s="1"/>
  <c r="O66" i="61"/>
  <c r="S66" i="61" s="1"/>
  <c r="O66" i="60"/>
  <c r="S66" i="60"/>
  <c r="O58" i="60"/>
  <c r="S58" i="60" s="1"/>
  <c r="O58" i="61"/>
  <c r="S58" i="61" s="1"/>
  <c r="O26" i="60"/>
  <c r="S26" i="60" s="1"/>
  <c r="O26" i="61"/>
  <c r="O65" i="60"/>
  <c r="S65" i="60" s="1"/>
  <c r="O65" i="61"/>
  <c r="S65" i="61" s="1"/>
  <c r="O67" i="61"/>
  <c r="S67" i="61" s="1"/>
  <c r="O67" i="60"/>
  <c r="S67" i="60" s="1"/>
  <c r="O63" i="60"/>
  <c r="S63" i="60"/>
  <c r="O63" i="61"/>
  <c r="S63" i="61" s="1"/>
  <c r="O61" i="60"/>
  <c r="S61" i="60" s="1"/>
  <c r="O61" i="61"/>
  <c r="S61" i="61" s="1"/>
  <c r="P53" i="52"/>
  <c r="N53" i="52"/>
  <c r="P54" i="52"/>
  <c r="N54" i="53"/>
  <c r="S54" i="53"/>
  <c r="N54" i="52"/>
  <c r="N40" i="53"/>
  <c r="S40" i="53"/>
  <c r="N40" i="52"/>
  <c r="P40" i="52"/>
  <c r="N13" i="52"/>
  <c r="S13" i="52"/>
  <c r="P13" i="52"/>
  <c r="N13" i="53"/>
  <c r="N49" i="52"/>
  <c r="P49" i="52"/>
  <c r="N49" i="53"/>
  <c r="N44" i="52"/>
  <c r="S44" i="52"/>
  <c r="N44" i="53"/>
  <c r="S44" i="53"/>
  <c r="P44" i="52"/>
  <c r="P32" i="52"/>
  <c r="N32" i="52"/>
  <c r="N32" i="53"/>
  <c r="S32" i="53"/>
  <c r="S38" i="55"/>
  <c r="S24" i="61"/>
  <c r="S19" i="60"/>
  <c r="S35" i="56"/>
  <c r="S54" i="52"/>
  <c r="S54" i="59"/>
  <c r="S51" i="52"/>
  <c r="S34" i="59"/>
  <c r="S9" i="52"/>
  <c r="S42" i="61"/>
  <c r="S50" i="52"/>
  <c r="S52" i="61"/>
  <c r="S31" i="52"/>
  <c r="S18" i="61"/>
  <c r="S36" i="52"/>
  <c r="S47" i="61"/>
  <c r="S53" i="61"/>
  <c r="S26" i="61"/>
  <c r="S53" i="52"/>
  <c r="S18" i="52"/>
  <c r="S16" i="59"/>
  <c r="S14" i="52"/>
  <c r="O50" i="61" l="1"/>
  <c r="S50" i="61" s="1"/>
  <c r="O33" i="61"/>
  <c r="S33" i="61" s="1"/>
  <c r="O10" i="56"/>
  <c r="S10" i="56" s="1"/>
  <c r="O18" i="57"/>
  <c r="S18" i="57" s="1"/>
  <c r="O56" i="54"/>
  <c r="S56" i="54" s="1"/>
  <c r="O51" i="54"/>
  <c r="S51" i="54" s="1"/>
  <c r="O64" i="59"/>
  <c r="S64" i="59" s="1"/>
  <c r="O41" i="59"/>
  <c r="S41" i="59" s="1"/>
  <c r="O43" i="58"/>
  <c r="S43" i="58" s="1"/>
  <c r="O36" i="55"/>
  <c r="S36" i="55" s="1"/>
  <c r="O8" i="54"/>
  <c r="S8" i="54" s="1"/>
  <c r="O34" i="54"/>
  <c r="S34" i="54" s="1"/>
  <c r="O15" i="54"/>
  <c r="S15" i="54" s="1"/>
  <c r="O35" i="54"/>
  <c r="S35" i="54" s="1"/>
  <c r="O32" i="54"/>
  <c r="S32" i="54" s="1"/>
  <c r="O61" i="55"/>
  <c r="S61" i="55" s="1"/>
  <c r="O67" i="52"/>
  <c r="S67" i="52" s="1"/>
  <c r="O55" i="57"/>
  <c r="S55" i="57" s="1"/>
  <c r="O13" i="59"/>
  <c r="S13" i="59" s="1"/>
  <c r="O9" i="54"/>
  <c r="S9" i="54" s="1"/>
  <c r="O45" i="52"/>
  <c r="S45" i="52" s="1"/>
  <c r="O46" i="52"/>
  <c r="S46" i="52" s="1"/>
  <c r="O26" i="59"/>
  <c r="S26" i="59" s="1"/>
  <c r="O63" i="55"/>
  <c r="S63" i="55" s="1"/>
  <c r="O15" i="60"/>
  <c r="S15" i="60" s="1"/>
  <c r="O31" i="61"/>
  <c r="S31" i="61" s="1"/>
  <c r="O57" i="56"/>
  <c r="S57" i="56" s="1"/>
  <c r="O38" i="56"/>
  <c r="S38" i="56" s="1"/>
  <c r="O27" i="52"/>
  <c r="S27" i="52" s="1"/>
  <c r="O29" i="59"/>
  <c r="S29" i="59" s="1"/>
  <c r="O22" i="54"/>
  <c r="S22" i="54" s="1"/>
  <c r="O68" i="52"/>
  <c r="S68" i="52" s="1"/>
  <c r="O18" i="54"/>
  <c r="S18" i="54" s="1"/>
  <c r="O28" i="57"/>
  <c r="S28" i="57" s="1"/>
  <c r="O21" i="54"/>
  <c r="S21" i="54" s="1"/>
  <c r="O48" i="54"/>
  <c r="S48" i="54" s="1"/>
  <c r="O48" i="53"/>
  <c r="S48" i="53" s="1"/>
  <c r="O47" i="54"/>
  <c r="S47" i="54" s="1"/>
  <c r="O47" i="53"/>
  <c r="S47" i="53" s="1"/>
  <c r="O68" i="54"/>
  <c r="S68" i="54" s="1"/>
  <c r="O68" i="53"/>
  <c r="S68" i="53" s="1"/>
  <c r="O17" i="57"/>
  <c r="S17" i="57" s="1"/>
  <c r="O17" i="56"/>
  <c r="S17" i="56" s="1"/>
  <c r="O49" i="58"/>
  <c r="S49" i="58" s="1"/>
  <c r="O49" i="57"/>
  <c r="S49" i="57" s="1"/>
  <c r="O18" i="56"/>
  <c r="S18" i="56" s="1"/>
  <c r="O33" i="56"/>
  <c r="S33" i="56" s="1"/>
  <c r="O62" i="57"/>
  <c r="S62" i="57" s="1"/>
  <c r="O62" i="58"/>
  <c r="S62" i="58" s="1"/>
  <c r="O48" i="59"/>
  <c r="S48" i="59" s="1"/>
  <c r="O48" i="58"/>
  <c r="S48" i="58" s="1"/>
  <c r="T2" i="60"/>
  <c r="T58" i="60" s="1"/>
  <c r="O62" i="55"/>
  <c r="S62" i="55" s="1"/>
  <c r="O37" i="61"/>
  <c r="S37" i="61" s="1"/>
  <c r="O51" i="53"/>
  <c r="S51" i="53" s="1"/>
  <c r="O56" i="52"/>
  <c r="S56" i="52" s="1"/>
  <c r="O46" i="59"/>
  <c r="S46" i="59" s="1"/>
  <c r="O46" i="58"/>
  <c r="S46" i="58" s="1"/>
  <c r="O67" i="59"/>
  <c r="S67" i="59" s="1"/>
  <c r="O67" i="58"/>
  <c r="S67" i="58" s="1"/>
  <c r="O60" i="58"/>
  <c r="S60" i="58" s="1"/>
  <c r="O60" i="59"/>
  <c r="S60" i="59" s="1"/>
  <c r="O56" i="59"/>
  <c r="S56" i="59" s="1"/>
  <c r="O56" i="58"/>
  <c r="S56" i="58" s="1"/>
  <c r="O29" i="53"/>
  <c r="S29" i="53" s="1"/>
  <c r="O29" i="52"/>
  <c r="S29" i="52" s="1"/>
  <c r="O28" i="53"/>
  <c r="S28" i="53" s="1"/>
  <c r="O28" i="52"/>
  <c r="S28" i="52" s="1"/>
  <c r="O63" i="58"/>
  <c r="S63" i="58" s="1"/>
  <c r="O63" i="57"/>
  <c r="S63" i="57" s="1"/>
  <c r="O62" i="61"/>
  <c r="S62" i="61" s="1"/>
  <c r="O34" i="57"/>
  <c r="S34" i="57" s="1"/>
  <c r="O34" i="58"/>
  <c r="S34" i="58" s="1"/>
  <c r="O23" i="58"/>
  <c r="S23" i="58" s="1"/>
  <c r="O23" i="57"/>
  <c r="S23" i="57" s="1"/>
  <c r="O25" i="57"/>
  <c r="S25" i="57" s="1"/>
  <c r="O54" i="54"/>
  <c r="S54" i="54" s="1"/>
  <c r="O54" i="55"/>
  <c r="S54" i="55" s="1"/>
  <c r="O43" i="57"/>
  <c r="S43" i="57" s="1"/>
  <c r="O24" i="59"/>
  <c r="S24" i="59" s="1"/>
  <c r="O24" i="58"/>
  <c r="S24" i="58" s="1"/>
  <c r="O35" i="57"/>
  <c r="S35" i="57" s="1"/>
  <c r="O19" i="53"/>
  <c r="S19" i="53" s="1"/>
  <c r="O65" i="53"/>
  <c r="S65" i="53" s="1"/>
  <c r="O31" i="54"/>
  <c r="S31" i="54" s="1"/>
  <c r="T2" i="54" s="1"/>
  <c r="O57" i="59"/>
  <c r="S57" i="59" s="1"/>
  <c r="O57" i="58"/>
  <c r="S57" i="58" s="1"/>
  <c r="O30" i="52"/>
  <c r="S30" i="52" s="1"/>
  <c r="O35" i="53"/>
  <c r="S35" i="53" s="1"/>
  <c r="O61" i="53"/>
  <c r="S61" i="53" s="1"/>
  <c r="O61" i="52"/>
  <c r="S61" i="52" s="1"/>
  <c r="O42" i="59"/>
  <c r="S42" i="59" s="1"/>
  <c r="O42" i="58"/>
  <c r="S42" i="58" s="1"/>
  <c r="O64" i="58"/>
  <c r="S64" i="58" s="1"/>
  <c r="T2" i="53" l="1"/>
  <c r="T64" i="53" s="1"/>
  <c r="T68" i="60"/>
  <c r="T61" i="60"/>
  <c r="T2" i="61"/>
  <c r="T21" i="61" s="1"/>
  <c r="T28" i="60"/>
  <c r="T65" i="60"/>
  <c r="T22" i="60"/>
  <c r="T50" i="60"/>
  <c r="T26" i="60"/>
  <c r="T43" i="60"/>
  <c r="T16" i="54"/>
  <c r="T66" i="54"/>
  <c r="T21" i="54"/>
  <c r="T62" i="54"/>
  <c r="T9" i="54"/>
  <c r="T18" i="54"/>
  <c r="T64" i="54"/>
  <c r="T23" i="54"/>
  <c r="T15" i="54"/>
  <c r="T26" i="54"/>
  <c r="T25" i="54"/>
  <c r="T40" i="54"/>
  <c r="T19" i="54"/>
  <c r="D5" i="50"/>
  <c r="T63" i="54"/>
  <c r="T29" i="54"/>
  <c r="T27" i="54"/>
  <c r="T33" i="54"/>
  <c r="T35" i="54"/>
  <c r="T53" i="54"/>
  <c r="T61" i="54"/>
  <c r="T10" i="54"/>
  <c r="T44" i="54"/>
  <c r="T37" i="54"/>
  <c r="T59" i="54"/>
  <c r="T65" i="54"/>
  <c r="T67" i="54"/>
  <c r="T11" i="54"/>
  <c r="T45" i="54"/>
  <c r="T13" i="54"/>
  <c r="T42" i="54"/>
  <c r="T24" i="54"/>
  <c r="T7" i="54"/>
  <c r="T57" i="54"/>
  <c r="T22" i="54"/>
  <c r="T30" i="54"/>
  <c r="T8" i="54"/>
  <c r="T46" i="54"/>
  <c r="T60" i="54"/>
  <c r="T52" i="54"/>
  <c r="T34" i="54"/>
  <c r="T38" i="54"/>
  <c r="T12" i="54"/>
  <c r="T39" i="54"/>
  <c r="T55" i="54"/>
  <c r="T69" i="54"/>
  <c r="T28" i="54"/>
  <c r="T58" i="54"/>
  <c r="T41" i="54"/>
  <c r="T32" i="54"/>
  <c r="T43" i="54"/>
  <c r="T49" i="54"/>
  <c r="T56" i="54"/>
  <c r="T17" i="54"/>
  <c r="T14" i="54"/>
  <c r="T36" i="54"/>
  <c r="T51" i="54"/>
  <c r="T20" i="54"/>
  <c r="T50" i="54"/>
  <c r="T9" i="53"/>
  <c r="T30" i="53"/>
  <c r="T10" i="53"/>
  <c r="T39" i="53"/>
  <c r="T31" i="53"/>
  <c r="T33" i="53"/>
  <c r="T49" i="53"/>
  <c r="T57" i="53"/>
  <c r="T24" i="53"/>
  <c r="T52" i="53"/>
  <c r="T44" i="53"/>
  <c r="T69" i="53"/>
  <c r="T67" i="53"/>
  <c r="T6" i="53"/>
  <c r="T16" i="53"/>
  <c r="T11" i="53"/>
  <c r="T18" i="53"/>
  <c r="T55" i="53"/>
  <c r="T37" i="53"/>
  <c r="T14" i="53"/>
  <c r="T59" i="53"/>
  <c r="T53" i="53"/>
  <c r="T27" i="53"/>
  <c r="T56" i="53"/>
  <c r="T40" i="53"/>
  <c r="T41" i="53"/>
  <c r="T22" i="53"/>
  <c r="T35" i="53"/>
  <c r="T68" i="54"/>
  <c r="T65" i="53"/>
  <c r="T24" i="59"/>
  <c r="T2" i="59"/>
  <c r="T29" i="53"/>
  <c r="D11" i="50"/>
  <c r="T13" i="60"/>
  <c r="T17" i="60"/>
  <c r="T34" i="60"/>
  <c r="T37" i="60"/>
  <c r="T44" i="60"/>
  <c r="T55" i="60"/>
  <c r="T47" i="60"/>
  <c r="T39" i="60"/>
  <c r="T31" i="60"/>
  <c r="T56" i="60"/>
  <c r="T60" i="60"/>
  <c r="T38" i="60"/>
  <c r="T14" i="60"/>
  <c r="T57" i="60"/>
  <c r="T30" i="60"/>
  <c r="T64" i="60"/>
  <c r="T53" i="60"/>
  <c r="T15" i="60"/>
  <c r="T49" i="60"/>
  <c r="T69" i="60"/>
  <c r="T24" i="60"/>
  <c r="T27" i="60"/>
  <c r="T21" i="60"/>
  <c r="T16" i="60"/>
  <c r="T25" i="60"/>
  <c r="T19" i="60"/>
  <c r="T42" i="60"/>
  <c r="T62" i="60"/>
  <c r="T41" i="60"/>
  <c r="T48" i="60"/>
  <c r="T20" i="60"/>
  <c r="T59" i="60"/>
  <c r="T18" i="60"/>
  <c r="T45" i="60"/>
  <c r="T51" i="60"/>
  <c r="T54" i="60"/>
  <c r="T33" i="60"/>
  <c r="T35" i="60"/>
  <c r="T36" i="60"/>
  <c r="T63" i="60"/>
  <c r="T46" i="60"/>
  <c r="T48" i="54"/>
  <c r="T2" i="56"/>
  <c r="T33" i="56" s="1"/>
  <c r="T23" i="60"/>
  <c r="T67" i="60"/>
  <c r="T31" i="54"/>
  <c r="T54" i="54"/>
  <c r="T60" i="59"/>
  <c r="T62" i="61"/>
  <c r="T2" i="52"/>
  <c r="T56" i="52" s="1"/>
  <c r="T47" i="53"/>
  <c r="T61" i="53"/>
  <c r="T57" i="59"/>
  <c r="T2" i="57"/>
  <c r="T35" i="57" s="1"/>
  <c r="T28" i="53"/>
  <c r="T56" i="59"/>
  <c r="T67" i="59"/>
  <c r="T51" i="53"/>
  <c r="T2" i="58"/>
  <c r="T24" i="58" s="1"/>
  <c r="T29" i="60"/>
  <c r="T32" i="60"/>
  <c r="T66" i="60"/>
  <c r="T68" i="53"/>
  <c r="T47" i="54"/>
  <c r="T40" i="60"/>
  <c r="T2" i="55"/>
  <c r="T62" i="55" s="1"/>
  <c r="T52" i="60"/>
  <c r="T19" i="53" l="1"/>
  <c r="T25" i="57"/>
  <c r="T30" i="52"/>
  <c r="T38" i="53"/>
  <c r="T13" i="53"/>
  <c r="T20" i="53"/>
  <c r="T25" i="53"/>
  <c r="T54" i="53"/>
  <c r="T12" i="53"/>
  <c r="T43" i="53"/>
  <c r="T63" i="53"/>
  <c r="T58" i="53"/>
  <c r="T8" i="53"/>
  <c r="T26" i="53"/>
  <c r="T7" i="53"/>
  <c r="T17" i="53"/>
  <c r="T45" i="53"/>
  <c r="T42" i="61"/>
  <c r="T52" i="61"/>
  <c r="T51" i="61"/>
  <c r="T17" i="61"/>
  <c r="T67" i="61"/>
  <c r="T22" i="61"/>
  <c r="T23" i="61"/>
  <c r="T39" i="61"/>
  <c r="T30" i="61"/>
  <c r="T41" i="61"/>
  <c r="T61" i="61"/>
  <c r="T63" i="61"/>
  <c r="T19" i="61"/>
  <c r="D12" i="50"/>
  <c r="T43" i="61"/>
  <c r="T58" i="61"/>
  <c r="T64" i="61"/>
  <c r="T48" i="61"/>
  <c r="T20" i="61"/>
  <c r="T49" i="61"/>
  <c r="T15" i="61"/>
  <c r="T59" i="61"/>
  <c r="T25" i="61"/>
  <c r="T16" i="61"/>
  <c r="T66" i="61"/>
  <c r="T36" i="61"/>
  <c r="T56" i="61"/>
  <c r="T31" i="61"/>
  <c r="T18" i="56"/>
  <c r="T37" i="61"/>
  <c r="T48" i="53"/>
  <c r="T62" i="53"/>
  <c r="T66" i="53"/>
  <c r="T32" i="53"/>
  <c r="D4" i="50"/>
  <c r="T36" i="53"/>
  <c r="T34" i="53"/>
  <c r="T21" i="53"/>
  <c r="T42" i="53"/>
  <c r="T15" i="53"/>
  <c r="T46" i="53"/>
  <c r="T60" i="53"/>
  <c r="T50" i="53"/>
  <c r="T23" i="53"/>
  <c r="T55" i="61"/>
  <c r="T68" i="61"/>
  <c r="T44" i="61"/>
  <c r="T40" i="61"/>
  <c r="T24" i="61"/>
  <c r="T57" i="61"/>
  <c r="T60" i="61"/>
  <c r="T34" i="61"/>
  <c r="T46" i="61"/>
  <c r="T29" i="61"/>
  <c r="T32" i="61"/>
  <c r="T54" i="61"/>
  <c r="T50" i="61"/>
  <c r="T28" i="52"/>
  <c r="T27" i="61"/>
  <c r="T28" i="61"/>
  <c r="T69" i="61"/>
  <c r="T18" i="61"/>
  <c r="T35" i="61"/>
  <c r="T33" i="61"/>
  <c r="T45" i="61"/>
  <c r="T53" i="61"/>
  <c r="T38" i="61"/>
  <c r="T26" i="61"/>
  <c r="T47" i="61"/>
  <c r="T65" i="61"/>
  <c r="T14" i="61"/>
  <c r="T62" i="58"/>
  <c r="T49" i="58"/>
  <c r="F4" i="50"/>
  <c r="O4" i="50"/>
  <c r="P4" i="50" s="1"/>
  <c r="O5" i="50"/>
  <c r="P5" i="50" s="1"/>
  <c r="T39" i="57"/>
  <c r="T29" i="57"/>
  <c r="T50" i="57"/>
  <c r="D8" i="50"/>
  <c r="T54" i="57"/>
  <c r="T46" i="57"/>
  <c r="T15" i="57"/>
  <c r="T52" i="57"/>
  <c r="T27" i="57"/>
  <c r="T57" i="57"/>
  <c r="T11" i="57"/>
  <c r="T21" i="57"/>
  <c r="T32" i="57"/>
  <c r="T38" i="57"/>
  <c r="T51" i="57"/>
  <c r="T66" i="57"/>
  <c r="T69" i="57"/>
  <c r="T26" i="57"/>
  <c r="T42" i="57"/>
  <c r="T58" i="57"/>
  <c r="T56" i="57"/>
  <c r="T19" i="57"/>
  <c r="T28" i="57"/>
  <c r="T60" i="57"/>
  <c r="T44" i="57"/>
  <c r="T12" i="57"/>
  <c r="T22" i="57"/>
  <c r="T64" i="57"/>
  <c r="T10" i="57"/>
  <c r="T16" i="57"/>
  <c r="T68" i="57"/>
  <c r="T65" i="57"/>
  <c r="T59" i="57"/>
  <c r="T41" i="57"/>
  <c r="T33" i="57"/>
  <c r="T30" i="57"/>
  <c r="T40" i="57"/>
  <c r="T48" i="57"/>
  <c r="T14" i="57"/>
  <c r="T67" i="57"/>
  <c r="T36" i="57"/>
  <c r="T20" i="57"/>
  <c r="T37" i="57"/>
  <c r="T53" i="57"/>
  <c r="T55" i="57"/>
  <c r="T13" i="57"/>
  <c r="T61" i="57"/>
  <c r="T18" i="57"/>
  <c r="T31" i="57"/>
  <c r="T24" i="57"/>
  <c r="T45" i="57"/>
  <c r="T47" i="57"/>
  <c r="T17" i="57"/>
  <c r="T57" i="58"/>
  <c r="T63" i="57"/>
  <c r="T17" i="56"/>
  <c r="L11" i="50"/>
  <c r="M11" i="50" s="1"/>
  <c r="L12" i="50"/>
  <c r="M12" i="50" s="1"/>
  <c r="F11" i="50"/>
  <c r="T29" i="59"/>
  <c r="T54" i="59"/>
  <c r="T32" i="59"/>
  <c r="T12" i="59"/>
  <c r="T51" i="59"/>
  <c r="T68" i="59"/>
  <c r="T20" i="59"/>
  <c r="T37" i="59"/>
  <c r="T61" i="59"/>
  <c r="T22" i="59"/>
  <c r="T44" i="59"/>
  <c r="T25" i="59"/>
  <c r="T41" i="59"/>
  <c r="T26" i="59"/>
  <c r="T21" i="59"/>
  <c r="T55" i="59"/>
  <c r="D10" i="50"/>
  <c r="T19" i="59"/>
  <c r="T23" i="59"/>
  <c r="T66" i="59"/>
  <c r="T40" i="59"/>
  <c r="T49" i="59"/>
  <c r="T27" i="59"/>
  <c r="T38" i="59"/>
  <c r="T59" i="59"/>
  <c r="T62" i="59"/>
  <c r="T14" i="59"/>
  <c r="T13" i="59"/>
  <c r="T16" i="59"/>
  <c r="T43" i="59"/>
  <c r="T47" i="59"/>
  <c r="T52" i="59"/>
  <c r="T58" i="59"/>
  <c r="T17" i="59"/>
  <c r="T39" i="59"/>
  <c r="T28" i="59"/>
  <c r="T33" i="59"/>
  <c r="T53" i="59"/>
  <c r="T69" i="59"/>
  <c r="T35" i="59"/>
  <c r="T15" i="59"/>
  <c r="T65" i="59"/>
  <c r="T30" i="59"/>
  <c r="T18" i="59"/>
  <c r="T50" i="59"/>
  <c r="T45" i="59"/>
  <c r="T31" i="59"/>
  <c r="T36" i="59"/>
  <c r="T34" i="59"/>
  <c r="T64" i="59"/>
  <c r="T63" i="59"/>
  <c r="T42" i="59"/>
  <c r="T48" i="58"/>
  <c r="S70" i="61"/>
  <c r="T45" i="58"/>
  <c r="T11" i="58"/>
  <c r="T20" i="58"/>
  <c r="T54" i="58"/>
  <c r="T17" i="58"/>
  <c r="T14" i="58"/>
  <c r="T58" i="58"/>
  <c r="T52" i="58"/>
  <c r="T41" i="58"/>
  <c r="T22" i="58"/>
  <c r="T26" i="58"/>
  <c r="T40" i="58"/>
  <c r="T37" i="58"/>
  <c r="T35" i="58"/>
  <c r="T69" i="58"/>
  <c r="T31" i="58"/>
  <c r="T55" i="58"/>
  <c r="T29" i="58"/>
  <c r="T66" i="58"/>
  <c r="T16" i="58"/>
  <c r="T44" i="58"/>
  <c r="T68" i="58"/>
  <c r="T38" i="58"/>
  <c r="T43" i="58"/>
  <c r="D9" i="50"/>
  <c r="T47" i="58"/>
  <c r="T33" i="58"/>
  <c r="T36" i="58"/>
  <c r="T28" i="58"/>
  <c r="T18" i="58"/>
  <c r="T51" i="58"/>
  <c r="T61" i="58"/>
  <c r="T32" i="58"/>
  <c r="T30" i="58"/>
  <c r="T53" i="58"/>
  <c r="T19" i="58"/>
  <c r="T12" i="58"/>
  <c r="T21" i="58"/>
  <c r="T27" i="58"/>
  <c r="T59" i="58"/>
  <c r="T25" i="58"/>
  <c r="T65" i="58"/>
  <c r="T39" i="58"/>
  <c r="T50" i="58"/>
  <c r="T13" i="58"/>
  <c r="T15" i="58"/>
  <c r="T42" i="58"/>
  <c r="S70" i="60"/>
  <c r="T60" i="58"/>
  <c r="T34" i="58"/>
  <c r="S70" i="54"/>
  <c r="T23" i="58"/>
  <c r="T31" i="52"/>
  <c r="T62" i="52"/>
  <c r="T45" i="52"/>
  <c r="T57" i="52"/>
  <c r="T55" i="52"/>
  <c r="T65" i="52"/>
  <c r="T25" i="52"/>
  <c r="T26" i="52"/>
  <c r="T34" i="52"/>
  <c r="T8" i="52"/>
  <c r="T14" i="52"/>
  <c r="T53" i="52"/>
  <c r="T59" i="52"/>
  <c r="T67" i="52"/>
  <c r="T68" i="52"/>
  <c r="T35" i="52"/>
  <c r="T10" i="52"/>
  <c r="T24" i="52"/>
  <c r="T23" i="52"/>
  <c r="T64" i="52"/>
  <c r="T44" i="52"/>
  <c r="T22" i="52"/>
  <c r="T16" i="52"/>
  <c r="T36" i="52"/>
  <c r="T43" i="52"/>
  <c r="T48" i="52"/>
  <c r="T58" i="52"/>
  <c r="T69" i="52"/>
  <c r="T42" i="52"/>
  <c r="T32" i="52"/>
  <c r="T11" i="52"/>
  <c r="T60" i="52"/>
  <c r="T20" i="52"/>
  <c r="D3" i="50"/>
  <c r="T19" i="52"/>
  <c r="T52" i="52"/>
  <c r="T46" i="52"/>
  <c r="T7" i="52"/>
  <c r="T47" i="52"/>
  <c r="T37" i="52"/>
  <c r="T66" i="52"/>
  <c r="T39" i="52"/>
  <c r="T38" i="52"/>
  <c r="T50" i="52"/>
  <c r="T49" i="52"/>
  <c r="T5" i="52"/>
  <c r="T63" i="52"/>
  <c r="T41" i="52"/>
  <c r="T40" i="52"/>
  <c r="T6" i="52"/>
  <c r="T51" i="52"/>
  <c r="T33" i="52"/>
  <c r="T13" i="52"/>
  <c r="T21" i="52"/>
  <c r="T18" i="52"/>
  <c r="T12" i="52"/>
  <c r="T9" i="52"/>
  <c r="T17" i="52"/>
  <c r="T15" i="52"/>
  <c r="T54" i="52"/>
  <c r="T27" i="52"/>
  <c r="T67" i="58"/>
  <c r="T23" i="57"/>
  <c r="T61" i="52"/>
  <c r="T63" i="58"/>
  <c r="T46" i="58"/>
  <c r="S70" i="53"/>
  <c r="T53" i="55"/>
  <c r="T24" i="55"/>
  <c r="T40" i="55"/>
  <c r="T56" i="55"/>
  <c r="T36" i="55"/>
  <c r="T46" i="55"/>
  <c r="T8" i="55"/>
  <c r="T9" i="55"/>
  <c r="T43" i="55"/>
  <c r="T25" i="55"/>
  <c r="T42" i="55"/>
  <c r="T34" i="55"/>
  <c r="T45" i="55"/>
  <c r="T38" i="55"/>
  <c r="T37" i="55"/>
  <c r="T60" i="55"/>
  <c r="T41" i="55"/>
  <c r="T11" i="55"/>
  <c r="T21" i="55"/>
  <c r="T58" i="55"/>
  <c r="T17" i="55"/>
  <c r="T27" i="55"/>
  <c r="T67" i="55"/>
  <c r="T63" i="55"/>
  <c r="T14" i="55"/>
  <c r="T28" i="55"/>
  <c r="T18" i="55"/>
  <c r="T49" i="55"/>
  <c r="T19" i="55"/>
  <c r="T48" i="55"/>
  <c r="T15" i="55"/>
  <c r="T31" i="55"/>
  <c r="T69" i="55"/>
  <c r="T47" i="55"/>
  <c r="T44" i="55"/>
  <c r="T51" i="55"/>
  <c r="T35" i="55"/>
  <c r="T16" i="55"/>
  <c r="T22" i="55"/>
  <c r="T33" i="55"/>
  <c r="D6" i="50"/>
  <c r="O6" i="50" s="1"/>
  <c r="P6" i="50" s="1"/>
  <c r="T61" i="55"/>
  <c r="T32" i="55"/>
  <c r="T57" i="55"/>
  <c r="T66" i="55"/>
  <c r="T39" i="55"/>
  <c r="T12" i="55"/>
  <c r="T64" i="55"/>
  <c r="T26" i="55"/>
  <c r="T30" i="55"/>
  <c r="T68" i="55"/>
  <c r="T65" i="55"/>
  <c r="T52" i="55"/>
  <c r="T55" i="55"/>
  <c r="T23" i="55"/>
  <c r="T20" i="55"/>
  <c r="T59" i="55"/>
  <c r="T50" i="55"/>
  <c r="T13" i="55"/>
  <c r="T10" i="55"/>
  <c r="T29" i="55"/>
  <c r="T49" i="57"/>
  <c r="T62" i="57"/>
  <c r="T54" i="55"/>
  <c r="T64" i="58"/>
  <c r="T56" i="58"/>
  <c r="T43" i="57"/>
  <c r="D7" i="50"/>
  <c r="T31" i="56"/>
  <c r="T19" i="56"/>
  <c r="T60" i="56"/>
  <c r="T28" i="56"/>
  <c r="T11" i="56"/>
  <c r="T58" i="56"/>
  <c r="T55" i="56"/>
  <c r="T38" i="56"/>
  <c r="T32" i="56"/>
  <c r="T44" i="56"/>
  <c r="T12" i="56"/>
  <c r="T59" i="56"/>
  <c r="T52" i="56"/>
  <c r="T46" i="56"/>
  <c r="T49" i="56"/>
  <c r="T21" i="56"/>
  <c r="T39" i="56"/>
  <c r="T13" i="56"/>
  <c r="T26" i="56"/>
  <c r="T69" i="56"/>
  <c r="T14" i="56"/>
  <c r="T34" i="56"/>
  <c r="T47" i="56"/>
  <c r="T54" i="56"/>
  <c r="T41" i="56"/>
  <c r="T20" i="56"/>
  <c r="T65" i="56"/>
  <c r="T40" i="56"/>
  <c r="T27" i="56"/>
  <c r="T9" i="56"/>
  <c r="T35" i="56"/>
  <c r="T22" i="56"/>
  <c r="T16" i="56"/>
  <c r="T24" i="56"/>
  <c r="T66" i="56"/>
  <c r="T10" i="56"/>
  <c r="T51" i="56"/>
  <c r="T37" i="56"/>
  <c r="T50" i="56"/>
  <c r="T45" i="56"/>
  <c r="T42" i="56"/>
  <c r="T56" i="56"/>
  <c r="T15" i="56"/>
  <c r="T48" i="56"/>
  <c r="T30" i="56"/>
  <c r="T62" i="56"/>
  <c r="T64" i="56"/>
  <c r="T57" i="56"/>
  <c r="T36" i="56"/>
  <c r="T23" i="56"/>
  <c r="T67" i="56"/>
  <c r="T61" i="56"/>
  <c r="T68" i="56"/>
  <c r="T29" i="56"/>
  <c r="T53" i="56"/>
  <c r="T25" i="56"/>
  <c r="T43" i="56"/>
  <c r="T63" i="56"/>
  <c r="T48" i="59"/>
  <c r="T46" i="59"/>
  <c r="T34" i="57"/>
  <c r="T29" i="52"/>
  <c r="R5" i="50"/>
  <c r="S5" i="50" s="1"/>
  <c r="R6" i="50"/>
  <c r="S6" i="50" s="1"/>
  <c r="F5" i="50"/>
  <c r="O12" i="50"/>
  <c r="P12" i="50" s="1"/>
  <c r="G12" i="50" s="1"/>
  <c r="F12" i="50"/>
  <c r="G5" i="50" l="1"/>
  <c r="S70" i="56"/>
  <c r="U6" i="50"/>
  <c r="V6" i="50" s="1"/>
  <c r="G6" i="50" s="1"/>
  <c r="F6" i="50"/>
  <c r="G11" i="50"/>
  <c r="S70" i="57"/>
  <c r="F9" i="50"/>
  <c r="R9" i="50"/>
  <c r="S9" i="50" s="1"/>
  <c r="R10" i="50"/>
  <c r="S10" i="50" s="1"/>
  <c r="L7" i="50"/>
  <c r="M7" i="50" s="1"/>
  <c r="L9" i="50"/>
  <c r="M9" i="50" s="1"/>
  <c r="F7" i="50"/>
  <c r="L10" i="50"/>
  <c r="M10" i="50" s="1"/>
  <c r="L8" i="50"/>
  <c r="M8" i="50" s="1"/>
  <c r="U10" i="50"/>
  <c r="V10" i="50" s="1"/>
  <c r="G10" i="50" s="1"/>
  <c r="F10" i="50"/>
  <c r="O8" i="50"/>
  <c r="P8" i="50" s="1"/>
  <c r="O10" i="50"/>
  <c r="P10" i="50" s="1"/>
  <c r="F8" i="50"/>
  <c r="O9" i="50"/>
  <c r="P9" i="50" s="1"/>
  <c r="S70" i="55"/>
  <c r="S70" i="52"/>
  <c r="L3" i="50"/>
  <c r="M3" i="50" s="1"/>
  <c r="L6" i="50"/>
  <c r="M6" i="50" s="1"/>
  <c r="L4" i="50"/>
  <c r="M4" i="50" s="1"/>
  <c r="F3" i="50"/>
  <c r="L5" i="50"/>
  <c r="M5" i="50" s="1"/>
  <c r="S70" i="58"/>
  <c r="S70" i="59"/>
  <c r="G4" i="50"/>
  <c r="G8" i="50" l="1"/>
  <c r="G7" i="50"/>
  <c r="G9" i="50"/>
  <c r="G3" i="50"/>
</calcChain>
</file>

<file path=xl/sharedStrings.xml><?xml version="1.0" encoding="utf-8"?>
<sst xmlns="http://schemas.openxmlformats.org/spreadsheetml/2006/main" count="416" uniqueCount="61">
  <si>
    <t>Age</t>
  </si>
  <si>
    <t>Experience Adjustment</t>
  </si>
  <si>
    <t>Expected Pretax Income</t>
  </si>
  <si>
    <t>Experience Premium</t>
  </si>
  <si>
    <t>Experience Normalization</t>
  </si>
  <si>
    <t>Years of Education</t>
  </si>
  <si>
    <t>Expected Compensation</t>
  </si>
  <si>
    <t>Tuition</t>
  </si>
  <si>
    <t>Completion Probability</t>
  </si>
  <si>
    <t>Unemployment Probability</t>
  </si>
  <si>
    <t>2011 Tax Table, standard deduction 5800, personal exemption 3700, 10% state taxes &amp; local taxes, FICA, $300/week unemployment benefit</t>
  </si>
  <si>
    <t>Start Age</t>
  </si>
  <si>
    <t xml:space="preserve">Taxable Income </t>
  </si>
  <si>
    <t>Return to Education</t>
  </si>
  <si>
    <t>Expected Value</t>
  </si>
  <si>
    <t>Expected Present Value</t>
  </si>
  <si>
    <t>Years of Experience</t>
  </si>
  <si>
    <t>School Happiness</t>
  </si>
  <si>
    <t xml:space="preserve">Expected After-Tax Income </t>
  </si>
  <si>
    <t xml:space="preserve">Expected Taxes </t>
  </si>
  <si>
    <t>Initial Unemployment</t>
  </si>
  <si>
    <t>Return Rate</t>
  </si>
  <si>
    <t>Year 1 Probability Distribution</t>
  </si>
  <si>
    <t>Year 2 Probability Distribution</t>
  </si>
  <si>
    <t>Year 3 Probability Distribution</t>
  </si>
  <si>
    <t>Year 4 Probability Distribution</t>
  </si>
  <si>
    <t>Year 1 Stopping Return</t>
  </si>
  <si>
    <t>Year 2 Stopping Return</t>
  </si>
  <si>
    <t>Year 3 Stopping Return</t>
  </si>
  <si>
    <t>Year 4 Stopping Return</t>
  </si>
  <si>
    <t>Year 1 Stopping Rate</t>
  </si>
  <si>
    <t>Year 2 Stopping Rate</t>
  </si>
  <si>
    <t>Year 3 Stopping Rate</t>
  </si>
  <si>
    <t>Year 4 Stopping Rate</t>
  </si>
  <si>
    <t>Degree Return</t>
  </si>
  <si>
    <t xml:space="preserve"> Pretax Income</t>
  </si>
  <si>
    <t>Benefits</t>
  </si>
  <si>
    <t xml:space="preserve"> Pretax Income if Employed (including student earnings)</t>
  </si>
  <si>
    <t xml:space="preserve"> Benefits if Employed</t>
  </si>
  <si>
    <t>High School Tuition</t>
  </si>
  <si>
    <t>College Tuition</t>
  </si>
  <si>
    <t>School Feelings</t>
  </si>
  <si>
    <t>Participation Rate</t>
  </si>
  <si>
    <t>Social Income</t>
  </si>
  <si>
    <t>Social Benefits</t>
  </si>
  <si>
    <t>Social Unemployment</t>
  </si>
  <si>
    <t>Social Participation</t>
  </si>
  <si>
    <t>Average Net Tax Rate</t>
  </si>
  <si>
    <t>Expected Productivity if Participating</t>
  </si>
  <si>
    <t>Participation</t>
  </si>
  <si>
    <t>Nonparticipation Transfers</t>
  </si>
  <si>
    <t>Crime Risk Factor</t>
  </si>
  <si>
    <t>Crime Risk Factor from crimeworksheet.xls</t>
  </si>
  <si>
    <t>Social Crime Cost</t>
  </si>
  <si>
    <t>Expected Crime Costs</t>
  </si>
  <si>
    <t>Enhanced Participation Benefit</t>
  </si>
  <si>
    <t>Initial Social Participation</t>
  </si>
  <si>
    <t>Social Return to Education</t>
  </si>
  <si>
    <t>Crime Reduction Benefit</t>
  </si>
  <si>
    <t>Expected Productivity Benefit</t>
  </si>
  <si>
    <t>All other variables from metasocial.xls and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</si>
</sst>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"/>
    <numFmt numFmtId="168" formatCode="0.0%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Alignment="0"/>
    <xf numFmtId="3" fontId="3" fillId="0" borderId="0"/>
    <xf numFmtId="1" fontId="3" fillId="0" borderId="0"/>
    <xf numFmtId="168" fontId="3" fillId="0" borderId="0"/>
    <xf numFmtId="164" fontId="6" fillId="0" borderId="0"/>
  </cellStyleXfs>
  <cellXfs count="3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vertical="top" wrapText="1"/>
    </xf>
    <xf numFmtId="164" fontId="5" fillId="0" borderId="0" xfId="0" applyNumberFormat="1" applyFont="1"/>
    <xf numFmtId="2" fontId="0" fillId="0" borderId="0" xfId="0" applyNumberFormat="1"/>
    <xf numFmtId="0" fontId="3" fillId="0" borderId="0" xfId="0" applyNumberFormat="1" applyFont="1"/>
    <xf numFmtId="167" fontId="1" fillId="0" borderId="0" xfId="0" applyNumberFormat="1" applyFont="1"/>
    <xf numFmtId="0" fontId="3" fillId="0" borderId="0" xfId="0" applyNumberFormat="1" applyFont="1" applyBorder="1"/>
    <xf numFmtId="0" fontId="4" fillId="0" borderId="0" xfId="0" applyNumberFormat="1" applyFont="1" applyBorder="1" applyAlignment="1">
      <alignment vertical="top" wrapText="1"/>
    </xf>
    <xf numFmtId="1" fontId="1" fillId="0" borderId="0" xfId="0" applyNumberFormat="1" applyFont="1"/>
    <xf numFmtId="3" fontId="0" fillId="0" borderId="0" xfId="0" applyNumberFormat="1" applyAlignment="1">
      <alignment horizontal="right" vertical="center"/>
    </xf>
    <xf numFmtId="164" fontId="0" fillId="0" borderId="0" xfId="0" applyNumberFormat="1" applyFont="1"/>
    <xf numFmtId="3" fontId="3" fillId="0" borderId="0" xfId="2"/>
    <xf numFmtId="1" fontId="3" fillId="0" borderId="0" xfId="3"/>
    <xf numFmtId="0" fontId="0" fillId="0" borderId="0" xfId="0" applyAlignment="1">
      <alignment horizontal="right" vertical="center"/>
    </xf>
    <xf numFmtId="164" fontId="0" fillId="0" borderId="0" xfId="1" applyFont="1" applyAlignment="1">
      <alignment horizontal="right" vertical="center"/>
    </xf>
    <xf numFmtId="3" fontId="0" fillId="0" borderId="0" xfId="0" applyNumberFormat="1" applyFont="1"/>
    <xf numFmtId="164" fontId="3" fillId="0" borderId="0" xfId="1"/>
    <xf numFmtId="1" fontId="0" fillId="0" borderId="0" xfId="0" applyNumberFormat="1" applyFont="1"/>
    <xf numFmtId="0" fontId="0" fillId="0" borderId="0" xfId="0" applyNumberFormat="1" applyFont="1" applyBorder="1"/>
    <xf numFmtId="164" fontId="0" fillId="0" borderId="0" xfId="1" applyFont="1"/>
    <xf numFmtId="49" fontId="1" fillId="0" borderId="0" xfId="0" applyNumberFormat="1" applyFont="1"/>
    <xf numFmtId="164" fontId="7" fillId="0" borderId="0" xfId="0" applyNumberFormat="1" applyFont="1" applyAlignment="1">
      <alignment horizontal="right" vertical="center"/>
    </xf>
  </cellXfs>
  <cellStyles count="6">
    <cellStyle name="3Decimals" xfId="1"/>
    <cellStyle name="NoDecimals" xfId="2"/>
    <cellStyle name="NoDecimalsNoComma" xfId="3"/>
    <cellStyle name="Normal" xfId="0" builtinId="0" customBuiltin="1"/>
    <cellStyle name="PercentOneDecimal" xfId="4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C1" workbookViewId="0">
      <selection activeCell="R9" sqref="R9"/>
    </sheetView>
  </sheetViews>
  <sheetFormatPr defaultRowHeight="12.75" x14ac:dyDescent="0.2"/>
  <cols>
    <col min="1" max="1" width="9.140625" style="18"/>
    <col min="2" max="3" width="12.42578125" style="8" customWidth="1"/>
    <col min="4" max="7" width="9.140625" style="8"/>
    <col min="8" max="8" width="9.5703125" style="8" customWidth="1"/>
    <col min="9" max="10" width="9.140625" style="8"/>
    <col min="11" max="11" width="9.5703125" style="8" customWidth="1"/>
    <col min="12" max="12" width="9.140625" style="9"/>
    <col min="13" max="14" width="9.140625" style="8"/>
    <col min="16" max="16384" width="9.140625" style="8"/>
  </cols>
  <sheetData>
    <row r="1" spans="1:24" x14ac:dyDescent="0.2">
      <c r="A1" s="18" t="s">
        <v>5</v>
      </c>
      <c r="B1" s="20" t="s">
        <v>35</v>
      </c>
      <c r="C1" s="20" t="s">
        <v>36</v>
      </c>
      <c r="D1" s="8" t="s">
        <v>9</v>
      </c>
      <c r="E1" s="8" t="s">
        <v>8</v>
      </c>
      <c r="F1" s="20" t="s">
        <v>42</v>
      </c>
      <c r="H1" s="8" t="s">
        <v>3</v>
      </c>
      <c r="I1" s="8" t="s">
        <v>4</v>
      </c>
      <c r="L1" s="9" t="s">
        <v>16</v>
      </c>
      <c r="M1" s="8" t="s">
        <v>1</v>
      </c>
      <c r="N1" s="20" t="s">
        <v>0</v>
      </c>
      <c r="O1" t="s">
        <v>51</v>
      </c>
      <c r="P1" s="8" t="s">
        <v>39</v>
      </c>
      <c r="Q1" s="8" t="s">
        <v>40</v>
      </c>
      <c r="R1" s="8" t="s">
        <v>41</v>
      </c>
      <c r="S1" s="20" t="s">
        <v>50</v>
      </c>
      <c r="T1" s="20" t="s">
        <v>43</v>
      </c>
      <c r="U1" s="20" t="s">
        <v>44</v>
      </c>
      <c r="V1" s="20" t="s">
        <v>45</v>
      </c>
      <c r="W1" s="20" t="s">
        <v>53</v>
      </c>
      <c r="X1" s="20" t="s">
        <v>46</v>
      </c>
    </row>
    <row r="2" spans="1:24" ht="15" x14ac:dyDescent="0.2">
      <c r="A2" s="18">
        <v>8</v>
      </c>
      <c r="B2" s="19">
        <v>30305</v>
      </c>
      <c r="C2" s="19">
        <v>13940</v>
      </c>
      <c r="D2" s="23">
        <v>8.6999999999999994E-2</v>
      </c>
      <c r="E2" s="24">
        <v>1</v>
      </c>
      <c r="F2" s="24">
        <v>0.56200000000000006</v>
      </c>
      <c r="H2" s="8">
        <v>2.5000000000000001E-2</v>
      </c>
      <c r="I2" s="10">
        <f>AVERAGE(M2:M53)</f>
        <v>2.0085479604911836</v>
      </c>
      <c r="J2" s="13"/>
      <c r="K2" s="18"/>
      <c r="L2" s="9">
        <v>0</v>
      </c>
      <c r="M2" s="8">
        <f t="shared" ref="M2:M33" si="0">(1+experiencepremium)^L2</f>
        <v>1</v>
      </c>
      <c r="N2" s="22">
        <v>14</v>
      </c>
      <c r="O2" s="31">
        <v>1.0940000000000001</v>
      </c>
      <c r="P2" s="25">
        <v>11298</v>
      </c>
      <c r="Q2" s="25">
        <v>8279</v>
      </c>
      <c r="R2" s="8">
        <v>0.28000000000000003</v>
      </c>
      <c r="S2" s="22">
        <f>4362+2192</f>
        <v>6554</v>
      </c>
      <c r="T2" s="19">
        <v>36330</v>
      </c>
      <c r="U2" s="19">
        <v>16712</v>
      </c>
      <c r="V2" s="24">
        <v>6.8000000000000005E-2</v>
      </c>
      <c r="W2" s="19">
        <v>2797</v>
      </c>
      <c r="X2" s="23">
        <v>0.63100000000000001</v>
      </c>
    </row>
    <row r="3" spans="1:24" ht="15" x14ac:dyDescent="0.2">
      <c r="A3" s="18">
        <v>9</v>
      </c>
      <c r="B3" s="19">
        <v>31572</v>
      </c>
      <c r="C3" s="19">
        <v>14523</v>
      </c>
      <c r="D3" s="23">
        <v>8.3000000000000004E-2</v>
      </c>
      <c r="E3" s="24">
        <v>0.94099999999999995</v>
      </c>
      <c r="F3" s="24">
        <v>0.57599999999999996</v>
      </c>
      <c r="I3" s="10">
        <f>AVERAGE(M2:M52)</f>
        <v>1.978852107996969</v>
      </c>
      <c r="J3" s="13"/>
      <c r="K3" s="18"/>
      <c r="L3" s="9">
        <v>1</v>
      </c>
      <c r="M3" s="8">
        <f t="shared" si="0"/>
        <v>1.0249999999999999</v>
      </c>
      <c r="N3" s="22">
        <v>15</v>
      </c>
      <c r="O3" s="31">
        <v>1.8560000000000001</v>
      </c>
      <c r="Q3" s="15"/>
      <c r="R3" s="15"/>
      <c r="T3" s="19">
        <v>37014</v>
      </c>
      <c r="U3" s="19">
        <v>17026</v>
      </c>
      <c r="V3" s="24">
        <v>6.7000000000000004E-2</v>
      </c>
      <c r="W3" s="19">
        <v>2740</v>
      </c>
      <c r="X3" s="23">
        <v>0.63900000000000001</v>
      </c>
    </row>
    <row r="4" spans="1:24" ht="15" x14ac:dyDescent="0.2">
      <c r="A4" s="18">
        <v>10</v>
      </c>
      <c r="B4" s="19">
        <v>32893</v>
      </c>
      <c r="C4" s="19">
        <v>15131</v>
      </c>
      <c r="D4" s="23">
        <v>7.9000000000000001E-2</v>
      </c>
      <c r="E4" s="24">
        <v>0.94099999999999995</v>
      </c>
      <c r="F4" s="24">
        <v>0.59199999999999997</v>
      </c>
      <c r="I4" s="10">
        <f>AVERAGE(M2:M51)</f>
        <v>1.9496869757628374</v>
      </c>
      <c r="J4" s="13"/>
      <c r="K4" s="18"/>
      <c r="L4" s="9">
        <v>2</v>
      </c>
      <c r="M4" s="8">
        <f t="shared" si="0"/>
        <v>1.0506249999999999</v>
      </c>
      <c r="N4" s="22">
        <v>16</v>
      </c>
      <c r="O4" s="31">
        <v>2.3479999999999999</v>
      </c>
      <c r="Q4" s="15"/>
      <c r="R4" s="15"/>
      <c r="T4" s="19">
        <v>37710</v>
      </c>
      <c r="U4" s="19">
        <v>17347</v>
      </c>
      <c r="V4" s="24">
        <v>6.5000000000000002E-2</v>
      </c>
      <c r="W4" s="19">
        <v>2684</v>
      </c>
      <c r="X4" s="23">
        <v>0.64600000000000002</v>
      </c>
    </row>
    <row r="5" spans="1:24" ht="15" x14ac:dyDescent="0.2">
      <c r="A5" s="18">
        <v>11</v>
      </c>
      <c r="B5" s="19">
        <v>34269</v>
      </c>
      <c r="C5" s="19">
        <v>15764</v>
      </c>
      <c r="D5" s="23">
        <v>7.4999999999999997E-2</v>
      </c>
      <c r="E5" s="24">
        <v>0.94099999999999995</v>
      </c>
      <c r="F5" s="24">
        <v>0.60699999999999998</v>
      </c>
      <c r="I5" s="10">
        <f>AVERAGE(M2:M50)</f>
        <v>1.9210422854781857</v>
      </c>
      <c r="J5" s="13"/>
      <c r="K5" s="18"/>
      <c r="L5" s="9">
        <v>3</v>
      </c>
      <c r="M5" s="8">
        <f t="shared" si="0"/>
        <v>1.0768906249999999</v>
      </c>
      <c r="N5" s="22">
        <v>17</v>
      </c>
      <c r="O5" s="31">
        <v>2.7120000000000002</v>
      </c>
      <c r="Q5" s="15"/>
      <c r="R5" s="15"/>
      <c r="T5" s="19">
        <v>38420</v>
      </c>
      <c r="U5" s="19">
        <v>17673</v>
      </c>
      <c r="V5" s="24">
        <v>6.4000000000000001E-2</v>
      </c>
      <c r="W5" s="19">
        <v>2630</v>
      </c>
      <c r="X5" s="23">
        <v>0.65400000000000003</v>
      </c>
    </row>
    <row r="6" spans="1:24" ht="15" x14ac:dyDescent="0.2">
      <c r="A6" s="18">
        <v>12</v>
      </c>
      <c r="B6" s="19">
        <v>39144</v>
      </c>
      <c r="C6" s="19">
        <v>18006</v>
      </c>
      <c r="D6" s="23">
        <v>6.3E-2</v>
      </c>
      <c r="E6" s="24">
        <v>0.94099999999999995</v>
      </c>
      <c r="F6" s="24">
        <v>0.66200000000000003</v>
      </c>
      <c r="I6" s="10">
        <f>AVERAGE(M2:M49)</f>
        <v>1.8929079672445346</v>
      </c>
      <c r="J6" s="13"/>
      <c r="K6" s="18"/>
      <c r="L6" s="9">
        <v>4</v>
      </c>
      <c r="M6" s="8">
        <f t="shared" si="0"/>
        <v>1.1038128906249998</v>
      </c>
      <c r="N6" s="22">
        <v>18</v>
      </c>
      <c r="O6" s="31">
        <v>3.2959999999999998</v>
      </c>
      <c r="Q6" s="15"/>
      <c r="R6" s="15"/>
      <c r="T6" s="19">
        <v>39144</v>
      </c>
      <c r="U6" s="19">
        <v>18006</v>
      </c>
      <c r="V6" s="24">
        <v>6.3E-2</v>
      </c>
      <c r="W6" s="19">
        <v>2576</v>
      </c>
      <c r="X6" s="23">
        <v>0.66200000000000003</v>
      </c>
    </row>
    <row r="7" spans="1:24" ht="15" x14ac:dyDescent="0.2">
      <c r="A7" s="18">
        <v>13</v>
      </c>
      <c r="B7" s="19">
        <v>40704</v>
      </c>
      <c r="C7" s="19">
        <v>18624</v>
      </c>
      <c r="D7" s="23">
        <v>6.0999999999999999E-2</v>
      </c>
      <c r="E7" s="24">
        <v>0.61399999999999999</v>
      </c>
      <c r="F7" s="24">
        <v>0.66800000000000004</v>
      </c>
      <c r="I7" s="10">
        <f>AVERAGE(M2:M48)</f>
        <v>1.8652741552202943</v>
      </c>
      <c r="J7" s="13"/>
      <c r="K7" s="18"/>
      <c r="L7" s="9">
        <v>5</v>
      </c>
      <c r="M7" s="8">
        <f t="shared" si="0"/>
        <v>1.1314082128906247</v>
      </c>
      <c r="N7" s="22">
        <v>19</v>
      </c>
      <c r="O7" s="31">
        <v>3.5230000000000001</v>
      </c>
      <c r="Q7" s="15"/>
      <c r="R7" s="15"/>
      <c r="T7" s="19">
        <v>39949</v>
      </c>
      <c r="U7" s="19">
        <v>18323</v>
      </c>
      <c r="V7" s="24">
        <v>6.2E-2</v>
      </c>
      <c r="W7" s="19">
        <v>2556</v>
      </c>
      <c r="X7" s="23">
        <v>0.66500000000000004</v>
      </c>
    </row>
    <row r="8" spans="1:24" ht="15" x14ac:dyDescent="0.2">
      <c r="A8" s="18">
        <v>14</v>
      </c>
      <c r="B8" s="19">
        <v>42327</v>
      </c>
      <c r="C8" s="19">
        <v>19264</v>
      </c>
      <c r="D8" s="23">
        <v>5.8999999999999997E-2</v>
      </c>
      <c r="E8" s="24">
        <v>0.61399999999999999</v>
      </c>
      <c r="F8" s="24">
        <v>0.67400000000000004</v>
      </c>
      <c r="I8" s="10">
        <f>AVERAGE(M2:M47)</f>
        <v>1.8381311833585117</v>
      </c>
      <c r="J8" s="13"/>
      <c r="K8" s="18"/>
      <c r="L8" s="9">
        <v>6</v>
      </c>
      <c r="M8" s="8">
        <f t="shared" si="0"/>
        <v>1.1596934182128902</v>
      </c>
      <c r="N8" s="22">
        <v>20</v>
      </c>
      <c r="O8" s="31">
        <v>3.3740000000000001</v>
      </c>
      <c r="Q8" s="15"/>
      <c r="R8" s="15"/>
      <c r="T8" s="19">
        <v>40772</v>
      </c>
      <c r="U8" s="19">
        <v>18645</v>
      </c>
      <c r="V8" s="24">
        <v>6.0999999999999999E-2</v>
      </c>
      <c r="W8" s="19">
        <v>2536</v>
      </c>
      <c r="X8" s="23">
        <v>0.66800000000000004</v>
      </c>
    </row>
    <row r="9" spans="1:24" ht="15" x14ac:dyDescent="0.2">
      <c r="A9" s="18">
        <v>15</v>
      </c>
      <c r="B9" s="19">
        <v>44014</v>
      </c>
      <c r="C9" s="19">
        <v>19925</v>
      </c>
      <c r="D9" s="23">
        <v>5.7000000000000002E-2</v>
      </c>
      <c r="E9" s="24">
        <v>0.61399999999999999</v>
      </c>
      <c r="F9" s="24">
        <v>0.68100000000000005</v>
      </c>
      <c r="I9" s="10">
        <f>AVERAGE(M2:M46)</f>
        <v>1.8114695812355892</v>
      </c>
      <c r="J9" s="13"/>
      <c r="K9" s="18"/>
      <c r="L9" s="9">
        <v>7</v>
      </c>
      <c r="M9" s="8">
        <f t="shared" si="0"/>
        <v>1.1886857536682125</v>
      </c>
      <c r="N9" s="22">
        <v>21</v>
      </c>
      <c r="O9" s="31">
        <v>3.0640000000000001</v>
      </c>
      <c r="Q9" s="15"/>
      <c r="R9" s="15"/>
      <c r="T9" s="19">
        <v>41611</v>
      </c>
      <c r="U9" s="19">
        <v>18973</v>
      </c>
      <c r="V9" s="24">
        <v>0.06</v>
      </c>
      <c r="W9" s="19">
        <v>2516</v>
      </c>
      <c r="X9" s="23">
        <v>0.67100000000000004</v>
      </c>
    </row>
    <row r="10" spans="1:24" ht="15" x14ac:dyDescent="0.2">
      <c r="A10" s="18">
        <v>16</v>
      </c>
      <c r="B10" s="19">
        <v>55770</v>
      </c>
      <c r="C10" s="19">
        <v>24509</v>
      </c>
      <c r="D10" s="23">
        <v>4.7E-2</v>
      </c>
      <c r="E10" s="24">
        <v>0.61399999999999999</v>
      </c>
      <c r="F10" s="24">
        <v>0.72499999999999998</v>
      </c>
      <c r="I10" s="10">
        <f>AVERAGE(M2:M45)</f>
        <v>1.7852800699689915</v>
      </c>
      <c r="J10" s="13"/>
      <c r="K10" s="18"/>
      <c r="L10" s="9">
        <v>8</v>
      </c>
      <c r="M10" s="8">
        <f t="shared" si="0"/>
        <v>1.2184028975099177</v>
      </c>
      <c r="N10" s="22">
        <v>22</v>
      </c>
      <c r="O10" s="31">
        <v>2.8079999999999998</v>
      </c>
      <c r="Q10" s="15"/>
      <c r="R10" s="15"/>
      <c r="T10" s="19">
        <v>42468</v>
      </c>
      <c r="U10" s="19">
        <v>19306</v>
      </c>
      <c r="V10" s="24">
        <v>5.8999999999999997E-2</v>
      </c>
      <c r="W10" s="19">
        <v>2497</v>
      </c>
      <c r="X10" s="23">
        <v>0.67400000000000004</v>
      </c>
    </row>
    <row r="11" spans="1:24" ht="15" x14ac:dyDescent="0.2">
      <c r="A11" s="18">
        <v>17</v>
      </c>
      <c r="B11" s="19">
        <v>56935</v>
      </c>
      <c r="C11" s="19">
        <v>24919</v>
      </c>
      <c r="D11" s="23">
        <v>4.5999999999999999E-2</v>
      </c>
      <c r="E11" s="24">
        <v>0.32600000000000001</v>
      </c>
      <c r="F11" s="24">
        <v>0.72499999999999998</v>
      </c>
      <c r="I11" s="10">
        <f>AVERAGE(M2:M44)</f>
        <v>1.7595535582220223</v>
      </c>
      <c r="J11" s="13"/>
      <c r="K11" s="18"/>
      <c r="L11" s="9">
        <v>9</v>
      </c>
      <c r="M11" s="8">
        <f t="shared" si="0"/>
        <v>1.2488629699476654</v>
      </c>
      <c r="N11" s="22">
        <v>23</v>
      </c>
      <c r="O11" s="31">
        <v>2.6240000000000001</v>
      </c>
      <c r="Q11" s="15"/>
      <c r="R11" s="15"/>
      <c r="T11" s="19">
        <v>43158</v>
      </c>
      <c r="U11" s="19">
        <v>19557</v>
      </c>
      <c r="V11" s="24">
        <v>5.8999999999999997E-2</v>
      </c>
      <c r="W11" s="19">
        <v>2497</v>
      </c>
      <c r="X11" s="23">
        <v>0.67400000000000004</v>
      </c>
    </row>
    <row r="12" spans="1:24" ht="15" x14ac:dyDescent="0.2">
      <c r="A12" s="18">
        <v>18</v>
      </c>
      <c r="B12" s="19">
        <v>64901</v>
      </c>
      <c r="C12" s="19">
        <v>27709</v>
      </c>
      <c r="D12" s="23">
        <v>4.2000000000000003E-2</v>
      </c>
      <c r="E12" s="24">
        <v>0.32600000000000001</v>
      </c>
      <c r="F12" s="24">
        <v>0.72499999999999998</v>
      </c>
      <c r="I12" s="10">
        <f>AVERAGE(M2:M43)</f>
        <v>1.7342811382937739</v>
      </c>
      <c r="J12" s="13"/>
      <c r="K12" s="18"/>
      <c r="L12" s="9">
        <v>10</v>
      </c>
      <c r="M12" s="8">
        <f t="shared" si="0"/>
        <v>1.2800845441963571</v>
      </c>
      <c r="N12" s="22">
        <v>24</v>
      </c>
      <c r="O12" s="31">
        <v>2.5070000000000001</v>
      </c>
      <c r="Q12" s="15"/>
      <c r="R12" s="15"/>
      <c r="T12" s="19">
        <v>43859</v>
      </c>
      <c r="U12" s="19">
        <v>19810</v>
      </c>
      <c r="V12" s="24">
        <v>5.8000000000000003E-2</v>
      </c>
      <c r="W12" s="19">
        <v>2497</v>
      </c>
      <c r="X12" s="23">
        <v>0.67400000000000004</v>
      </c>
    </row>
    <row r="13" spans="1:24" ht="15" x14ac:dyDescent="0.2">
      <c r="B13"/>
      <c r="C13"/>
      <c r="F13" s="2"/>
      <c r="L13" s="9">
        <v>11</v>
      </c>
      <c r="M13" s="8">
        <f t="shared" si="0"/>
        <v>1.312086657801266</v>
      </c>
      <c r="N13" s="22">
        <v>25</v>
      </c>
      <c r="O13" s="31">
        <v>2.105</v>
      </c>
    </row>
    <row r="14" spans="1:24" ht="15" x14ac:dyDescent="0.2">
      <c r="B14" s="14"/>
      <c r="C14" s="14"/>
      <c r="D14" s="16"/>
      <c r="E14" s="16"/>
      <c r="F14" s="16"/>
      <c r="L14" s="9">
        <v>12</v>
      </c>
      <c r="M14" s="8">
        <f t="shared" si="0"/>
        <v>1.3448888242462975</v>
      </c>
      <c r="N14" s="22">
        <v>26</v>
      </c>
      <c r="O14" s="31">
        <v>2.105</v>
      </c>
    </row>
    <row r="15" spans="1:24" ht="15" x14ac:dyDescent="0.2">
      <c r="B15" s="14"/>
      <c r="C15" s="14"/>
      <c r="D15" s="17"/>
      <c r="E15" s="17"/>
      <c r="F15" s="28"/>
      <c r="L15" s="9">
        <v>13</v>
      </c>
      <c r="M15" s="8">
        <f t="shared" si="0"/>
        <v>1.3785110448524549</v>
      </c>
      <c r="N15" s="22">
        <v>27</v>
      </c>
      <c r="O15" s="31">
        <v>2.105</v>
      </c>
    </row>
    <row r="16" spans="1:24" ht="15" x14ac:dyDescent="0.2">
      <c r="B16" s="14"/>
      <c r="C16" s="14"/>
      <c r="D16" s="17"/>
      <c r="E16" s="17"/>
      <c r="F16" s="16" t="s">
        <v>52</v>
      </c>
      <c r="L16" s="9">
        <v>14</v>
      </c>
      <c r="M16" s="8">
        <f t="shared" si="0"/>
        <v>1.4129738209737661</v>
      </c>
      <c r="N16" s="22">
        <v>28</v>
      </c>
      <c r="O16" s="31">
        <v>2.105</v>
      </c>
    </row>
    <row r="17" spans="2:15" ht="15" x14ac:dyDescent="0.2">
      <c r="B17" s="14"/>
      <c r="C17" s="14"/>
      <c r="D17" s="17"/>
      <c r="E17" s="17"/>
      <c r="F17" s="28" t="s">
        <v>60</v>
      </c>
      <c r="L17" s="9">
        <v>15</v>
      </c>
      <c r="M17" s="8">
        <f t="shared" si="0"/>
        <v>1.4482981664981105</v>
      </c>
      <c r="N17" s="22">
        <v>29</v>
      </c>
      <c r="O17" s="31">
        <v>2.105</v>
      </c>
    </row>
    <row r="18" spans="2:15" ht="15" x14ac:dyDescent="0.2">
      <c r="B18" s="14"/>
      <c r="C18" s="14"/>
      <c r="D18" s="17"/>
      <c r="E18" s="17"/>
      <c r="F18" s="16"/>
      <c r="L18" s="9">
        <v>16</v>
      </c>
      <c r="M18" s="8">
        <f t="shared" si="0"/>
        <v>1.4845056206605631</v>
      </c>
      <c r="N18" s="22">
        <v>30</v>
      </c>
      <c r="O18" s="31">
        <v>1.6970000000000001</v>
      </c>
    </row>
    <row r="19" spans="2:15" ht="15" x14ac:dyDescent="0.2">
      <c r="B19" s="14"/>
      <c r="C19" s="14"/>
      <c r="D19" s="17"/>
      <c r="E19" s="17"/>
      <c r="F19" s="16"/>
      <c r="L19" s="9">
        <v>17</v>
      </c>
      <c r="M19" s="8">
        <f t="shared" si="0"/>
        <v>1.521618261177077</v>
      </c>
      <c r="N19" s="22">
        <v>31</v>
      </c>
      <c r="O19" s="31">
        <v>1.6970000000000001</v>
      </c>
    </row>
    <row r="20" spans="2:15" ht="15" x14ac:dyDescent="0.2">
      <c r="B20" s="14"/>
      <c r="C20" s="14"/>
      <c r="D20" s="17"/>
      <c r="E20" s="17"/>
      <c r="F20" s="16"/>
      <c r="L20" s="9">
        <v>18</v>
      </c>
      <c r="M20" s="8">
        <f t="shared" si="0"/>
        <v>1.559658717706504</v>
      </c>
      <c r="N20" s="22">
        <v>32</v>
      </c>
      <c r="O20" s="31">
        <v>1.6970000000000001</v>
      </c>
    </row>
    <row r="21" spans="2:15" ht="15" x14ac:dyDescent="0.2">
      <c r="B21" s="14"/>
      <c r="C21" s="14"/>
      <c r="D21" s="17"/>
      <c r="E21" s="17"/>
      <c r="F21" s="16"/>
      <c r="L21" s="9">
        <v>19</v>
      </c>
      <c r="M21" s="8">
        <f t="shared" si="0"/>
        <v>1.5986501856491666</v>
      </c>
      <c r="N21" s="22">
        <v>33</v>
      </c>
      <c r="O21" s="31">
        <v>1.6970000000000001</v>
      </c>
    </row>
    <row r="22" spans="2:15" ht="15" x14ac:dyDescent="0.2">
      <c r="B22" s="14"/>
      <c r="C22" s="14"/>
      <c r="D22" s="17"/>
      <c r="E22" s="17"/>
      <c r="F22" s="16"/>
      <c r="L22" s="9">
        <v>20</v>
      </c>
      <c r="M22" s="8">
        <f t="shared" si="0"/>
        <v>1.6386164402903955</v>
      </c>
      <c r="N22" s="22">
        <v>34</v>
      </c>
      <c r="O22" s="31">
        <v>1.6970000000000001</v>
      </c>
    </row>
    <row r="23" spans="2:15" ht="15" x14ac:dyDescent="0.2">
      <c r="B23" s="14"/>
      <c r="C23" s="14"/>
      <c r="D23" s="17"/>
      <c r="E23" s="17"/>
      <c r="F23" s="16"/>
      <c r="L23" s="9">
        <v>21</v>
      </c>
      <c r="M23" s="8">
        <f t="shared" si="0"/>
        <v>1.6795818512976552</v>
      </c>
      <c r="N23" s="22">
        <v>35</v>
      </c>
      <c r="O23" s="31">
        <v>1.3169999999999999</v>
      </c>
    </row>
    <row r="24" spans="2:15" ht="15" x14ac:dyDescent="0.2">
      <c r="B24" s="14"/>
      <c r="C24" s="14"/>
      <c r="D24" s="17"/>
      <c r="E24" s="17"/>
      <c r="F24" s="16"/>
      <c r="L24" s="9">
        <v>22</v>
      </c>
      <c r="M24" s="8">
        <f t="shared" si="0"/>
        <v>1.7215713975800966</v>
      </c>
      <c r="N24" s="22">
        <v>36</v>
      </c>
      <c r="O24" s="31">
        <v>1.3169999999999999</v>
      </c>
    </row>
    <row r="25" spans="2:15" ht="15" x14ac:dyDescent="0.2">
      <c r="B25" s="14"/>
      <c r="C25" s="14"/>
      <c r="D25" s="17"/>
      <c r="E25" s="17"/>
      <c r="F25" s="16"/>
      <c r="L25" s="9">
        <v>23</v>
      </c>
      <c r="M25" s="8">
        <f t="shared" si="0"/>
        <v>1.7646106825195991</v>
      </c>
      <c r="N25" s="22">
        <v>37</v>
      </c>
      <c r="O25" s="31">
        <v>1.3169999999999999</v>
      </c>
    </row>
    <row r="26" spans="2:15" ht="15" x14ac:dyDescent="0.2">
      <c r="B26" s="14"/>
      <c r="C26" s="14"/>
      <c r="D26" s="16"/>
      <c r="E26" s="16"/>
      <c r="F26" s="16"/>
      <c r="L26" s="9">
        <v>24</v>
      </c>
      <c r="M26" s="8">
        <f t="shared" si="0"/>
        <v>1.8087259495825889</v>
      </c>
      <c r="N26" s="22">
        <v>38</v>
      </c>
      <c r="O26" s="31">
        <v>1.3169999999999999</v>
      </c>
    </row>
    <row r="27" spans="2:15" ht="15" x14ac:dyDescent="0.2">
      <c r="B27" s="2"/>
      <c r="C27" s="2"/>
      <c r="D27" s="2"/>
      <c r="E27" s="2"/>
      <c r="F27" s="2"/>
      <c r="L27" s="9">
        <v>25</v>
      </c>
      <c r="M27" s="8">
        <f t="shared" si="0"/>
        <v>1.8539440983221533</v>
      </c>
      <c r="N27" s="22">
        <v>39</v>
      </c>
      <c r="O27" s="31">
        <v>1.3169999999999999</v>
      </c>
    </row>
    <row r="28" spans="2:15" ht="15" x14ac:dyDescent="0.2">
      <c r="B28" s="2"/>
      <c r="C28" s="2"/>
      <c r="D28" s="2"/>
      <c r="E28" s="2"/>
      <c r="F28" s="2"/>
      <c r="L28" s="9">
        <v>26</v>
      </c>
      <c r="M28" s="8">
        <f t="shared" si="0"/>
        <v>1.9002927007802071</v>
      </c>
      <c r="N28" s="22">
        <v>40</v>
      </c>
      <c r="O28" s="31">
        <v>1.1519999999999999</v>
      </c>
    </row>
    <row r="29" spans="2:15" ht="15" x14ac:dyDescent="0.2">
      <c r="L29" s="9">
        <v>27</v>
      </c>
      <c r="M29" s="8">
        <f t="shared" si="0"/>
        <v>1.9478000182997122</v>
      </c>
      <c r="N29" s="22">
        <v>41</v>
      </c>
      <c r="O29" s="31">
        <v>1.1519999999999999</v>
      </c>
    </row>
    <row r="30" spans="2:15" ht="15" x14ac:dyDescent="0.2">
      <c r="L30" s="9">
        <v>28</v>
      </c>
      <c r="M30" s="8">
        <f t="shared" si="0"/>
        <v>1.9964950187572048</v>
      </c>
      <c r="N30" s="22">
        <v>42</v>
      </c>
      <c r="O30" s="31">
        <v>1.1519999999999999</v>
      </c>
    </row>
    <row r="31" spans="2:15" ht="15" x14ac:dyDescent="0.2">
      <c r="L31" s="9">
        <v>29</v>
      </c>
      <c r="M31" s="8">
        <f t="shared" si="0"/>
        <v>2.0464073942261352</v>
      </c>
      <c r="N31" s="22">
        <v>43</v>
      </c>
      <c r="O31" s="31">
        <v>1.1519999999999999</v>
      </c>
    </row>
    <row r="32" spans="2:15" ht="15" x14ac:dyDescent="0.2">
      <c r="L32" s="9">
        <v>30</v>
      </c>
      <c r="M32" s="8">
        <f t="shared" si="0"/>
        <v>2.097567579081788</v>
      </c>
      <c r="N32" s="22">
        <v>44</v>
      </c>
      <c r="O32" s="31">
        <v>1.1519999999999999</v>
      </c>
    </row>
    <row r="33" spans="12:15" ht="15" x14ac:dyDescent="0.2">
      <c r="L33" s="9">
        <v>31</v>
      </c>
      <c r="M33" s="8">
        <f t="shared" si="0"/>
        <v>2.1500067685588333</v>
      </c>
      <c r="N33" s="22">
        <v>45</v>
      </c>
      <c r="O33" s="31">
        <v>0.93100000000000005</v>
      </c>
    </row>
    <row r="34" spans="12:15" ht="15" x14ac:dyDescent="0.2">
      <c r="L34" s="9">
        <v>32</v>
      </c>
      <c r="M34" s="8">
        <f t="shared" ref="M34:M53" si="1">(1+experiencepremium)^L34</f>
        <v>2.2037569377728037</v>
      </c>
      <c r="N34" s="22">
        <v>46</v>
      </c>
      <c r="O34" s="31">
        <v>0.93100000000000005</v>
      </c>
    </row>
    <row r="35" spans="12:15" ht="15" x14ac:dyDescent="0.2">
      <c r="L35" s="9">
        <v>33</v>
      </c>
      <c r="M35" s="8">
        <f t="shared" si="1"/>
        <v>2.2588508612171236</v>
      </c>
      <c r="N35" s="22">
        <v>47</v>
      </c>
      <c r="O35" s="31">
        <v>0.93100000000000005</v>
      </c>
    </row>
    <row r="36" spans="12:15" ht="15" x14ac:dyDescent="0.2">
      <c r="L36" s="9">
        <v>34</v>
      </c>
      <c r="M36" s="8">
        <f t="shared" si="1"/>
        <v>2.3153221327475517</v>
      </c>
      <c r="N36" s="22">
        <v>48</v>
      </c>
      <c r="O36" s="31">
        <v>0.93100000000000005</v>
      </c>
    </row>
    <row r="37" spans="12:15" ht="15" x14ac:dyDescent="0.2">
      <c r="L37" s="9">
        <v>35</v>
      </c>
      <c r="M37" s="8">
        <f t="shared" si="1"/>
        <v>2.3732051860662402</v>
      </c>
      <c r="N37" s="22">
        <v>49</v>
      </c>
      <c r="O37" s="31">
        <v>0.93100000000000005</v>
      </c>
    </row>
    <row r="38" spans="12:15" ht="15" x14ac:dyDescent="0.2">
      <c r="L38" s="9">
        <v>36</v>
      </c>
      <c r="M38" s="8">
        <f t="shared" si="1"/>
        <v>2.4325353157178964</v>
      </c>
      <c r="N38" s="22">
        <v>50</v>
      </c>
      <c r="O38" s="31">
        <v>0.622</v>
      </c>
    </row>
    <row r="39" spans="12:15" ht="15" x14ac:dyDescent="0.2">
      <c r="L39" s="9">
        <v>37</v>
      </c>
      <c r="M39" s="8">
        <f t="shared" si="1"/>
        <v>2.4933486986108435</v>
      </c>
      <c r="N39" s="22">
        <v>51</v>
      </c>
      <c r="O39" s="31">
        <v>0.622</v>
      </c>
    </row>
    <row r="40" spans="12:15" ht="15" x14ac:dyDescent="0.2">
      <c r="L40" s="9">
        <v>38</v>
      </c>
      <c r="M40" s="8">
        <f t="shared" si="1"/>
        <v>2.555682416076114</v>
      </c>
      <c r="N40" s="22">
        <v>52</v>
      </c>
      <c r="O40" s="31">
        <v>0.622</v>
      </c>
    </row>
    <row r="41" spans="12:15" ht="15" x14ac:dyDescent="0.2">
      <c r="L41" s="9">
        <v>39</v>
      </c>
      <c r="M41" s="8">
        <f t="shared" si="1"/>
        <v>2.6195744764780171</v>
      </c>
      <c r="N41" s="22">
        <v>53</v>
      </c>
      <c r="O41" s="31">
        <v>0.622</v>
      </c>
    </row>
    <row r="42" spans="12:15" ht="15" x14ac:dyDescent="0.2">
      <c r="L42" s="9">
        <v>40</v>
      </c>
      <c r="M42" s="8">
        <f t="shared" si="1"/>
        <v>2.6850638383899672</v>
      </c>
      <c r="N42" s="22">
        <v>54</v>
      </c>
      <c r="O42" s="31">
        <v>0.622</v>
      </c>
    </row>
    <row r="43" spans="12:15" ht="15" x14ac:dyDescent="0.2">
      <c r="L43" s="9">
        <v>41</v>
      </c>
      <c r="M43" s="8">
        <f t="shared" si="1"/>
        <v>2.7521904343497163</v>
      </c>
      <c r="N43" s="22">
        <v>55</v>
      </c>
      <c r="O43" s="31">
        <v>0.34499999999999997</v>
      </c>
    </row>
    <row r="44" spans="12:15" ht="15" x14ac:dyDescent="0.2">
      <c r="L44" s="9">
        <v>42</v>
      </c>
      <c r="M44" s="8">
        <f t="shared" si="1"/>
        <v>2.8209951952084591</v>
      </c>
      <c r="N44" s="22">
        <v>56</v>
      </c>
      <c r="O44" s="31">
        <v>0.34499999999999997</v>
      </c>
    </row>
    <row r="45" spans="12:15" ht="15" x14ac:dyDescent="0.2">
      <c r="L45" s="9">
        <v>43</v>
      </c>
      <c r="M45" s="8">
        <f t="shared" si="1"/>
        <v>2.8915200750886707</v>
      </c>
      <c r="N45" s="22">
        <v>57</v>
      </c>
      <c r="O45" s="31">
        <v>0.34499999999999997</v>
      </c>
    </row>
    <row r="46" spans="12:15" ht="15" x14ac:dyDescent="0.2">
      <c r="L46" s="9">
        <v>44</v>
      </c>
      <c r="M46" s="8">
        <f t="shared" si="1"/>
        <v>2.9638080769658868</v>
      </c>
      <c r="N46" s="22">
        <v>58</v>
      </c>
      <c r="O46" s="31">
        <v>0.34499999999999997</v>
      </c>
    </row>
    <row r="47" spans="12:15" ht="15" x14ac:dyDescent="0.2">
      <c r="L47" s="9">
        <v>45</v>
      </c>
      <c r="M47" s="8">
        <f t="shared" si="1"/>
        <v>3.0379032788900342</v>
      </c>
      <c r="N47" s="22">
        <v>59</v>
      </c>
      <c r="O47" s="31">
        <v>0.34499999999999997</v>
      </c>
    </row>
    <row r="48" spans="12:15" ht="15" x14ac:dyDescent="0.2">
      <c r="L48" s="9">
        <v>46</v>
      </c>
      <c r="M48" s="8">
        <f t="shared" si="1"/>
        <v>3.1138508608622844</v>
      </c>
      <c r="N48" s="22">
        <v>60</v>
      </c>
      <c r="O48" s="31">
        <v>0.182</v>
      </c>
    </row>
    <row r="49" spans="12:15" ht="15" x14ac:dyDescent="0.2">
      <c r="L49" s="9">
        <v>47</v>
      </c>
      <c r="M49" s="8">
        <f t="shared" si="1"/>
        <v>3.1916971323838421</v>
      </c>
      <c r="N49" s="22">
        <v>61</v>
      </c>
      <c r="O49" s="31">
        <v>0.182</v>
      </c>
    </row>
    <row r="50" spans="12:15" ht="15" x14ac:dyDescent="0.2">
      <c r="L50" s="9">
        <v>48</v>
      </c>
      <c r="M50" s="8">
        <f t="shared" si="1"/>
        <v>3.2714895606934378</v>
      </c>
      <c r="N50" s="22">
        <v>62</v>
      </c>
      <c r="O50" s="31">
        <v>0.182</v>
      </c>
    </row>
    <row r="51" spans="12:15" ht="15" x14ac:dyDescent="0.2">
      <c r="L51" s="9">
        <v>49</v>
      </c>
      <c r="M51" s="8">
        <f t="shared" si="1"/>
        <v>3.3532767997107733</v>
      </c>
      <c r="N51" s="22">
        <v>63</v>
      </c>
      <c r="O51" s="31">
        <v>0.182</v>
      </c>
    </row>
    <row r="52" spans="12:15" ht="15" x14ac:dyDescent="0.2">
      <c r="L52" s="9">
        <v>50</v>
      </c>
      <c r="M52" s="8">
        <f t="shared" si="1"/>
        <v>3.4371087197035428</v>
      </c>
      <c r="N52" s="22">
        <v>64</v>
      </c>
      <c r="O52" s="31">
        <v>0.182</v>
      </c>
    </row>
    <row r="53" spans="12:15" ht="15" x14ac:dyDescent="0.2">
      <c r="L53" s="9">
        <v>51</v>
      </c>
      <c r="M53" s="8">
        <f t="shared" si="1"/>
        <v>3.5230364376961316</v>
      </c>
      <c r="N53" s="22">
        <v>65</v>
      </c>
      <c r="O53" s="31">
        <v>5.5E-2</v>
      </c>
    </row>
    <row r="54" spans="12:15" ht="15" x14ac:dyDescent="0.2">
      <c r="N54" s="22">
        <v>66</v>
      </c>
      <c r="O54" s="31">
        <v>5.5E-2</v>
      </c>
    </row>
    <row r="55" spans="12:15" ht="15" x14ac:dyDescent="0.2">
      <c r="N55" s="22">
        <v>67</v>
      </c>
      <c r="O55" s="31">
        <v>5.5E-2</v>
      </c>
    </row>
    <row r="56" spans="12:15" ht="15" x14ac:dyDescent="0.2">
      <c r="N56" s="22">
        <v>68</v>
      </c>
      <c r="O56" s="31">
        <v>5.5E-2</v>
      </c>
    </row>
    <row r="57" spans="12:15" ht="15" x14ac:dyDescent="0.2">
      <c r="N57" s="22">
        <v>69</v>
      </c>
      <c r="O57" s="31">
        <v>5.5E-2</v>
      </c>
    </row>
    <row r="58" spans="12:15" ht="15" x14ac:dyDescent="0.2">
      <c r="N58" s="22">
        <v>70</v>
      </c>
      <c r="O58" s="31">
        <v>5.5E-2</v>
      </c>
    </row>
    <row r="59" spans="12:15" ht="15" x14ac:dyDescent="0.2">
      <c r="N59" s="22">
        <v>71</v>
      </c>
      <c r="O59" s="31">
        <v>5.5E-2</v>
      </c>
    </row>
    <row r="60" spans="12:15" ht="15" x14ac:dyDescent="0.2">
      <c r="N60" s="22">
        <v>72</v>
      </c>
      <c r="O60" s="31">
        <v>5.5E-2</v>
      </c>
    </row>
    <row r="61" spans="12:15" ht="15" x14ac:dyDescent="0.2">
      <c r="N61" s="22">
        <v>73</v>
      </c>
      <c r="O61" s="31">
        <v>5.5E-2</v>
      </c>
    </row>
    <row r="62" spans="12:15" ht="15" x14ac:dyDescent="0.2">
      <c r="N62" s="22">
        <v>74</v>
      </c>
      <c r="O62" s="31">
        <v>5.5E-2</v>
      </c>
    </row>
    <row r="63" spans="12:15" ht="15" x14ac:dyDescent="0.2">
      <c r="N63" s="22">
        <v>75</v>
      </c>
      <c r="O63" s="31">
        <v>5.5E-2</v>
      </c>
    </row>
    <row r="64" spans="12:15" ht="15" x14ac:dyDescent="0.2">
      <c r="N64" s="22">
        <v>76</v>
      </c>
      <c r="O64" s="31">
        <v>5.5E-2</v>
      </c>
    </row>
    <row r="65" spans="14:15" ht="15" x14ac:dyDescent="0.2">
      <c r="N65" s="22">
        <v>77</v>
      </c>
      <c r="O65" s="31">
        <v>5.5E-2</v>
      </c>
    </row>
    <row r="66" spans="14:15" ht="15" x14ac:dyDescent="0.2">
      <c r="N66" s="22">
        <v>78</v>
      </c>
      <c r="O66" s="31">
        <v>5.5E-2</v>
      </c>
    </row>
    <row r="67" spans="14:15" ht="15" x14ac:dyDescent="0.2">
      <c r="N67" s="22">
        <v>79</v>
      </c>
      <c r="O67" s="31">
        <v>5.5E-2</v>
      </c>
    </row>
    <row r="68" spans="14:15" ht="15" x14ac:dyDescent="0.2">
      <c r="N68" s="22">
        <v>80</v>
      </c>
      <c r="O68" s="31">
        <v>5.5E-2</v>
      </c>
    </row>
    <row r="69" spans="14:15" ht="15" x14ac:dyDescent="0.2">
      <c r="N69" s="22">
        <v>81</v>
      </c>
      <c r="O69" s="31">
        <v>5.5E-2</v>
      </c>
    </row>
    <row r="70" spans="14:15" ht="15" x14ac:dyDescent="0.2">
      <c r="N70" s="22">
        <v>82</v>
      </c>
      <c r="O70" s="31">
        <v>5.5E-2</v>
      </c>
    </row>
    <row r="71" spans="14:15" ht="15" x14ac:dyDescent="0.2">
      <c r="N71" s="22">
        <v>83</v>
      </c>
      <c r="O71" s="31">
        <v>5.5E-2</v>
      </c>
    </row>
    <row r="72" spans="14:15" ht="15" x14ac:dyDescent="0.2">
      <c r="N72" s="22">
        <v>84</v>
      </c>
      <c r="O72" s="31">
        <v>5.5E-2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Q2" sqref="Q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Meta!A9+6</f>
        <v>21</v>
      </c>
      <c r="C2" s="7">
        <f>Meta!B9</f>
        <v>44014</v>
      </c>
      <c r="D2" s="7">
        <f>Meta!C9</f>
        <v>19925</v>
      </c>
      <c r="E2" s="1">
        <f>Meta!D9</f>
        <v>5.7000000000000002E-2</v>
      </c>
      <c r="F2" s="1">
        <f>Meta!F9</f>
        <v>0.68100000000000005</v>
      </c>
      <c r="G2" s="1">
        <f>Meta!I9</f>
        <v>1.8114695812355892</v>
      </c>
      <c r="H2" s="1">
        <f>Meta!E9</f>
        <v>0.61399999999999999</v>
      </c>
      <c r="I2" s="13"/>
      <c r="J2" s="1">
        <f>Meta!X8</f>
        <v>0.66800000000000004</v>
      </c>
      <c r="K2" s="1">
        <f>Meta!D8</f>
        <v>5.8999999999999997E-2</v>
      </c>
      <c r="L2" s="29"/>
      <c r="N2" s="22">
        <f>Meta!T9</f>
        <v>41611</v>
      </c>
      <c r="O2" s="22">
        <f>Meta!U9</f>
        <v>18973</v>
      </c>
      <c r="P2" s="1">
        <f>Meta!V9</f>
        <v>0.06</v>
      </c>
      <c r="Q2" s="1">
        <f>Meta!X9</f>
        <v>0.67100000000000004</v>
      </c>
      <c r="R2" s="22">
        <f>Meta!W9</f>
        <v>2516</v>
      </c>
      <c r="T2" s="12">
        <f>IRR(S5:S69)+1</f>
        <v>0.96575138923221981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B11" s="1">
        <v>1</v>
      </c>
      <c r="C11" s="5">
        <f>0.1*Grade14!C11</f>
        <v>2302.719217388114</v>
      </c>
      <c r="D11" s="5">
        <f t="shared" ref="D11:D36" si="0">IF(A11&lt;startage,1,0)*(C11*(1-initialunempprob))+IF(A11=startage,1,0)*(C11*(1-unempprob))+IF(A11&gt;startage,1,0)*(C11*(1-unempprob)+unempprob*300*52)</f>
        <v>2166.8587835622152</v>
      </c>
      <c r="E11" s="5">
        <f t="shared" ref="E11:E56" si="1">IF(D11-9500&gt;0,1,0)*(D11-9500)</f>
        <v>0</v>
      </c>
      <c r="F11" s="5">
        <f t="shared" ref="F11:F56" si="2">IF(E11&lt;=8500,1,0)*(0.1*E11+0.1*E11+0.0765*D11)+IF(AND(E11&gt;8500,E11&lt;=34500),1,0)*(850+0.15*(E11-8500)+0.1*E11+0.0765*D11)+IF(AND(E11&gt;34500,E11&lt;=83600),1,0)*(4750+0.25*(E11-34500)+0.1*E11+0.0765*D11)+IF(AND(E11&gt;83600,E11&lt;=174400,D11&lt;=106800),1,0)*(17025+0.28*(E11-83600)+0.1*E11+0.0765*D11)+IF(AND(E11&gt;83600,E11&lt;=174400,D11&gt;106800),1,0)*(17025+0.28*(E11-83600)+0.1*E11+8170.2+0.0145*(D11-106800))+IF(AND(E11&gt;174400,E11&lt;=379150),1,0)*(42449+0.33*(E11-174400)+0.1*E11+8170.2+0.0145*(D11-106800))+IF(E11&gt;379150,1,0)*(110016.5+0.35*(E11-379150)+0.1*E11+8170.2+0.0145*(D11-106800))</f>
        <v>165.76469694250946</v>
      </c>
      <c r="G11" s="5">
        <f t="shared" ref="G11:G56" si="3">D11-F11</f>
        <v>2001.0940866197056</v>
      </c>
      <c r="H11" s="22">
        <f>0.1*Grade14!H11</f>
        <v>1048.0209559799803</v>
      </c>
      <c r="I11" s="5">
        <f t="shared" ref="I11:I36" si="4">G11+IF(A11&lt;startage,1,0)*(H11*(1-initialunempprob))+IF(A11&gt;=startage,1,0)*(H11*(1-unempprob))</f>
        <v>2987.2818061968674</v>
      </c>
      <c r="J11" s="26">
        <f t="shared" ref="J11:J56" si="5">(F11-(IF(A11&gt;startage,1,0)*(unempprob*300*52)))/(IF(A11&lt;startage,1,0)*((C11+H11)*(1-initialunempprob))+IF(A11&gt;=startage,1,0)*((C11+H11)*(1-unempprob)))</f>
        <v>5.2572867789125032E-2</v>
      </c>
      <c r="L11" s="22">
        <f>0.1*Grade14!L11</f>
        <v>3035.2873345013127</v>
      </c>
      <c r="M11" s="5">
        <f>scrimecost*Meta!O8</f>
        <v>8488.9840000000004</v>
      </c>
      <c r="N11" s="5">
        <f>L11-Grade14!L11</f>
        <v>-27317.586010511812</v>
      </c>
      <c r="O11" s="5"/>
      <c r="P11" s="22"/>
      <c r="Q11" s="22">
        <f>0.05*feel*Grade14!G11</f>
        <v>243.51311470208134</v>
      </c>
      <c r="R11" s="22">
        <f>coltuition</f>
        <v>8279</v>
      </c>
      <c r="S11" s="22">
        <f t="shared" ref="S11:S42" si="6">IF(A11&lt;startage,1,0)*(N11-Q11-R11)+IF(A11&gt;=startage,1,0)*completionprob*(N11*spart+O11+P11)</f>
        <v>-35840.099125213892</v>
      </c>
      <c r="T11" s="22">
        <f t="shared" ref="T11:T42" si="7">S11/sreturn^(A11-startage+1)</f>
        <v>-35840.099125213892</v>
      </c>
    </row>
    <row r="12" spans="1:20" x14ac:dyDescent="0.2">
      <c r="A12" s="5">
        <v>21</v>
      </c>
      <c r="B12" s="1">
        <f t="shared" ref="B12:B36" si="8">(1+experiencepremium)^(A12-startage)</f>
        <v>1</v>
      </c>
      <c r="C12" s="5">
        <f t="shared" ref="C12:C36" si="9">pretaxincome*B12/expnorm</f>
        <v>24297.399446243195</v>
      </c>
      <c r="D12" s="5">
        <f t="shared" si="0"/>
        <v>22912.447677807333</v>
      </c>
      <c r="E12" s="5">
        <f t="shared" si="1"/>
        <v>13412.447677807333</v>
      </c>
      <c r="F12" s="5">
        <f t="shared" si="2"/>
        <v>4680.9141668040938</v>
      </c>
      <c r="G12" s="5">
        <f t="shared" si="3"/>
        <v>18231.533511003239</v>
      </c>
      <c r="H12" s="22">
        <f t="shared" ref="H12:H36" si="10">benefits*B12/expnorm</f>
        <v>10999.356658481294</v>
      </c>
      <c r="I12" s="5">
        <f t="shared" si="4"/>
        <v>28603.926839951098</v>
      </c>
      <c r="J12" s="26">
        <f t="shared" si="5"/>
        <v>0.14063201220802279</v>
      </c>
      <c r="L12" s="22">
        <f t="shared" ref="L12:L36" si="11">(sincome+sbenefits)*(1-sunemp)*B12/expnorm</f>
        <v>31437.988575637886</v>
      </c>
      <c r="M12" s="5">
        <f>scrimecost*Meta!O9</f>
        <v>7709.0240000000003</v>
      </c>
      <c r="N12" s="5">
        <f>L12-Grade14!L12</f>
        <v>326.29339699943739</v>
      </c>
      <c r="O12" s="5">
        <f>Grade14!M12-M12</f>
        <v>61.279999999999745</v>
      </c>
      <c r="P12" s="22">
        <f t="shared" ref="P12:P56" si="12">(spart-initialspart)*(L12*J12+nptrans)</f>
        <v>32.925562779494392</v>
      </c>
      <c r="Q12" s="22"/>
      <c r="R12" s="22"/>
      <c r="S12" s="22">
        <f t="shared" si="6"/>
        <v>192.27313734999564</v>
      </c>
      <c r="T12" s="22">
        <f t="shared" si="7"/>
        <v>199.09175331640407</v>
      </c>
    </row>
    <row r="13" spans="1:20" x14ac:dyDescent="0.2">
      <c r="A13" s="5">
        <v>22</v>
      </c>
      <c r="B13" s="1">
        <f t="shared" si="8"/>
        <v>1.0249999999999999</v>
      </c>
      <c r="C13" s="5">
        <f t="shared" si="9"/>
        <v>24904.834432399275</v>
      </c>
      <c r="D13" s="5">
        <f t="shared" si="0"/>
        <v>24374.458869752514</v>
      </c>
      <c r="E13" s="5">
        <f t="shared" si="1"/>
        <v>14874.458869752514</v>
      </c>
      <c r="F13" s="5">
        <f t="shared" si="2"/>
        <v>5158.2608209741957</v>
      </c>
      <c r="G13" s="5">
        <f t="shared" si="3"/>
        <v>19216.198048778318</v>
      </c>
      <c r="H13" s="22">
        <f t="shared" si="10"/>
        <v>11274.340574943326</v>
      </c>
      <c r="I13" s="5">
        <f t="shared" si="4"/>
        <v>29847.901210949873</v>
      </c>
      <c r="J13" s="26">
        <f t="shared" si="5"/>
        <v>0.12513015716286613</v>
      </c>
      <c r="L13" s="22">
        <f t="shared" si="11"/>
        <v>32223.938290028829</v>
      </c>
      <c r="M13" s="5">
        <f>scrimecost*Meta!O10</f>
        <v>7064.9279999999999</v>
      </c>
      <c r="N13" s="5">
        <f>L13-Grade14!L13</f>
        <v>334.45073192441851</v>
      </c>
      <c r="O13" s="5">
        <f>Grade14!M13-M13</f>
        <v>56.159999999999854</v>
      </c>
      <c r="P13" s="22">
        <f t="shared" si="12"/>
        <v>31.758559387913447</v>
      </c>
      <c r="Q13" s="22"/>
      <c r="R13" s="22"/>
      <c r="S13" s="22">
        <f t="shared" si="6"/>
        <v>191.77369031264766</v>
      </c>
      <c r="T13" s="22">
        <f t="shared" si="7"/>
        <v>205.61667993986438</v>
      </c>
    </row>
    <row r="14" spans="1:20" x14ac:dyDescent="0.2">
      <c r="A14" s="5">
        <v>23</v>
      </c>
      <c r="B14" s="1">
        <f t="shared" si="8"/>
        <v>1.0506249999999999</v>
      </c>
      <c r="C14" s="5">
        <f t="shared" si="9"/>
        <v>25527.455293209256</v>
      </c>
      <c r="D14" s="5">
        <f t="shared" si="0"/>
        <v>24961.590341496329</v>
      </c>
      <c r="E14" s="5">
        <f t="shared" si="1"/>
        <v>15461.590341496329</v>
      </c>
      <c r="F14" s="5">
        <f t="shared" si="2"/>
        <v>5349.9592464985508</v>
      </c>
      <c r="G14" s="5">
        <f t="shared" si="3"/>
        <v>19611.631094997778</v>
      </c>
      <c r="H14" s="22">
        <f t="shared" si="10"/>
        <v>11556.19908931691</v>
      </c>
      <c r="I14" s="5">
        <f t="shared" si="4"/>
        <v>30509.126836223622</v>
      </c>
      <c r="J14" s="26">
        <f t="shared" si="5"/>
        <v>0.12756001652240187</v>
      </c>
      <c r="L14" s="22">
        <f t="shared" si="11"/>
        <v>33029.536747279548</v>
      </c>
      <c r="M14" s="5">
        <f>scrimecost*Meta!O11</f>
        <v>6601.9840000000004</v>
      </c>
      <c r="N14" s="5">
        <f>L14-Grade14!L14</f>
        <v>342.81200022252597</v>
      </c>
      <c r="O14" s="5">
        <f>Grade14!M14-M14</f>
        <v>52.479999999999563</v>
      </c>
      <c r="P14" s="22">
        <f t="shared" si="12"/>
        <v>32.301744759630807</v>
      </c>
      <c r="Q14" s="22"/>
      <c r="R14" s="22"/>
      <c r="S14" s="22">
        <f t="shared" si="6"/>
        <v>193.29247850209242</v>
      </c>
      <c r="T14" s="22">
        <f t="shared" si="7"/>
        <v>214.59466962968446</v>
      </c>
    </row>
    <row r="15" spans="1:20" x14ac:dyDescent="0.2">
      <c r="A15" s="5">
        <v>24</v>
      </c>
      <c r="B15" s="1">
        <f t="shared" si="8"/>
        <v>1.0768906249999999</v>
      </c>
      <c r="C15" s="5">
        <f t="shared" si="9"/>
        <v>26165.641675539489</v>
      </c>
      <c r="D15" s="5">
        <f t="shared" si="0"/>
        <v>25563.400100033738</v>
      </c>
      <c r="E15" s="5">
        <f t="shared" si="1"/>
        <v>16063.400100033738</v>
      </c>
      <c r="F15" s="5">
        <f t="shared" si="2"/>
        <v>5546.4501326610152</v>
      </c>
      <c r="G15" s="5">
        <f t="shared" si="3"/>
        <v>20016.949967372722</v>
      </c>
      <c r="H15" s="22">
        <f t="shared" si="10"/>
        <v>11845.104066549831</v>
      </c>
      <c r="I15" s="5">
        <f t="shared" si="4"/>
        <v>31186.883102129214</v>
      </c>
      <c r="J15" s="26">
        <f t="shared" si="5"/>
        <v>0.12993061101950987</v>
      </c>
      <c r="L15" s="22">
        <f t="shared" si="11"/>
        <v>33855.275165961539</v>
      </c>
      <c r="M15" s="5">
        <f>scrimecost*Meta!O12</f>
        <v>6307.6120000000001</v>
      </c>
      <c r="N15" s="5">
        <f>L15-Grade14!L15</f>
        <v>351.38230022809148</v>
      </c>
      <c r="O15" s="5">
        <f>Grade14!M15-M15</f>
        <v>50.140000000000327</v>
      </c>
      <c r="P15" s="22">
        <f t="shared" si="12"/>
        <v>32.858509765641095</v>
      </c>
      <c r="Q15" s="22"/>
      <c r="R15" s="22"/>
      <c r="S15" s="22">
        <f t="shared" si="6"/>
        <v>195.72848439627617</v>
      </c>
      <c r="T15" s="22">
        <f t="shared" si="7"/>
        <v>225.0052580155056</v>
      </c>
    </row>
    <row r="16" spans="1:20" x14ac:dyDescent="0.2">
      <c r="A16" s="5">
        <v>25</v>
      </c>
      <c r="B16" s="1">
        <f t="shared" si="8"/>
        <v>1.1038128906249998</v>
      </c>
      <c r="C16" s="5">
        <f t="shared" si="9"/>
        <v>26819.78271742797</v>
      </c>
      <c r="D16" s="5">
        <f t="shared" si="0"/>
        <v>26180.255102534575</v>
      </c>
      <c r="E16" s="5">
        <f t="shared" si="1"/>
        <v>16680.255102534575</v>
      </c>
      <c r="F16" s="5">
        <f t="shared" si="2"/>
        <v>5747.8532909775386</v>
      </c>
      <c r="G16" s="5">
        <f t="shared" si="3"/>
        <v>20432.401811557036</v>
      </c>
      <c r="H16" s="22">
        <f t="shared" si="10"/>
        <v>12141.231668213575</v>
      </c>
      <c r="I16" s="5">
        <f t="shared" si="4"/>
        <v>31881.583274682438</v>
      </c>
      <c r="J16" s="26">
        <f t="shared" si="5"/>
        <v>0.13224338613863962</v>
      </c>
      <c r="L16" s="22">
        <f t="shared" si="11"/>
        <v>34701.657045110573</v>
      </c>
      <c r="M16" s="5">
        <f>scrimecost*Meta!O13</f>
        <v>5296.18</v>
      </c>
      <c r="N16" s="5">
        <f>L16-Grade14!L16</f>
        <v>360.16685773379868</v>
      </c>
      <c r="O16" s="5">
        <f>Grade14!M16-M16</f>
        <v>42.099999999999454</v>
      </c>
      <c r="P16" s="22">
        <f t="shared" si="12"/>
        <v>33.429193896801628</v>
      </c>
      <c r="Q16" s="22"/>
      <c r="R16" s="22"/>
      <c r="S16" s="22">
        <f t="shared" si="6"/>
        <v>194.76150943781451</v>
      </c>
      <c r="T16" s="22">
        <f t="shared" si="7"/>
        <v>231.83362393987122</v>
      </c>
    </row>
    <row r="17" spans="1:20" x14ac:dyDescent="0.2">
      <c r="A17" s="5">
        <v>26</v>
      </c>
      <c r="B17" s="1">
        <f t="shared" si="8"/>
        <v>1.1314082128906247</v>
      </c>
      <c r="C17" s="5">
        <f t="shared" si="9"/>
        <v>27490.277285363671</v>
      </c>
      <c r="D17" s="5">
        <f t="shared" si="0"/>
        <v>26812.531480097939</v>
      </c>
      <c r="E17" s="5">
        <f t="shared" si="1"/>
        <v>17312.531480097939</v>
      </c>
      <c r="F17" s="5">
        <f t="shared" si="2"/>
        <v>5954.2915282519771</v>
      </c>
      <c r="G17" s="5">
        <f t="shared" si="3"/>
        <v>20858.239951845964</v>
      </c>
      <c r="H17" s="22">
        <f t="shared" si="10"/>
        <v>12444.762459918913</v>
      </c>
      <c r="I17" s="5">
        <f t="shared" si="4"/>
        <v>32593.650951549498</v>
      </c>
      <c r="J17" s="26">
        <f t="shared" si="5"/>
        <v>0.1344997521085223</v>
      </c>
      <c r="L17" s="22">
        <f t="shared" si="11"/>
        <v>35569.198471238335</v>
      </c>
      <c r="M17" s="5">
        <f>scrimecost*Meta!O14</f>
        <v>5296.18</v>
      </c>
      <c r="N17" s="5">
        <f>L17-Grade14!L17</f>
        <v>369.1710291771451</v>
      </c>
      <c r="O17" s="5">
        <f>Grade14!M17-M17</f>
        <v>42.099999999999454</v>
      </c>
      <c r="P17" s="22">
        <f t="shared" si="12"/>
        <v>34.014145131241193</v>
      </c>
      <c r="Q17" s="22"/>
      <c r="R17" s="22"/>
      <c r="S17" s="22">
        <f t="shared" si="6"/>
        <v>198.83033410539048</v>
      </c>
      <c r="T17" s="22">
        <f t="shared" si="7"/>
        <v>245.07024953509878</v>
      </c>
    </row>
    <row r="18" spans="1:20" x14ac:dyDescent="0.2">
      <c r="A18" s="5">
        <v>27</v>
      </c>
      <c r="B18" s="1">
        <f t="shared" si="8"/>
        <v>1.1596934182128902</v>
      </c>
      <c r="C18" s="5">
        <f t="shared" si="9"/>
        <v>28177.53421749776</v>
      </c>
      <c r="D18" s="5">
        <f t="shared" si="0"/>
        <v>27460.614767100386</v>
      </c>
      <c r="E18" s="5">
        <f t="shared" si="1"/>
        <v>17960.614767100386</v>
      </c>
      <c r="F18" s="5">
        <f t="shared" si="2"/>
        <v>6165.8907214582759</v>
      </c>
      <c r="G18" s="5">
        <f t="shared" si="3"/>
        <v>21294.72404564211</v>
      </c>
      <c r="H18" s="22">
        <f t="shared" si="10"/>
        <v>12755.881521416886</v>
      </c>
      <c r="I18" s="5">
        <f t="shared" si="4"/>
        <v>33323.520320338233</v>
      </c>
      <c r="J18" s="26">
        <f t="shared" si="5"/>
        <v>0.13670108476206641</v>
      </c>
      <c r="L18" s="22">
        <f t="shared" si="11"/>
        <v>36458.42843301929</v>
      </c>
      <c r="M18" s="5">
        <f>scrimecost*Meta!O15</f>
        <v>5296.18</v>
      </c>
      <c r="N18" s="5">
        <f>L18-Grade14!L18</f>
        <v>378.400304906565</v>
      </c>
      <c r="O18" s="5">
        <f>Grade14!M18-M18</f>
        <v>42.099999999999454</v>
      </c>
      <c r="P18" s="22">
        <f t="shared" si="12"/>
        <v>34.613720146541738</v>
      </c>
      <c r="Q18" s="22"/>
      <c r="R18" s="22"/>
      <c r="S18" s="22">
        <f t="shared" si="6"/>
        <v>203.00087938965163</v>
      </c>
      <c r="T18" s="22">
        <f t="shared" si="7"/>
        <v>259.08396116600017</v>
      </c>
    </row>
    <row r="19" spans="1:20" x14ac:dyDescent="0.2">
      <c r="A19" s="5">
        <v>28</v>
      </c>
      <c r="B19" s="1">
        <f t="shared" si="8"/>
        <v>1.1886857536682125</v>
      </c>
      <c r="C19" s="5">
        <f t="shared" si="9"/>
        <v>28881.972572935203</v>
      </c>
      <c r="D19" s="5">
        <f t="shared" si="0"/>
        <v>28124.900136277894</v>
      </c>
      <c r="E19" s="5">
        <f t="shared" si="1"/>
        <v>18624.900136277894</v>
      </c>
      <c r="F19" s="5">
        <f t="shared" si="2"/>
        <v>6382.7798944947326</v>
      </c>
      <c r="G19" s="5">
        <f t="shared" si="3"/>
        <v>21742.120241783163</v>
      </c>
      <c r="H19" s="22">
        <f t="shared" si="10"/>
        <v>13074.778559452308</v>
      </c>
      <c r="I19" s="5">
        <f t="shared" si="4"/>
        <v>34071.636423346688</v>
      </c>
      <c r="J19" s="26">
        <f t="shared" si="5"/>
        <v>0.13884872637528015</v>
      </c>
      <c r="L19" s="22">
        <f t="shared" si="11"/>
        <v>37369.889143844775</v>
      </c>
      <c r="M19" s="5">
        <f>scrimecost*Meta!O16</f>
        <v>5296.18</v>
      </c>
      <c r="N19" s="5">
        <f>L19-Grade14!L19</f>
        <v>387.86031252923567</v>
      </c>
      <c r="O19" s="5">
        <f>Grade14!M19-M19</f>
        <v>42.099999999999454</v>
      </c>
      <c r="P19" s="22">
        <f t="shared" si="12"/>
        <v>35.228284537224795</v>
      </c>
      <c r="Q19" s="22"/>
      <c r="R19" s="22"/>
      <c r="S19" s="22">
        <f t="shared" si="6"/>
        <v>207.27568830602561</v>
      </c>
      <c r="T19" s="22">
        <f t="shared" si="7"/>
        <v>273.92119245001675</v>
      </c>
    </row>
    <row r="20" spans="1:20" x14ac:dyDescent="0.2">
      <c r="A20" s="5">
        <v>29</v>
      </c>
      <c r="B20" s="1">
        <f t="shared" si="8"/>
        <v>1.2184028975099177</v>
      </c>
      <c r="C20" s="5">
        <f t="shared" si="9"/>
        <v>29604.021887258579</v>
      </c>
      <c r="D20" s="5">
        <f t="shared" si="0"/>
        <v>28805.792639684838</v>
      </c>
      <c r="E20" s="5">
        <f t="shared" si="1"/>
        <v>19305.792639684838</v>
      </c>
      <c r="F20" s="5">
        <f t="shared" si="2"/>
        <v>6605.0912968570992</v>
      </c>
      <c r="G20" s="5">
        <f t="shared" si="3"/>
        <v>22200.701342827739</v>
      </c>
      <c r="H20" s="22">
        <f t="shared" si="10"/>
        <v>13401.648023438614</v>
      </c>
      <c r="I20" s="5">
        <f t="shared" si="4"/>
        <v>34838.455428930349</v>
      </c>
      <c r="J20" s="26">
        <f t="shared" si="5"/>
        <v>0.14094398648573256</v>
      </c>
      <c r="L20" s="22">
        <f t="shared" si="11"/>
        <v>38304.136372440895</v>
      </c>
      <c r="M20" s="5">
        <f>scrimecost*Meta!O17</f>
        <v>5296.18</v>
      </c>
      <c r="N20" s="5">
        <f>L20-Grade14!L20</f>
        <v>397.55682034247002</v>
      </c>
      <c r="O20" s="5">
        <f>Grade14!M20-M20</f>
        <v>42.099999999999454</v>
      </c>
      <c r="P20" s="22">
        <f t="shared" si="12"/>
        <v>35.858213037674936</v>
      </c>
      <c r="Q20" s="22"/>
      <c r="R20" s="22"/>
      <c r="S20" s="22">
        <f t="shared" si="6"/>
        <v>211.65736744530767</v>
      </c>
      <c r="T20" s="22">
        <f t="shared" si="7"/>
        <v>289.63118170636471</v>
      </c>
    </row>
    <row r="21" spans="1:20" x14ac:dyDescent="0.2">
      <c r="A21" s="5">
        <v>30</v>
      </c>
      <c r="B21" s="1">
        <f t="shared" si="8"/>
        <v>1.2488629699476654</v>
      </c>
      <c r="C21" s="5">
        <f t="shared" si="9"/>
        <v>30344.12243444004</v>
      </c>
      <c r="D21" s="5">
        <f t="shared" si="0"/>
        <v>29503.707455676958</v>
      </c>
      <c r="E21" s="5">
        <f t="shared" si="1"/>
        <v>20003.707455676958</v>
      </c>
      <c r="F21" s="5">
        <f t="shared" si="2"/>
        <v>6832.9604842785266</v>
      </c>
      <c r="G21" s="5">
        <f t="shared" si="3"/>
        <v>22670.746971398432</v>
      </c>
      <c r="H21" s="22">
        <f t="shared" si="10"/>
        <v>13736.689224024578</v>
      </c>
      <c r="I21" s="5">
        <f t="shared" si="4"/>
        <v>35624.444909653612</v>
      </c>
      <c r="J21" s="26">
        <f t="shared" si="5"/>
        <v>0.14298814269105203</v>
      </c>
      <c r="L21" s="22">
        <f t="shared" si="11"/>
        <v>39261.739781751909</v>
      </c>
      <c r="M21" s="5">
        <f>scrimecost*Meta!O18</f>
        <v>4269.652</v>
      </c>
      <c r="N21" s="5">
        <f>L21-Grade14!L21</f>
        <v>407.49574085102358</v>
      </c>
      <c r="O21" s="5">
        <f>Grade14!M21-M21</f>
        <v>33.940000000000509</v>
      </c>
      <c r="P21" s="22">
        <f t="shared" si="12"/>
        <v>36.503889750636318</v>
      </c>
      <c r="Q21" s="22"/>
      <c r="R21" s="22"/>
      <c r="S21" s="22">
        <f t="shared" si="6"/>
        <v>211.13834856306761</v>
      </c>
      <c r="T21" s="22">
        <f t="shared" si="7"/>
        <v>299.16701270398033</v>
      </c>
    </row>
    <row r="22" spans="1:20" x14ac:dyDescent="0.2">
      <c r="A22" s="5">
        <v>31</v>
      </c>
      <c r="B22" s="1">
        <f t="shared" si="8"/>
        <v>1.2800845441963571</v>
      </c>
      <c r="C22" s="5">
        <f t="shared" si="9"/>
        <v>31102.725495301042</v>
      </c>
      <c r="D22" s="5">
        <f t="shared" si="0"/>
        <v>30219.070142068882</v>
      </c>
      <c r="E22" s="5">
        <f t="shared" si="1"/>
        <v>20719.070142068882</v>
      </c>
      <c r="F22" s="5">
        <f t="shared" si="2"/>
        <v>7066.5264013854885</v>
      </c>
      <c r="G22" s="5">
        <f t="shared" si="3"/>
        <v>23152.543740683395</v>
      </c>
      <c r="H22" s="22">
        <f t="shared" si="10"/>
        <v>14080.106454625195</v>
      </c>
      <c r="I22" s="5">
        <f t="shared" si="4"/>
        <v>36430.084127394955</v>
      </c>
      <c r="J22" s="26">
        <f t="shared" si="5"/>
        <v>0.14498244142794903</v>
      </c>
      <c r="L22" s="22">
        <f t="shared" si="11"/>
        <v>40243.283276295704</v>
      </c>
      <c r="M22" s="5">
        <f>scrimecost*Meta!O19</f>
        <v>4269.652</v>
      </c>
      <c r="N22" s="5">
        <f>L22-Grade14!L22</f>
        <v>417.68313437230245</v>
      </c>
      <c r="O22" s="5">
        <f>Grade14!M22-M22</f>
        <v>33.940000000000509</v>
      </c>
      <c r="P22" s="22">
        <f t="shared" si="12"/>
        <v>37.165708381421744</v>
      </c>
      <c r="Q22" s="22"/>
      <c r="R22" s="22"/>
      <c r="S22" s="22">
        <f t="shared" si="6"/>
        <v>215.74185020877562</v>
      </c>
      <c r="T22" s="22">
        <f t="shared" si="7"/>
        <v>316.53055693117096</v>
      </c>
    </row>
    <row r="23" spans="1:20" x14ac:dyDescent="0.2">
      <c r="A23" s="5">
        <v>32</v>
      </c>
      <c r="B23" s="1">
        <f t="shared" si="8"/>
        <v>1.312086657801266</v>
      </c>
      <c r="C23" s="5">
        <f t="shared" si="9"/>
        <v>31880.293632683566</v>
      </c>
      <c r="D23" s="5">
        <f t="shared" si="0"/>
        <v>30952.316895620603</v>
      </c>
      <c r="E23" s="5">
        <f t="shared" si="1"/>
        <v>21452.316895620603</v>
      </c>
      <c r="F23" s="5">
        <f t="shared" si="2"/>
        <v>7305.9314664201256</v>
      </c>
      <c r="G23" s="5">
        <f t="shared" si="3"/>
        <v>23646.385429200476</v>
      </c>
      <c r="H23" s="22">
        <f t="shared" si="10"/>
        <v>14432.109115990823</v>
      </c>
      <c r="I23" s="5">
        <f t="shared" si="4"/>
        <v>37255.864325579823</v>
      </c>
      <c r="J23" s="26">
        <f t="shared" si="5"/>
        <v>0.14692809873223883</v>
      </c>
      <c r="L23" s="22">
        <f t="shared" si="11"/>
        <v>41249.365358203097</v>
      </c>
      <c r="M23" s="5">
        <f>scrimecost*Meta!O20</f>
        <v>4269.652</v>
      </c>
      <c r="N23" s="5">
        <f>L23-Grade14!L23</f>
        <v>428.1252127316111</v>
      </c>
      <c r="O23" s="5">
        <f>Grade14!M23-M23</f>
        <v>33.940000000000509</v>
      </c>
      <c r="P23" s="22">
        <f t="shared" si="12"/>
        <v>37.844072477976802</v>
      </c>
      <c r="Q23" s="22"/>
      <c r="R23" s="22"/>
      <c r="S23" s="22">
        <f t="shared" si="6"/>
        <v>220.46043939562546</v>
      </c>
      <c r="T23" s="22">
        <f t="shared" si="7"/>
        <v>334.92423191285383</v>
      </c>
    </row>
    <row r="24" spans="1:20" x14ac:dyDescent="0.2">
      <c r="A24" s="5">
        <v>33</v>
      </c>
      <c r="B24" s="1">
        <f t="shared" si="8"/>
        <v>1.3448888242462975</v>
      </c>
      <c r="C24" s="5">
        <f t="shared" si="9"/>
        <v>32677.300973500653</v>
      </c>
      <c r="D24" s="5">
        <f t="shared" si="0"/>
        <v>31703.894818011115</v>
      </c>
      <c r="E24" s="5">
        <f t="shared" si="1"/>
        <v>22203.894818011115</v>
      </c>
      <c r="F24" s="5">
        <f t="shared" si="2"/>
        <v>7551.3216580806293</v>
      </c>
      <c r="G24" s="5">
        <f t="shared" si="3"/>
        <v>24152.573159930485</v>
      </c>
      <c r="H24" s="22">
        <f t="shared" si="10"/>
        <v>14792.911843890592</v>
      </c>
      <c r="I24" s="5">
        <f t="shared" si="4"/>
        <v>38102.289028719315</v>
      </c>
      <c r="J24" s="26">
        <f t="shared" si="5"/>
        <v>0.14882630098032645</v>
      </c>
      <c r="L24" s="22">
        <f t="shared" si="11"/>
        <v>42280.599492158166</v>
      </c>
      <c r="M24" s="5">
        <f>scrimecost*Meta!O21</f>
        <v>4269.652</v>
      </c>
      <c r="N24" s="5">
        <f>L24-Grade14!L24</f>
        <v>438.82834304989228</v>
      </c>
      <c r="O24" s="5">
        <f>Grade14!M24-M24</f>
        <v>33.940000000000509</v>
      </c>
      <c r="P24" s="22">
        <f t="shared" si="12"/>
        <v>38.539395676945738</v>
      </c>
      <c r="Q24" s="22"/>
      <c r="R24" s="22"/>
      <c r="S24" s="22">
        <f t="shared" si="6"/>
        <v>225.29699331214232</v>
      </c>
      <c r="T24" s="22">
        <f t="shared" si="7"/>
        <v>354.40999050724866</v>
      </c>
    </row>
    <row r="25" spans="1:20" x14ac:dyDescent="0.2">
      <c r="A25" s="5">
        <v>34</v>
      </c>
      <c r="B25" s="1">
        <f t="shared" si="8"/>
        <v>1.3785110448524549</v>
      </c>
      <c r="C25" s="5">
        <f t="shared" si="9"/>
        <v>33494.23349783817</v>
      </c>
      <c r="D25" s="5">
        <f t="shared" si="0"/>
        <v>32474.262188461395</v>
      </c>
      <c r="E25" s="5">
        <f t="shared" si="1"/>
        <v>22974.262188461395</v>
      </c>
      <c r="F25" s="5">
        <f t="shared" si="2"/>
        <v>7802.8466045326459</v>
      </c>
      <c r="G25" s="5">
        <f t="shared" si="3"/>
        <v>24671.415583928749</v>
      </c>
      <c r="H25" s="22">
        <f t="shared" si="10"/>
        <v>15162.734639987855</v>
      </c>
      <c r="I25" s="5">
        <f t="shared" si="4"/>
        <v>38969.874349437297</v>
      </c>
      <c r="J25" s="26">
        <f t="shared" si="5"/>
        <v>0.15067820561260703</v>
      </c>
      <c r="L25" s="22">
        <f t="shared" si="11"/>
        <v>43337.614479462129</v>
      </c>
      <c r="M25" s="5">
        <f>scrimecost*Meta!O22</f>
        <v>4269.652</v>
      </c>
      <c r="N25" s="5">
        <f>L25-Grade14!L25</f>
        <v>449.79905162615614</v>
      </c>
      <c r="O25" s="5">
        <f>Grade14!M25-M25</f>
        <v>33.940000000000509</v>
      </c>
      <c r="P25" s="22">
        <f t="shared" si="12"/>
        <v>39.252101955888904</v>
      </c>
      <c r="Q25" s="22"/>
      <c r="R25" s="22"/>
      <c r="S25" s="22">
        <f t="shared" si="6"/>
        <v>230.25446107658269</v>
      </c>
      <c r="T25" s="22">
        <f t="shared" si="7"/>
        <v>375.05354219903313</v>
      </c>
    </row>
    <row r="26" spans="1:20" x14ac:dyDescent="0.2">
      <c r="A26" s="5">
        <v>35</v>
      </c>
      <c r="B26" s="1">
        <f t="shared" si="8"/>
        <v>1.4129738209737661</v>
      </c>
      <c r="C26" s="5">
        <f t="shared" si="9"/>
        <v>34331.589335284116</v>
      </c>
      <c r="D26" s="5">
        <f t="shared" si="0"/>
        <v>33263.888743172916</v>
      </c>
      <c r="E26" s="5">
        <f t="shared" si="1"/>
        <v>23763.888743172916</v>
      </c>
      <c r="F26" s="5">
        <f t="shared" si="2"/>
        <v>8060.6596746459572</v>
      </c>
      <c r="G26" s="5">
        <f t="shared" si="3"/>
        <v>25203.229068526958</v>
      </c>
      <c r="H26" s="22">
        <f t="shared" si="10"/>
        <v>15541.803005987551</v>
      </c>
      <c r="I26" s="5">
        <f t="shared" si="4"/>
        <v>39859.149303173217</v>
      </c>
      <c r="J26" s="26">
        <f t="shared" si="5"/>
        <v>0.15248494183922215</v>
      </c>
      <c r="L26" s="22">
        <f t="shared" si="11"/>
        <v>44421.054841448677</v>
      </c>
      <c r="M26" s="5">
        <f>scrimecost*Meta!O23</f>
        <v>3313.5719999999997</v>
      </c>
      <c r="N26" s="5">
        <f>L26-Grade14!L26</f>
        <v>461.04402791679604</v>
      </c>
      <c r="O26" s="5">
        <f>Grade14!M26-M26</f>
        <v>26.340000000000146</v>
      </c>
      <c r="P26" s="22">
        <f t="shared" si="12"/>
        <v>39.982625891805633</v>
      </c>
      <c r="Q26" s="22"/>
      <c r="R26" s="22"/>
      <c r="S26" s="22">
        <f t="shared" si="6"/>
        <v>230.66946553512125</v>
      </c>
      <c r="T26" s="22">
        <f t="shared" si="7"/>
        <v>389.05409075557418</v>
      </c>
    </row>
    <row r="27" spans="1:20" x14ac:dyDescent="0.2">
      <c r="A27" s="5">
        <v>36</v>
      </c>
      <c r="B27" s="1">
        <f t="shared" si="8"/>
        <v>1.4482981664981105</v>
      </c>
      <c r="C27" s="5">
        <f t="shared" si="9"/>
        <v>35189.879068666225</v>
      </c>
      <c r="D27" s="5">
        <f t="shared" si="0"/>
        <v>34073.255961752242</v>
      </c>
      <c r="E27" s="5">
        <f t="shared" si="1"/>
        <v>24573.255961752242</v>
      </c>
      <c r="F27" s="5">
        <f t="shared" si="2"/>
        <v>8324.9180715121074</v>
      </c>
      <c r="G27" s="5">
        <f t="shared" si="3"/>
        <v>25748.337890240135</v>
      </c>
      <c r="H27" s="22">
        <f t="shared" si="10"/>
        <v>15930.348081137241</v>
      </c>
      <c r="I27" s="5">
        <f t="shared" si="4"/>
        <v>40770.656130752555</v>
      </c>
      <c r="J27" s="26">
        <f t="shared" si="5"/>
        <v>0.15424761132860285</v>
      </c>
      <c r="L27" s="22">
        <f t="shared" si="11"/>
        <v>45531.581212484896</v>
      </c>
      <c r="M27" s="5">
        <f>scrimecost*Meta!O24</f>
        <v>3313.5719999999997</v>
      </c>
      <c r="N27" s="5">
        <f>L27-Grade14!L27</f>
        <v>472.57012861472322</v>
      </c>
      <c r="O27" s="5">
        <f>Grade14!M27-M27</f>
        <v>26.340000000000146</v>
      </c>
      <c r="P27" s="22">
        <f t="shared" si="12"/>
        <v>40.731412926120292</v>
      </c>
      <c r="Q27" s="22"/>
      <c r="R27" s="22"/>
      <c r="S27" s="22">
        <f t="shared" si="6"/>
        <v>235.87790510513224</v>
      </c>
      <c r="T27" s="22">
        <f t="shared" si="7"/>
        <v>411.94742948811069</v>
      </c>
    </row>
    <row r="28" spans="1:20" x14ac:dyDescent="0.2">
      <c r="A28" s="5">
        <v>37</v>
      </c>
      <c r="B28" s="1">
        <f t="shared" si="8"/>
        <v>1.4845056206605631</v>
      </c>
      <c r="C28" s="5">
        <f t="shared" si="9"/>
        <v>36069.62604538288</v>
      </c>
      <c r="D28" s="5">
        <f t="shared" si="0"/>
        <v>34902.85736079605</v>
      </c>
      <c r="E28" s="5">
        <f t="shared" si="1"/>
        <v>25402.85736079605</v>
      </c>
      <c r="F28" s="5">
        <f t="shared" si="2"/>
        <v>8595.7829282999101</v>
      </c>
      <c r="G28" s="5">
        <f t="shared" si="3"/>
        <v>26307.074432496142</v>
      </c>
      <c r="H28" s="22">
        <f t="shared" si="10"/>
        <v>16328.606783165671</v>
      </c>
      <c r="I28" s="5">
        <f t="shared" si="4"/>
        <v>41704.950629021369</v>
      </c>
      <c r="J28" s="26">
        <f t="shared" si="5"/>
        <v>0.15596728887921815</v>
      </c>
      <c r="L28" s="22">
        <f t="shared" si="11"/>
        <v>46669.870742797015</v>
      </c>
      <c r="M28" s="5">
        <f>scrimecost*Meta!O25</f>
        <v>3313.5719999999997</v>
      </c>
      <c r="N28" s="5">
        <f>L28-Grade14!L28</f>
        <v>484.38438183009566</v>
      </c>
      <c r="O28" s="5">
        <f>Grade14!M28-M28</f>
        <v>26.340000000000146</v>
      </c>
      <c r="P28" s="22">
        <f t="shared" si="12"/>
        <v>41.498919636292818</v>
      </c>
      <c r="Q28" s="22"/>
      <c r="R28" s="22"/>
      <c r="S28" s="22">
        <f t="shared" si="6"/>
        <v>241.21655566439233</v>
      </c>
      <c r="T28" s="22">
        <f t="shared" si="7"/>
        <v>436.21069112328701</v>
      </c>
    </row>
    <row r="29" spans="1:20" x14ac:dyDescent="0.2">
      <c r="A29" s="5">
        <v>38</v>
      </c>
      <c r="B29" s="1">
        <f t="shared" si="8"/>
        <v>1.521618261177077</v>
      </c>
      <c r="C29" s="5">
        <f t="shared" si="9"/>
        <v>36971.366696517449</v>
      </c>
      <c r="D29" s="5">
        <f t="shared" si="0"/>
        <v>35753.198794815951</v>
      </c>
      <c r="E29" s="5">
        <f t="shared" si="1"/>
        <v>26253.198794815951</v>
      </c>
      <c r="F29" s="5">
        <f t="shared" si="2"/>
        <v>8873.419406507408</v>
      </c>
      <c r="G29" s="5">
        <f t="shared" si="3"/>
        <v>26879.779388308543</v>
      </c>
      <c r="H29" s="22">
        <f t="shared" si="10"/>
        <v>16736.821952744813</v>
      </c>
      <c r="I29" s="5">
        <f t="shared" si="4"/>
        <v>42662.602489746903</v>
      </c>
      <c r="J29" s="26">
        <f t="shared" si="5"/>
        <v>0.15764502307494044</v>
      </c>
      <c r="L29" s="22">
        <f t="shared" si="11"/>
        <v>47836.617511366931</v>
      </c>
      <c r="M29" s="5">
        <f>scrimecost*Meta!O26</f>
        <v>3313.5719999999997</v>
      </c>
      <c r="N29" s="5">
        <f>L29-Grade14!L29</f>
        <v>496.49399137583532</v>
      </c>
      <c r="O29" s="5">
        <f>Grade14!M29-M29</f>
        <v>26.340000000000146</v>
      </c>
      <c r="P29" s="22">
        <f t="shared" si="12"/>
        <v>42.285614014219661</v>
      </c>
      <c r="Q29" s="22"/>
      <c r="R29" s="22"/>
      <c r="S29" s="22">
        <f t="shared" si="6"/>
        <v>246.68867248762686</v>
      </c>
      <c r="T29" s="22">
        <f t="shared" si="7"/>
        <v>461.92669385605319</v>
      </c>
    </row>
    <row r="30" spans="1:20" x14ac:dyDescent="0.2">
      <c r="A30" s="5">
        <v>39</v>
      </c>
      <c r="B30" s="1">
        <f t="shared" si="8"/>
        <v>1.559658717706504</v>
      </c>
      <c r="C30" s="5">
        <f t="shared" si="9"/>
        <v>37895.650863930387</v>
      </c>
      <c r="D30" s="5">
        <f t="shared" si="0"/>
        <v>36624.798764686348</v>
      </c>
      <c r="E30" s="5">
        <f t="shared" si="1"/>
        <v>27124.798764686348</v>
      </c>
      <c r="F30" s="5">
        <f t="shared" si="2"/>
        <v>9157.9967966700933</v>
      </c>
      <c r="G30" s="5">
        <f t="shared" si="3"/>
        <v>27466.801968016254</v>
      </c>
      <c r="H30" s="22">
        <f t="shared" si="10"/>
        <v>17155.242501563433</v>
      </c>
      <c r="I30" s="5">
        <f t="shared" si="4"/>
        <v>43644.195646990571</v>
      </c>
      <c r="J30" s="26">
        <f t="shared" si="5"/>
        <v>0.15928183692442552</v>
      </c>
      <c r="L30" s="22">
        <f t="shared" si="11"/>
        <v>49032.532949151107</v>
      </c>
      <c r="M30" s="5">
        <f>scrimecost*Meta!O27</f>
        <v>3313.5719999999997</v>
      </c>
      <c r="N30" s="5">
        <f>L30-Grade14!L30</f>
        <v>508.90634116023284</v>
      </c>
      <c r="O30" s="5">
        <f>Grade14!M30-M30</f>
        <v>26.340000000000146</v>
      </c>
      <c r="P30" s="22">
        <f t="shared" si="12"/>
        <v>43.09197575159466</v>
      </c>
      <c r="Q30" s="22"/>
      <c r="R30" s="22"/>
      <c r="S30" s="22">
        <f t="shared" si="6"/>
        <v>252.29759223144819</v>
      </c>
      <c r="T30" s="22">
        <f t="shared" si="7"/>
        <v>489.18329327100605</v>
      </c>
    </row>
    <row r="31" spans="1:20" x14ac:dyDescent="0.2">
      <c r="A31" s="5">
        <v>40</v>
      </c>
      <c r="B31" s="1">
        <f t="shared" si="8"/>
        <v>1.5986501856491666</v>
      </c>
      <c r="C31" s="5">
        <f t="shared" si="9"/>
        <v>38843.042135528638</v>
      </c>
      <c r="D31" s="5">
        <f t="shared" si="0"/>
        <v>37518.188733803501</v>
      </c>
      <c r="E31" s="5">
        <f t="shared" si="1"/>
        <v>28018.188733803501</v>
      </c>
      <c r="F31" s="5">
        <f t="shared" si="2"/>
        <v>9449.6886215868435</v>
      </c>
      <c r="G31" s="5">
        <f t="shared" si="3"/>
        <v>28068.500112216658</v>
      </c>
      <c r="H31" s="22">
        <f t="shared" si="10"/>
        <v>17584.12356410252</v>
      </c>
      <c r="I31" s="5">
        <f t="shared" si="4"/>
        <v>44650.328633165336</v>
      </c>
      <c r="J31" s="26">
        <f t="shared" si="5"/>
        <v>0.16087872848489879</v>
      </c>
      <c r="L31" s="22">
        <f t="shared" si="11"/>
        <v>50258.346272879891</v>
      </c>
      <c r="M31" s="5">
        <f>scrimecost*Meta!O28</f>
        <v>2898.4319999999998</v>
      </c>
      <c r="N31" s="5">
        <f>L31-Grade14!L31</f>
        <v>521.62899968925194</v>
      </c>
      <c r="O31" s="5">
        <f>Grade14!M31-M31</f>
        <v>23.039999999999964</v>
      </c>
      <c r="P31" s="22">
        <f t="shared" si="12"/>
        <v>43.918496532404042</v>
      </c>
      <c r="Q31" s="22"/>
      <c r="R31" s="22"/>
      <c r="S31" s="22">
        <f t="shared" si="6"/>
        <v>256.0205349688697</v>
      </c>
      <c r="T31" s="22">
        <f t="shared" si="7"/>
        <v>514.00574102534904</v>
      </c>
    </row>
    <row r="32" spans="1:20" x14ac:dyDescent="0.2">
      <c r="A32" s="5">
        <v>41</v>
      </c>
      <c r="B32" s="1">
        <f t="shared" si="8"/>
        <v>1.6386164402903955</v>
      </c>
      <c r="C32" s="5">
        <f t="shared" si="9"/>
        <v>39814.118188916851</v>
      </c>
      <c r="D32" s="5">
        <f t="shared" si="0"/>
        <v>38433.913452148583</v>
      </c>
      <c r="E32" s="5">
        <f t="shared" si="1"/>
        <v>28933.913452148583</v>
      </c>
      <c r="F32" s="5">
        <f t="shared" si="2"/>
        <v>9748.6727421265132</v>
      </c>
      <c r="G32" s="5">
        <f t="shared" si="3"/>
        <v>28685.24071002207</v>
      </c>
      <c r="H32" s="22">
        <f t="shared" si="10"/>
        <v>18023.726653205078</v>
      </c>
      <c r="I32" s="5">
        <f t="shared" si="4"/>
        <v>45681.614943994457</v>
      </c>
      <c r="J32" s="26">
        <f t="shared" si="5"/>
        <v>0.16243667147072638</v>
      </c>
      <c r="L32" s="22">
        <f t="shared" si="11"/>
        <v>51514.804929701873</v>
      </c>
      <c r="M32" s="5">
        <f>scrimecost*Meta!O29</f>
        <v>2898.4319999999998</v>
      </c>
      <c r="N32" s="5">
        <f>L32-Grade14!L32</f>
        <v>534.66972468148015</v>
      </c>
      <c r="O32" s="5">
        <f>Grade14!M32-M32</f>
        <v>23.039999999999964</v>
      </c>
      <c r="P32" s="22">
        <f t="shared" si="12"/>
        <v>44.765680332733659</v>
      </c>
      <c r="Q32" s="22"/>
      <c r="R32" s="22"/>
      <c r="S32" s="22">
        <f t="shared" si="6"/>
        <v>261.91340627472016</v>
      </c>
      <c r="T32" s="22">
        <f t="shared" si="7"/>
        <v>544.48454404763891</v>
      </c>
    </row>
    <row r="33" spans="1:20" x14ac:dyDescent="0.2">
      <c r="A33" s="5">
        <v>42</v>
      </c>
      <c r="B33" s="1">
        <f t="shared" si="8"/>
        <v>1.6795818512976552</v>
      </c>
      <c r="C33" s="5">
        <f t="shared" si="9"/>
        <v>40809.47114363977</v>
      </c>
      <c r="D33" s="5">
        <f t="shared" si="0"/>
        <v>39372.531288452301</v>
      </c>
      <c r="E33" s="5">
        <f t="shared" si="1"/>
        <v>29872.531288452301</v>
      </c>
      <c r="F33" s="5">
        <f t="shared" si="2"/>
        <v>10055.131465679677</v>
      </c>
      <c r="G33" s="5">
        <f t="shared" si="3"/>
        <v>29317.399822772626</v>
      </c>
      <c r="H33" s="22">
        <f t="shared" si="10"/>
        <v>18474.319819535205</v>
      </c>
      <c r="I33" s="5">
        <f t="shared" si="4"/>
        <v>46738.683412594328</v>
      </c>
      <c r="J33" s="26">
        <f t="shared" si="5"/>
        <v>0.16395661584714352</v>
      </c>
      <c r="L33" s="22">
        <f t="shared" si="11"/>
        <v>52802.675052944418</v>
      </c>
      <c r="M33" s="5">
        <f>scrimecost*Meta!O30</f>
        <v>2898.4319999999998</v>
      </c>
      <c r="N33" s="5">
        <f>L33-Grade14!L33</f>
        <v>548.0364677985126</v>
      </c>
      <c r="O33" s="5">
        <f>Grade14!M33-M33</f>
        <v>23.039999999999964</v>
      </c>
      <c r="P33" s="22">
        <f t="shared" si="12"/>
        <v>45.634043728071511</v>
      </c>
      <c r="Q33" s="22"/>
      <c r="R33" s="22"/>
      <c r="S33" s="22">
        <f t="shared" si="6"/>
        <v>267.95359936321631</v>
      </c>
      <c r="T33" s="22">
        <f t="shared" si="7"/>
        <v>576.79578904991126</v>
      </c>
    </row>
    <row r="34" spans="1:20" x14ac:dyDescent="0.2">
      <c r="A34" s="5">
        <v>43</v>
      </c>
      <c r="B34" s="1">
        <f t="shared" si="8"/>
        <v>1.7215713975800966</v>
      </c>
      <c r="C34" s="5">
        <f t="shared" si="9"/>
        <v>41829.707922230766</v>
      </c>
      <c r="D34" s="5">
        <f t="shared" si="0"/>
        <v>40334.614570663609</v>
      </c>
      <c r="E34" s="5">
        <f t="shared" si="1"/>
        <v>30834.614570663609</v>
      </c>
      <c r="F34" s="5">
        <f t="shared" si="2"/>
        <v>10369.251657321667</v>
      </c>
      <c r="G34" s="5">
        <f t="shared" si="3"/>
        <v>29965.362913341942</v>
      </c>
      <c r="H34" s="22">
        <f t="shared" si="10"/>
        <v>18936.177815023584</v>
      </c>
      <c r="I34" s="5">
        <f t="shared" si="4"/>
        <v>47822.178592909186</v>
      </c>
      <c r="J34" s="26">
        <f t="shared" si="5"/>
        <v>0.16543948840950173</v>
      </c>
      <c r="L34" s="22">
        <f t="shared" si="11"/>
        <v>54122.741929268028</v>
      </c>
      <c r="M34" s="5">
        <f>scrimecost*Meta!O31</f>
        <v>2898.4319999999998</v>
      </c>
      <c r="N34" s="5">
        <f>L34-Grade14!L34</f>
        <v>561.73737949346832</v>
      </c>
      <c r="O34" s="5">
        <f>Grade14!M34-M34</f>
        <v>23.039999999999964</v>
      </c>
      <c r="P34" s="22">
        <f t="shared" si="12"/>
        <v>46.524116208292817</v>
      </c>
      <c r="Q34" s="22"/>
      <c r="R34" s="22"/>
      <c r="S34" s="22">
        <f t="shared" si="6"/>
        <v>274.14479727892376</v>
      </c>
      <c r="T34" s="22">
        <f t="shared" si="7"/>
        <v>611.05056868489135</v>
      </c>
    </row>
    <row r="35" spans="1:20" x14ac:dyDescent="0.2">
      <c r="A35" s="5">
        <v>44</v>
      </c>
      <c r="B35" s="1">
        <f t="shared" si="8"/>
        <v>1.7646106825195991</v>
      </c>
      <c r="C35" s="5">
        <f t="shared" si="9"/>
        <v>42875.450620286538</v>
      </c>
      <c r="D35" s="5">
        <f t="shared" si="0"/>
        <v>41320.749934930202</v>
      </c>
      <c r="E35" s="5">
        <f t="shared" si="1"/>
        <v>31820.749934930202</v>
      </c>
      <c r="F35" s="5">
        <f t="shared" si="2"/>
        <v>10691.224853754711</v>
      </c>
      <c r="G35" s="5">
        <f t="shared" si="3"/>
        <v>30629.525081175489</v>
      </c>
      <c r="H35" s="22">
        <f t="shared" si="10"/>
        <v>19409.582260399173</v>
      </c>
      <c r="I35" s="5">
        <f t="shared" si="4"/>
        <v>48932.76115273191</v>
      </c>
      <c r="J35" s="26">
        <f t="shared" si="5"/>
        <v>0.16688619334838783</v>
      </c>
      <c r="L35" s="22">
        <f t="shared" si="11"/>
        <v>55475.810477499734</v>
      </c>
      <c r="M35" s="5">
        <f>scrimecost*Meta!O32</f>
        <v>2898.4319999999998</v>
      </c>
      <c r="N35" s="5">
        <f>L35-Grade14!L35</f>
        <v>575.78081398081849</v>
      </c>
      <c r="O35" s="5">
        <f>Grade14!M35-M35</f>
        <v>23.039999999999964</v>
      </c>
      <c r="P35" s="22">
        <f t="shared" si="12"/>
        <v>47.436440500519666</v>
      </c>
      <c r="Q35" s="22"/>
      <c r="R35" s="22"/>
      <c r="S35" s="22">
        <f t="shared" si="6"/>
        <v>280.49077514253241</v>
      </c>
      <c r="T35" s="22">
        <f t="shared" si="7"/>
        <v>647.366744045122</v>
      </c>
    </row>
    <row r="36" spans="1:20" x14ac:dyDescent="0.2">
      <c r="A36" s="5">
        <v>45</v>
      </c>
      <c r="B36" s="1">
        <f t="shared" si="8"/>
        <v>1.8087259495825889</v>
      </c>
      <c r="C36" s="5">
        <f t="shared" si="9"/>
        <v>43947.336885793695</v>
      </c>
      <c r="D36" s="5">
        <f t="shared" si="0"/>
        <v>42331.53868330345</v>
      </c>
      <c r="E36" s="5">
        <f t="shared" si="1"/>
        <v>32831.53868330345</v>
      </c>
      <c r="F36" s="5">
        <f t="shared" si="2"/>
        <v>11021.247380098575</v>
      </c>
      <c r="G36" s="5">
        <f t="shared" si="3"/>
        <v>31310.291303204875</v>
      </c>
      <c r="H36" s="22">
        <f t="shared" si="10"/>
        <v>19894.821816909152</v>
      </c>
      <c r="I36" s="5">
        <f t="shared" si="4"/>
        <v>50071.108276550207</v>
      </c>
      <c r="J36" s="26">
        <f t="shared" si="5"/>
        <v>0.16829761280095956</v>
      </c>
      <c r="L36" s="22">
        <f t="shared" si="11"/>
        <v>56862.705739437217</v>
      </c>
      <c r="M36" s="5">
        <f>scrimecost*Meta!O33</f>
        <v>2342.3960000000002</v>
      </c>
      <c r="N36" s="5">
        <f>L36-Grade14!L36</f>
        <v>590.17533433033532</v>
      </c>
      <c r="O36" s="5">
        <f>Grade14!M36-M36</f>
        <v>18.619999999999891</v>
      </c>
      <c r="P36" s="22">
        <f t="shared" si="12"/>
        <v>48.371572900052165</v>
      </c>
      <c r="Q36" s="22"/>
      <c r="R36" s="22"/>
      <c r="S36" s="22">
        <f t="shared" si="6"/>
        <v>284.28152245272412</v>
      </c>
      <c r="T36" s="22">
        <f t="shared" si="7"/>
        <v>679.38365456944757</v>
      </c>
    </row>
    <row r="37" spans="1:20" x14ac:dyDescent="0.2">
      <c r="A37" s="5">
        <v>46</v>
      </c>
      <c r="B37" s="1">
        <f t="shared" ref="B37:B56" si="13">(1+experiencepremium)^(A37-startage)</f>
        <v>1.8539440983221533</v>
      </c>
      <c r="C37" s="5">
        <f t="shared" ref="C37:C56" si="14">pretaxincome*B37/expnorm</f>
        <v>45046.020307938525</v>
      </c>
      <c r="D37" s="5">
        <f t="shared" ref="D37:D56" si="15">IF(A37&lt;startage,1,0)*(C37*(1-initialunempprob))+IF(A37=startage,1,0)*(C37*(1-unempprob))+IF(A37&gt;startage,1,0)*(C37*(1-unempprob)+unempprob*300*52)</f>
        <v>43367.59715038602</v>
      </c>
      <c r="E37" s="5">
        <f t="shared" si="1"/>
        <v>33867.59715038602</v>
      </c>
      <c r="F37" s="5">
        <f t="shared" si="2"/>
        <v>11359.520469601035</v>
      </c>
      <c r="G37" s="5">
        <f t="shared" si="3"/>
        <v>32008.076680784987</v>
      </c>
      <c r="H37" s="22">
        <f t="shared" ref="H37:H56" si="16">benefits*B37/expnorm</f>
        <v>20392.192362331876</v>
      </c>
      <c r="I37" s="5">
        <f t="shared" ref="I37:I56" si="17">G37+IF(A37&lt;startage,1,0)*(H37*(1-initialunempprob))+IF(A37&gt;=startage,1,0)*(H37*(1-unempprob))</f>
        <v>51237.914078463946</v>
      </c>
      <c r="J37" s="26">
        <f t="shared" si="5"/>
        <v>0.16967460738883441</v>
      </c>
      <c r="L37" s="22">
        <f t="shared" ref="L37:L56" si="18">(sincome+sbenefits)*(1-sunemp)*B37/expnorm</f>
        <v>58284.273382923137</v>
      </c>
      <c r="M37" s="5">
        <f>scrimecost*Meta!O34</f>
        <v>2342.3960000000002</v>
      </c>
      <c r="N37" s="5">
        <f>L37-Grade14!L37</f>
        <v>604.92971768858843</v>
      </c>
      <c r="O37" s="5">
        <f>Grade14!M37-M37</f>
        <v>18.619999999999891</v>
      </c>
      <c r="P37" s="22">
        <f t="shared" si="12"/>
        <v>49.330083609572959</v>
      </c>
      <c r="Q37" s="22"/>
      <c r="R37" s="22"/>
      <c r="S37" s="22">
        <f t="shared" si="6"/>
        <v>290.94876544567001</v>
      </c>
      <c r="T37" s="22">
        <f t="shared" si="7"/>
        <v>719.97536794935081</v>
      </c>
    </row>
    <row r="38" spans="1:20" x14ac:dyDescent="0.2">
      <c r="A38" s="5">
        <v>47</v>
      </c>
      <c r="B38" s="1">
        <f t="shared" si="13"/>
        <v>1.9002927007802071</v>
      </c>
      <c r="C38" s="5">
        <f t="shared" si="14"/>
        <v>46172.170815636993</v>
      </c>
      <c r="D38" s="5">
        <f t="shared" si="15"/>
        <v>44429.557079145678</v>
      </c>
      <c r="E38" s="5">
        <f t="shared" si="1"/>
        <v>34929.557079145678</v>
      </c>
      <c r="F38" s="5">
        <f t="shared" si="2"/>
        <v>11749.206094255633</v>
      </c>
      <c r="G38" s="5">
        <f t="shared" si="3"/>
        <v>32680.350984890043</v>
      </c>
      <c r="H38" s="22">
        <f t="shared" si="16"/>
        <v>20901.997171390176</v>
      </c>
      <c r="I38" s="5">
        <f t="shared" si="17"/>
        <v>52390.934317510983</v>
      </c>
      <c r="J38" s="26">
        <f t="shared" si="5"/>
        <v>0.17169714827252333</v>
      </c>
      <c r="L38" s="22">
        <f t="shared" si="18"/>
        <v>59741.380217496211</v>
      </c>
      <c r="M38" s="5">
        <f>scrimecost*Meta!O35</f>
        <v>2342.3960000000002</v>
      </c>
      <c r="N38" s="5">
        <f>L38-Grade14!L38</f>
        <v>620.05296063079732</v>
      </c>
      <c r="O38" s="5">
        <f>Grade14!M38-M38</f>
        <v>18.619999999999891</v>
      </c>
      <c r="P38" s="22">
        <f t="shared" si="12"/>
        <v>50.43427385162596</v>
      </c>
      <c r="Q38" s="22"/>
      <c r="R38" s="22"/>
      <c r="S38" s="22">
        <f t="shared" si="6"/>
        <v>297.85742360702301</v>
      </c>
      <c r="T38" s="22">
        <f t="shared" si="7"/>
        <v>763.21027188487585</v>
      </c>
    </row>
    <row r="39" spans="1:20" x14ac:dyDescent="0.2">
      <c r="A39" s="5">
        <v>48</v>
      </c>
      <c r="B39" s="1">
        <f t="shared" si="13"/>
        <v>1.9478000182997122</v>
      </c>
      <c r="C39" s="5">
        <f t="shared" si="14"/>
        <v>47326.475086027916</v>
      </c>
      <c r="D39" s="5">
        <f t="shared" si="15"/>
        <v>45518.066006124318</v>
      </c>
      <c r="E39" s="5">
        <f t="shared" si="1"/>
        <v>36018.066006124318</v>
      </c>
      <c r="F39" s="5">
        <f t="shared" si="2"/>
        <v>12213.455151612021</v>
      </c>
      <c r="G39" s="5">
        <f t="shared" si="3"/>
        <v>33304.610854512299</v>
      </c>
      <c r="H39" s="22">
        <f t="shared" si="16"/>
        <v>21424.547100674929</v>
      </c>
      <c r="I39" s="5">
        <f t="shared" si="17"/>
        <v>53507.958770448757</v>
      </c>
      <c r="J39" s="26">
        <f t="shared" si="5"/>
        <v>0.17467019042764265</v>
      </c>
      <c r="L39" s="22">
        <f t="shared" si="18"/>
        <v>61234.914722933616</v>
      </c>
      <c r="M39" s="5">
        <f>scrimecost*Meta!O36</f>
        <v>2342.3960000000002</v>
      </c>
      <c r="N39" s="5">
        <f>L39-Grade14!L39</f>
        <v>635.55428464657598</v>
      </c>
      <c r="O39" s="5">
        <f>Grade14!M39-M39</f>
        <v>18.619999999999891</v>
      </c>
      <c r="P39" s="22">
        <f t="shared" si="12"/>
        <v>51.749742646425865</v>
      </c>
      <c r="Q39" s="22"/>
      <c r="R39" s="22"/>
      <c r="S39" s="22">
        <f t="shared" si="6"/>
        <v>305.05157393358689</v>
      </c>
      <c r="T39" s="22">
        <f t="shared" si="7"/>
        <v>809.36367084801611</v>
      </c>
    </row>
    <row r="40" spans="1:20" x14ac:dyDescent="0.2">
      <c r="A40" s="5">
        <v>49</v>
      </c>
      <c r="B40" s="1">
        <f t="shared" si="13"/>
        <v>1.9964950187572048</v>
      </c>
      <c r="C40" s="5">
        <f t="shared" si="14"/>
        <v>48509.636963178615</v>
      </c>
      <c r="D40" s="5">
        <f t="shared" si="15"/>
        <v>46633.787656277425</v>
      </c>
      <c r="E40" s="5">
        <f t="shared" si="1"/>
        <v>37133.787656277425</v>
      </c>
      <c r="F40" s="5">
        <f t="shared" si="2"/>
        <v>12689.310435402323</v>
      </c>
      <c r="G40" s="5">
        <f t="shared" si="3"/>
        <v>33944.477220875102</v>
      </c>
      <c r="H40" s="22">
        <f t="shared" si="16"/>
        <v>21960.160778191799</v>
      </c>
      <c r="I40" s="5">
        <f t="shared" si="17"/>
        <v>54652.908834709968</v>
      </c>
      <c r="J40" s="26">
        <f t="shared" si="5"/>
        <v>0.17757071935946639</v>
      </c>
      <c r="L40" s="22">
        <f t="shared" si="18"/>
        <v>62765.787591006949</v>
      </c>
      <c r="M40" s="5">
        <f>scrimecost*Meta!O37</f>
        <v>2342.3960000000002</v>
      </c>
      <c r="N40" s="5">
        <f>L40-Grade14!L40</f>
        <v>651.44314176272746</v>
      </c>
      <c r="O40" s="5">
        <f>Grade14!M40-M40</f>
        <v>18.619999999999891</v>
      </c>
      <c r="P40" s="22">
        <f t="shared" si="12"/>
        <v>53.09809816109577</v>
      </c>
      <c r="Q40" s="22"/>
      <c r="R40" s="22"/>
      <c r="S40" s="22">
        <f t="shared" si="6"/>
        <v>312.42557801830588</v>
      </c>
      <c r="T40" s="22">
        <f t="shared" si="7"/>
        <v>858.32483174195613</v>
      </c>
    </row>
    <row r="41" spans="1:20" x14ac:dyDescent="0.2">
      <c r="A41" s="5">
        <v>50</v>
      </c>
      <c r="B41" s="1">
        <f t="shared" si="13"/>
        <v>2.0464073942261352</v>
      </c>
      <c r="C41" s="5">
        <f t="shared" si="14"/>
        <v>49722.377887258081</v>
      </c>
      <c r="D41" s="5">
        <f t="shared" si="15"/>
        <v>47777.402347684365</v>
      </c>
      <c r="E41" s="5">
        <f t="shared" si="1"/>
        <v>38277.402347684365</v>
      </c>
      <c r="F41" s="5">
        <f t="shared" si="2"/>
        <v>13177.062101287382</v>
      </c>
      <c r="G41" s="5">
        <f t="shared" si="3"/>
        <v>34600.340246396983</v>
      </c>
      <c r="H41" s="22">
        <f t="shared" si="16"/>
        <v>22509.164797646594</v>
      </c>
      <c r="I41" s="5">
        <f t="shared" si="17"/>
        <v>55826.482650577716</v>
      </c>
      <c r="J41" s="26">
        <f t="shared" si="5"/>
        <v>0.18040050368319685</v>
      </c>
      <c r="L41" s="22">
        <f t="shared" si="18"/>
        <v>64334.932280782137</v>
      </c>
      <c r="M41" s="5">
        <f>scrimecost*Meta!O38</f>
        <v>1564.952</v>
      </c>
      <c r="N41" s="5">
        <f>L41-Grade14!L41</f>
        <v>667.72922030682093</v>
      </c>
      <c r="O41" s="5">
        <f>Grade14!M41-M41</f>
        <v>12.440000000000055</v>
      </c>
      <c r="P41" s="22">
        <f t="shared" si="12"/>
        <v>54.480162563632426</v>
      </c>
      <c r="Q41" s="22"/>
      <c r="R41" s="22"/>
      <c r="S41" s="22">
        <f t="shared" si="6"/>
        <v>316.18941220515876</v>
      </c>
      <c r="T41" s="22">
        <f t="shared" si="7"/>
        <v>899.47081566901784</v>
      </c>
    </row>
    <row r="42" spans="1:20" x14ac:dyDescent="0.2">
      <c r="A42" s="5">
        <v>51</v>
      </c>
      <c r="B42" s="1">
        <f t="shared" si="13"/>
        <v>2.097567579081788</v>
      </c>
      <c r="C42" s="5">
        <f t="shared" si="14"/>
        <v>50965.437334439521</v>
      </c>
      <c r="D42" s="5">
        <f t="shared" si="15"/>
        <v>48949.607406376461</v>
      </c>
      <c r="E42" s="5">
        <f t="shared" si="1"/>
        <v>39449.607406376461</v>
      </c>
      <c r="F42" s="5">
        <f t="shared" si="2"/>
        <v>13677.007558819561</v>
      </c>
      <c r="G42" s="5">
        <f t="shared" si="3"/>
        <v>35272.599847556899</v>
      </c>
      <c r="H42" s="22">
        <f t="shared" si="16"/>
        <v>23071.893917587753</v>
      </c>
      <c r="I42" s="5">
        <f t="shared" si="17"/>
        <v>57029.395811842151</v>
      </c>
      <c r="J42" s="26">
        <f t="shared" si="5"/>
        <v>0.18316126887708017</v>
      </c>
      <c r="L42" s="22">
        <f t="shared" si="18"/>
        <v>65943.305587801675</v>
      </c>
      <c r="M42" s="5">
        <f>scrimecost*Meta!O39</f>
        <v>1564.952</v>
      </c>
      <c r="N42" s="5">
        <f>L42-Grade14!L42</f>
        <v>684.42245081446163</v>
      </c>
      <c r="O42" s="5">
        <f>Grade14!M42-M42</f>
        <v>12.440000000000055</v>
      </c>
      <c r="P42" s="22">
        <f t="shared" si="12"/>
        <v>55.896778576232464</v>
      </c>
      <c r="Q42" s="22"/>
      <c r="R42" s="22"/>
      <c r="S42" s="22">
        <f t="shared" si="6"/>
        <v>323.93672524666005</v>
      </c>
      <c r="T42" s="22">
        <f t="shared" si="7"/>
        <v>954.1894258076868</v>
      </c>
    </row>
    <row r="43" spans="1:20" x14ac:dyDescent="0.2">
      <c r="A43" s="5">
        <v>52</v>
      </c>
      <c r="B43" s="1">
        <f t="shared" si="13"/>
        <v>2.1500067685588333</v>
      </c>
      <c r="C43" s="5">
        <f t="shared" si="14"/>
        <v>52239.573267800522</v>
      </c>
      <c r="D43" s="5">
        <f t="shared" si="15"/>
        <v>50151.117591535884</v>
      </c>
      <c r="E43" s="5">
        <f t="shared" si="1"/>
        <v>40651.117591535884</v>
      </c>
      <c r="F43" s="5">
        <f t="shared" si="2"/>
        <v>14189.451652790056</v>
      </c>
      <c r="G43" s="5">
        <f t="shared" si="3"/>
        <v>35961.665938745828</v>
      </c>
      <c r="H43" s="22">
        <f t="shared" si="16"/>
        <v>23648.691265527454</v>
      </c>
      <c r="I43" s="5">
        <f t="shared" si="17"/>
        <v>58262.381802138218</v>
      </c>
      <c r="J43" s="26">
        <f t="shared" si="5"/>
        <v>0.18585469833452742</v>
      </c>
      <c r="L43" s="22">
        <f t="shared" si="18"/>
        <v>67591.888227496733</v>
      </c>
      <c r="M43" s="5">
        <f>scrimecost*Meta!O40</f>
        <v>1564.952</v>
      </c>
      <c r="N43" s="5">
        <f>L43-Grade14!L43</f>
        <v>701.53301208485209</v>
      </c>
      <c r="O43" s="5">
        <f>Grade14!M43-M43</f>
        <v>12.440000000000055</v>
      </c>
      <c r="P43" s="22">
        <f t="shared" si="12"/>
        <v>57.348809989147547</v>
      </c>
      <c r="Q43" s="22"/>
      <c r="R43" s="22"/>
      <c r="S43" s="22">
        <f t="shared" ref="S43:S69" si="19">IF(A43&lt;startage,1,0)*(N43-Q43-R43)+IF(A43&gt;=startage,1,0)*completionprob*(N43*spart+O43+P43)</f>
        <v>331.87772111422316</v>
      </c>
      <c r="T43" s="22">
        <f t="shared" ref="T43:T69" si="20">S43/sreturn^(A43-startage+1)</f>
        <v>1012.2485648466853</v>
      </c>
    </row>
    <row r="44" spans="1:20" x14ac:dyDescent="0.2">
      <c r="A44" s="5">
        <v>53</v>
      </c>
      <c r="B44" s="1">
        <f t="shared" si="13"/>
        <v>2.2037569377728037</v>
      </c>
      <c r="C44" s="5">
        <f t="shared" si="14"/>
        <v>53545.562599495519</v>
      </c>
      <c r="D44" s="5">
        <f t="shared" si="15"/>
        <v>51382.665531324266</v>
      </c>
      <c r="E44" s="5">
        <f t="shared" si="1"/>
        <v>41882.665531324266</v>
      </c>
      <c r="F44" s="5">
        <f t="shared" si="2"/>
        <v>14714.7068491098</v>
      </c>
      <c r="G44" s="5">
        <f t="shared" si="3"/>
        <v>36667.958682214463</v>
      </c>
      <c r="H44" s="22">
        <f t="shared" si="16"/>
        <v>24239.908547165636</v>
      </c>
      <c r="I44" s="5">
        <f t="shared" si="17"/>
        <v>59526.192442191656</v>
      </c>
      <c r="J44" s="26">
        <f t="shared" si="5"/>
        <v>0.18848243439057344</v>
      </c>
      <c r="L44" s="22">
        <f t="shared" si="18"/>
        <v>69281.685433184131</v>
      </c>
      <c r="M44" s="5">
        <f>scrimecost*Meta!O41</f>
        <v>1564.952</v>
      </c>
      <c r="N44" s="5">
        <f>L44-Grade14!L44</f>
        <v>719.07133738696575</v>
      </c>
      <c r="O44" s="5">
        <f>Grade14!M44-M44</f>
        <v>12.440000000000055</v>
      </c>
      <c r="P44" s="22">
        <f t="shared" si="12"/>
        <v>58.837142187385481</v>
      </c>
      <c r="Q44" s="22"/>
      <c r="R44" s="22"/>
      <c r="S44" s="22">
        <f t="shared" si="19"/>
        <v>340.01724187846031</v>
      </c>
      <c r="T44" s="22">
        <f t="shared" si="20"/>
        <v>1073.8525902434383</v>
      </c>
    </row>
    <row r="45" spans="1:20" x14ac:dyDescent="0.2">
      <c r="A45" s="5">
        <v>54</v>
      </c>
      <c r="B45" s="1">
        <f t="shared" si="13"/>
        <v>2.2588508612171236</v>
      </c>
      <c r="C45" s="5">
        <f t="shared" si="14"/>
        <v>54884.201664482913</v>
      </c>
      <c r="D45" s="5">
        <f t="shared" si="15"/>
        <v>52645.002169607382</v>
      </c>
      <c r="E45" s="5">
        <f t="shared" si="1"/>
        <v>43145.002169607382</v>
      </c>
      <c r="F45" s="5">
        <f t="shared" si="2"/>
        <v>15253.093425337549</v>
      </c>
      <c r="G45" s="5">
        <f t="shared" si="3"/>
        <v>37391.908744269836</v>
      </c>
      <c r="H45" s="22">
        <f t="shared" si="16"/>
        <v>24845.906260844775</v>
      </c>
      <c r="I45" s="5">
        <f t="shared" si="17"/>
        <v>60821.598348246458</v>
      </c>
      <c r="J45" s="26">
        <f t="shared" si="5"/>
        <v>0.19104607932330134</v>
      </c>
      <c r="L45" s="22">
        <f t="shared" si="18"/>
        <v>71013.727569013732</v>
      </c>
      <c r="M45" s="5">
        <f>scrimecost*Meta!O42</f>
        <v>1564.952</v>
      </c>
      <c r="N45" s="5">
        <f>L45-Grade14!L45</f>
        <v>737.04812082162243</v>
      </c>
      <c r="O45" s="5">
        <f>Grade14!M45-M45</f>
        <v>12.440000000000055</v>
      </c>
      <c r="P45" s="22">
        <f t="shared" si="12"/>
        <v>60.362682690579383</v>
      </c>
      <c r="Q45" s="22"/>
      <c r="R45" s="22"/>
      <c r="S45" s="22">
        <f t="shared" si="19"/>
        <v>348.36025066179928</v>
      </c>
      <c r="T45" s="22">
        <f t="shared" si="20"/>
        <v>1139.2183760543041</v>
      </c>
    </row>
    <row r="46" spans="1:20" x14ac:dyDescent="0.2">
      <c r="A46" s="5">
        <v>55</v>
      </c>
      <c r="B46" s="1">
        <f t="shared" si="13"/>
        <v>2.3153221327475517</v>
      </c>
      <c r="C46" s="5">
        <f t="shared" si="14"/>
        <v>56256.306706094976</v>
      </c>
      <c r="D46" s="5">
        <f t="shared" si="15"/>
        <v>53938.897223847554</v>
      </c>
      <c r="E46" s="5">
        <f t="shared" si="1"/>
        <v>44438.897223847554</v>
      </c>
      <c r="F46" s="5">
        <f t="shared" si="2"/>
        <v>15804.939665970982</v>
      </c>
      <c r="G46" s="5">
        <f t="shared" si="3"/>
        <v>38133.957557876573</v>
      </c>
      <c r="H46" s="22">
        <f t="shared" si="16"/>
        <v>25467.053917365894</v>
      </c>
      <c r="I46" s="5">
        <f t="shared" si="17"/>
        <v>62149.389401952605</v>
      </c>
      <c r="J46" s="26">
        <f t="shared" si="5"/>
        <v>0.19354719633084064</v>
      </c>
      <c r="L46" s="22">
        <f t="shared" si="18"/>
        <v>72789.070758239075</v>
      </c>
      <c r="M46" s="5">
        <f>scrimecost*Meta!O43</f>
        <v>868.02</v>
      </c>
      <c r="N46" s="5">
        <f>L46-Grade14!L46</f>
        <v>755.47432384217973</v>
      </c>
      <c r="O46" s="5">
        <f>Grade14!M46-M46</f>
        <v>6.8999999999999773</v>
      </c>
      <c r="P46" s="22">
        <f t="shared" si="12"/>
        <v>61.926361706353106</v>
      </c>
      <c r="Q46" s="22"/>
      <c r="R46" s="22"/>
      <c r="S46" s="22">
        <f t="shared" si="19"/>
        <v>353.51027466473573</v>
      </c>
      <c r="T46" s="22">
        <f t="shared" si="20"/>
        <v>1197.0577059391651</v>
      </c>
    </row>
    <row r="47" spans="1:20" x14ac:dyDescent="0.2">
      <c r="A47" s="5">
        <v>56</v>
      </c>
      <c r="B47" s="1">
        <f t="shared" si="13"/>
        <v>2.3732051860662402</v>
      </c>
      <c r="C47" s="5">
        <f t="shared" si="14"/>
        <v>57662.714373747345</v>
      </c>
      <c r="D47" s="5">
        <f t="shared" si="15"/>
        <v>55265.139654443738</v>
      </c>
      <c r="E47" s="5">
        <f t="shared" si="1"/>
        <v>45765.139654443738</v>
      </c>
      <c r="F47" s="5">
        <f t="shared" si="2"/>
        <v>16370.582062620255</v>
      </c>
      <c r="G47" s="5">
        <f t="shared" si="3"/>
        <v>38894.557591823483</v>
      </c>
      <c r="H47" s="22">
        <f t="shared" si="16"/>
        <v>26103.730265300041</v>
      </c>
      <c r="I47" s="5">
        <f t="shared" si="17"/>
        <v>63510.375232001417</v>
      </c>
      <c r="J47" s="26">
        <f t="shared" si="5"/>
        <v>0.19598731048453755</v>
      </c>
      <c r="L47" s="22">
        <f t="shared" si="18"/>
        <v>74608.797527195042</v>
      </c>
      <c r="M47" s="5">
        <f>scrimecost*Meta!O44</f>
        <v>868.02</v>
      </c>
      <c r="N47" s="5">
        <f>L47-Grade14!L47</f>
        <v>774.36118193820585</v>
      </c>
      <c r="O47" s="5">
        <f>Grade14!M47-M47</f>
        <v>6.8999999999999773</v>
      </c>
      <c r="P47" s="22">
        <f t="shared" si="12"/>
        <v>63.52913269752117</v>
      </c>
      <c r="Q47" s="22"/>
      <c r="R47" s="22"/>
      <c r="S47" s="22">
        <f t="shared" si="19"/>
        <v>362.27564826772715</v>
      </c>
      <c r="T47" s="22">
        <f t="shared" si="20"/>
        <v>1270.2431058443221</v>
      </c>
    </row>
    <row r="48" spans="1:20" x14ac:dyDescent="0.2">
      <c r="A48" s="5">
        <v>57</v>
      </c>
      <c r="B48" s="1">
        <f t="shared" si="13"/>
        <v>2.4325353157178964</v>
      </c>
      <c r="C48" s="5">
        <f t="shared" si="14"/>
        <v>59104.282233091035</v>
      </c>
      <c r="D48" s="5">
        <f t="shared" si="15"/>
        <v>56624.538145804843</v>
      </c>
      <c r="E48" s="5">
        <f t="shared" si="1"/>
        <v>47124.538145804843</v>
      </c>
      <c r="F48" s="5">
        <f t="shared" si="2"/>
        <v>16950.365519185769</v>
      </c>
      <c r="G48" s="5">
        <f t="shared" si="3"/>
        <v>39674.172626619074</v>
      </c>
      <c r="H48" s="22">
        <f t="shared" si="16"/>
        <v>26756.323521932543</v>
      </c>
      <c r="I48" s="5">
        <f t="shared" si="17"/>
        <v>64905.385707801463</v>
      </c>
      <c r="J48" s="26">
        <f t="shared" si="5"/>
        <v>0.19836790965887613</v>
      </c>
      <c r="L48" s="22">
        <f t="shared" si="18"/>
        <v>76474.017465374927</v>
      </c>
      <c r="M48" s="5">
        <f>scrimecost*Meta!O45</f>
        <v>868.02</v>
      </c>
      <c r="N48" s="5">
        <f>L48-Grade14!L48</f>
        <v>793.72021148669592</v>
      </c>
      <c r="O48" s="5">
        <f>Grade14!M48-M48</f>
        <v>6.8999999999999773</v>
      </c>
      <c r="P48" s="22">
        <f t="shared" si="12"/>
        <v>65.171972963468477</v>
      </c>
      <c r="Q48" s="22"/>
      <c r="R48" s="22"/>
      <c r="S48" s="22">
        <f t="shared" si="19"/>
        <v>371.26015621081945</v>
      </c>
      <c r="T48" s="22">
        <f t="shared" si="20"/>
        <v>1347.9094116419617</v>
      </c>
    </row>
    <row r="49" spans="1:20" x14ac:dyDescent="0.2">
      <c r="A49" s="5">
        <v>58</v>
      </c>
      <c r="B49" s="1">
        <f t="shared" si="13"/>
        <v>2.4933486986108435</v>
      </c>
      <c r="C49" s="5">
        <f t="shared" si="14"/>
        <v>60581.889288918297</v>
      </c>
      <c r="D49" s="5">
        <f t="shared" si="15"/>
        <v>58017.921599449946</v>
      </c>
      <c r="E49" s="5">
        <f t="shared" si="1"/>
        <v>48517.921599449946</v>
      </c>
      <c r="F49" s="5">
        <f t="shared" si="2"/>
        <v>17544.643562165402</v>
      </c>
      <c r="G49" s="5">
        <f t="shared" si="3"/>
        <v>40473.278037284545</v>
      </c>
      <c r="H49" s="22">
        <f t="shared" si="16"/>
        <v>27425.231609980852</v>
      </c>
      <c r="I49" s="5">
        <f t="shared" si="17"/>
        <v>66335.271445496488</v>
      </c>
      <c r="J49" s="26">
        <f t="shared" si="5"/>
        <v>0.20069044543871842</v>
      </c>
      <c r="L49" s="22">
        <f t="shared" si="18"/>
        <v>78385.867902009282</v>
      </c>
      <c r="M49" s="5">
        <f>scrimecost*Meta!O46</f>
        <v>868.02</v>
      </c>
      <c r="N49" s="5">
        <f>L49-Grade14!L49</f>
        <v>813.56321677385131</v>
      </c>
      <c r="O49" s="5">
        <f>Grade14!M49-M49</f>
        <v>6.8999999999999773</v>
      </c>
      <c r="P49" s="22">
        <f t="shared" si="12"/>
        <v>66.855884236064412</v>
      </c>
      <c r="Q49" s="22"/>
      <c r="R49" s="22"/>
      <c r="S49" s="22">
        <f t="shared" si="19"/>
        <v>380.46927685246959</v>
      </c>
      <c r="T49" s="22">
        <f t="shared" si="20"/>
        <v>1430.3312066249732</v>
      </c>
    </row>
    <row r="50" spans="1:20" x14ac:dyDescent="0.2">
      <c r="A50" s="5">
        <v>59</v>
      </c>
      <c r="B50" s="1">
        <f t="shared" si="13"/>
        <v>2.555682416076114</v>
      </c>
      <c r="C50" s="5">
        <f t="shared" si="14"/>
        <v>62096.436521141251</v>
      </c>
      <c r="D50" s="5">
        <f t="shared" si="15"/>
        <v>59446.139639436195</v>
      </c>
      <c r="E50" s="5">
        <f t="shared" si="1"/>
        <v>49946.139639436195</v>
      </c>
      <c r="F50" s="5">
        <f t="shared" si="2"/>
        <v>18153.778556219535</v>
      </c>
      <c r="G50" s="5">
        <f t="shared" si="3"/>
        <v>41292.36108321666</v>
      </c>
      <c r="H50" s="22">
        <f t="shared" si="16"/>
        <v>28110.86240023037</v>
      </c>
      <c r="I50" s="5">
        <f t="shared" si="17"/>
        <v>67800.904326633899</v>
      </c>
      <c r="J50" s="26">
        <f t="shared" si="5"/>
        <v>0.20295633400441834</v>
      </c>
      <c r="L50" s="22">
        <f t="shared" si="18"/>
        <v>80345.514599559508</v>
      </c>
      <c r="M50" s="5">
        <f>scrimecost*Meta!O47</f>
        <v>868.02</v>
      </c>
      <c r="N50" s="5">
        <f>L50-Grade14!L50</f>
        <v>833.90229719318449</v>
      </c>
      <c r="O50" s="5">
        <f>Grade14!M50-M50</f>
        <v>6.8999999999999773</v>
      </c>
      <c r="P50" s="22">
        <f t="shared" si="12"/>
        <v>68.581893290475264</v>
      </c>
      <c r="Q50" s="22"/>
      <c r="R50" s="22"/>
      <c r="S50" s="22">
        <f t="shared" si="19"/>
        <v>389.90862551016068</v>
      </c>
      <c r="T50" s="22">
        <f t="shared" si="20"/>
        <v>1517.7999083848492</v>
      </c>
    </row>
    <row r="51" spans="1:20" x14ac:dyDescent="0.2">
      <c r="A51" s="5">
        <v>60</v>
      </c>
      <c r="B51" s="1">
        <f t="shared" si="13"/>
        <v>2.6195744764780171</v>
      </c>
      <c r="C51" s="5">
        <f t="shared" si="14"/>
        <v>63648.847434169787</v>
      </c>
      <c r="D51" s="5">
        <f t="shared" si="15"/>
        <v>60910.063130422102</v>
      </c>
      <c r="E51" s="5">
        <f t="shared" si="1"/>
        <v>51410.063130422102</v>
      </c>
      <c r="F51" s="5">
        <f t="shared" si="2"/>
        <v>18778.141925125026</v>
      </c>
      <c r="G51" s="5">
        <f t="shared" si="3"/>
        <v>42131.921205297076</v>
      </c>
      <c r="H51" s="22">
        <f t="shared" si="16"/>
        <v>28813.633960236126</v>
      </c>
      <c r="I51" s="5">
        <f t="shared" si="17"/>
        <v>69303.178029799747</v>
      </c>
      <c r="J51" s="26">
        <f t="shared" si="5"/>
        <v>0.20516695699534515</v>
      </c>
      <c r="L51" s="22">
        <f t="shared" si="18"/>
        <v>82354.152464548504</v>
      </c>
      <c r="M51" s="5">
        <f>scrimecost*Meta!O48</f>
        <v>457.91199999999998</v>
      </c>
      <c r="N51" s="5">
        <f>L51-Grade14!L51</f>
        <v>854.74985462303448</v>
      </c>
      <c r="O51" s="5">
        <f>Grade14!M51-M51</f>
        <v>3.6399999999999864</v>
      </c>
      <c r="P51" s="22">
        <f t="shared" si="12"/>
        <v>70.351052571246427</v>
      </c>
      <c r="Q51" s="22"/>
      <c r="R51" s="22"/>
      <c r="S51" s="22">
        <f t="shared" si="19"/>
        <v>397.58231788430777</v>
      </c>
      <c r="T51" s="22">
        <f t="shared" si="20"/>
        <v>1602.5566819289547</v>
      </c>
    </row>
    <row r="52" spans="1:20" x14ac:dyDescent="0.2">
      <c r="A52" s="5">
        <v>61</v>
      </c>
      <c r="B52" s="1">
        <f t="shared" si="13"/>
        <v>2.6850638383899672</v>
      </c>
      <c r="C52" s="5">
        <f t="shared" si="14"/>
        <v>65240.068620024016</v>
      </c>
      <c r="D52" s="5">
        <f t="shared" si="15"/>
        <v>62410.58470868264</v>
      </c>
      <c r="E52" s="5">
        <f t="shared" si="1"/>
        <v>52910.58470868264</v>
      </c>
      <c r="F52" s="5">
        <f t="shared" si="2"/>
        <v>19418.114378253147</v>
      </c>
      <c r="G52" s="5">
        <f t="shared" si="3"/>
        <v>42992.470330429496</v>
      </c>
      <c r="H52" s="22">
        <f t="shared" si="16"/>
        <v>29533.974809242027</v>
      </c>
      <c r="I52" s="5">
        <f t="shared" si="17"/>
        <v>70843.008575544722</v>
      </c>
      <c r="J52" s="26">
        <f t="shared" si="5"/>
        <v>0.20732366235234681</v>
      </c>
      <c r="L52" s="22">
        <f t="shared" si="18"/>
        <v>84413.006276162196</v>
      </c>
      <c r="M52" s="5">
        <f>scrimecost*Meta!O49</f>
        <v>457.91199999999998</v>
      </c>
      <c r="N52" s="5">
        <f>L52-Grade14!L52</f>
        <v>876.11860098860052</v>
      </c>
      <c r="O52" s="5">
        <f>Grade14!M52-M52</f>
        <v>3.6399999999999864</v>
      </c>
      <c r="P52" s="22">
        <f t="shared" si="12"/>
        <v>72.16444083403681</v>
      </c>
      <c r="Q52" s="22"/>
      <c r="R52" s="22"/>
      <c r="S52" s="22">
        <f t="shared" si="19"/>
        <v>407.49953356779611</v>
      </c>
      <c r="T52" s="22">
        <f t="shared" si="20"/>
        <v>1700.7798912982635</v>
      </c>
    </row>
    <row r="53" spans="1:20" x14ac:dyDescent="0.2">
      <c r="A53" s="5">
        <v>62</v>
      </c>
      <c r="B53" s="1">
        <f t="shared" si="13"/>
        <v>2.7521904343497163</v>
      </c>
      <c r="C53" s="5">
        <f t="shared" si="14"/>
        <v>66871.070335524622</v>
      </c>
      <c r="D53" s="5">
        <f t="shared" si="15"/>
        <v>63948.619326399712</v>
      </c>
      <c r="E53" s="5">
        <f t="shared" si="1"/>
        <v>54448.619326399712</v>
      </c>
      <c r="F53" s="5">
        <f t="shared" si="2"/>
        <v>20074.086142709479</v>
      </c>
      <c r="G53" s="5">
        <f t="shared" si="3"/>
        <v>43874.533183690233</v>
      </c>
      <c r="H53" s="22">
        <f t="shared" si="16"/>
        <v>30272.324179473078</v>
      </c>
      <c r="I53" s="5">
        <f t="shared" si="17"/>
        <v>72421.334884933342</v>
      </c>
      <c r="J53" s="26">
        <f t="shared" si="5"/>
        <v>0.2094277651396656</v>
      </c>
      <c r="L53" s="22">
        <f t="shared" si="18"/>
        <v>86523.331433066254</v>
      </c>
      <c r="M53" s="5">
        <f>scrimecost*Meta!O50</f>
        <v>457.91199999999998</v>
      </c>
      <c r="N53" s="5">
        <f>L53-Grade14!L53</f>
        <v>898.0215660133108</v>
      </c>
      <c r="O53" s="5">
        <f>Grade14!M53-M53</f>
        <v>3.6399999999999864</v>
      </c>
      <c r="P53" s="22">
        <f t="shared" si="12"/>
        <v>74.023163803396997</v>
      </c>
      <c r="Q53" s="22"/>
      <c r="R53" s="22"/>
      <c r="S53" s="22">
        <f t="shared" si="19"/>
        <v>417.66467964337374</v>
      </c>
      <c r="T53" s="22">
        <f t="shared" si="20"/>
        <v>1805.0257635258736</v>
      </c>
    </row>
    <row r="54" spans="1:20" x14ac:dyDescent="0.2">
      <c r="A54" s="5">
        <v>63</v>
      </c>
      <c r="B54" s="1">
        <f t="shared" si="13"/>
        <v>2.8209951952084591</v>
      </c>
      <c r="C54" s="5">
        <f t="shared" si="14"/>
        <v>68542.847093912729</v>
      </c>
      <c r="D54" s="5">
        <f t="shared" si="15"/>
        <v>65525.1048095597</v>
      </c>
      <c r="E54" s="5">
        <f t="shared" si="1"/>
        <v>56025.1048095597</v>
      </c>
      <c r="F54" s="5">
        <f t="shared" si="2"/>
        <v>20746.457201277211</v>
      </c>
      <c r="G54" s="5">
        <f t="shared" si="3"/>
        <v>44778.647608282488</v>
      </c>
      <c r="H54" s="22">
        <f t="shared" si="16"/>
        <v>31029.132283959902</v>
      </c>
      <c r="I54" s="5">
        <f t="shared" si="17"/>
        <v>74039.119352056674</v>
      </c>
      <c r="J54" s="26">
        <f t="shared" si="5"/>
        <v>0.2114805483468058</v>
      </c>
      <c r="L54" s="22">
        <f t="shared" si="18"/>
        <v>88686.414718892906</v>
      </c>
      <c r="M54" s="5">
        <f>scrimecost*Meta!O51</f>
        <v>457.91199999999998</v>
      </c>
      <c r="N54" s="5">
        <f>L54-Grade14!L54</f>
        <v>920.4721051636443</v>
      </c>
      <c r="O54" s="5">
        <f>Grade14!M54-M54</f>
        <v>3.6399999999999864</v>
      </c>
      <c r="P54" s="22">
        <f t="shared" si="12"/>
        <v>75.928354846991169</v>
      </c>
      <c r="Q54" s="22"/>
      <c r="R54" s="22"/>
      <c r="S54" s="22">
        <f t="shared" si="19"/>
        <v>428.08395437084306</v>
      </c>
      <c r="T54" s="22">
        <f t="shared" si="20"/>
        <v>1915.6636702259432</v>
      </c>
    </row>
    <row r="55" spans="1:20" x14ac:dyDescent="0.2">
      <c r="A55" s="5">
        <v>64</v>
      </c>
      <c r="B55" s="1">
        <f t="shared" si="13"/>
        <v>2.8915200750886707</v>
      </c>
      <c r="C55" s="5">
        <f t="shared" si="14"/>
        <v>70256.418271260554</v>
      </c>
      <c r="D55" s="5">
        <f t="shared" si="15"/>
        <v>67141.002429798697</v>
      </c>
      <c r="E55" s="5">
        <f t="shared" si="1"/>
        <v>57641.002429798697</v>
      </c>
      <c r="F55" s="5">
        <f t="shared" si="2"/>
        <v>21435.637536309143</v>
      </c>
      <c r="G55" s="5">
        <f t="shared" si="3"/>
        <v>45705.364893489554</v>
      </c>
      <c r="H55" s="22">
        <f t="shared" si="16"/>
        <v>31804.860591058899</v>
      </c>
      <c r="I55" s="5">
        <f t="shared" si="17"/>
        <v>75697.348430858096</v>
      </c>
      <c r="J55" s="26">
        <f t="shared" si="5"/>
        <v>0.21348326367084508</v>
      </c>
      <c r="L55" s="22">
        <f t="shared" si="18"/>
        <v>90903.575086865225</v>
      </c>
      <c r="M55" s="5">
        <f>scrimecost*Meta!O52</f>
        <v>457.91199999999998</v>
      </c>
      <c r="N55" s="5">
        <f>L55-Grade14!L55</f>
        <v>943.48390779274632</v>
      </c>
      <c r="O55" s="5">
        <f>Grade14!M55-M55</f>
        <v>3.6399999999999864</v>
      </c>
      <c r="P55" s="22">
        <f t="shared" si="12"/>
        <v>77.881175666675205</v>
      </c>
      <c r="Q55" s="22"/>
      <c r="R55" s="22"/>
      <c r="S55" s="22">
        <f t="shared" si="19"/>
        <v>438.76371096650331</v>
      </c>
      <c r="T55" s="22">
        <f t="shared" si="20"/>
        <v>2033.0856397116108</v>
      </c>
    </row>
    <row r="56" spans="1:20" x14ac:dyDescent="0.2">
      <c r="A56" s="5">
        <v>65</v>
      </c>
      <c r="B56" s="1">
        <f t="shared" si="13"/>
        <v>2.9638080769658868</v>
      </c>
      <c r="C56" s="5">
        <f t="shared" si="14"/>
        <v>72012.828728042048</v>
      </c>
      <c r="D56" s="5">
        <f t="shared" si="15"/>
        <v>68797.297490543642</v>
      </c>
      <c r="E56" s="5">
        <f t="shared" si="1"/>
        <v>59297.297490543642</v>
      </c>
      <c r="F56" s="5">
        <f t="shared" si="2"/>
        <v>22142.047379716863</v>
      </c>
      <c r="G56" s="5">
        <f t="shared" si="3"/>
        <v>46655.250110826775</v>
      </c>
      <c r="H56" s="22">
        <f t="shared" si="16"/>
        <v>32599.982105835366</v>
      </c>
      <c r="I56" s="5">
        <f t="shared" si="17"/>
        <v>77397.033236629519</v>
      </c>
      <c r="J56" s="26">
        <f t="shared" si="5"/>
        <v>0.2154371322796638</v>
      </c>
      <c r="L56" s="22">
        <f t="shared" si="18"/>
        <v>93176.164464036832</v>
      </c>
      <c r="M56" s="5">
        <f>scrimecost*Meta!O53</f>
        <v>138.38</v>
      </c>
      <c r="N56" s="5">
        <f>L56-Grade14!L56</f>
        <v>967.07100548753806</v>
      </c>
      <c r="O56" s="5">
        <f>Grade14!M56-M56</f>
        <v>1.0999999999999943</v>
      </c>
      <c r="P56" s="22">
        <f t="shared" si="12"/>
        <v>79.882817006851297</v>
      </c>
      <c r="Q56" s="22"/>
      <c r="R56" s="22"/>
      <c r="S56" s="22">
        <f t="shared" si="19"/>
        <v>448.15090147703944</v>
      </c>
      <c r="T56" s="22">
        <f t="shared" si="20"/>
        <v>2150.22498851824</v>
      </c>
    </row>
    <row r="57" spans="1:20" x14ac:dyDescent="0.2">
      <c r="A57" s="5">
        <v>66</v>
      </c>
      <c r="C57" s="5"/>
      <c r="H57" s="21"/>
      <c r="I57" s="5"/>
      <c r="M57" s="5">
        <f>scrimecost*Meta!O54</f>
        <v>138.38</v>
      </c>
      <c r="N57" s="5">
        <f>L57-Grade14!L57</f>
        <v>0</v>
      </c>
      <c r="O57" s="5">
        <f>Grade14!M57-M57</f>
        <v>1.0999999999999943</v>
      </c>
      <c r="Q57" s="22"/>
      <c r="R57" s="22"/>
      <c r="S57" s="22">
        <f t="shared" si="19"/>
        <v>0.67539999999999645</v>
      </c>
      <c r="T57" s="22">
        <f t="shared" si="20"/>
        <v>3.3554853345000448</v>
      </c>
    </row>
    <row r="58" spans="1:20" x14ac:dyDescent="0.2">
      <c r="A58" s="5">
        <v>67</v>
      </c>
      <c r="C58" s="5"/>
      <c r="H58" s="21"/>
      <c r="I58" s="5"/>
      <c r="M58" s="5">
        <f>scrimecost*Meta!O55</f>
        <v>138.38</v>
      </c>
      <c r="N58" s="5">
        <f>L58-Grade14!L58</f>
        <v>0</v>
      </c>
      <c r="O58" s="5">
        <f>Grade14!M58-M58</f>
        <v>1.0999999999999943</v>
      </c>
      <c r="Q58" s="22"/>
      <c r="R58" s="22"/>
      <c r="S58" s="22">
        <f t="shared" si="19"/>
        <v>0.67539999999999645</v>
      </c>
      <c r="T58" s="22">
        <f t="shared" si="20"/>
        <v>3.4744814989784101</v>
      </c>
    </row>
    <row r="59" spans="1:20" x14ac:dyDescent="0.2">
      <c r="A59" s="5">
        <v>68</v>
      </c>
      <c r="H59" s="21"/>
      <c r="I59" s="5"/>
      <c r="M59" s="5">
        <f>scrimecost*Meta!O56</f>
        <v>138.38</v>
      </c>
      <c r="N59" s="5">
        <f>L59-Grade14!L59</f>
        <v>0</v>
      </c>
      <c r="O59" s="5">
        <f>Grade14!M59-M59</f>
        <v>1.0999999999999943</v>
      </c>
      <c r="Q59" s="22"/>
      <c r="R59" s="22"/>
      <c r="S59" s="22">
        <f t="shared" si="19"/>
        <v>0.67539999999999645</v>
      </c>
      <c r="T59" s="22">
        <f t="shared" si="20"/>
        <v>3.5976976452921816</v>
      </c>
    </row>
    <row r="60" spans="1:20" x14ac:dyDescent="0.2">
      <c r="A60" s="5">
        <v>69</v>
      </c>
      <c r="H60" s="21"/>
      <c r="I60" s="5"/>
      <c r="M60" s="5">
        <f>scrimecost*Meta!O57</f>
        <v>138.38</v>
      </c>
      <c r="N60" s="5">
        <f>L60-Grade14!L60</f>
        <v>0</v>
      </c>
      <c r="O60" s="5">
        <f>Grade14!M60-M60</f>
        <v>1.0999999999999943</v>
      </c>
      <c r="Q60" s="22"/>
      <c r="R60" s="22"/>
      <c r="S60" s="22">
        <f t="shared" si="19"/>
        <v>0.67539999999999645</v>
      </c>
      <c r="T60" s="22">
        <f t="shared" si="20"/>
        <v>3.725283427396755</v>
      </c>
    </row>
    <row r="61" spans="1:20" x14ac:dyDescent="0.2">
      <c r="A61" s="5">
        <v>70</v>
      </c>
      <c r="H61" s="21"/>
      <c r="I61" s="5"/>
      <c r="M61" s="5">
        <f>scrimecost*Meta!O58</f>
        <v>138.38</v>
      </c>
      <c r="N61" s="5">
        <f>L61-Grade14!L61</f>
        <v>0</v>
      </c>
      <c r="O61" s="5">
        <f>Grade14!M61-M61</f>
        <v>1.0999999999999943</v>
      </c>
      <c r="Q61" s="22"/>
      <c r="R61" s="22"/>
      <c r="S61" s="22">
        <f t="shared" si="19"/>
        <v>0.67539999999999645</v>
      </c>
      <c r="T61" s="22">
        <f t="shared" si="20"/>
        <v>3.8573938064519755</v>
      </c>
    </row>
    <row r="62" spans="1:20" x14ac:dyDescent="0.2">
      <c r="A62" s="5">
        <v>71</v>
      </c>
      <c r="H62" s="21"/>
      <c r="I62" s="5"/>
      <c r="M62" s="5">
        <f>scrimecost*Meta!O59</f>
        <v>138.38</v>
      </c>
      <c r="N62" s="5">
        <f>L62-Grade14!L62</f>
        <v>0</v>
      </c>
      <c r="O62" s="5">
        <f>Grade14!M62-M62</f>
        <v>1.0999999999999943</v>
      </c>
      <c r="Q62" s="22"/>
      <c r="R62" s="22"/>
      <c r="S62" s="22">
        <f t="shared" si="19"/>
        <v>0.67539999999999645</v>
      </c>
      <c r="T62" s="22">
        <f t="shared" si="20"/>
        <v>3.9941892390324538</v>
      </c>
    </row>
    <row r="63" spans="1:20" x14ac:dyDescent="0.2">
      <c r="A63" s="5">
        <v>72</v>
      </c>
      <c r="H63" s="21"/>
      <c r="M63" s="5">
        <f>scrimecost*Meta!O60</f>
        <v>138.38</v>
      </c>
      <c r="N63" s="5">
        <f>L63-Grade14!L63</f>
        <v>0</v>
      </c>
      <c r="O63" s="5">
        <f>Grade14!M63-M63</f>
        <v>1.0999999999999943</v>
      </c>
      <c r="Q63" s="22"/>
      <c r="R63" s="22"/>
      <c r="S63" s="22">
        <f t="shared" si="19"/>
        <v>0.67539999999999645</v>
      </c>
      <c r="T63" s="22">
        <f t="shared" si="20"/>
        <v>4.1358358720124304</v>
      </c>
    </row>
    <row r="64" spans="1:20" x14ac:dyDescent="0.2">
      <c r="A64" s="5">
        <v>73</v>
      </c>
      <c r="H64" s="21"/>
      <c r="M64" s="5">
        <f>scrimecost*Meta!O61</f>
        <v>138.38</v>
      </c>
      <c r="N64" s="5">
        <f>L64-Grade14!L64</f>
        <v>0</v>
      </c>
      <c r="O64" s="5">
        <f>Grade14!M64-M64</f>
        <v>1.0999999999999943</v>
      </c>
      <c r="Q64" s="22"/>
      <c r="R64" s="22"/>
      <c r="S64" s="22">
        <f t="shared" si="19"/>
        <v>0.67539999999999645</v>
      </c>
      <c r="T64" s="22">
        <f t="shared" si="20"/>
        <v>4.2825057443618624</v>
      </c>
    </row>
    <row r="65" spans="1:20" x14ac:dyDescent="0.2">
      <c r="A65" s="5">
        <v>74</v>
      </c>
      <c r="H65" s="21"/>
      <c r="M65" s="5">
        <f>scrimecost*Meta!O62</f>
        <v>138.38</v>
      </c>
      <c r="N65" s="5">
        <f>L65-Grade14!L65</f>
        <v>0</v>
      </c>
      <c r="O65" s="5">
        <f>Grade14!M65-M65</f>
        <v>1.0999999999999943</v>
      </c>
      <c r="Q65" s="22"/>
      <c r="R65" s="22"/>
      <c r="S65" s="22">
        <f t="shared" si="19"/>
        <v>0.67539999999999645</v>
      </c>
      <c r="T65" s="22">
        <f t="shared" si="20"/>
        <v>4.4343769960988508</v>
      </c>
    </row>
    <row r="66" spans="1:20" x14ac:dyDescent="0.2">
      <c r="A66" s="5">
        <v>75</v>
      </c>
      <c r="H66" s="21"/>
      <c r="M66" s="5">
        <f>scrimecost*Meta!O63</f>
        <v>138.38</v>
      </c>
      <c r="N66" s="5">
        <f>L66-Grade14!L66</f>
        <v>0</v>
      </c>
      <c r="O66" s="5">
        <f>Grade14!M66-M66</f>
        <v>1.0999999999999943</v>
      </c>
      <c r="Q66" s="22"/>
      <c r="R66" s="22"/>
      <c r="S66" s="22">
        <f t="shared" si="19"/>
        <v>0.67539999999999645</v>
      </c>
      <c r="T66" s="22">
        <f t="shared" si="20"/>
        <v>4.5916340846521759</v>
      </c>
    </row>
    <row r="67" spans="1:20" x14ac:dyDescent="0.2">
      <c r="A67" s="5">
        <v>76</v>
      </c>
      <c r="H67" s="21"/>
      <c r="M67" s="5">
        <f>scrimecost*Meta!O64</f>
        <v>138.38</v>
      </c>
      <c r="N67" s="5">
        <f>L67-Grade14!L67</f>
        <v>0</v>
      </c>
      <c r="O67" s="5">
        <f>Grade14!M67-M67</f>
        <v>1.0999999999999943</v>
      </c>
      <c r="Q67" s="22"/>
      <c r="R67" s="22"/>
      <c r="S67" s="22">
        <f t="shared" si="19"/>
        <v>0.67539999999999645</v>
      </c>
      <c r="T67" s="22">
        <f t="shared" si="20"/>
        <v>4.754468008896743</v>
      </c>
    </row>
    <row r="68" spans="1:20" x14ac:dyDescent="0.2">
      <c r="A68" s="5">
        <v>77</v>
      </c>
      <c r="H68" s="21"/>
      <c r="M68" s="5">
        <f>scrimecost*Meta!O65</f>
        <v>138.38</v>
      </c>
      <c r="N68" s="5">
        <f>L68-Grade14!L68</f>
        <v>0</v>
      </c>
      <c r="O68" s="5">
        <f>Grade14!M68-M68</f>
        <v>1.0999999999999943</v>
      </c>
      <c r="Q68" s="22"/>
      <c r="R68" s="22"/>
      <c r="S68" s="22">
        <f t="shared" si="19"/>
        <v>0.67539999999999645</v>
      </c>
      <c r="T68" s="22">
        <f t="shared" si="20"/>
        <v>4.9230765411340327</v>
      </c>
    </row>
    <row r="69" spans="1:20" x14ac:dyDescent="0.2">
      <c r="A69" s="5">
        <v>78</v>
      </c>
      <c r="H69" s="21"/>
      <c r="M69" s="5">
        <f>scrimecost*Meta!O66</f>
        <v>138.38</v>
      </c>
      <c r="N69" s="5">
        <f>L69-Grade14!L69</f>
        <v>0</v>
      </c>
      <c r="O69" s="5">
        <f>Grade14!M69-M69</f>
        <v>1.0999999999999943</v>
      </c>
      <c r="Q69" s="22"/>
      <c r="R69" s="22"/>
      <c r="S69" s="22">
        <f t="shared" si="19"/>
        <v>0.67539999999999645</v>
      </c>
      <c r="T69" s="22">
        <f t="shared" si="20"/>
        <v>5.0976644672993112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1.1179249526094281E-8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12" sqref="S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Meta!A10+6</f>
        <v>22</v>
      </c>
      <c r="C2" s="7">
        <f>Meta!B10</f>
        <v>55770</v>
      </c>
      <c r="D2" s="7">
        <f>Meta!C10</f>
        <v>24509</v>
      </c>
      <c r="E2" s="1">
        <f>Meta!D10</f>
        <v>4.7E-2</v>
      </c>
      <c r="F2" s="1">
        <f>Meta!F10</f>
        <v>0.72499999999999998</v>
      </c>
      <c r="G2" s="1">
        <f>Meta!I10</f>
        <v>1.7852800699689915</v>
      </c>
      <c r="H2" s="1">
        <f>Meta!E10</f>
        <v>0.61399999999999999</v>
      </c>
      <c r="I2" s="13"/>
      <c r="J2" s="1">
        <f>Meta!X9</f>
        <v>0.67100000000000004</v>
      </c>
      <c r="K2" s="1">
        <f>Meta!D9</f>
        <v>5.7000000000000002E-2</v>
      </c>
      <c r="L2" s="29"/>
      <c r="N2" s="22">
        <f>Meta!T10</f>
        <v>42468</v>
      </c>
      <c r="O2" s="22">
        <f>Meta!U10</f>
        <v>19306</v>
      </c>
      <c r="P2" s="1">
        <f>Meta!V10</f>
        <v>5.8999999999999997E-2</v>
      </c>
      <c r="Q2" s="1">
        <f>Meta!X10</f>
        <v>0.67400000000000004</v>
      </c>
      <c r="R2" s="22">
        <f>Meta!W10</f>
        <v>2497</v>
      </c>
      <c r="T2" s="12">
        <f>IRR(S5:S69)+1</f>
        <v>0.96415010051500605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B12" s="1">
        <v>1</v>
      </c>
      <c r="C12" s="5">
        <f>0.1*Grade15!C12</f>
        <v>2429.7399446243194</v>
      </c>
      <c r="D12" s="5">
        <f t="shared" ref="D12:D36" si="0">IF(A12&lt;startage,1,0)*(C12*(1-initialunempprob))+IF(A12=startage,1,0)*(C12*(1-unempprob))+IF(A12&gt;startage,1,0)*(C12*(1-unempprob)+unempprob*300*52)</f>
        <v>2291.2447677807331</v>
      </c>
      <c r="E12" s="5">
        <f t="shared" ref="E12:E56" si="1">IF(D12-9500&gt;0,1,0)*(D12-9500)</f>
        <v>0</v>
      </c>
      <c r="F12" s="5">
        <f t="shared" ref="F12:F56" si="2">IF(E12&lt;=8500,1,0)*(0.1*E12+0.1*E12+0.0765*D12)+IF(AND(E12&gt;8500,E12&lt;=34500),1,0)*(850+0.15*(E12-8500)+0.1*E12+0.0765*D12)+IF(AND(E12&gt;34500,E12&lt;=83600),1,0)*(4750+0.25*(E12-34500)+0.1*E12+0.0765*D12)+IF(AND(E12&gt;83600,E12&lt;=174400,D12&lt;=106800),1,0)*(17025+0.28*(E12-83600)+0.1*E12+0.0765*D12)+IF(AND(E12&gt;83600,E12&lt;=174400,D12&gt;106800),1,0)*(17025+0.28*(E12-83600)+0.1*E12+8170.2+0.0145*(D12-106800))+IF(AND(E12&gt;174400,E12&lt;=379150),1,0)*(42449+0.33*(E12-174400)+0.1*E12+8170.2+0.0145*(D12-106800))+IF(E12&gt;379150,1,0)*(110016.5+0.35*(E12-379150)+0.1*E12+8170.2+0.0145*(D12-106800))</f>
        <v>175.28022473522608</v>
      </c>
      <c r="G12" s="5">
        <f t="shared" ref="G12:G56" si="3">D12-F12</f>
        <v>2115.9645430455071</v>
      </c>
      <c r="H12" s="22">
        <f>0.1*Grade15!H12</f>
        <v>1099.9356658481295</v>
      </c>
      <c r="I12" s="5">
        <f t="shared" ref="I12:I36" si="4">G12+IF(A12&lt;startage,1,0)*(H12*(1-initialunempprob))+IF(A12&gt;=startage,1,0)*(H12*(1-unempprob))</f>
        <v>3153.2038759402931</v>
      </c>
      <c r="J12" s="26">
        <f t="shared" ref="J12:J56" si="5">(F12-(IF(A12&gt;startage,1,0)*(unempprob*300*52)))/(IF(A12&lt;startage,1,0)*((C12+H12)*(1-initialunempprob))+IF(A12&gt;=startage,1,0)*((C12+H12)*(1-unempprob)))</f>
        <v>5.2660676582367567E-2</v>
      </c>
      <c r="L12" s="22">
        <f>0.1*Grade15!L12</f>
        <v>3143.7988575637887</v>
      </c>
      <c r="M12" s="5">
        <f>scrimecost*Meta!O9</f>
        <v>7650.808</v>
      </c>
      <c r="N12" s="5">
        <f>L12-Grade15!L12</f>
        <v>-28294.189718074096</v>
      </c>
      <c r="O12" s="5"/>
      <c r="P12" s="22"/>
      <c r="Q12" s="22">
        <f>0.05*feel*Grade15!G12</f>
        <v>255.24146915404538</v>
      </c>
      <c r="R12" s="22">
        <f>coltuition</f>
        <v>8279</v>
      </c>
      <c r="S12" s="22">
        <f t="shared" ref="S12:S43" si="6">IF(A12&lt;startage,1,0)*(N12-Q12-R12)+IF(A12&gt;=startage,1,0)*completionprob*(N12*spart+O12+P12)</f>
        <v>-36828.43118722814</v>
      </c>
      <c r="T12" s="22">
        <f t="shared" ref="T12:T43" si="7">S12/sreturn^(A12-startage+1)</f>
        <v>-36828.43118722814</v>
      </c>
    </row>
    <row r="13" spans="1:20" x14ac:dyDescent="0.2">
      <c r="A13" s="5">
        <v>22</v>
      </c>
      <c r="B13" s="1">
        <f t="shared" ref="B13:B36" si="8">(1+experiencepremium)^(A13-startage)</f>
        <v>1</v>
      </c>
      <c r="C13" s="5">
        <f t="shared" ref="C13:C36" si="9">pretaxincome*B13/expnorm</f>
        <v>31238.796051181296</v>
      </c>
      <c r="D13" s="5">
        <f t="shared" si="0"/>
        <v>29770.572636775774</v>
      </c>
      <c r="E13" s="5">
        <f t="shared" si="1"/>
        <v>20270.572636775774</v>
      </c>
      <c r="F13" s="5">
        <f t="shared" si="2"/>
        <v>6920.0919659072897</v>
      </c>
      <c r="G13" s="5">
        <f t="shared" si="3"/>
        <v>22850.480670868485</v>
      </c>
      <c r="H13" s="22">
        <f t="shared" ref="H13:H36" si="10">benefits*B13/expnorm</f>
        <v>13728.378203665095</v>
      </c>
      <c r="I13" s="5">
        <f t="shared" si="4"/>
        <v>35933.625098961318</v>
      </c>
      <c r="J13" s="26">
        <f t="shared" si="5"/>
        <v>0.16148172060389054</v>
      </c>
      <c r="L13" s="22">
        <f t="shared" ref="L13:L36" si="11">(sincome+sbenefits)*(1-sunemp)*B13/expnorm</f>
        <v>32560.344439967703</v>
      </c>
      <c r="M13" s="5">
        <f>scrimecost*Meta!O10</f>
        <v>7011.576</v>
      </c>
      <c r="N13" s="5">
        <f>L13-Grade15!L13</f>
        <v>336.40614993887357</v>
      </c>
      <c r="O13" s="5">
        <f>Grade15!M13-M13</f>
        <v>53.351999999999862</v>
      </c>
      <c r="P13" s="22">
        <f t="shared" ref="P13:P56" si="12">(spart-initialspart)*(L13*J13+nptrans)</f>
        <v>35.435701330863949</v>
      </c>
      <c r="Q13" s="22"/>
      <c r="R13" s="22"/>
      <c r="S13" s="22">
        <f t="shared" si="6"/>
        <v>193.73262408325405</v>
      </c>
      <c r="T13" s="22">
        <f t="shared" si="7"/>
        <v>200.93616541632957</v>
      </c>
    </row>
    <row r="14" spans="1:20" x14ac:dyDescent="0.2">
      <c r="A14" s="5">
        <v>23</v>
      </c>
      <c r="B14" s="1">
        <f t="shared" si="8"/>
        <v>1.0249999999999999</v>
      </c>
      <c r="C14" s="5">
        <f t="shared" si="9"/>
        <v>32019.765952460824</v>
      </c>
      <c r="D14" s="5">
        <f t="shared" si="0"/>
        <v>31248.036952695165</v>
      </c>
      <c r="E14" s="5">
        <f t="shared" si="1"/>
        <v>21748.036952695165</v>
      </c>
      <c r="F14" s="5">
        <f t="shared" si="2"/>
        <v>7402.4840650549713</v>
      </c>
      <c r="G14" s="5">
        <f t="shared" si="3"/>
        <v>23845.552887640195</v>
      </c>
      <c r="H14" s="22">
        <f t="shared" si="10"/>
        <v>14071.587658756722</v>
      </c>
      <c r="I14" s="5">
        <f t="shared" si="4"/>
        <v>37255.775926435352</v>
      </c>
      <c r="J14" s="26">
        <f t="shared" si="5"/>
        <v>0.15183323748099659</v>
      </c>
      <c r="L14" s="22">
        <f t="shared" si="11"/>
        <v>33374.353050966893</v>
      </c>
      <c r="M14" s="5">
        <f>scrimecost*Meta!O11</f>
        <v>6552.1280000000006</v>
      </c>
      <c r="N14" s="5">
        <f>L14-Grade15!L14</f>
        <v>344.81630368734477</v>
      </c>
      <c r="O14" s="5">
        <f>Grade15!M14-M14</f>
        <v>49.855999999999767</v>
      </c>
      <c r="P14" s="22">
        <f t="shared" si="12"/>
        <v>34.864008217686269</v>
      </c>
      <c r="Q14" s="22"/>
      <c r="R14" s="22"/>
      <c r="S14" s="22">
        <f t="shared" si="6"/>
        <v>194.71548489841527</v>
      </c>
      <c r="T14" s="22">
        <f t="shared" si="7"/>
        <v>209.46486625037366</v>
      </c>
    </row>
    <row r="15" spans="1:20" x14ac:dyDescent="0.2">
      <c r="A15" s="5">
        <v>24</v>
      </c>
      <c r="B15" s="1">
        <f t="shared" si="8"/>
        <v>1.0506249999999999</v>
      </c>
      <c r="C15" s="5">
        <f t="shared" si="9"/>
        <v>32820.260101272346</v>
      </c>
      <c r="D15" s="5">
        <f t="shared" si="0"/>
        <v>32010.907876512545</v>
      </c>
      <c r="E15" s="5">
        <f t="shared" si="1"/>
        <v>22510.907876512545</v>
      </c>
      <c r="F15" s="5">
        <f t="shared" si="2"/>
        <v>7651.5614216813465</v>
      </c>
      <c r="G15" s="5">
        <f t="shared" si="3"/>
        <v>24359.346454831197</v>
      </c>
      <c r="H15" s="22">
        <f t="shared" si="10"/>
        <v>14423.377350225641</v>
      </c>
      <c r="I15" s="5">
        <f t="shared" si="4"/>
        <v>38104.825069596234</v>
      </c>
      <c r="J15" s="26">
        <f t="shared" si="5"/>
        <v>0.15366218965913603</v>
      </c>
      <c r="L15" s="22">
        <f t="shared" si="11"/>
        <v>34208.711877241069</v>
      </c>
      <c r="M15" s="5">
        <f>scrimecost*Meta!O12</f>
        <v>6259.9790000000003</v>
      </c>
      <c r="N15" s="5">
        <f>L15-Grade15!L15</f>
        <v>353.43671127952985</v>
      </c>
      <c r="O15" s="5">
        <f>Grade15!M15-M15</f>
        <v>47.632999999999811</v>
      </c>
      <c r="P15" s="22">
        <f t="shared" si="12"/>
        <v>35.431756717426104</v>
      </c>
      <c r="Q15" s="22"/>
      <c r="R15" s="22"/>
      <c r="S15" s="22">
        <f t="shared" si="6"/>
        <v>197.26659547357502</v>
      </c>
      <c r="T15" s="22">
        <f t="shared" si="7"/>
        <v>220.09977408067346</v>
      </c>
    </row>
    <row r="16" spans="1:20" x14ac:dyDescent="0.2">
      <c r="A16" s="5">
        <v>25</v>
      </c>
      <c r="B16" s="1">
        <f t="shared" si="8"/>
        <v>1.0768906249999999</v>
      </c>
      <c r="C16" s="5">
        <f t="shared" si="9"/>
        <v>33640.766603804157</v>
      </c>
      <c r="D16" s="5">
        <f t="shared" si="0"/>
        <v>32792.850573425356</v>
      </c>
      <c r="E16" s="5">
        <f t="shared" si="1"/>
        <v>23292.850573425356</v>
      </c>
      <c r="F16" s="5">
        <f t="shared" si="2"/>
        <v>7906.8657122233781</v>
      </c>
      <c r="G16" s="5">
        <f t="shared" si="3"/>
        <v>24885.984861201978</v>
      </c>
      <c r="H16" s="22">
        <f t="shared" si="10"/>
        <v>14783.961783981282</v>
      </c>
      <c r="I16" s="5">
        <f t="shared" si="4"/>
        <v>38975.100441336137</v>
      </c>
      <c r="J16" s="26">
        <f t="shared" si="5"/>
        <v>0.15544653324756469</v>
      </c>
      <c r="L16" s="22">
        <f t="shared" si="11"/>
        <v>35063.92967417209</v>
      </c>
      <c r="M16" s="5">
        <f>scrimecost*Meta!O13</f>
        <v>5256.1850000000004</v>
      </c>
      <c r="N16" s="5">
        <f>L16-Grade15!L16</f>
        <v>362.27262906151736</v>
      </c>
      <c r="O16" s="5">
        <f>Grade15!M16-M16</f>
        <v>39.994999999999891</v>
      </c>
      <c r="P16" s="22">
        <f t="shared" si="12"/>
        <v>36.013698929659412</v>
      </c>
      <c r="Q16" s="22"/>
      <c r="R16" s="22"/>
      <c r="S16" s="22">
        <f t="shared" si="6"/>
        <v>196.59079686311293</v>
      </c>
      <c r="T16" s="22">
        <f t="shared" si="7"/>
        <v>227.50166507929148</v>
      </c>
    </row>
    <row r="17" spans="1:20" x14ac:dyDescent="0.2">
      <c r="A17" s="5">
        <v>26</v>
      </c>
      <c r="B17" s="1">
        <f t="shared" si="8"/>
        <v>1.1038128906249998</v>
      </c>
      <c r="C17" s="5">
        <f t="shared" si="9"/>
        <v>34481.785768899259</v>
      </c>
      <c r="D17" s="5">
        <f t="shared" si="0"/>
        <v>33594.341837760992</v>
      </c>
      <c r="E17" s="5">
        <f t="shared" si="1"/>
        <v>24094.341837760992</v>
      </c>
      <c r="F17" s="5">
        <f t="shared" si="2"/>
        <v>8168.5526100289644</v>
      </c>
      <c r="G17" s="5">
        <f t="shared" si="3"/>
        <v>25425.789227732028</v>
      </c>
      <c r="H17" s="22">
        <f t="shared" si="10"/>
        <v>15153.56082858081</v>
      </c>
      <c r="I17" s="5">
        <f t="shared" si="4"/>
        <v>39867.13269736954</v>
      </c>
      <c r="J17" s="26">
        <f t="shared" si="5"/>
        <v>0.15718735626066593</v>
      </c>
      <c r="L17" s="22">
        <f t="shared" si="11"/>
        <v>35940.527916026389</v>
      </c>
      <c r="M17" s="5">
        <f>scrimecost*Meta!O14</f>
        <v>5256.1850000000004</v>
      </c>
      <c r="N17" s="5">
        <f>L17-Grade15!L17</f>
        <v>371.32944478805439</v>
      </c>
      <c r="O17" s="5">
        <f>Grade15!M17-M17</f>
        <v>39.994999999999891</v>
      </c>
      <c r="P17" s="22">
        <f t="shared" si="12"/>
        <v>36.610189697198578</v>
      </c>
      <c r="Q17" s="22"/>
      <c r="R17" s="22"/>
      <c r="S17" s="22">
        <f t="shared" si="6"/>
        <v>200.7050785873891</v>
      </c>
      <c r="T17" s="22">
        <f t="shared" si="7"/>
        <v>240.89906122737409</v>
      </c>
    </row>
    <row r="18" spans="1:20" x14ac:dyDescent="0.2">
      <c r="A18" s="5">
        <v>27</v>
      </c>
      <c r="B18" s="1">
        <f t="shared" si="8"/>
        <v>1.1314082128906247</v>
      </c>
      <c r="C18" s="5">
        <f t="shared" si="9"/>
        <v>35343.83041312173</v>
      </c>
      <c r="D18" s="5">
        <f t="shared" si="0"/>
        <v>34415.870383705005</v>
      </c>
      <c r="E18" s="5">
        <f t="shared" si="1"/>
        <v>24915.870383705005</v>
      </c>
      <c r="F18" s="5">
        <f t="shared" si="2"/>
        <v>8436.7816802796842</v>
      </c>
      <c r="G18" s="5">
        <f t="shared" si="3"/>
        <v>25979.088703425321</v>
      </c>
      <c r="H18" s="22">
        <f t="shared" si="10"/>
        <v>15532.399849295331</v>
      </c>
      <c r="I18" s="5">
        <f t="shared" si="4"/>
        <v>40781.465759803774</v>
      </c>
      <c r="J18" s="26">
        <f t="shared" si="5"/>
        <v>0.15888572017588654</v>
      </c>
      <c r="L18" s="22">
        <f t="shared" si="11"/>
        <v>36839.041113927044</v>
      </c>
      <c r="M18" s="5">
        <f>scrimecost*Meta!O15</f>
        <v>5256.1850000000004</v>
      </c>
      <c r="N18" s="5">
        <f>L18-Grade15!L18</f>
        <v>380.61268090775411</v>
      </c>
      <c r="O18" s="5">
        <f>Grade15!M18-M18</f>
        <v>39.994999999999891</v>
      </c>
      <c r="P18" s="22">
        <f t="shared" si="12"/>
        <v>37.221592733926208</v>
      </c>
      <c r="Q18" s="22"/>
      <c r="R18" s="22"/>
      <c r="S18" s="22">
        <f t="shared" si="6"/>
        <v>204.92221735477199</v>
      </c>
      <c r="T18" s="22">
        <f t="shared" si="7"/>
        <v>255.10627498527515</v>
      </c>
    </row>
    <row r="19" spans="1:20" x14ac:dyDescent="0.2">
      <c r="A19" s="5">
        <v>28</v>
      </c>
      <c r="B19" s="1">
        <f t="shared" si="8"/>
        <v>1.1596934182128902</v>
      </c>
      <c r="C19" s="5">
        <f t="shared" si="9"/>
        <v>36227.42617344977</v>
      </c>
      <c r="D19" s="5">
        <f t="shared" si="0"/>
        <v>35257.937143297626</v>
      </c>
      <c r="E19" s="5">
        <f t="shared" si="1"/>
        <v>25757.937143297626</v>
      </c>
      <c r="F19" s="5">
        <f t="shared" si="2"/>
        <v>8711.7164772866745</v>
      </c>
      <c r="G19" s="5">
        <f t="shared" si="3"/>
        <v>26546.220666010951</v>
      </c>
      <c r="H19" s="22">
        <f t="shared" si="10"/>
        <v>15920.709845527712</v>
      </c>
      <c r="I19" s="5">
        <f t="shared" si="4"/>
        <v>41718.657148798862</v>
      </c>
      <c r="J19" s="26">
        <f t="shared" si="5"/>
        <v>0.16054266058097985</v>
      </c>
      <c r="L19" s="22">
        <f t="shared" si="11"/>
        <v>37760.017141775214</v>
      </c>
      <c r="M19" s="5">
        <f>scrimecost*Meta!O16</f>
        <v>5256.1850000000004</v>
      </c>
      <c r="N19" s="5">
        <f>L19-Grade15!L19</f>
        <v>390.12799793043814</v>
      </c>
      <c r="O19" s="5">
        <f>Grade15!M19-M19</f>
        <v>39.994999999999891</v>
      </c>
      <c r="P19" s="22">
        <f t="shared" si="12"/>
        <v>37.848280846572024</v>
      </c>
      <c r="Q19" s="22"/>
      <c r="R19" s="22"/>
      <c r="S19" s="22">
        <f t="shared" si="6"/>
        <v>209.24478459133599</v>
      </c>
      <c r="T19" s="22">
        <f t="shared" si="7"/>
        <v>270.17308757939429</v>
      </c>
    </row>
    <row r="20" spans="1:20" x14ac:dyDescent="0.2">
      <c r="A20" s="5">
        <v>29</v>
      </c>
      <c r="B20" s="1">
        <f t="shared" si="8"/>
        <v>1.1886857536682125</v>
      </c>
      <c r="C20" s="5">
        <f t="shared" si="9"/>
        <v>37133.111827786022</v>
      </c>
      <c r="D20" s="5">
        <f t="shared" si="0"/>
        <v>36121.055571880075</v>
      </c>
      <c r="E20" s="5">
        <f t="shared" si="1"/>
        <v>26621.055571880075</v>
      </c>
      <c r="F20" s="5">
        <f t="shared" si="2"/>
        <v>8993.5246442188436</v>
      </c>
      <c r="G20" s="5">
        <f t="shared" si="3"/>
        <v>27127.530927661232</v>
      </c>
      <c r="H20" s="22">
        <f t="shared" si="10"/>
        <v>16318.727591665905</v>
      </c>
      <c r="I20" s="5">
        <f t="shared" si="4"/>
        <v>42679.27832251884</v>
      </c>
      <c r="J20" s="26">
        <f t="shared" si="5"/>
        <v>0.16215918780546115</v>
      </c>
      <c r="L20" s="22">
        <f t="shared" si="11"/>
        <v>38704.0175703196</v>
      </c>
      <c r="M20" s="5">
        <f>scrimecost*Meta!O17</f>
        <v>5256.1850000000004</v>
      </c>
      <c r="N20" s="5">
        <f>L20-Grade15!L20</f>
        <v>399.88119787870528</v>
      </c>
      <c r="O20" s="5">
        <f>Grade15!M20-M20</f>
        <v>39.994999999999891</v>
      </c>
      <c r="P20" s="22">
        <f t="shared" si="12"/>
        <v>38.490636162034008</v>
      </c>
      <c r="Q20" s="22"/>
      <c r="R20" s="22"/>
      <c r="S20" s="22">
        <f t="shared" si="6"/>
        <v>213.67541600882069</v>
      </c>
      <c r="T20" s="22">
        <f t="shared" si="7"/>
        <v>286.15237266001225</v>
      </c>
    </row>
    <row r="21" spans="1:20" x14ac:dyDescent="0.2">
      <c r="A21" s="5">
        <v>30</v>
      </c>
      <c r="B21" s="1">
        <f t="shared" si="8"/>
        <v>1.2184028975099177</v>
      </c>
      <c r="C21" s="5">
        <f t="shared" si="9"/>
        <v>38061.43962348067</v>
      </c>
      <c r="D21" s="5">
        <f t="shared" si="0"/>
        <v>37005.751961177077</v>
      </c>
      <c r="E21" s="5">
        <f t="shared" si="1"/>
        <v>27505.751961177077</v>
      </c>
      <c r="F21" s="5">
        <f t="shared" si="2"/>
        <v>9282.3780153243151</v>
      </c>
      <c r="G21" s="5">
        <f t="shared" si="3"/>
        <v>27723.373945852763</v>
      </c>
      <c r="H21" s="22">
        <f t="shared" si="10"/>
        <v>16726.695781457551</v>
      </c>
      <c r="I21" s="5">
        <f t="shared" si="4"/>
        <v>43663.915025581809</v>
      </c>
      <c r="J21" s="26">
        <f t="shared" si="5"/>
        <v>0.16373628753666244</v>
      </c>
      <c r="L21" s="22">
        <f t="shared" si="11"/>
        <v>39671.618009577593</v>
      </c>
      <c r="M21" s="5">
        <f>scrimecost*Meta!O18</f>
        <v>4237.4090000000006</v>
      </c>
      <c r="N21" s="5">
        <f>L21-Grade15!L21</f>
        <v>409.87822782568401</v>
      </c>
      <c r="O21" s="5">
        <f>Grade15!M21-M21</f>
        <v>32.242999999999483</v>
      </c>
      <c r="P21" s="22">
        <f t="shared" si="12"/>
        <v>39.149050360382532</v>
      </c>
      <c r="Q21" s="22"/>
      <c r="R21" s="22"/>
      <c r="S21" s="22">
        <f t="shared" si="6"/>
        <v>213.45708521174433</v>
      </c>
      <c r="T21" s="22">
        <f t="shared" si="7"/>
        <v>296.4890899107304</v>
      </c>
    </row>
    <row r="22" spans="1:20" x14ac:dyDescent="0.2">
      <c r="A22" s="5">
        <v>31</v>
      </c>
      <c r="B22" s="1">
        <f t="shared" si="8"/>
        <v>1.2488629699476654</v>
      </c>
      <c r="C22" s="5">
        <f t="shared" si="9"/>
        <v>39012.975614067684</v>
      </c>
      <c r="D22" s="5">
        <f t="shared" si="0"/>
        <v>37912.565760206497</v>
      </c>
      <c r="E22" s="5">
        <f t="shared" si="1"/>
        <v>28412.565760206497</v>
      </c>
      <c r="F22" s="5">
        <f t="shared" si="2"/>
        <v>9578.4527207074207</v>
      </c>
      <c r="G22" s="5">
        <f t="shared" si="3"/>
        <v>28334.113039499076</v>
      </c>
      <c r="H22" s="22">
        <f t="shared" si="10"/>
        <v>17144.863175993989</v>
      </c>
      <c r="I22" s="5">
        <f t="shared" si="4"/>
        <v>44673.167646221351</v>
      </c>
      <c r="J22" s="26">
        <f t="shared" si="5"/>
        <v>0.16527492142076122</v>
      </c>
      <c r="L22" s="22">
        <f t="shared" si="11"/>
        <v>40663.408459817023</v>
      </c>
      <c r="M22" s="5">
        <f>scrimecost*Meta!O19</f>
        <v>4237.4090000000006</v>
      </c>
      <c r="N22" s="5">
        <f>L22-Grade15!L22</f>
        <v>420.12518352131883</v>
      </c>
      <c r="O22" s="5">
        <f>Grade15!M22-M22</f>
        <v>32.242999999999483</v>
      </c>
      <c r="P22" s="22">
        <f t="shared" si="12"/>
        <v>39.823924913689766</v>
      </c>
      <c r="Q22" s="22"/>
      <c r="R22" s="22"/>
      <c r="S22" s="22">
        <f t="shared" si="6"/>
        <v>218.11201734473372</v>
      </c>
      <c r="T22" s="22">
        <f t="shared" si="7"/>
        <v>314.21946581707414</v>
      </c>
    </row>
    <row r="23" spans="1:20" x14ac:dyDescent="0.2">
      <c r="A23" s="5">
        <v>32</v>
      </c>
      <c r="B23" s="1">
        <f t="shared" si="8"/>
        <v>1.2800845441963571</v>
      </c>
      <c r="C23" s="5">
        <f t="shared" si="9"/>
        <v>39988.300004419369</v>
      </c>
      <c r="D23" s="5">
        <f t="shared" si="0"/>
        <v>38842.049904211657</v>
      </c>
      <c r="E23" s="5">
        <f t="shared" si="1"/>
        <v>29342.049904211657</v>
      </c>
      <c r="F23" s="5">
        <f t="shared" si="2"/>
        <v>9881.9292937251066</v>
      </c>
      <c r="G23" s="5">
        <f t="shared" si="3"/>
        <v>28960.120610486549</v>
      </c>
      <c r="H23" s="22">
        <f t="shared" si="10"/>
        <v>17573.484755393838</v>
      </c>
      <c r="I23" s="5">
        <f t="shared" si="4"/>
        <v>45707.651582376871</v>
      </c>
      <c r="J23" s="26">
        <f t="shared" si="5"/>
        <v>0.16677602764915034</v>
      </c>
      <c r="L23" s="22">
        <f t="shared" si="11"/>
        <v>41679.993671312448</v>
      </c>
      <c r="M23" s="5">
        <f>scrimecost*Meta!O20</f>
        <v>4237.4090000000006</v>
      </c>
      <c r="N23" s="5">
        <f>L23-Grade15!L23</f>
        <v>430.62831310935144</v>
      </c>
      <c r="O23" s="5">
        <f>Grade15!M23-M23</f>
        <v>32.242999999999483</v>
      </c>
      <c r="P23" s="22">
        <f t="shared" si="12"/>
        <v>40.515671330829683</v>
      </c>
      <c r="Q23" s="22"/>
      <c r="R23" s="22"/>
      <c r="S23" s="22">
        <f t="shared" si="6"/>
        <v>222.88332278105065</v>
      </c>
      <c r="T23" s="22">
        <f t="shared" si="7"/>
        <v>333.03234403937051</v>
      </c>
    </row>
    <row r="24" spans="1:20" x14ac:dyDescent="0.2">
      <c r="A24" s="5">
        <v>33</v>
      </c>
      <c r="B24" s="1">
        <f t="shared" si="8"/>
        <v>1.312086657801266</v>
      </c>
      <c r="C24" s="5">
        <f t="shared" si="9"/>
        <v>40988.007504529851</v>
      </c>
      <c r="D24" s="5">
        <f t="shared" si="0"/>
        <v>39794.771151816945</v>
      </c>
      <c r="E24" s="5">
        <f t="shared" si="1"/>
        <v>30294.771151816945</v>
      </c>
      <c r="F24" s="5">
        <f t="shared" si="2"/>
        <v>10192.992781068233</v>
      </c>
      <c r="G24" s="5">
        <f t="shared" si="3"/>
        <v>29601.778370748711</v>
      </c>
      <c r="H24" s="22">
        <f t="shared" si="10"/>
        <v>18012.821874278685</v>
      </c>
      <c r="I24" s="5">
        <f t="shared" si="4"/>
        <v>46767.997616936293</v>
      </c>
      <c r="J24" s="26">
        <f t="shared" si="5"/>
        <v>0.1682405215305055</v>
      </c>
      <c r="L24" s="22">
        <f t="shared" si="11"/>
        <v>42721.993513095258</v>
      </c>
      <c r="M24" s="5">
        <f>scrimecost*Meta!O21</f>
        <v>4237.4090000000006</v>
      </c>
      <c r="N24" s="5">
        <f>L24-Grade15!L24</f>
        <v>441.39402093709214</v>
      </c>
      <c r="O24" s="5">
        <f>Grade15!M24-M24</f>
        <v>32.242999999999483</v>
      </c>
      <c r="P24" s="22">
        <f t="shared" si="12"/>
        <v>41.224711408398093</v>
      </c>
      <c r="Q24" s="22"/>
      <c r="R24" s="22"/>
      <c r="S24" s="22">
        <f t="shared" si="6"/>
        <v>227.77391085327858</v>
      </c>
      <c r="T24" s="22">
        <f t="shared" si="7"/>
        <v>352.99468659432381</v>
      </c>
    </row>
    <row r="25" spans="1:20" x14ac:dyDescent="0.2">
      <c r="A25" s="5">
        <v>34</v>
      </c>
      <c r="B25" s="1">
        <f t="shared" si="8"/>
        <v>1.3448888242462975</v>
      </c>
      <c r="C25" s="5">
        <f t="shared" si="9"/>
        <v>42012.7076921431</v>
      </c>
      <c r="D25" s="5">
        <f t="shared" si="0"/>
        <v>40771.310430612371</v>
      </c>
      <c r="E25" s="5">
        <f t="shared" si="1"/>
        <v>31271.310430612371</v>
      </c>
      <c r="F25" s="5">
        <f t="shared" si="2"/>
        <v>10511.832855594939</v>
      </c>
      <c r="G25" s="5">
        <f t="shared" si="3"/>
        <v>30259.47757501743</v>
      </c>
      <c r="H25" s="22">
        <f t="shared" si="10"/>
        <v>18463.142421135646</v>
      </c>
      <c r="I25" s="5">
        <f t="shared" si="4"/>
        <v>47854.852302359701</v>
      </c>
      <c r="J25" s="26">
        <f t="shared" si="5"/>
        <v>0.16966929604890083</v>
      </c>
      <c r="L25" s="22">
        <f t="shared" si="11"/>
        <v>43790.043350922635</v>
      </c>
      <c r="M25" s="5">
        <f>scrimecost*Meta!O22</f>
        <v>4237.4090000000006</v>
      </c>
      <c r="N25" s="5">
        <f>L25-Grade15!L25</f>
        <v>452.42887146050634</v>
      </c>
      <c r="O25" s="5">
        <f>Grade15!M25-M25</f>
        <v>32.242999999999483</v>
      </c>
      <c r="P25" s="22">
        <f t="shared" si="12"/>
        <v>41.95147748790572</v>
      </c>
      <c r="Q25" s="22"/>
      <c r="R25" s="22"/>
      <c r="S25" s="22">
        <f t="shared" si="6"/>
        <v>232.78676362730391</v>
      </c>
      <c r="T25" s="22">
        <f t="shared" si="7"/>
        <v>374.17763116577083</v>
      </c>
    </row>
    <row r="26" spans="1:20" x14ac:dyDescent="0.2">
      <c r="A26" s="5">
        <v>35</v>
      </c>
      <c r="B26" s="1">
        <f t="shared" si="8"/>
        <v>1.3785110448524549</v>
      </c>
      <c r="C26" s="5">
        <f t="shared" si="9"/>
        <v>43063.025384446672</v>
      </c>
      <c r="D26" s="5">
        <f t="shared" si="0"/>
        <v>41772.263191377671</v>
      </c>
      <c r="E26" s="5">
        <f t="shared" si="1"/>
        <v>32272.263191377671</v>
      </c>
      <c r="F26" s="5">
        <f t="shared" si="2"/>
        <v>10838.64393198481</v>
      </c>
      <c r="G26" s="5">
        <f t="shared" si="3"/>
        <v>30933.619259392861</v>
      </c>
      <c r="H26" s="22">
        <f t="shared" si="10"/>
        <v>18924.720981664039</v>
      </c>
      <c r="I26" s="5">
        <f t="shared" si="4"/>
        <v>48968.878354918692</v>
      </c>
      <c r="J26" s="26">
        <f t="shared" si="5"/>
        <v>0.17106322240831087</v>
      </c>
      <c r="L26" s="22">
        <f t="shared" si="11"/>
        <v>44884.794434695701</v>
      </c>
      <c r="M26" s="5">
        <f>scrimecost*Meta!O23</f>
        <v>3288.549</v>
      </c>
      <c r="N26" s="5">
        <f>L26-Grade15!L26</f>
        <v>463.73959324702446</v>
      </c>
      <c r="O26" s="5">
        <f>Grade15!M26-M26</f>
        <v>25.022999999999683</v>
      </c>
      <c r="P26" s="22">
        <f t="shared" si="12"/>
        <v>42.696412719401032</v>
      </c>
      <c r="Q26" s="22"/>
      <c r="R26" s="22"/>
      <c r="S26" s="22">
        <f t="shared" si="6"/>
        <v>233.49185772068768</v>
      </c>
      <c r="T26" s="22">
        <f t="shared" si="7"/>
        <v>389.2661398496416</v>
      </c>
    </row>
    <row r="27" spans="1:20" x14ac:dyDescent="0.2">
      <c r="A27" s="5">
        <v>36</v>
      </c>
      <c r="B27" s="1">
        <f t="shared" si="8"/>
        <v>1.4129738209737661</v>
      </c>
      <c r="C27" s="5">
        <f t="shared" si="9"/>
        <v>44139.601019057838</v>
      </c>
      <c r="D27" s="5">
        <f t="shared" si="0"/>
        <v>42798.239771162116</v>
      </c>
      <c r="E27" s="5">
        <f t="shared" si="1"/>
        <v>33298.239771162116</v>
      </c>
      <c r="F27" s="5">
        <f t="shared" si="2"/>
        <v>11173.62528528443</v>
      </c>
      <c r="G27" s="5">
        <f t="shared" si="3"/>
        <v>31624.614485877686</v>
      </c>
      <c r="H27" s="22">
        <f t="shared" si="10"/>
        <v>19397.839006205635</v>
      </c>
      <c r="I27" s="5">
        <f t="shared" si="4"/>
        <v>50110.755058791656</v>
      </c>
      <c r="J27" s="26">
        <f t="shared" si="5"/>
        <v>0.17242315056383289</v>
      </c>
      <c r="L27" s="22">
        <f t="shared" si="11"/>
        <v>46006.914295563081</v>
      </c>
      <c r="M27" s="5">
        <f>scrimecost*Meta!O24</f>
        <v>3288.549</v>
      </c>
      <c r="N27" s="5">
        <f>L27-Grade15!L27</f>
        <v>475.33308307818515</v>
      </c>
      <c r="O27" s="5">
        <f>Grade15!M27-M27</f>
        <v>25.022999999999683</v>
      </c>
      <c r="P27" s="22">
        <f t="shared" si="12"/>
        <v>43.459971331683725</v>
      </c>
      <c r="Q27" s="22"/>
      <c r="R27" s="22"/>
      <c r="S27" s="22">
        <f t="shared" si="6"/>
        <v>238.75848616639746</v>
      </c>
      <c r="T27" s="22">
        <f t="shared" si="7"/>
        <v>412.84692447681465</v>
      </c>
    </row>
    <row r="28" spans="1:20" x14ac:dyDescent="0.2">
      <c r="A28" s="5">
        <v>37</v>
      </c>
      <c r="B28" s="1">
        <f t="shared" si="8"/>
        <v>1.4482981664981105</v>
      </c>
      <c r="C28" s="5">
        <f t="shared" si="9"/>
        <v>45243.091044534289</v>
      </c>
      <c r="D28" s="5">
        <f t="shared" si="0"/>
        <v>43849.865765441173</v>
      </c>
      <c r="E28" s="5">
        <f t="shared" si="1"/>
        <v>34349.865765441173</v>
      </c>
      <c r="F28" s="5">
        <f t="shared" si="2"/>
        <v>11516.981172416543</v>
      </c>
      <c r="G28" s="5">
        <f t="shared" si="3"/>
        <v>32332.884593024632</v>
      </c>
      <c r="H28" s="22">
        <f t="shared" si="10"/>
        <v>19882.784981360783</v>
      </c>
      <c r="I28" s="5">
        <f t="shared" si="4"/>
        <v>51281.178680261452</v>
      </c>
      <c r="J28" s="26">
        <f t="shared" si="5"/>
        <v>0.17374990973995191</v>
      </c>
      <c r="L28" s="22">
        <f t="shared" si="11"/>
        <v>47157.087152952168</v>
      </c>
      <c r="M28" s="5">
        <f>scrimecost*Meta!O25</f>
        <v>3288.549</v>
      </c>
      <c r="N28" s="5">
        <f>L28-Grade15!L28</f>
        <v>487.21641015515343</v>
      </c>
      <c r="O28" s="5">
        <f>Grade15!M28-M28</f>
        <v>25.022999999999683</v>
      </c>
      <c r="P28" s="22">
        <f t="shared" si="12"/>
        <v>44.242618909273496</v>
      </c>
      <c r="Q28" s="22"/>
      <c r="R28" s="22"/>
      <c r="S28" s="22">
        <f t="shared" si="6"/>
        <v>244.15678032326181</v>
      </c>
      <c r="T28" s="22">
        <f t="shared" si="7"/>
        <v>437.87926000467127</v>
      </c>
    </row>
    <row r="29" spans="1:20" x14ac:dyDescent="0.2">
      <c r="A29" s="5">
        <v>38</v>
      </c>
      <c r="B29" s="1">
        <f t="shared" si="8"/>
        <v>1.4845056206605631</v>
      </c>
      <c r="C29" s="5">
        <f t="shared" si="9"/>
        <v>46374.168320647637</v>
      </c>
      <c r="D29" s="5">
        <f t="shared" si="0"/>
        <v>44927.782409577194</v>
      </c>
      <c r="E29" s="5">
        <f t="shared" si="1"/>
        <v>35427.782409577194</v>
      </c>
      <c r="F29" s="5">
        <f t="shared" si="2"/>
        <v>11961.699197684673</v>
      </c>
      <c r="G29" s="5">
        <f t="shared" si="3"/>
        <v>32966.083211892517</v>
      </c>
      <c r="H29" s="22">
        <f t="shared" si="10"/>
        <v>20379.854605894801</v>
      </c>
      <c r="I29" s="5">
        <f t="shared" si="4"/>
        <v>52388.084651310259</v>
      </c>
      <c r="J29" s="26">
        <f t="shared" si="5"/>
        <v>0.17650270602925602</v>
      </c>
      <c r="L29" s="22">
        <f t="shared" si="11"/>
        <v>48336.014331775965</v>
      </c>
      <c r="M29" s="5">
        <f>scrimecost*Meta!O26</f>
        <v>3288.549</v>
      </c>
      <c r="N29" s="5">
        <f>L29-Grade15!L29</f>
        <v>499.39682040903426</v>
      </c>
      <c r="O29" s="5">
        <f>Grade15!M29-M29</f>
        <v>25.022999999999683</v>
      </c>
      <c r="P29" s="22">
        <f t="shared" si="12"/>
        <v>45.256311984682121</v>
      </c>
      <c r="Q29" s="22"/>
      <c r="R29" s="22"/>
      <c r="S29" s="22">
        <f t="shared" si="6"/>
        <v>249.81988012938774</v>
      </c>
      <c r="T29" s="22">
        <f t="shared" si="7"/>
        <v>464.69492652975867</v>
      </c>
    </row>
    <row r="30" spans="1:20" x14ac:dyDescent="0.2">
      <c r="A30" s="5">
        <v>39</v>
      </c>
      <c r="B30" s="1">
        <f t="shared" si="8"/>
        <v>1.521618261177077</v>
      </c>
      <c r="C30" s="5">
        <f t="shared" si="9"/>
        <v>47533.522528663823</v>
      </c>
      <c r="D30" s="5">
        <f t="shared" si="0"/>
        <v>46032.646969816618</v>
      </c>
      <c r="E30" s="5">
        <f t="shared" si="1"/>
        <v>36532.646969816618</v>
      </c>
      <c r="F30" s="5">
        <f t="shared" si="2"/>
        <v>12432.923932626787</v>
      </c>
      <c r="G30" s="5">
        <f t="shared" si="3"/>
        <v>33599.723037189833</v>
      </c>
      <c r="H30" s="22">
        <f t="shared" si="10"/>
        <v>20889.350971042164</v>
      </c>
      <c r="I30" s="5">
        <f t="shared" si="4"/>
        <v>53507.274512593016</v>
      </c>
      <c r="J30" s="26">
        <f t="shared" si="5"/>
        <v>0.1794243595256986</v>
      </c>
      <c r="L30" s="22">
        <f t="shared" si="11"/>
        <v>49544.414690070364</v>
      </c>
      <c r="M30" s="5">
        <f>scrimecost*Meta!O27</f>
        <v>3288.549</v>
      </c>
      <c r="N30" s="5">
        <f>L30-Grade15!L30</f>
        <v>511.88174091925612</v>
      </c>
      <c r="O30" s="5">
        <f>Grade15!M30-M30</f>
        <v>25.022999999999683</v>
      </c>
      <c r="P30" s="22">
        <f t="shared" si="12"/>
        <v>46.3304246215245</v>
      </c>
      <c r="Q30" s="22"/>
      <c r="R30" s="22"/>
      <c r="S30" s="22">
        <f t="shared" si="6"/>
        <v>255.64609485267712</v>
      </c>
      <c r="T30" s="22">
        <f t="shared" si="7"/>
        <v>493.21405882021963</v>
      </c>
    </row>
    <row r="31" spans="1:20" x14ac:dyDescent="0.2">
      <c r="A31" s="5">
        <v>40</v>
      </c>
      <c r="B31" s="1">
        <f t="shared" si="8"/>
        <v>1.559658717706504</v>
      </c>
      <c r="C31" s="5">
        <f t="shared" si="9"/>
        <v>48721.860591880417</v>
      </c>
      <c r="D31" s="5">
        <f t="shared" si="0"/>
        <v>47165.133144062034</v>
      </c>
      <c r="E31" s="5">
        <f t="shared" si="1"/>
        <v>37665.133144062034</v>
      </c>
      <c r="F31" s="5">
        <f t="shared" si="2"/>
        <v>12915.929285942457</v>
      </c>
      <c r="G31" s="5">
        <f t="shared" si="3"/>
        <v>34249.203858119581</v>
      </c>
      <c r="H31" s="22">
        <f t="shared" si="10"/>
        <v>21411.584745318225</v>
      </c>
      <c r="I31" s="5">
        <f t="shared" si="4"/>
        <v>54654.444120407847</v>
      </c>
      <c r="J31" s="26">
        <f t="shared" si="5"/>
        <v>0.18227475318076444</v>
      </c>
      <c r="L31" s="22">
        <f t="shared" si="11"/>
        <v>50783.02505732212</v>
      </c>
      <c r="M31" s="5">
        <f>scrimecost*Meta!O28</f>
        <v>2876.5439999999999</v>
      </c>
      <c r="N31" s="5">
        <f>L31-Grade15!L31</f>
        <v>524.67878444222879</v>
      </c>
      <c r="O31" s="5">
        <f>Grade15!M31-M31</f>
        <v>21.88799999999992</v>
      </c>
      <c r="P31" s="22">
        <f t="shared" si="12"/>
        <v>47.43139007428794</v>
      </c>
      <c r="Q31" s="22"/>
      <c r="R31" s="22"/>
      <c r="S31" s="22">
        <f t="shared" si="6"/>
        <v>259.69307494404694</v>
      </c>
      <c r="T31" s="22">
        <f t="shared" si="7"/>
        <v>519.65128114539891</v>
      </c>
    </row>
    <row r="32" spans="1:20" x14ac:dyDescent="0.2">
      <c r="A32" s="5">
        <v>41</v>
      </c>
      <c r="B32" s="1">
        <f t="shared" si="8"/>
        <v>1.5986501856491666</v>
      </c>
      <c r="C32" s="5">
        <f t="shared" si="9"/>
        <v>49939.907106677434</v>
      </c>
      <c r="D32" s="5">
        <f t="shared" si="0"/>
        <v>48325.931472663593</v>
      </c>
      <c r="E32" s="5">
        <f t="shared" si="1"/>
        <v>38825.931472663593</v>
      </c>
      <c r="F32" s="5">
        <f t="shared" si="2"/>
        <v>13411.009773091024</v>
      </c>
      <c r="G32" s="5">
        <f t="shared" si="3"/>
        <v>34914.921699572573</v>
      </c>
      <c r="H32" s="22">
        <f t="shared" si="10"/>
        <v>21946.874363951178</v>
      </c>
      <c r="I32" s="5">
        <f t="shared" si="4"/>
        <v>55830.292968418042</v>
      </c>
      <c r="J32" s="26">
        <f t="shared" si="5"/>
        <v>0.1850556250393654</v>
      </c>
      <c r="L32" s="22">
        <f t="shared" si="11"/>
        <v>52052.600683755176</v>
      </c>
      <c r="M32" s="5">
        <f>scrimecost*Meta!O29</f>
        <v>2876.5439999999999</v>
      </c>
      <c r="N32" s="5">
        <f>L32-Grade15!L32</f>
        <v>537.79575405330252</v>
      </c>
      <c r="O32" s="5">
        <f>Grade15!M32-M32</f>
        <v>21.88799999999992</v>
      </c>
      <c r="P32" s="22">
        <f t="shared" si="12"/>
        <v>48.559879663370481</v>
      </c>
      <c r="Q32" s="22"/>
      <c r="R32" s="22"/>
      <c r="S32" s="22">
        <f t="shared" si="6"/>
        <v>265.81424178771192</v>
      </c>
      <c r="T32" s="22">
        <f t="shared" si="7"/>
        <v>551.67744513807963</v>
      </c>
    </row>
    <row r="33" spans="1:20" x14ac:dyDescent="0.2">
      <c r="A33" s="5">
        <v>42</v>
      </c>
      <c r="B33" s="1">
        <f t="shared" si="8"/>
        <v>1.6386164402903955</v>
      </c>
      <c r="C33" s="5">
        <f t="shared" si="9"/>
        <v>51188.404784344362</v>
      </c>
      <c r="D33" s="5">
        <f t="shared" si="0"/>
        <v>49515.749759480175</v>
      </c>
      <c r="E33" s="5">
        <f t="shared" si="1"/>
        <v>40015.749759480175</v>
      </c>
      <c r="F33" s="5">
        <f t="shared" si="2"/>
        <v>13918.467272418296</v>
      </c>
      <c r="G33" s="5">
        <f t="shared" si="3"/>
        <v>35597.282487061879</v>
      </c>
      <c r="H33" s="22">
        <f t="shared" si="10"/>
        <v>22495.546223049954</v>
      </c>
      <c r="I33" s="5">
        <f t="shared" si="4"/>
        <v>57035.538037628488</v>
      </c>
      <c r="J33" s="26">
        <f t="shared" si="5"/>
        <v>0.18776867075507356</v>
      </c>
      <c r="L33" s="22">
        <f t="shared" si="11"/>
        <v>53353.915700849051</v>
      </c>
      <c r="M33" s="5">
        <f>scrimecost*Meta!O30</f>
        <v>2876.5439999999999</v>
      </c>
      <c r="N33" s="5">
        <f>L33-Grade15!L33</f>
        <v>551.24064790463308</v>
      </c>
      <c r="O33" s="5">
        <f>Grade15!M33-M33</f>
        <v>21.88799999999992</v>
      </c>
      <c r="P33" s="22">
        <f t="shared" si="12"/>
        <v>49.716581492180069</v>
      </c>
      <c r="Q33" s="22"/>
      <c r="R33" s="22"/>
      <c r="S33" s="22">
        <f t="shared" si="6"/>
        <v>272.08843780246025</v>
      </c>
      <c r="T33" s="22">
        <f t="shared" si="7"/>
        <v>585.69621708086197</v>
      </c>
    </row>
    <row r="34" spans="1:20" x14ac:dyDescent="0.2">
      <c r="A34" s="5">
        <v>43</v>
      </c>
      <c r="B34" s="1">
        <f t="shared" si="8"/>
        <v>1.6795818512976552</v>
      </c>
      <c r="C34" s="5">
        <f t="shared" si="9"/>
        <v>52468.11490395297</v>
      </c>
      <c r="D34" s="5">
        <f t="shared" si="0"/>
        <v>50735.313503467172</v>
      </c>
      <c r="E34" s="5">
        <f t="shared" si="1"/>
        <v>41235.313503467172</v>
      </c>
      <c r="F34" s="5">
        <f t="shared" si="2"/>
        <v>14438.611209228751</v>
      </c>
      <c r="G34" s="5">
        <f t="shared" si="3"/>
        <v>36296.702294238421</v>
      </c>
      <c r="H34" s="22">
        <f t="shared" si="10"/>
        <v>23057.934878626202</v>
      </c>
      <c r="I34" s="5">
        <f t="shared" si="4"/>
        <v>58270.914233569187</v>
      </c>
      <c r="J34" s="26">
        <f t="shared" si="5"/>
        <v>0.19041554462405713</v>
      </c>
      <c r="L34" s="22">
        <f t="shared" si="11"/>
        <v>54687.763593370277</v>
      </c>
      <c r="M34" s="5">
        <f>scrimecost*Meta!O31</f>
        <v>2876.5439999999999</v>
      </c>
      <c r="N34" s="5">
        <f>L34-Grade15!L34</f>
        <v>565.02166410224891</v>
      </c>
      <c r="O34" s="5">
        <f>Grade15!M34-M34</f>
        <v>21.88799999999992</v>
      </c>
      <c r="P34" s="22">
        <f t="shared" si="12"/>
        <v>50.902200866709904</v>
      </c>
      <c r="Q34" s="22"/>
      <c r="R34" s="22"/>
      <c r="S34" s="22">
        <f t="shared" si="6"/>
        <v>278.51948871757816</v>
      </c>
      <c r="T34" s="22">
        <f t="shared" si="7"/>
        <v>621.8322903813139</v>
      </c>
    </row>
    <row r="35" spans="1:20" x14ac:dyDescent="0.2">
      <c r="A35" s="5">
        <v>44</v>
      </c>
      <c r="B35" s="1">
        <f t="shared" si="8"/>
        <v>1.7215713975800966</v>
      </c>
      <c r="C35" s="5">
        <f t="shared" si="9"/>
        <v>53779.81777655179</v>
      </c>
      <c r="D35" s="5">
        <f t="shared" si="0"/>
        <v>51985.36634105385</v>
      </c>
      <c r="E35" s="5">
        <f t="shared" si="1"/>
        <v>42485.36634105385</v>
      </c>
      <c r="F35" s="5">
        <f t="shared" si="2"/>
        <v>14971.758744459466</v>
      </c>
      <c r="G35" s="5">
        <f t="shared" si="3"/>
        <v>37013.607596594382</v>
      </c>
      <c r="H35" s="22">
        <f t="shared" si="10"/>
        <v>23634.383250591854</v>
      </c>
      <c r="I35" s="5">
        <f t="shared" si="4"/>
        <v>59537.174834408419</v>
      </c>
      <c r="J35" s="26">
        <f t="shared" si="5"/>
        <v>0.19299786059379717</v>
      </c>
      <c r="L35" s="22">
        <f t="shared" si="11"/>
        <v>56054.95768320452</v>
      </c>
      <c r="M35" s="5">
        <f>scrimecost*Meta!O32</f>
        <v>2876.5439999999999</v>
      </c>
      <c r="N35" s="5">
        <f>L35-Grade15!L35</f>
        <v>579.14720570478676</v>
      </c>
      <c r="O35" s="5">
        <f>Grade15!M35-M35</f>
        <v>21.88799999999992</v>
      </c>
      <c r="P35" s="22">
        <f t="shared" si="12"/>
        <v>52.11746072560296</v>
      </c>
      <c r="Q35" s="22"/>
      <c r="R35" s="22"/>
      <c r="S35" s="22">
        <f t="shared" si="6"/>
        <v>285.1113159055663</v>
      </c>
      <c r="T35" s="22">
        <f t="shared" si="7"/>
        <v>660.21818855631875</v>
      </c>
    </row>
    <row r="36" spans="1:20" x14ac:dyDescent="0.2">
      <c r="A36" s="5">
        <v>45</v>
      </c>
      <c r="B36" s="1">
        <f t="shared" si="8"/>
        <v>1.7646106825195991</v>
      </c>
      <c r="C36" s="5">
        <f t="shared" si="9"/>
        <v>55124.313220965589</v>
      </c>
      <c r="D36" s="5">
        <f t="shared" si="0"/>
        <v>53266.670499580199</v>
      </c>
      <c r="E36" s="5">
        <f t="shared" si="1"/>
        <v>43766.670499580199</v>
      </c>
      <c r="F36" s="5">
        <f t="shared" si="2"/>
        <v>15518.234968070956</v>
      </c>
      <c r="G36" s="5">
        <f t="shared" si="3"/>
        <v>37748.43553150924</v>
      </c>
      <c r="H36" s="22">
        <f t="shared" si="10"/>
        <v>24225.242831856653</v>
      </c>
      <c r="I36" s="5">
        <f t="shared" si="4"/>
        <v>60835.09195026863</v>
      </c>
      <c r="J36" s="26">
        <f t="shared" si="5"/>
        <v>0.19551719324720215</v>
      </c>
      <c r="L36" s="22">
        <f t="shared" si="11"/>
        <v>57456.331625284642</v>
      </c>
      <c r="M36" s="5">
        <f>scrimecost*Meta!O33</f>
        <v>2324.7070000000003</v>
      </c>
      <c r="N36" s="5">
        <f>L36-Grade15!L36</f>
        <v>593.6258858474248</v>
      </c>
      <c r="O36" s="5">
        <f>Grade15!M36-M36</f>
        <v>17.688999999999851</v>
      </c>
      <c r="P36" s="22">
        <f t="shared" si="12"/>
        <v>53.363102080968375</v>
      </c>
      <c r="Q36" s="22"/>
      <c r="R36" s="22"/>
      <c r="S36" s="22">
        <f t="shared" si="6"/>
        <v>289.28975277326941</v>
      </c>
      <c r="T36" s="22">
        <f t="shared" si="7"/>
        <v>694.80259144385411</v>
      </c>
    </row>
    <row r="37" spans="1:20" x14ac:dyDescent="0.2">
      <c r="A37" s="5">
        <v>46</v>
      </c>
      <c r="B37" s="1">
        <f t="shared" ref="B37:B56" si="13">(1+experiencepremium)^(A37-startage)</f>
        <v>1.8087259495825889</v>
      </c>
      <c r="C37" s="5">
        <f t="shared" ref="C37:C56" si="14">pretaxincome*B37/expnorm</f>
        <v>56502.42105148972</v>
      </c>
      <c r="D37" s="5">
        <f t="shared" ref="D37:D56" si="15">IF(A37&lt;startage,1,0)*(C37*(1-initialunempprob))+IF(A37=startage,1,0)*(C37*(1-unempprob))+IF(A37&gt;startage,1,0)*(C37*(1-unempprob)+unempprob*300*52)</f>
        <v>54580.007262069696</v>
      </c>
      <c r="E37" s="5">
        <f t="shared" si="1"/>
        <v>45080.007262069696</v>
      </c>
      <c r="F37" s="5">
        <f t="shared" si="2"/>
        <v>16078.373097272724</v>
      </c>
      <c r="G37" s="5">
        <f t="shared" si="3"/>
        <v>38501.634164796968</v>
      </c>
      <c r="H37" s="22">
        <f t="shared" ref="H37:H56" si="16">benefits*B37/expnorm</f>
        <v>24830.873902653067</v>
      </c>
      <c r="I37" s="5">
        <f t="shared" ref="I37:I56" si="17">G37+IF(A37&lt;startage,1,0)*(H37*(1-initialunempprob))+IF(A37&gt;=startage,1,0)*(H37*(1-unempprob))</f>
        <v>62165.456994025342</v>
      </c>
      <c r="J37" s="26">
        <f t="shared" si="5"/>
        <v>0.19797507876271911</v>
      </c>
      <c r="L37" s="22">
        <f t="shared" ref="L37:L56" si="18">(sincome+sbenefits)*(1-sunemp)*B37/expnorm</f>
        <v>58892.739915916754</v>
      </c>
      <c r="M37" s="5">
        <f>scrimecost*Meta!O34</f>
        <v>2324.7070000000003</v>
      </c>
      <c r="N37" s="5">
        <f>L37-Grade15!L37</f>
        <v>608.46653299361788</v>
      </c>
      <c r="O37" s="5">
        <f>Grade15!M37-M37</f>
        <v>17.688999999999851</v>
      </c>
      <c r="P37" s="22">
        <f t="shared" si="12"/>
        <v>54.639884470217901</v>
      </c>
      <c r="Q37" s="22"/>
      <c r="R37" s="22"/>
      <c r="S37" s="22">
        <f t="shared" si="6"/>
        <v>296.21529121266059</v>
      </c>
      <c r="T37" s="22">
        <f t="shared" si="7"/>
        <v>737.88928219795866</v>
      </c>
    </row>
    <row r="38" spans="1:20" x14ac:dyDescent="0.2">
      <c r="A38" s="5">
        <v>47</v>
      </c>
      <c r="B38" s="1">
        <f t="shared" si="13"/>
        <v>1.8539440983221533</v>
      </c>
      <c r="C38" s="5">
        <f t="shared" si="14"/>
        <v>57914.981577776947</v>
      </c>
      <c r="D38" s="5">
        <f t="shared" si="15"/>
        <v>55926.177443621425</v>
      </c>
      <c r="E38" s="5">
        <f t="shared" si="1"/>
        <v>46426.177443621425</v>
      </c>
      <c r="F38" s="5">
        <f t="shared" si="2"/>
        <v>16652.514679704538</v>
      </c>
      <c r="G38" s="5">
        <f t="shared" si="3"/>
        <v>39273.662763916887</v>
      </c>
      <c r="H38" s="22">
        <f t="shared" si="16"/>
        <v>25451.645750219392</v>
      </c>
      <c r="I38" s="5">
        <f t="shared" si="17"/>
        <v>63529.081163875962</v>
      </c>
      <c r="J38" s="26">
        <f t="shared" si="5"/>
        <v>0.2003730158510284</v>
      </c>
      <c r="L38" s="22">
        <f t="shared" si="18"/>
        <v>60365.058413814659</v>
      </c>
      <c r="M38" s="5">
        <f>scrimecost*Meta!O35</f>
        <v>2324.7070000000003</v>
      </c>
      <c r="N38" s="5">
        <f>L38-Grade15!L38</f>
        <v>623.67819631844759</v>
      </c>
      <c r="O38" s="5">
        <f>Grade15!M38-M38</f>
        <v>17.688999999999851</v>
      </c>
      <c r="P38" s="22">
        <f t="shared" si="12"/>
        <v>55.948586419198669</v>
      </c>
      <c r="Q38" s="22"/>
      <c r="R38" s="22"/>
      <c r="S38" s="22">
        <f t="shared" si="6"/>
        <v>303.31396811302898</v>
      </c>
      <c r="T38" s="22">
        <f t="shared" si="7"/>
        <v>783.66687215438117</v>
      </c>
    </row>
    <row r="39" spans="1:20" x14ac:dyDescent="0.2">
      <c r="A39" s="5">
        <v>48</v>
      </c>
      <c r="B39" s="1">
        <f t="shared" si="13"/>
        <v>1.9002927007802071</v>
      </c>
      <c r="C39" s="5">
        <f t="shared" si="14"/>
        <v>59362.856117221374</v>
      </c>
      <c r="D39" s="5">
        <f t="shared" si="15"/>
        <v>57306.001879711963</v>
      </c>
      <c r="E39" s="5">
        <f t="shared" si="1"/>
        <v>47806.001879711963</v>
      </c>
      <c r="F39" s="5">
        <f t="shared" si="2"/>
        <v>17241.009801697153</v>
      </c>
      <c r="G39" s="5">
        <f t="shared" si="3"/>
        <v>40064.99207801481</v>
      </c>
      <c r="H39" s="22">
        <f t="shared" si="16"/>
        <v>26087.936893974875</v>
      </c>
      <c r="I39" s="5">
        <f t="shared" si="17"/>
        <v>64926.795937972864</v>
      </c>
      <c r="J39" s="26">
        <f t="shared" si="5"/>
        <v>0.20271246666889117</v>
      </c>
      <c r="L39" s="22">
        <f t="shared" si="18"/>
        <v>61874.184874160026</v>
      </c>
      <c r="M39" s="5">
        <f>scrimecost*Meta!O36</f>
        <v>2324.7070000000003</v>
      </c>
      <c r="N39" s="5">
        <f>L39-Grade15!L39</f>
        <v>639.27015122641023</v>
      </c>
      <c r="O39" s="5">
        <f>Grade15!M39-M39</f>
        <v>17.688999999999851</v>
      </c>
      <c r="P39" s="22">
        <f t="shared" si="12"/>
        <v>57.290005916903972</v>
      </c>
      <c r="Q39" s="22"/>
      <c r="R39" s="22"/>
      <c r="S39" s="22">
        <f t="shared" si="6"/>
        <v>310.59011193591169</v>
      </c>
      <c r="T39" s="22">
        <f t="shared" si="7"/>
        <v>832.30413431205682</v>
      </c>
    </row>
    <row r="40" spans="1:20" x14ac:dyDescent="0.2">
      <c r="A40" s="5">
        <v>49</v>
      </c>
      <c r="B40" s="1">
        <f t="shared" si="13"/>
        <v>1.9478000182997122</v>
      </c>
      <c r="C40" s="5">
        <f t="shared" si="14"/>
        <v>60846.927520151912</v>
      </c>
      <c r="D40" s="5">
        <f t="shared" si="15"/>
        <v>58720.321926704768</v>
      </c>
      <c r="E40" s="5">
        <f t="shared" si="1"/>
        <v>49220.321926704768</v>
      </c>
      <c r="F40" s="5">
        <f t="shared" si="2"/>
        <v>17844.217301739583</v>
      </c>
      <c r="G40" s="5">
        <f t="shared" si="3"/>
        <v>40876.104624965184</v>
      </c>
      <c r="H40" s="22">
        <f t="shared" si="16"/>
        <v>26740.135316324242</v>
      </c>
      <c r="I40" s="5">
        <f t="shared" si="17"/>
        <v>66359.453581422189</v>
      </c>
      <c r="J40" s="26">
        <f t="shared" si="5"/>
        <v>0.20499485771070852</v>
      </c>
      <c r="L40" s="22">
        <f t="shared" si="18"/>
        <v>63421.039496014018</v>
      </c>
      <c r="M40" s="5">
        <f>scrimecost*Meta!O37</f>
        <v>2324.7070000000003</v>
      </c>
      <c r="N40" s="5">
        <f>L40-Grade15!L40</f>
        <v>655.25190500706958</v>
      </c>
      <c r="O40" s="5">
        <f>Grade15!M40-M40</f>
        <v>17.688999999999851</v>
      </c>
      <c r="P40" s="22">
        <f t="shared" si="12"/>
        <v>58.664960902051909</v>
      </c>
      <c r="Q40" s="22"/>
      <c r="R40" s="22"/>
      <c r="S40" s="22">
        <f t="shared" si="6"/>
        <v>318.04815935436545</v>
      </c>
      <c r="T40" s="22">
        <f t="shared" si="7"/>
        <v>883.98045407491145</v>
      </c>
    </row>
    <row r="41" spans="1:20" x14ac:dyDescent="0.2">
      <c r="A41" s="5">
        <v>50</v>
      </c>
      <c r="B41" s="1">
        <f t="shared" si="13"/>
        <v>1.9964950187572048</v>
      </c>
      <c r="C41" s="5">
        <f t="shared" si="14"/>
        <v>62368.100708155704</v>
      </c>
      <c r="D41" s="5">
        <f t="shared" si="15"/>
        <v>60169.999974872379</v>
      </c>
      <c r="E41" s="5">
        <f t="shared" si="1"/>
        <v>50669.999974872379</v>
      </c>
      <c r="F41" s="5">
        <f t="shared" si="2"/>
        <v>18462.504989283068</v>
      </c>
      <c r="G41" s="5">
        <f t="shared" si="3"/>
        <v>41707.494985589306</v>
      </c>
      <c r="H41" s="22">
        <f t="shared" si="16"/>
        <v>27408.63869923235</v>
      </c>
      <c r="I41" s="5">
        <f t="shared" si="17"/>
        <v>67827.92766595773</v>
      </c>
      <c r="J41" s="26">
        <f t="shared" si="5"/>
        <v>0.20722158067833504</v>
      </c>
      <c r="L41" s="22">
        <f t="shared" si="18"/>
        <v>65006.565483414372</v>
      </c>
      <c r="M41" s="5">
        <f>scrimecost*Meta!O38</f>
        <v>1553.134</v>
      </c>
      <c r="N41" s="5">
        <f>L41-Grade15!L41</f>
        <v>671.63320263223432</v>
      </c>
      <c r="O41" s="5">
        <f>Grade15!M41-M41</f>
        <v>11.817999999999984</v>
      </c>
      <c r="P41" s="22">
        <f t="shared" si="12"/>
        <v>60.074289761828524</v>
      </c>
      <c r="Q41" s="22"/>
      <c r="R41" s="22"/>
      <c r="S41" s="22">
        <f t="shared" si="6"/>
        <v>322.08786395827599</v>
      </c>
      <c r="T41" s="22">
        <f t="shared" si="7"/>
        <v>928.49482207010124</v>
      </c>
    </row>
    <row r="42" spans="1:20" x14ac:dyDescent="0.2">
      <c r="A42" s="5">
        <v>51</v>
      </c>
      <c r="B42" s="1">
        <f t="shared" si="13"/>
        <v>2.0464073942261352</v>
      </c>
      <c r="C42" s="5">
        <f t="shared" si="14"/>
        <v>63927.303225859599</v>
      </c>
      <c r="D42" s="5">
        <f t="shared" si="15"/>
        <v>61655.919974244192</v>
      </c>
      <c r="E42" s="5">
        <f t="shared" si="1"/>
        <v>52155.919974244192</v>
      </c>
      <c r="F42" s="5">
        <f t="shared" si="2"/>
        <v>19096.249869015148</v>
      </c>
      <c r="G42" s="5">
        <f t="shared" si="3"/>
        <v>42559.670105229045</v>
      </c>
      <c r="H42" s="22">
        <f t="shared" si="16"/>
        <v>28093.85466671316</v>
      </c>
      <c r="I42" s="5">
        <f t="shared" si="17"/>
        <v>69333.113602606682</v>
      </c>
      <c r="J42" s="26">
        <f t="shared" si="5"/>
        <v>0.20939399332967817</v>
      </c>
      <c r="L42" s="22">
        <f t="shared" si="18"/>
        <v>66631.729620499726</v>
      </c>
      <c r="M42" s="5">
        <f>scrimecost*Meta!O39</f>
        <v>1553.134</v>
      </c>
      <c r="N42" s="5">
        <f>L42-Grade15!L42</f>
        <v>688.42403269805072</v>
      </c>
      <c r="O42" s="5">
        <f>Grade15!M42-M42</f>
        <v>11.817999999999984</v>
      </c>
      <c r="P42" s="22">
        <f t="shared" si="12"/>
        <v>61.518851843099576</v>
      </c>
      <c r="Q42" s="22"/>
      <c r="R42" s="22"/>
      <c r="S42" s="22">
        <f t="shared" si="6"/>
        <v>329.92347502729365</v>
      </c>
      <c r="T42" s="22">
        <f t="shared" si="7"/>
        <v>986.44685391359963</v>
      </c>
    </row>
    <row r="43" spans="1:20" x14ac:dyDescent="0.2">
      <c r="A43" s="5">
        <v>52</v>
      </c>
      <c r="B43" s="1">
        <f t="shared" si="13"/>
        <v>2.097567579081788</v>
      </c>
      <c r="C43" s="5">
        <f t="shared" si="14"/>
        <v>65525.485806506076</v>
      </c>
      <c r="D43" s="5">
        <f t="shared" si="15"/>
        <v>63178.987973600284</v>
      </c>
      <c r="E43" s="5">
        <f t="shared" si="1"/>
        <v>53678.987973600284</v>
      </c>
      <c r="F43" s="5">
        <f t="shared" si="2"/>
        <v>19745.838370740523</v>
      </c>
      <c r="G43" s="5">
        <f t="shared" si="3"/>
        <v>43433.149602859761</v>
      </c>
      <c r="H43" s="22">
        <f t="shared" si="16"/>
        <v>28796.201033380981</v>
      </c>
      <c r="I43" s="5">
        <f t="shared" si="17"/>
        <v>70875.929187671834</v>
      </c>
      <c r="J43" s="26">
        <f t="shared" si="5"/>
        <v>0.2115134203065982</v>
      </c>
      <c r="L43" s="22">
        <f t="shared" si="18"/>
        <v>68297.522861012214</v>
      </c>
      <c r="M43" s="5">
        <f>scrimecost*Meta!O40</f>
        <v>1553.134</v>
      </c>
      <c r="N43" s="5">
        <f>L43-Grade15!L43</f>
        <v>705.63463351548126</v>
      </c>
      <c r="O43" s="5">
        <f>Grade15!M43-M43</f>
        <v>11.817999999999984</v>
      </c>
      <c r="P43" s="22">
        <f t="shared" si="12"/>
        <v>62.999527976402383</v>
      </c>
      <c r="Q43" s="22"/>
      <c r="R43" s="22"/>
      <c r="S43" s="22">
        <f t="shared" si="6"/>
        <v>337.95497637302373</v>
      </c>
      <c r="T43" s="22">
        <f t="shared" si="7"/>
        <v>1048.0323032309147</v>
      </c>
    </row>
    <row r="44" spans="1:20" x14ac:dyDescent="0.2">
      <c r="A44" s="5">
        <v>53</v>
      </c>
      <c r="B44" s="1">
        <f t="shared" si="13"/>
        <v>2.1500067685588333</v>
      </c>
      <c r="C44" s="5">
        <f t="shared" si="14"/>
        <v>67163.622951668745</v>
      </c>
      <c r="D44" s="5">
        <f t="shared" si="15"/>
        <v>64740.132672940308</v>
      </c>
      <c r="E44" s="5">
        <f t="shared" si="1"/>
        <v>55240.132672940308</v>
      </c>
      <c r="F44" s="5">
        <f t="shared" si="2"/>
        <v>20411.666585009043</v>
      </c>
      <c r="G44" s="5">
        <f t="shared" si="3"/>
        <v>44328.466087931265</v>
      </c>
      <c r="H44" s="22">
        <f t="shared" si="16"/>
        <v>29516.106059215515</v>
      </c>
      <c r="I44" s="5">
        <f t="shared" si="17"/>
        <v>72457.315162363651</v>
      </c>
      <c r="J44" s="26">
        <f t="shared" si="5"/>
        <v>0.21358115394261781</v>
      </c>
      <c r="L44" s="22">
        <f t="shared" si="18"/>
        <v>70004.960932537535</v>
      </c>
      <c r="M44" s="5">
        <f>scrimecost*Meta!O41</f>
        <v>1553.134</v>
      </c>
      <c r="N44" s="5">
        <f>L44-Grade15!L44</f>
        <v>723.27549935340357</v>
      </c>
      <c r="O44" s="5">
        <f>Grade15!M44-M44</f>
        <v>11.817999999999984</v>
      </c>
      <c r="P44" s="22">
        <f t="shared" si="12"/>
        <v>64.517221013037783</v>
      </c>
      <c r="Q44" s="22"/>
      <c r="R44" s="22"/>
      <c r="S44" s="22">
        <f t="shared" ref="S44:S69" si="19">IF(A44&lt;startage,1,0)*(N44-Q44-R44)+IF(A44&gt;=startage,1,0)*completionprob*(N44*spart+O44+P44)</f>
        <v>346.18726525242033</v>
      </c>
      <c r="T44" s="22">
        <f t="shared" ref="T44:T69" si="20">S44/sreturn^(A44-startage+1)</f>
        <v>1113.4795886767279</v>
      </c>
    </row>
    <row r="45" spans="1:20" x14ac:dyDescent="0.2">
      <c r="A45" s="5">
        <v>54</v>
      </c>
      <c r="B45" s="1">
        <f t="shared" si="13"/>
        <v>2.2037569377728037</v>
      </c>
      <c r="C45" s="5">
        <f t="shared" si="14"/>
        <v>68842.713525460451</v>
      </c>
      <c r="D45" s="5">
        <f t="shared" si="15"/>
        <v>66340.305989763801</v>
      </c>
      <c r="E45" s="5">
        <f t="shared" si="1"/>
        <v>56840.305989763801</v>
      </c>
      <c r="F45" s="5">
        <f t="shared" si="2"/>
        <v>21094.140504634262</v>
      </c>
      <c r="G45" s="5">
        <f t="shared" si="3"/>
        <v>45246.165485129539</v>
      </c>
      <c r="H45" s="22">
        <f t="shared" si="16"/>
        <v>30254.008710695896</v>
      </c>
      <c r="I45" s="5">
        <f t="shared" si="17"/>
        <v>74078.235786422723</v>
      </c>
      <c r="J45" s="26">
        <f t="shared" si="5"/>
        <v>0.21559845505092953</v>
      </c>
      <c r="L45" s="22">
        <f t="shared" si="18"/>
        <v>71755.084955850965</v>
      </c>
      <c r="M45" s="5">
        <f>scrimecost*Meta!O42</f>
        <v>1553.134</v>
      </c>
      <c r="N45" s="5">
        <f>L45-Grade15!L45</f>
        <v>741.35738683723321</v>
      </c>
      <c r="O45" s="5">
        <f>Grade15!M45-M45</f>
        <v>11.817999999999984</v>
      </c>
      <c r="P45" s="22">
        <f t="shared" si="12"/>
        <v>66.072856375589055</v>
      </c>
      <c r="Q45" s="22"/>
      <c r="R45" s="22"/>
      <c r="S45" s="22">
        <f t="shared" si="19"/>
        <v>354.62536135378491</v>
      </c>
      <c r="T45" s="22">
        <f t="shared" si="20"/>
        <v>1183.0315116817389</v>
      </c>
    </row>
    <row r="46" spans="1:20" x14ac:dyDescent="0.2">
      <c r="A46" s="5">
        <v>55</v>
      </c>
      <c r="B46" s="1">
        <f t="shared" si="13"/>
        <v>2.2588508612171236</v>
      </c>
      <c r="C46" s="5">
        <f t="shared" si="14"/>
        <v>70563.781363596951</v>
      </c>
      <c r="D46" s="5">
        <f t="shared" si="15"/>
        <v>67980.483639507889</v>
      </c>
      <c r="E46" s="5">
        <f t="shared" si="1"/>
        <v>58480.483639507889</v>
      </c>
      <c r="F46" s="5">
        <f t="shared" si="2"/>
        <v>21793.676272250115</v>
      </c>
      <c r="G46" s="5">
        <f t="shared" si="3"/>
        <v>46186.807367257774</v>
      </c>
      <c r="H46" s="22">
        <f t="shared" si="16"/>
        <v>31010.358928463291</v>
      </c>
      <c r="I46" s="5">
        <f t="shared" si="17"/>
        <v>75739.679426083283</v>
      </c>
      <c r="J46" s="26">
        <f t="shared" si="5"/>
        <v>0.21756655369318492</v>
      </c>
      <c r="L46" s="22">
        <f t="shared" si="18"/>
        <v>73548.962079747231</v>
      </c>
      <c r="M46" s="5">
        <f>scrimecost*Meta!O43</f>
        <v>861.46499999999992</v>
      </c>
      <c r="N46" s="5">
        <f>L46-Grade15!L46</f>
        <v>759.89132150815567</v>
      </c>
      <c r="O46" s="5">
        <f>Grade15!M46-M46</f>
        <v>6.5550000000000637</v>
      </c>
      <c r="P46" s="22">
        <f t="shared" si="12"/>
        <v>67.667382622204101</v>
      </c>
      <c r="Q46" s="22"/>
      <c r="R46" s="22"/>
      <c r="S46" s="22">
        <f t="shared" si="19"/>
        <v>360.04292785768246</v>
      </c>
      <c r="T46" s="22">
        <f t="shared" si="20"/>
        <v>1245.7650866311169</v>
      </c>
    </row>
    <row r="47" spans="1:20" x14ac:dyDescent="0.2">
      <c r="A47" s="5">
        <v>56</v>
      </c>
      <c r="B47" s="1">
        <f t="shared" si="13"/>
        <v>2.3153221327475517</v>
      </c>
      <c r="C47" s="5">
        <f t="shared" si="14"/>
        <v>72327.875897686885</v>
      </c>
      <c r="D47" s="5">
        <f t="shared" si="15"/>
        <v>69661.665730495602</v>
      </c>
      <c r="E47" s="5">
        <f t="shared" si="1"/>
        <v>60161.665730495602</v>
      </c>
      <c r="F47" s="5">
        <f t="shared" si="2"/>
        <v>22510.700434056376</v>
      </c>
      <c r="G47" s="5">
        <f t="shared" si="3"/>
        <v>47150.96529643923</v>
      </c>
      <c r="H47" s="22">
        <f t="shared" si="16"/>
        <v>31785.617901674872</v>
      </c>
      <c r="I47" s="5">
        <f t="shared" si="17"/>
        <v>77442.659156735375</v>
      </c>
      <c r="J47" s="26">
        <f t="shared" si="5"/>
        <v>0.21948664992953174</v>
      </c>
      <c r="L47" s="22">
        <f t="shared" si="18"/>
        <v>75387.68613174092</v>
      </c>
      <c r="M47" s="5">
        <f>scrimecost*Meta!O44</f>
        <v>861.46499999999992</v>
      </c>
      <c r="N47" s="5">
        <f>L47-Grade15!L47</f>
        <v>778.88860454587848</v>
      </c>
      <c r="O47" s="5">
        <f>Grade15!M47-M47</f>
        <v>6.5550000000000637</v>
      </c>
      <c r="P47" s="22">
        <f t="shared" si="12"/>
        <v>69.301772024984558</v>
      </c>
      <c r="Q47" s="22"/>
      <c r="R47" s="22"/>
      <c r="S47" s="22">
        <f t="shared" si="19"/>
        <v>368.90820257418869</v>
      </c>
      <c r="T47" s="22">
        <f t="shared" si="20"/>
        <v>1323.901064917103</v>
      </c>
    </row>
    <row r="48" spans="1:20" x14ac:dyDescent="0.2">
      <c r="A48" s="5">
        <v>57</v>
      </c>
      <c r="B48" s="1">
        <f t="shared" si="13"/>
        <v>2.3732051860662402</v>
      </c>
      <c r="C48" s="5">
        <f t="shared" si="14"/>
        <v>74136.072795129032</v>
      </c>
      <c r="D48" s="5">
        <f t="shared" si="15"/>
        <v>71384.877373757961</v>
      </c>
      <c r="E48" s="5">
        <f t="shared" si="1"/>
        <v>61884.877373757961</v>
      </c>
      <c r="F48" s="5">
        <f t="shared" si="2"/>
        <v>23245.65019990777</v>
      </c>
      <c r="G48" s="5">
        <f t="shared" si="3"/>
        <v>48139.227173850188</v>
      </c>
      <c r="H48" s="22">
        <f t="shared" si="16"/>
        <v>32580.25834921674</v>
      </c>
      <c r="I48" s="5">
        <f t="shared" si="17"/>
        <v>79188.213380653731</v>
      </c>
      <c r="J48" s="26">
        <f t="shared" si="5"/>
        <v>0.22135991455035767</v>
      </c>
      <c r="L48" s="22">
        <f t="shared" si="18"/>
        <v>77272.378285034414</v>
      </c>
      <c r="M48" s="5">
        <f>scrimecost*Meta!O45</f>
        <v>861.46499999999992</v>
      </c>
      <c r="N48" s="5">
        <f>L48-Grade15!L48</f>
        <v>798.36081965948688</v>
      </c>
      <c r="O48" s="5">
        <f>Grade15!M48-M48</f>
        <v>6.5550000000000637</v>
      </c>
      <c r="P48" s="22">
        <f t="shared" si="12"/>
        <v>70.977021162834461</v>
      </c>
      <c r="Q48" s="22"/>
      <c r="R48" s="22"/>
      <c r="S48" s="22">
        <f t="shared" si="19"/>
        <v>377.99510915858383</v>
      </c>
      <c r="T48" s="22">
        <f t="shared" si="20"/>
        <v>1406.9502774904047</v>
      </c>
    </row>
    <row r="49" spans="1:20" x14ac:dyDescent="0.2">
      <c r="A49" s="5">
        <v>58</v>
      </c>
      <c r="B49" s="1">
        <f t="shared" si="13"/>
        <v>2.4325353157178964</v>
      </c>
      <c r="C49" s="5">
        <f t="shared" si="14"/>
        <v>75989.474615007275</v>
      </c>
      <c r="D49" s="5">
        <f t="shared" si="15"/>
        <v>73151.169308101933</v>
      </c>
      <c r="E49" s="5">
        <f t="shared" si="1"/>
        <v>63651.169308101933</v>
      </c>
      <c r="F49" s="5">
        <f t="shared" si="2"/>
        <v>23998.973709905473</v>
      </c>
      <c r="G49" s="5">
        <f t="shared" si="3"/>
        <v>49152.195598196457</v>
      </c>
      <c r="H49" s="22">
        <f t="shared" si="16"/>
        <v>33394.764807947162</v>
      </c>
      <c r="I49" s="5">
        <f t="shared" si="17"/>
        <v>80977.406460170096</v>
      </c>
      <c r="J49" s="26">
        <f t="shared" si="5"/>
        <v>0.22318748979018802</v>
      </c>
      <c r="L49" s="22">
        <f t="shared" si="18"/>
        <v>79204.187742160284</v>
      </c>
      <c r="M49" s="5">
        <f>scrimecost*Meta!O46</f>
        <v>861.46499999999992</v>
      </c>
      <c r="N49" s="5">
        <f>L49-Grade15!L49</f>
        <v>818.3198401510017</v>
      </c>
      <c r="O49" s="5">
        <f>Grade15!M49-M49</f>
        <v>6.5550000000000637</v>
      </c>
      <c r="P49" s="22">
        <f t="shared" si="12"/>
        <v>72.694151529130664</v>
      </c>
      <c r="Q49" s="22"/>
      <c r="R49" s="22"/>
      <c r="S49" s="22">
        <f t="shared" si="19"/>
        <v>387.3091884076162</v>
      </c>
      <c r="T49" s="22">
        <f t="shared" si="20"/>
        <v>1495.2221369483007</v>
      </c>
    </row>
    <row r="50" spans="1:20" x14ac:dyDescent="0.2">
      <c r="A50" s="5">
        <v>59</v>
      </c>
      <c r="B50" s="1">
        <f t="shared" si="13"/>
        <v>2.4933486986108435</v>
      </c>
      <c r="C50" s="5">
        <f t="shared" si="14"/>
        <v>77889.211480382437</v>
      </c>
      <c r="D50" s="5">
        <f t="shared" si="15"/>
        <v>74961.618540804455</v>
      </c>
      <c r="E50" s="5">
        <f t="shared" si="1"/>
        <v>65461.618540804455</v>
      </c>
      <c r="F50" s="5">
        <f t="shared" si="2"/>
        <v>24771.1303076531</v>
      </c>
      <c r="G50" s="5">
        <f t="shared" si="3"/>
        <v>50190.488233151351</v>
      </c>
      <c r="H50" s="22">
        <f t="shared" si="16"/>
        <v>34229.633928145835</v>
      </c>
      <c r="I50" s="5">
        <f t="shared" si="17"/>
        <v>82811.329366674327</v>
      </c>
      <c r="J50" s="26">
        <f t="shared" si="5"/>
        <v>0.22497049002416877</v>
      </c>
      <c r="L50" s="22">
        <f t="shared" si="18"/>
        <v>81184.292435714291</v>
      </c>
      <c r="M50" s="5">
        <f>scrimecost*Meta!O47</f>
        <v>861.46499999999992</v>
      </c>
      <c r="N50" s="5">
        <f>L50-Grade15!L50</f>
        <v>838.77783615478256</v>
      </c>
      <c r="O50" s="5">
        <f>Grade15!M50-M50</f>
        <v>6.5550000000000637</v>
      </c>
      <c r="P50" s="22">
        <f t="shared" si="12"/>
        <v>74.45421015458426</v>
      </c>
      <c r="Q50" s="22"/>
      <c r="R50" s="22"/>
      <c r="S50" s="22">
        <f t="shared" si="19"/>
        <v>396.85611963786545</v>
      </c>
      <c r="T50" s="22">
        <f t="shared" si="20"/>
        <v>1589.0455586295409</v>
      </c>
    </row>
    <row r="51" spans="1:20" x14ac:dyDescent="0.2">
      <c r="A51" s="5">
        <v>60</v>
      </c>
      <c r="B51" s="1">
        <f t="shared" si="13"/>
        <v>2.555682416076114</v>
      </c>
      <c r="C51" s="5">
        <f t="shared" si="14"/>
        <v>79836.441767391982</v>
      </c>
      <c r="D51" s="5">
        <f t="shared" si="15"/>
        <v>76817.329004324551</v>
      </c>
      <c r="E51" s="5">
        <f t="shared" si="1"/>
        <v>67317.329004324551</v>
      </c>
      <c r="F51" s="5">
        <f t="shared" si="2"/>
        <v>25562.590820344423</v>
      </c>
      <c r="G51" s="5">
        <f t="shared" si="3"/>
        <v>51254.738183980124</v>
      </c>
      <c r="H51" s="22">
        <f t="shared" si="16"/>
        <v>35085.374776349476</v>
      </c>
      <c r="I51" s="5">
        <f t="shared" si="17"/>
        <v>84691.100345841172</v>
      </c>
      <c r="J51" s="26">
        <f t="shared" si="5"/>
        <v>0.22671000244756467</v>
      </c>
      <c r="L51" s="22">
        <f t="shared" si="18"/>
        <v>83213.899746607131</v>
      </c>
      <c r="M51" s="5">
        <f>scrimecost*Meta!O48</f>
        <v>454.45400000000001</v>
      </c>
      <c r="N51" s="5">
        <f>L51-Grade15!L51</f>
        <v>859.7472820586263</v>
      </c>
      <c r="O51" s="5">
        <f>Grade15!M51-M51</f>
        <v>3.45799999999997</v>
      </c>
      <c r="P51" s="22">
        <f t="shared" si="12"/>
        <v>76.258270245674183</v>
      </c>
      <c r="Q51" s="22"/>
      <c r="R51" s="22"/>
      <c r="S51" s="22">
        <f t="shared" si="19"/>
        <v>404.74016614885767</v>
      </c>
      <c r="T51" s="22">
        <f t="shared" si="20"/>
        <v>1680.8730804516388</v>
      </c>
    </row>
    <row r="52" spans="1:20" x14ac:dyDescent="0.2">
      <c r="A52" s="5">
        <v>61</v>
      </c>
      <c r="B52" s="1">
        <f t="shared" si="13"/>
        <v>2.6195744764780171</v>
      </c>
      <c r="C52" s="5">
        <f t="shared" si="14"/>
        <v>81832.352811576799</v>
      </c>
      <c r="D52" s="5">
        <f t="shared" si="15"/>
        <v>78719.432229432685</v>
      </c>
      <c r="E52" s="5">
        <f t="shared" si="1"/>
        <v>69219.432229432685</v>
      </c>
      <c r="F52" s="5">
        <f t="shared" si="2"/>
        <v>26373.837845853039</v>
      </c>
      <c r="G52" s="5">
        <f t="shared" si="3"/>
        <v>52345.59438357965</v>
      </c>
      <c r="H52" s="22">
        <f t="shared" si="16"/>
        <v>35962.509145758217</v>
      </c>
      <c r="I52" s="5">
        <f t="shared" si="17"/>
        <v>86617.865599487239</v>
      </c>
      <c r="J52" s="26">
        <f t="shared" si="5"/>
        <v>0.22840708773868262</v>
      </c>
      <c r="L52" s="22">
        <f t="shared" si="18"/>
        <v>85294.247240272322</v>
      </c>
      <c r="M52" s="5">
        <f>scrimecost*Meta!O49</f>
        <v>454.45400000000001</v>
      </c>
      <c r="N52" s="5">
        <f>L52-Grade15!L52</f>
        <v>881.24096411012579</v>
      </c>
      <c r="O52" s="5">
        <f>Grade15!M52-M52</f>
        <v>3.45799999999997</v>
      </c>
      <c r="P52" s="22">
        <f t="shared" si="12"/>
        <v>78.107431839041368</v>
      </c>
      <c r="Q52" s="22"/>
      <c r="R52" s="22"/>
      <c r="S52" s="22">
        <f t="shared" si="19"/>
        <v>414.77041077264943</v>
      </c>
      <c r="T52" s="22">
        <f t="shared" si="20"/>
        <v>1786.576973349594</v>
      </c>
    </row>
    <row r="53" spans="1:20" x14ac:dyDescent="0.2">
      <c r="A53" s="5">
        <v>62</v>
      </c>
      <c r="B53" s="1">
        <f t="shared" si="13"/>
        <v>2.6850638383899672</v>
      </c>
      <c r="C53" s="5">
        <f t="shared" si="14"/>
        <v>83878.161631866198</v>
      </c>
      <c r="D53" s="5">
        <f t="shared" si="15"/>
        <v>80669.088035168475</v>
      </c>
      <c r="E53" s="5">
        <f t="shared" si="1"/>
        <v>71169.088035168475</v>
      </c>
      <c r="F53" s="5">
        <f t="shared" si="2"/>
        <v>27205.366046999352</v>
      </c>
      <c r="G53" s="5">
        <f t="shared" si="3"/>
        <v>53463.721988169127</v>
      </c>
      <c r="H53" s="22">
        <f t="shared" si="16"/>
        <v>36861.571874402165</v>
      </c>
      <c r="I53" s="5">
        <f t="shared" si="17"/>
        <v>88592.79998447439</v>
      </c>
      <c r="J53" s="26">
        <f t="shared" si="5"/>
        <v>0.23006278070562688</v>
      </c>
      <c r="L53" s="22">
        <f t="shared" si="18"/>
        <v>87426.603421279113</v>
      </c>
      <c r="M53" s="5">
        <f>scrimecost*Meta!O50</f>
        <v>454.45400000000001</v>
      </c>
      <c r="N53" s="5">
        <f>L53-Grade15!L53</f>
        <v>903.27198821285856</v>
      </c>
      <c r="O53" s="5">
        <f>Grade15!M53-M53</f>
        <v>3.45799999999997</v>
      </c>
      <c r="P53" s="22">
        <f t="shared" si="12"/>
        <v>80.002822472242713</v>
      </c>
      <c r="Q53" s="22"/>
      <c r="R53" s="22"/>
      <c r="S53" s="22">
        <f t="shared" si="19"/>
        <v>425.0514115120136</v>
      </c>
      <c r="T53" s="22">
        <f t="shared" si="20"/>
        <v>1898.9379648355741</v>
      </c>
    </row>
    <row r="54" spans="1:20" x14ac:dyDescent="0.2">
      <c r="A54" s="5">
        <v>63</v>
      </c>
      <c r="B54" s="1">
        <f t="shared" si="13"/>
        <v>2.7521904343497163</v>
      </c>
      <c r="C54" s="5">
        <f t="shared" si="14"/>
        <v>85975.115672662854</v>
      </c>
      <c r="D54" s="5">
        <f t="shared" si="15"/>
        <v>82667.485236047694</v>
      </c>
      <c r="E54" s="5">
        <f t="shared" si="1"/>
        <v>73167.485236047694</v>
      </c>
      <c r="F54" s="5">
        <f t="shared" si="2"/>
        <v>28057.68245317434</v>
      </c>
      <c r="G54" s="5">
        <f t="shared" si="3"/>
        <v>54609.802782873354</v>
      </c>
      <c r="H54" s="22">
        <f t="shared" si="16"/>
        <v>37783.111171262215</v>
      </c>
      <c r="I54" s="5">
        <f t="shared" si="17"/>
        <v>90617.107729086245</v>
      </c>
      <c r="J54" s="26">
        <f t="shared" si="5"/>
        <v>0.23167809091727992</v>
      </c>
      <c r="L54" s="22">
        <f t="shared" si="18"/>
        <v>89612.268506811088</v>
      </c>
      <c r="M54" s="5">
        <f>scrimecost*Meta!O51</f>
        <v>454.45400000000001</v>
      </c>
      <c r="N54" s="5">
        <f>L54-Grade15!L54</f>
        <v>925.85378791818221</v>
      </c>
      <c r="O54" s="5">
        <f>Grade15!M54-M54</f>
        <v>3.45799999999997</v>
      </c>
      <c r="P54" s="22">
        <f t="shared" si="12"/>
        <v>81.945597871274117</v>
      </c>
      <c r="Q54" s="22"/>
      <c r="R54" s="22"/>
      <c r="S54" s="22">
        <f t="shared" si="19"/>
        <v>435.58943726987115</v>
      </c>
      <c r="T54" s="22">
        <f t="shared" si="20"/>
        <v>2018.3756752722504</v>
      </c>
    </row>
    <row r="55" spans="1:20" x14ac:dyDescent="0.2">
      <c r="A55" s="5">
        <v>64</v>
      </c>
      <c r="B55" s="1">
        <f t="shared" si="13"/>
        <v>2.8209951952084591</v>
      </c>
      <c r="C55" s="5">
        <f t="shared" si="14"/>
        <v>88124.493564479431</v>
      </c>
      <c r="D55" s="5">
        <f t="shared" si="15"/>
        <v>84715.842366948898</v>
      </c>
      <c r="E55" s="5">
        <f t="shared" si="1"/>
        <v>75215.842366948898</v>
      </c>
      <c r="F55" s="5">
        <f t="shared" si="2"/>
        <v>28931.306769503703</v>
      </c>
      <c r="G55" s="5">
        <f t="shared" si="3"/>
        <v>55784.535597445196</v>
      </c>
      <c r="H55" s="22">
        <f t="shared" si="16"/>
        <v>38727.688950543772</v>
      </c>
      <c r="I55" s="5">
        <f t="shared" si="17"/>
        <v>92692.023167313411</v>
      </c>
      <c r="J55" s="26">
        <f t="shared" si="5"/>
        <v>0.23325400331889268</v>
      </c>
      <c r="L55" s="22">
        <f t="shared" si="18"/>
        <v>91852.575219481354</v>
      </c>
      <c r="M55" s="5">
        <f>scrimecost*Meta!O52</f>
        <v>454.45400000000001</v>
      </c>
      <c r="N55" s="5">
        <f>L55-Grade15!L55</f>
        <v>949.00013261612912</v>
      </c>
      <c r="O55" s="5">
        <f>Grade15!M55-M55</f>
        <v>3.45799999999997</v>
      </c>
      <c r="P55" s="22">
        <f t="shared" si="12"/>
        <v>83.936942655281314</v>
      </c>
      <c r="Q55" s="22"/>
      <c r="R55" s="22"/>
      <c r="S55" s="22">
        <f t="shared" si="19"/>
        <v>446.39091367167111</v>
      </c>
      <c r="T55" s="22">
        <f t="shared" si="20"/>
        <v>2145.3361887582637</v>
      </c>
    </row>
    <row r="56" spans="1:20" x14ac:dyDescent="0.2">
      <c r="A56" s="5">
        <v>65</v>
      </c>
      <c r="B56" s="1">
        <f t="shared" si="13"/>
        <v>2.8915200750886707</v>
      </c>
      <c r="C56" s="5">
        <f t="shared" si="14"/>
        <v>90327.605903591408</v>
      </c>
      <c r="D56" s="5">
        <f t="shared" si="15"/>
        <v>86815.408426122609</v>
      </c>
      <c r="E56" s="5">
        <f t="shared" si="1"/>
        <v>77315.408426122609</v>
      </c>
      <c r="F56" s="5">
        <f t="shared" si="2"/>
        <v>29826.771693741295</v>
      </c>
      <c r="G56" s="5">
        <f t="shared" si="3"/>
        <v>56988.636732381317</v>
      </c>
      <c r="H56" s="22">
        <f t="shared" si="16"/>
        <v>39695.881174307367</v>
      </c>
      <c r="I56" s="5">
        <f t="shared" si="17"/>
        <v>94818.811491496235</v>
      </c>
      <c r="J56" s="26">
        <f t="shared" si="5"/>
        <v>0.23479147883266116</v>
      </c>
      <c r="L56" s="22">
        <f t="shared" si="18"/>
        <v>94148.889599968388</v>
      </c>
      <c r="M56" s="5">
        <f>scrimecost*Meta!O53</f>
        <v>137.33500000000001</v>
      </c>
      <c r="N56" s="5">
        <f>L56-Grade15!L56</f>
        <v>972.725135931556</v>
      </c>
      <c r="O56" s="5">
        <f>Grade15!M56-M56</f>
        <v>1.0449999999999875</v>
      </c>
      <c r="P56" s="22">
        <f t="shared" si="12"/>
        <v>85.978071058888659</v>
      </c>
      <c r="Q56" s="22"/>
      <c r="R56" s="22"/>
      <c r="S56" s="22">
        <f t="shared" si="19"/>
        <v>455.98084498352904</v>
      </c>
      <c r="T56" s="22">
        <f t="shared" si="20"/>
        <v>2272.9085431017884</v>
      </c>
    </row>
    <row r="57" spans="1:20" x14ac:dyDescent="0.2">
      <c r="A57" s="5">
        <v>66</v>
      </c>
      <c r="C57" s="5"/>
      <c r="H57" s="21"/>
      <c r="I57" s="5"/>
      <c r="M57" s="5">
        <f>scrimecost*Meta!O54</f>
        <v>137.33500000000001</v>
      </c>
      <c r="N57" s="5">
        <f>L57-Grade15!L57</f>
        <v>0</v>
      </c>
      <c r="O57" s="5">
        <f>Grade15!M57-M57</f>
        <v>1.0449999999999875</v>
      </c>
      <c r="Q57" s="22"/>
      <c r="R57" s="22"/>
      <c r="S57" s="22">
        <f t="shared" si="19"/>
        <v>0.64162999999999226</v>
      </c>
      <c r="T57" s="22">
        <f t="shared" si="20"/>
        <v>3.3172283833122886</v>
      </c>
    </row>
    <row r="58" spans="1:20" x14ac:dyDescent="0.2">
      <c r="A58" s="5">
        <v>67</v>
      </c>
      <c r="C58" s="5"/>
      <c r="H58" s="21"/>
      <c r="I58" s="5"/>
      <c r="M58" s="5">
        <f>scrimecost*Meta!O55</f>
        <v>137.33500000000001</v>
      </c>
      <c r="N58" s="5">
        <f>L58-Grade15!L58</f>
        <v>0</v>
      </c>
      <c r="O58" s="5">
        <f>Grade15!M58-M58</f>
        <v>1.0449999999999875</v>
      </c>
      <c r="Q58" s="22"/>
      <c r="R58" s="22"/>
      <c r="S58" s="22">
        <f t="shared" si="19"/>
        <v>0.64162999999999226</v>
      </c>
      <c r="T58" s="22">
        <f t="shared" si="20"/>
        <v>3.440572563898892</v>
      </c>
    </row>
    <row r="59" spans="1:20" x14ac:dyDescent="0.2">
      <c r="A59" s="5">
        <v>68</v>
      </c>
      <c r="H59" s="21"/>
      <c r="I59" s="5"/>
      <c r="M59" s="5">
        <f>scrimecost*Meta!O56</f>
        <v>137.33500000000001</v>
      </c>
      <c r="N59" s="5">
        <f>L59-Grade15!L59</f>
        <v>0</v>
      </c>
      <c r="O59" s="5">
        <f>Grade15!M59-M59</f>
        <v>1.0449999999999875</v>
      </c>
      <c r="Q59" s="22"/>
      <c r="R59" s="22"/>
      <c r="S59" s="22">
        <f t="shared" si="19"/>
        <v>0.64162999999999226</v>
      </c>
      <c r="T59" s="22">
        <f t="shared" si="20"/>
        <v>3.5685030391648485</v>
      </c>
    </row>
    <row r="60" spans="1:20" x14ac:dyDescent="0.2">
      <c r="A60" s="5">
        <v>69</v>
      </c>
      <c r="H60" s="21"/>
      <c r="I60" s="5"/>
      <c r="M60" s="5">
        <f>scrimecost*Meta!O57</f>
        <v>137.33500000000001</v>
      </c>
      <c r="N60" s="5">
        <f>L60-Grade15!L60</f>
        <v>0</v>
      </c>
      <c r="O60" s="5">
        <f>Grade15!M60-M60</f>
        <v>1.0449999999999875</v>
      </c>
      <c r="Q60" s="22"/>
      <c r="R60" s="22"/>
      <c r="S60" s="22">
        <f t="shared" si="19"/>
        <v>0.64162999999999226</v>
      </c>
      <c r="T60" s="22">
        <f t="shared" si="20"/>
        <v>3.7011903408594908</v>
      </c>
    </row>
    <row r="61" spans="1:20" x14ac:dyDescent="0.2">
      <c r="A61" s="5">
        <v>70</v>
      </c>
      <c r="H61" s="21"/>
      <c r="I61" s="5"/>
      <c r="M61" s="5">
        <f>scrimecost*Meta!O58</f>
        <v>137.33500000000001</v>
      </c>
      <c r="N61" s="5">
        <f>L61-Grade15!L61</f>
        <v>0</v>
      </c>
      <c r="O61" s="5">
        <f>Grade15!M61-M61</f>
        <v>1.0449999999999875</v>
      </c>
      <c r="Q61" s="22"/>
      <c r="R61" s="22"/>
      <c r="S61" s="22">
        <f t="shared" si="19"/>
        <v>0.64162999999999226</v>
      </c>
      <c r="T61" s="22">
        <f t="shared" si="20"/>
        <v>3.8388113415976206</v>
      </c>
    </row>
    <row r="62" spans="1:20" x14ac:dyDescent="0.2">
      <c r="A62" s="5">
        <v>71</v>
      </c>
      <c r="H62" s="21"/>
      <c r="I62" s="5"/>
      <c r="M62" s="5">
        <f>scrimecost*Meta!O59</f>
        <v>137.33500000000001</v>
      </c>
      <c r="N62" s="5">
        <f>L62-Grade15!L62</f>
        <v>0</v>
      </c>
      <c r="O62" s="5">
        <f>Grade15!M62-M62</f>
        <v>1.0449999999999875</v>
      </c>
      <c r="Q62" s="22"/>
      <c r="R62" s="22"/>
      <c r="S62" s="22">
        <f t="shared" si="19"/>
        <v>0.64162999999999226</v>
      </c>
      <c r="T62" s="22">
        <f t="shared" si="20"/>
        <v>3.9815494906312807</v>
      </c>
    </row>
    <row r="63" spans="1:20" x14ac:dyDescent="0.2">
      <c r="A63" s="5">
        <v>72</v>
      </c>
      <c r="H63" s="21"/>
      <c r="M63" s="5">
        <f>scrimecost*Meta!O60</f>
        <v>137.33500000000001</v>
      </c>
      <c r="N63" s="5">
        <f>L63-Grade15!L63</f>
        <v>0</v>
      </c>
      <c r="O63" s="5">
        <f>Grade15!M63-M63</f>
        <v>1.0449999999999875</v>
      </c>
      <c r="Q63" s="22"/>
      <c r="R63" s="22"/>
      <c r="S63" s="22">
        <f t="shared" si="19"/>
        <v>0.64162999999999226</v>
      </c>
      <c r="T63" s="22">
        <f t="shared" si="20"/>
        <v>4.1295950583882268</v>
      </c>
    </row>
    <row r="64" spans="1:20" x14ac:dyDescent="0.2">
      <c r="A64" s="5">
        <v>73</v>
      </c>
      <c r="H64" s="21"/>
      <c r="M64" s="5">
        <f>scrimecost*Meta!O61</f>
        <v>137.33500000000001</v>
      </c>
      <c r="N64" s="5">
        <f>L64-Grade15!L64</f>
        <v>0</v>
      </c>
      <c r="O64" s="5">
        <f>Grade15!M64-M64</f>
        <v>1.0449999999999875</v>
      </c>
      <c r="Q64" s="22"/>
      <c r="R64" s="22"/>
      <c r="S64" s="22">
        <f t="shared" si="19"/>
        <v>0.64162999999999226</v>
      </c>
      <c r="T64" s="22">
        <f t="shared" si="20"/>
        <v>4.2831453901030363</v>
      </c>
    </row>
    <row r="65" spans="1:20" x14ac:dyDescent="0.2">
      <c r="A65" s="5">
        <v>74</v>
      </c>
      <c r="H65" s="21"/>
      <c r="M65" s="5">
        <f>scrimecost*Meta!O62</f>
        <v>137.33500000000001</v>
      </c>
      <c r="N65" s="5">
        <f>L65-Grade15!L65</f>
        <v>0</v>
      </c>
      <c r="O65" s="5">
        <f>Grade15!M65-M65</f>
        <v>1.0449999999999875</v>
      </c>
      <c r="Q65" s="22"/>
      <c r="R65" s="22"/>
      <c r="S65" s="22">
        <f t="shared" si="19"/>
        <v>0.64162999999999226</v>
      </c>
      <c r="T65" s="22">
        <f t="shared" si="20"/>
        <v>4.4424051688789641</v>
      </c>
    </row>
    <row r="66" spans="1:20" x14ac:dyDescent="0.2">
      <c r="A66" s="5">
        <v>75</v>
      </c>
      <c r="H66" s="21"/>
      <c r="M66" s="5">
        <f>scrimecost*Meta!O63</f>
        <v>137.33500000000001</v>
      </c>
      <c r="N66" s="5">
        <f>L66-Grade15!L66</f>
        <v>0</v>
      </c>
      <c r="O66" s="5">
        <f>Grade15!M66-M66</f>
        <v>1.0449999999999875</v>
      </c>
      <c r="Q66" s="22"/>
      <c r="R66" s="22"/>
      <c r="S66" s="22">
        <f t="shared" si="19"/>
        <v>0.64162999999999226</v>
      </c>
      <c r="T66" s="22">
        <f t="shared" si="20"/>
        <v>4.607586688531204</v>
      </c>
    </row>
    <row r="67" spans="1:20" x14ac:dyDescent="0.2">
      <c r="A67" s="5">
        <v>76</v>
      </c>
      <c r="H67" s="21"/>
      <c r="M67" s="5">
        <f>scrimecost*Meta!O64</f>
        <v>137.33500000000001</v>
      </c>
      <c r="N67" s="5">
        <f>L67-Grade15!L67</f>
        <v>0</v>
      </c>
      <c r="O67" s="5">
        <f>Grade15!M67-M67</f>
        <v>1.0449999999999875</v>
      </c>
      <c r="Q67" s="22"/>
      <c r="R67" s="22"/>
      <c r="S67" s="22">
        <f t="shared" si="19"/>
        <v>0.64162999999999226</v>
      </c>
      <c r="T67" s="22">
        <f t="shared" si="20"/>
        <v>4.7789101365752469</v>
      </c>
    </row>
    <row r="68" spans="1:20" x14ac:dyDescent="0.2">
      <c r="A68" s="5">
        <v>77</v>
      </c>
      <c r="H68" s="21"/>
      <c r="M68" s="5">
        <f>scrimecost*Meta!O65</f>
        <v>137.33500000000001</v>
      </c>
      <c r="N68" s="5">
        <f>L68-Grade15!L68</f>
        <v>0</v>
      </c>
      <c r="O68" s="5">
        <f>Grade15!M68-M68</f>
        <v>1.0449999999999875</v>
      </c>
      <c r="Q68" s="22"/>
      <c r="R68" s="22"/>
      <c r="S68" s="22">
        <f t="shared" si="19"/>
        <v>0.64162999999999226</v>
      </c>
      <c r="T68" s="22">
        <f t="shared" si="20"/>
        <v>4.9566038877375691</v>
      </c>
    </row>
    <row r="69" spans="1:20" x14ac:dyDescent="0.2">
      <c r="A69" s="5">
        <v>78</v>
      </c>
      <c r="H69" s="21"/>
      <c r="M69" s="5">
        <f>scrimecost*Meta!O66</f>
        <v>137.33500000000001</v>
      </c>
      <c r="N69" s="5">
        <f>L69-Grade15!L69</f>
        <v>0</v>
      </c>
      <c r="O69" s="5">
        <f>Grade15!M69-M69</f>
        <v>1.0449999999999875</v>
      </c>
      <c r="Q69" s="22"/>
      <c r="R69" s="22"/>
      <c r="S69" s="22">
        <f t="shared" si="19"/>
        <v>0.64162999999999226</v>
      </c>
      <c r="T69" s="22">
        <f t="shared" si="20"/>
        <v>5.1409048083799096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8.0694295689909268E-10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Meta!A11+6</f>
        <v>23</v>
      </c>
      <c r="C2" s="7">
        <f>Meta!B11</f>
        <v>56935</v>
      </c>
      <c r="D2" s="7">
        <f>Meta!C11</f>
        <v>24919</v>
      </c>
      <c r="E2" s="1">
        <f>Meta!D11</f>
        <v>4.5999999999999999E-2</v>
      </c>
      <c r="F2" s="1">
        <f>Meta!F11</f>
        <v>0.72499999999999998</v>
      </c>
      <c r="G2" s="1">
        <f>Meta!I11</f>
        <v>1.7595535582220223</v>
      </c>
      <c r="H2" s="1">
        <f>Meta!E11</f>
        <v>0.32600000000000001</v>
      </c>
      <c r="I2" s="13"/>
      <c r="J2" s="1">
        <f>Meta!X10</f>
        <v>0.67400000000000004</v>
      </c>
      <c r="K2" s="1">
        <f>Meta!D10</f>
        <v>4.7E-2</v>
      </c>
      <c r="L2" s="29"/>
      <c r="N2" s="22">
        <f>Meta!T11</f>
        <v>43158</v>
      </c>
      <c r="O2" s="22">
        <f>Meta!U11</f>
        <v>19557</v>
      </c>
      <c r="P2" s="1">
        <f>Meta!V11</f>
        <v>5.8999999999999997E-2</v>
      </c>
      <c r="Q2" s="1">
        <f>Meta!X11</f>
        <v>0.67400000000000004</v>
      </c>
      <c r="R2" s="22">
        <f>Meta!W11</f>
        <v>2497</v>
      </c>
      <c r="T2" s="12">
        <f>IRR(S5:S69)+1</f>
        <v>0.91843589399229131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B13" s="1">
        <v>1</v>
      </c>
      <c r="C13" s="5">
        <f>0.1*Grade16!C13</f>
        <v>3123.8796051181298</v>
      </c>
      <c r="D13" s="5">
        <f t="shared" ref="D13:D36" si="0">IF(A13&lt;startage,1,0)*(C13*(1-initialunempprob))+IF(A13=startage,1,0)*(C13*(1-unempprob))+IF(A13&gt;startage,1,0)*(C13*(1-unempprob)+unempprob*300*52)</f>
        <v>2977.0572636775778</v>
      </c>
      <c r="E13" s="5">
        <f t="shared" ref="E13:E56" si="1">IF(D13-9500&gt;0,1,0)*(D13-9500)</f>
        <v>0</v>
      </c>
      <c r="F13" s="5">
        <f t="shared" ref="F13:F56" si="2">IF(E13&lt;=8500,1,0)*(0.1*E13+0.1*E13+0.0765*D13)+IF(AND(E13&gt;8500,E13&lt;=34500),1,0)*(850+0.15*(E13-8500)+0.1*E13+0.0765*D13)+IF(AND(E13&gt;34500,E13&lt;=83600),1,0)*(4750+0.25*(E13-34500)+0.1*E13+0.0765*D13)+IF(AND(E13&gt;83600,E13&lt;=174400,D13&lt;=106800),1,0)*(17025+0.28*(E13-83600)+0.1*E13+0.0765*D13)+IF(AND(E13&gt;83600,E13&lt;=174400,D13&gt;106800),1,0)*(17025+0.28*(E13-83600)+0.1*E13+8170.2+0.0145*(D13-106800))+IF(AND(E13&gt;174400,E13&lt;=379150),1,0)*(42449+0.33*(E13-174400)+0.1*E13+8170.2+0.0145*(D13-106800))+IF(E13&gt;379150,1,0)*(110016.5+0.35*(E13-379150)+0.1*E13+8170.2+0.0145*(D13-106800))</f>
        <v>227.7448806713347</v>
      </c>
      <c r="G13" s="5">
        <f t="shared" ref="G13:G56" si="3">D13-F13</f>
        <v>2749.3123830062432</v>
      </c>
      <c r="H13" s="22">
        <f>0.1*Grade16!H13</f>
        <v>1372.8378203665097</v>
      </c>
      <c r="I13" s="5">
        <f t="shared" ref="I13:I36" si="4">G13+IF(A13&lt;startage,1,0)*(H13*(1-initialunempprob))+IF(A13&gt;=startage,1,0)*(H13*(1-unempprob))</f>
        <v>4057.6268258155269</v>
      </c>
      <c r="J13" s="26">
        <f t="shared" ref="J13:J56" si="5">(F13-(IF(A13&gt;startage,1,0)*(unempprob*300*52)))/(IF(A13&lt;startage,1,0)*((C13+H13)*(1-initialunempprob))+IF(A13&gt;=startage,1,0)*((C13+H13)*(1-unempprob)))</f>
        <v>5.3144720287995613E-2</v>
      </c>
      <c r="L13" s="22">
        <f>0.1*Grade16!L13</f>
        <v>3256.0344439967703</v>
      </c>
      <c r="M13" s="5">
        <f>scrimecost*Meta!O10</f>
        <v>7011.576</v>
      </c>
      <c r="N13" s="5">
        <f>L13-Grade16!L13</f>
        <v>-29304.309995970933</v>
      </c>
      <c r="O13" s="5"/>
      <c r="P13" s="22"/>
      <c r="Q13" s="22">
        <f>0.05*feel*Grade16!G13</f>
        <v>319.90672939215881</v>
      </c>
      <c r="R13" s="22">
        <f>coltuition</f>
        <v>8279</v>
      </c>
      <c r="S13" s="22">
        <f t="shared" ref="S13:S44" si="6">IF(A13&lt;startage,1,0)*(N13-Q13-R13)+IF(A13&gt;=startage,1,0)*completionprob*(N13*spart+O13+P13)</f>
        <v>-37903.216725363091</v>
      </c>
      <c r="T13" s="22">
        <f t="shared" ref="T13:T44" si="7">S13/sreturn^(A13-startage+1)</f>
        <v>-37903.216725363091</v>
      </c>
    </row>
    <row r="14" spans="1:20" x14ac:dyDescent="0.2">
      <c r="A14" s="5">
        <v>23</v>
      </c>
      <c r="B14" s="1">
        <f t="shared" ref="B14:B36" si="8">(1+experiencepremium)^(A14-startage)</f>
        <v>1</v>
      </c>
      <c r="C14" s="5">
        <f t="shared" ref="C14:C36" si="9">pretaxincome*B14/expnorm</f>
        <v>32357.63966033018</v>
      </c>
      <c r="D14" s="5">
        <f t="shared" si="0"/>
        <v>30869.188235954989</v>
      </c>
      <c r="E14" s="5">
        <f t="shared" si="1"/>
        <v>21369.188235954989</v>
      </c>
      <c r="F14" s="5">
        <f t="shared" si="2"/>
        <v>7278.7899590393044</v>
      </c>
      <c r="G14" s="5">
        <f t="shared" si="3"/>
        <v>23590.398276915686</v>
      </c>
      <c r="H14" s="22">
        <f t="shared" ref="H14:H36" si="10">benefits*B14/expnorm</f>
        <v>14162.11509081879</v>
      </c>
      <c r="I14" s="5">
        <f t="shared" si="4"/>
        <v>37101.056073556814</v>
      </c>
      <c r="J14" s="26">
        <f t="shared" si="5"/>
        <v>0.16401115843649341</v>
      </c>
      <c r="L14" s="22">
        <f t="shared" ref="L14:L36" si="11">(sincome+sbenefits)*(1-sunemp)*B14/expnorm</f>
        <v>33539.652558023161</v>
      </c>
      <c r="M14" s="5">
        <f>scrimecost*Meta!O11</f>
        <v>6552.1280000000006</v>
      </c>
      <c r="N14" s="5">
        <f>L14-Grade16!L14</f>
        <v>165.29950705626834</v>
      </c>
      <c r="O14" s="5">
        <f>Grade16!M14-M14</f>
        <v>0</v>
      </c>
      <c r="P14" s="22">
        <f t="shared" ref="P14:P56" si="12">(spart-initialspart)*(L14*J14+nptrans)</f>
        <v>0</v>
      </c>
      <c r="Q14" s="22"/>
      <c r="R14" s="22"/>
      <c r="S14" s="22">
        <f t="shared" si="6"/>
        <v>36.320268888431514</v>
      </c>
      <c r="T14" s="22">
        <f t="shared" si="7"/>
        <v>39.545785531696957</v>
      </c>
    </row>
    <row r="15" spans="1:20" x14ac:dyDescent="0.2">
      <c r="A15" s="5">
        <v>24</v>
      </c>
      <c r="B15" s="1">
        <f t="shared" si="8"/>
        <v>1.0249999999999999</v>
      </c>
      <c r="C15" s="5">
        <f t="shared" si="9"/>
        <v>33166.580651838434</v>
      </c>
      <c r="D15" s="5">
        <f t="shared" si="0"/>
        <v>32358.517941853865</v>
      </c>
      <c r="E15" s="5">
        <f t="shared" si="1"/>
        <v>22858.517941853865</v>
      </c>
      <c r="F15" s="5">
        <f t="shared" si="2"/>
        <v>7765.0561080152866</v>
      </c>
      <c r="G15" s="5">
        <f t="shared" si="3"/>
        <v>24593.461833838577</v>
      </c>
      <c r="H15" s="22">
        <f t="shared" si="10"/>
        <v>14516.167968089259</v>
      </c>
      <c r="I15" s="5">
        <f t="shared" si="4"/>
        <v>38441.886075395727</v>
      </c>
      <c r="J15" s="26">
        <f t="shared" si="5"/>
        <v>0.15492543461279912</v>
      </c>
      <c r="L15" s="22">
        <f t="shared" si="11"/>
        <v>34378.143871973734</v>
      </c>
      <c r="M15" s="5">
        <f>scrimecost*Meta!O12</f>
        <v>6259.9790000000003</v>
      </c>
      <c r="N15" s="5">
        <f>L15-Grade16!L15</f>
        <v>169.43199473266577</v>
      </c>
      <c r="O15" s="5">
        <f>Grade16!M15-M15</f>
        <v>0</v>
      </c>
      <c r="P15" s="22">
        <f t="shared" si="12"/>
        <v>0</v>
      </c>
      <c r="Q15" s="22"/>
      <c r="R15" s="22"/>
      <c r="S15" s="22">
        <f t="shared" si="6"/>
        <v>37.22827561064026</v>
      </c>
      <c r="T15" s="22">
        <f t="shared" si="7"/>
        <v>44.134196447604623</v>
      </c>
    </row>
    <row r="16" spans="1:20" x14ac:dyDescent="0.2">
      <c r="A16" s="5">
        <v>25</v>
      </c>
      <c r="B16" s="1">
        <f t="shared" si="8"/>
        <v>1.0506249999999999</v>
      </c>
      <c r="C16" s="5">
        <f t="shared" si="9"/>
        <v>33995.745168134395</v>
      </c>
      <c r="D16" s="5">
        <f t="shared" si="0"/>
        <v>33149.540890400211</v>
      </c>
      <c r="E16" s="5">
        <f t="shared" si="1"/>
        <v>23649.540890400211</v>
      </c>
      <c r="F16" s="5">
        <f t="shared" si="2"/>
        <v>8023.3251007156687</v>
      </c>
      <c r="G16" s="5">
        <f t="shared" si="3"/>
        <v>25126.215789684542</v>
      </c>
      <c r="H16" s="22">
        <f t="shared" si="10"/>
        <v>14879.07216729149</v>
      </c>
      <c r="I16" s="5">
        <f t="shared" si="4"/>
        <v>39320.850637280622</v>
      </c>
      <c r="J16" s="26">
        <f t="shared" si="5"/>
        <v>0.15668585962151596</v>
      </c>
      <c r="L16" s="22">
        <f t="shared" si="11"/>
        <v>35237.597468773078</v>
      </c>
      <c r="M16" s="5">
        <f>scrimecost*Meta!O13</f>
        <v>5256.1850000000004</v>
      </c>
      <c r="N16" s="5">
        <f>L16-Grade16!L16</f>
        <v>173.66779460098769</v>
      </c>
      <c r="O16" s="5">
        <f>Grade16!M16-M16</f>
        <v>0</v>
      </c>
      <c r="P16" s="22">
        <f t="shared" si="12"/>
        <v>0</v>
      </c>
      <c r="Q16" s="22"/>
      <c r="R16" s="22"/>
      <c r="S16" s="22">
        <f t="shared" si="6"/>
        <v>38.158982500907427</v>
      </c>
      <c r="T16" s="22">
        <f t="shared" si="7"/>
        <v>49.254990636478546</v>
      </c>
    </row>
    <row r="17" spans="1:20" x14ac:dyDescent="0.2">
      <c r="A17" s="5">
        <v>26</v>
      </c>
      <c r="B17" s="1">
        <f t="shared" si="8"/>
        <v>1.0768906249999999</v>
      </c>
      <c r="C17" s="5">
        <f t="shared" si="9"/>
        <v>34845.638797337757</v>
      </c>
      <c r="D17" s="5">
        <f t="shared" si="0"/>
        <v>33960.339412660214</v>
      </c>
      <c r="E17" s="5">
        <f t="shared" si="1"/>
        <v>24460.339412660214</v>
      </c>
      <c r="F17" s="5">
        <f t="shared" si="2"/>
        <v>8288.0508182335598</v>
      </c>
      <c r="G17" s="5">
        <f t="shared" si="3"/>
        <v>25672.288594426653</v>
      </c>
      <c r="H17" s="22">
        <f t="shared" si="10"/>
        <v>15251.048971473776</v>
      </c>
      <c r="I17" s="5">
        <f t="shared" si="4"/>
        <v>40221.789313212634</v>
      </c>
      <c r="J17" s="26">
        <f t="shared" si="5"/>
        <v>0.15840334743489823</v>
      </c>
      <c r="L17" s="22">
        <f t="shared" si="11"/>
        <v>36118.537405492403</v>
      </c>
      <c r="M17" s="5">
        <f>scrimecost*Meta!O14</f>
        <v>5256.1850000000004</v>
      </c>
      <c r="N17" s="5">
        <f>L17-Grade16!L17</f>
        <v>178.0094894660142</v>
      </c>
      <c r="O17" s="5">
        <f>Grade16!M17-M17</f>
        <v>0</v>
      </c>
      <c r="P17" s="22">
        <f t="shared" si="12"/>
        <v>0</v>
      </c>
      <c r="Q17" s="22"/>
      <c r="R17" s="22"/>
      <c r="S17" s="22">
        <f t="shared" si="6"/>
        <v>39.112957063430507</v>
      </c>
      <c r="T17" s="22">
        <f t="shared" si="7"/>
        <v>54.969939363905972</v>
      </c>
    </row>
    <row r="18" spans="1:20" x14ac:dyDescent="0.2">
      <c r="A18" s="5">
        <v>27</v>
      </c>
      <c r="B18" s="1">
        <f t="shared" si="8"/>
        <v>1.1038128906249998</v>
      </c>
      <c r="C18" s="5">
        <f t="shared" si="9"/>
        <v>35716.779767271189</v>
      </c>
      <c r="D18" s="5">
        <f t="shared" si="0"/>
        <v>34791.407897976715</v>
      </c>
      <c r="E18" s="5">
        <f t="shared" si="1"/>
        <v>25291.407897976715</v>
      </c>
      <c r="F18" s="5">
        <f t="shared" si="2"/>
        <v>8559.3946786893976</v>
      </c>
      <c r="G18" s="5">
        <f t="shared" si="3"/>
        <v>26232.013219287317</v>
      </c>
      <c r="H18" s="22">
        <f t="shared" si="10"/>
        <v>15632.325195760619</v>
      </c>
      <c r="I18" s="5">
        <f t="shared" si="4"/>
        <v>41145.251456042948</v>
      </c>
      <c r="J18" s="26">
        <f t="shared" si="5"/>
        <v>0.16007894530161271</v>
      </c>
      <c r="L18" s="22">
        <f t="shared" si="11"/>
        <v>37021.500840629713</v>
      </c>
      <c r="M18" s="5">
        <f>scrimecost*Meta!O15</f>
        <v>5256.1850000000004</v>
      </c>
      <c r="N18" s="5">
        <f>L18-Grade16!L18</f>
        <v>182.45972670266929</v>
      </c>
      <c r="O18" s="5">
        <f>Grade16!M18-M18</f>
        <v>0</v>
      </c>
      <c r="P18" s="22">
        <f t="shared" si="12"/>
        <v>0</v>
      </c>
      <c r="Q18" s="22"/>
      <c r="R18" s="22"/>
      <c r="S18" s="22">
        <f t="shared" si="6"/>
        <v>40.090780990017308</v>
      </c>
      <c r="T18" s="22">
        <f t="shared" si="7"/>
        <v>61.347981080188482</v>
      </c>
    </row>
    <row r="19" spans="1:20" x14ac:dyDescent="0.2">
      <c r="A19" s="5">
        <v>28</v>
      </c>
      <c r="B19" s="1">
        <f t="shared" si="8"/>
        <v>1.1314082128906247</v>
      </c>
      <c r="C19" s="5">
        <f t="shared" si="9"/>
        <v>36609.699261452974</v>
      </c>
      <c r="D19" s="5">
        <f t="shared" si="0"/>
        <v>35643.253095426131</v>
      </c>
      <c r="E19" s="5">
        <f t="shared" si="1"/>
        <v>26143.253095426131</v>
      </c>
      <c r="F19" s="5">
        <f t="shared" si="2"/>
        <v>8837.5221356566326</v>
      </c>
      <c r="G19" s="5">
        <f t="shared" si="3"/>
        <v>26805.730959769498</v>
      </c>
      <c r="H19" s="22">
        <f t="shared" si="10"/>
        <v>16023.133325654633</v>
      </c>
      <c r="I19" s="5">
        <f t="shared" si="4"/>
        <v>42091.800152444019</v>
      </c>
      <c r="J19" s="26">
        <f t="shared" si="5"/>
        <v>0.1617136749276756</v>
      </c>
      <c r="L19" s="22">
        <f t="shared" si="11"/>
        <v>37947.038361645449</v>
      </c>
      <c r="M19" s="5">
        <f>scrimecost*Meta!O16</f>
        <v>5256.1850000000004</v>
      </c>
      <c r="N19" s="5">
        <f>L19-Grade16!L19</f>
        <v>187.02121987023565</v>
      </c>
      <c r="O19" s="5">
        <f>Grade16!M19-M19</f>
        <v>0</v>
      </c>
      <c r="P19" s="22">
        <f t="shared" si="12"/>
        <v>0</v>
      </c>
      <c r="Q19" s="22"/>
      <c r="R19" s="22"/>
      <c r="S19" s="22">
        <f t="shared" si="6"/>
        <v>41.093050514767668</v>
      </c>
      <c r="T19" s="22">
        <f t="shared" si="7"/>
        <v>68.466053013081464</v>
      </c>
    </row>
    <row r="20" spans="1:20" x14ac:dyDescent="0.2">
      <c r="A20" s="5">
        <v>29</v>
      </c>
      <c r="B20" s="1">
        <f t="shared" si="8"/>
        <v>1.1596934182128902</v>
      </c>
      <c r="C20" s="5">
        <f t="shared" si="9"/>
        <v>37524.941742989286</v>
      </c>
      <c r="D20" s="5">
        <f t="shared" si="0"/>
        <v>36516.394422811776</v>
      </c>
      <c r="E20" s="5">
        <f t="shared" si="1"/>
        <v>27016.394422811776</v>
      </c>
      <c r="F20" s="5">
        <f t="shared" si="2"/>
        <v>9122.6027790480439</v>
      </c>
      <c r="G20" s="5">
        <f t="shared" si="3"/>
        <v>27393.791643763732</v>
      </c>
      <c r="H20" s="22">
        <f t="shared" si="10"/>
        <v>16423.711658795997</v>
      </c>
      <c r="I20" s="5">
        <f t="shared" si="4"/>
        <v>43062.012566255115</v>
      </c>
      <c r="J20" s="26">
        <f t="shared" si="5"/>
        <v>0.16330853309944421</v>
      </c>
      <c r="L20" s="22">
        <f t="shared" si="11"/>
        <v>38895.714320686588</v>
      </c>
      <c r="M20" s="5">
        <f>scrimecost*Meta!O17</f>
        <v>5256.1850000000004</v>
      </c>
      <c r="N20" s="5">
        <f>L20-Grade16!L20</f>
        <v>191.69675036698754</v>
      </c>
      <c r="O20" s="5">
        <f>Grade16!M20-M20</f>
        <v>0</v>
      </c>
      <c r="P20" s="22">
        <f t="shared" si="12"/>
        <v>0</v>
      </c>
      <c r="Q20" s="22"/>
      <c r="R20" s="22"/>
      <c r="S20" s="22">
        <f t="shared" si="6"/>
        <v>42.120376777635975</v>
      </c>
      <c r="T20" s="22">
        <f t="shared" si="7"/>
        <v>76.410019248437649</v>
      </c>
    </row>
    <row r="21" spans="1:20" x14ac:dyDescent="0.2">
      <c r="A21" s="5">
        <v>30</v>
      </c>
      <c r="B21" s="1">
        <f t="shared" si="8"/>
        <v>1.1886857536682125</v>
      </c>
      <c r="C21" s="5">
        <f t="shared" si="9"/>
        <v>38463.065286564022</v>
      </c>
      <c r="D21" s="5">
        <f t="shared" si="0"/>
        <v>37411.364283382078</v>
      </c>
      <c r="E21" s="5">
        <f t="shared" si="1"/>
        <v>27911.364283382078</v>
      </c>
      <c r="F21" s="5">
        <f t="shared" si="2"/>
        <v>9414.8104385242477</v>
      </c>
      <c r="G21" s="5">
        <f t="shared" si="3"/>
        <v>27996.55384485783</v>
      </c>
      <c r="H21" s="22">
        <f t="shared" si="10"/>
        <v>16834.3044502659</v>
      </c>
      <c r="I21" s="5">
        <f t="shared" si="4"/>
        <v>44056.480290411499</v>
      </c>
      <c r="J21" s="26">
        <f t="shared" si="5"/>
        <v>0.16486449229141367</v>
      </c>
      <c r="L21" s="22">
        <f t="shared" si="11"/>
        <v>39868.107178703751</v>
      </c>
      <c r="M21" s="5">
        <f>scrimecost*Meta!O18</f>
        <v>4237.4090000000006</v>
      </c>
      <c r="N21" s="5">
        <f>L21-Grade16!L21</f>
        <v>196.48916912615823</v>
      </c>
      <c r="O21" s="5">
        <f>Grade16!M21-M21</f>
        <v>0</v>
      </c>
      <c r="P21" s="22">
        <f t="shared" si="12"/>
        <v>0</v>
      </c>
      <c r="Q21" s="22"/>
      <c r="R21" s="22"/>
      <c r="S21" s="22">
        <f t="shared" si="6"/>
        <v>43.173386197075999</v>
      </c>
      <c r="T21" s="22">
        <f t="shared" si="7"/>
        <v>85.275706494006414</v>
      </c>
    </row>
    <row r="22" spans="1:20" x14ac:dyDescent="0.2">
      <c r="A22" s="5">
        <v>31</v>
      </c>
      <c r="B22" s="1">
        <f t="shared" si="8"/>
        <v>1.2184028975099177</v>
      </c>
      <c r="C22" s="5">
        <f t="shared" si="9"/>
        <v>39424.641918728128</v>
      </c>
      <c r="D22" s="5">
        <f t="shared" si="0"/>
        <v>38328.708390466629</v>
      </c>
      <c r="E22" s="5">
        <f t="shared" si="1"/>
        <v>28828.708390466629</v>
      </c>
      <c r="F22" s="5">
        <f t="shared" si="2"/>
        <v>9714.3232894873545</v>
      </c>
      <c r="G22" s="5">
        <f t="shared" si="3"/>
        <v>28614.385100979274</v>
      </c>
      <c r="H22" s="22">
        <f t="shared" si="10"/>
        <v>17255.162061522544</v>
      </c>
      <c r="I22" s="5">
        <f t="shared" si="4"/>
        <v>45075.809707671782</v>
      </c>
      <c r="J22" s="26">
        <f t="shared" si="5"/>
        <v>0.16638250125918874</v>
      </c>
      <c r="L22" s="22">
        <f t="shared" si="11"/>
        <v>40864.809858171335</v>
      </c>
      <c r="M22" s="5">
        <f>scrimecost*Meta!O19</f>
        <v>4237.4090000000006</v>
      </c>
      <c r="N22" s="5">
        <f>L22-Grade16!L22</f>
        <v>201.40139835431182</v>
      </c>
      <c r="O22" s="5">
        <f>Grade16!M22-M22</f>
        <v>0</v>
      </c>
      <c r="P22" s="22">
        <f t="shared" si="12"/>
        <v>0</v>
      </c>
      <c r="Q22" s="22"/>
      <c r="R22" s="22"/>
      <c r="S22" s="22">
        <f t="shared" si="6"/>
        <v>44.25272085200281</v>
      </c>
      <c r="T22" s="22">
        <f t="shared" si="7"/>
        <v>95.170060020639866</v>
      </c>
    </row>
    <row r="23" spans="1:20" x14ac:dyDescent="0.2">
      <c r="A23" s="5">
        <v>32</v>
      </c>
      <c r="B23" s="1">
        <f t="shared" si="8"/>
        <v>1.2488629699476654</v>
      </c>
      <c r="C23" s="5">
        <f t="shared" si="9"/>
        <v>40410.257966696314</v>
      </c>
      <c r="D23" s="5">
        <f t="shared" si="0"/>
        <v>39268.986100228278</v>
      </c>
      <c r="E23" s="5">
        <f t="shared" si="1"/>
        <v>29768.986100228278</v>
      </c>
      <c r="F23" s="5">
        <f t="shared" si="2"/>
        <v>10021.323961724533</v>
      </c>
      <c r="G23" s="5">
        <f t="shared" si="3"/>
        <v>29247.662138503743</v>
      </c>
      <c r="H23" s="22">
        <f t="shared" si="10"/>
        <v>17686.541113060604</v>
      </c>
      <c r="I23" s="5">
        <f t="shared" si="4"/>
        <v>46120.622360363559</v>
      </c>
      <c r="J23" s="26">
        <f t="shared" si="5"/>
        <v>0.16786348561799361</v>
      </c>
      <c r="L23" s="22">
        <f t="shared" si="11"/>
        <v>41886.430104625615</v>
      </c>
      <c r="M23" s="5">
        <f>scrimecost*Meta!O20</f>
        <v>4237.4090000000006</v>
      </c>
      <c r="N23" s="5">
        <f>L23-Grade16!L23</f>
        <v>206.43643331316707</v>
      </c>
      <c r="O23" s="5">
        <f>Grade16!M23-M23</f>
        <v>0</v>
      </c>
      <c r="P23" s="22">
        <f t="shared" si="12"/>
        <v>0</v>
      </c>
      <c r="Q23" s="22"/>
      <c r="R23" s="22"/>
      <c r="S23" s="22">
        <f t="shared" si="6"/>
        <v>45.359038873302332</v>
      </c>
      <c r="T23" s="22">
        <f t="shared" si="7"/>
        <v>106.21243372482287</v>
      </c>
    </row>
    <row r="24" spans="1:20" x14ac:dyDescent="0.2">
      <c r="A24" s="5">
        <v>33</v>
      </c>
      <c r="B24" s="1">
        <f t="shared" si="8"/>
        <v>1.2800845441963571</v>
      </c>
      <c r="C24" s="5">
        <f t="shared" si="9"/>
        <v>41420.514415863727</v>
      </c>
      <c r="D24" s="5">
        <f t="shared" si="0"/>
        <v>40232.770752733995</v>
      </c>
      <c r="E24" s="5">
        <f t="shared" si="1"/>
        <v>30732.770752733995</v>
      </c>
      <c r="F24" s="5">
        <f t="shared" si="2"/>
        <v>10335.99965076765</v>
      </c>
      <c r="G24" s="5">
        <f t="shared" si="3"/>
        <v>29896.771101966347</v>
      </c>
      <c r="H24" s="22">
        <f t="shared" si="10"/>
        <v>18128.704640887121</v>
      </c>
      <c r="I24" s="5">
        <f t="shared" si="4"/>
        <v>47191.555329372655</v>
      </c>
      <c r="J24" s="26">
        <f t="shared" si="5"/>
        <v>0.16930834840707162</v>
      </c>
      <c r="L24" s="22">
        <f t="shared" si="11"/>
        <v>42933.590857241259</v>
      </c>
      <c r="M24" s="5">
        <f>scrimecost*Meta!O21</f>
        <v>4237.4090000000006</v>
      </c>
      <c r="N24" s="5">
        <f>L24-Grade16!L24</f>
        <v>211.59734414600098</v>
      </c>
      <c r="O24" s="5">
        <f>Grade16!M24-M24</f>
        <v>0</v>
      </c>
      <c r="P24" s="22">
        <f t="shared" si="12"/>
        <v>0</v>
      </c>
      <c r="Q24" s="22"/>
      <c r="R24" s="22"/>
      <c r="S24" s="22">
        <f t="shared" si="6"/>
        <v>46.493014845135924</v>
      </c>
      <c r="T24" s="22">
        <f t="shared" si="7"/>
        <v>118.53602987435029</v>
      </c>
    </row>
    <row r="25" spans="1:20" x14ac:dyDescent="0.2">
      <c r="A25" s="5">
        <v>34</v>
      </c>
      <c r="B25" s="1">
        <f t="shared" si="8"/>
        <v>1.312086657801266</v>
      </c>
      <c r="C25" s="5">
        <f t="shared" si="9"/>
        <v>42456.02727626032</v>
      </c>
      <c r="D25" s="5">
        <f t="shared" si="0"/>
        <v>41220.650021552341</v>
      </c>
      <c r="E25" s="5">
        <f t="shared" si="1"/>
        <v>31720.650021552341</v>
      </c>
      <c r="F25" s="5">
        <f t="shared" si="2"/>
        <v>10658.54223203684</v>
      </c>
      <c r="G25" s="5">
        <f t="shared" si="3"/>
        <v>30562.107789515503</v>
      </c>
      <c r="H25" s="22">
        <f t="shared" si="10"/>
        <v>18581.9222569093</v>
      </c>
      <c r="I25" s="5">
        <f t="shared" si="4"/>
        <v>48289.261622606973</v>
      </c>
      <c r="J25" s="26">
        <f t="shared" si="5"/>
        <v>0.17071797064031841</v>
      </c>
      <c r="L25" s="22">
        <f t="shared" si="11"/>
        <v>44006.930628672286</v>
      </c>
      <c r="M25" s="5">
        <f>scrimecost*Meta!O22</f>
        <v>4237.4090000000006</v>
      </c>
      <c r="N25" s="5">
        <f>L25-Grade16!L25</f>
        <v>216.88727774965082</v>
      </c>
      <c r="O25" s="5">
        <f>Grade16!M25-M25</f>
        <v>0</v>
      </c>
      <c r="P25" s="22">
        <f t="shared" si="12"/>
        <v>0</v>
      </c>
      <c r="Q25" s="22"/>
      <c r="R25" s="22"/>
      <c r="S25" s="22">
        <f t="shared" si="6"/>
        <v>47.655340216264278</v>
      </c>
      <c r="T25" s="22">
        <f t="shared" si="7"/>
        <v>132.28950590451197</v>
      </c>
    </row>
    <row r="26" spans="1:20" x14ac:dyDescent="0.2">
      <c r="A26" s="5">
        <v>35</v>
      </c>
      <c r="B26" s="1">
        <f t="shared" si="8"/>
        <v>1.3448888242462975</v>
      </c>
      <c r="C26" s="5">
        <f t="shared" si="9"/>
        <v>43517.427958166823</v>
      </c>
      <c r="D26" s="5">
        <f t="shared" si="0"/>
        <v>42233.226272091146</v>
      </c>
      <c r="E26" s="5">
        <f t="shared" si="1"/>
        <v>32733.226272091146</v>
      </c>
      <c r="F26" s="5">
        <f t="shared" si="2"/>
        <v>10989.148377837759</v>
      </c>
      <c r="G26" s="5">
        <f t="shared" si="3"/>
        <v>31244.077894253387</v>
      </c>
      <c r="H26" s="22">
        <f t="shared" si="10"/>
        <v>19046.470313332029</v>
      </c>
      <c r="I26" s="5">
        <f t="shared" si="4"/>
        <v>49414.410573172143</v>
      </c>
      <c r="J26" s="26">
        <f t="shared" si="5"/>
        <v>0.17209321184348603</v>
      </c>
      <c r="L26" s="22">
        <f t="shared" si="11"/>
        <v>45107.103894389089</v>
      </c>
      <c r="M26" s="5">
        <f>scrimecost*Meta!O23</f>
        <v>3288.549</v>
      </c>
      <c r="N26" s="5">
        <f>L26-Grade16!L26</f>
        <v>222.30945969338791</v>
      </c>
      <c r="O26" s="5">
        <f>Grade16!M26-M26</f>
        <v>0</v>
      </c>
      <c r="P26" s="22">
        <f t="shared" si="12"/>
        <v>0</v>
      </c>
      <c r="Q26" s="22"/>
      <c r="R26" s="22"/>
      <c r="S26" s="22">
        <f t="shared" si="6"/>
        <v>48.846723721669967</v>
      </c>
      <c r="T26" s="22">
        <f t="shared" si="7"/>
        <v>147.63876764735886</v>
      </c>
    </row>
    <row r="27" spans="1:20" x14ac:dyDescent="0.2">
      <c r="A27" s="5">
        <v>36</v>
      </c>
      <c r="B27" s="1">
        <f t="shared" si="8"/>
        <v>1.3785110448524549</v>
      </c>
      <c r="C27" s="5">
        <f t="shared" si="9"/>
        <v>44605.363657120994</v>
      </c>
      <c r="D27" s="5">
        <f t="shared" si="0"/>
        <v>43271.116928893425</v>
      </c>
      <c r="E27" s="5">
        <f t="shared" si="1"/>
        <v>33771.116928893425</v>
      </c>
      <c r="F27" s="5">
        <f t="shared" si="2"/>
        <v>11328.019677283704</v>
      </c>
      <c r="G27" s="5">
        <f t="shared" si="3"/>
        <v>31943.097251609721</v>
      </c>
      <c r="H27" s="22">
        <f t="shared" si="10"/>
        <v>19522.632071165328</v>
      </c>
      <c r="I27" s="5">
        <f t="shared" si="4"/>
        <v>50567.688247501443</v>
      </c>
      <c r="J27" s="26">
        <f t="shared" si="5"/>
        <v>0.17343491057828375</v>
      </c>
      <c r="L27" s="22">
        <f t="shared" si="11"/>
        <v>46234.781491748814</v>
      </c>
      <c r="M27" s="5">
        <f>scrimecost*Meta!O24</f>
        <v>3288.549</v>
      </c>
      <c r="N27" s="5">
        <f>L27-Grade16!L27</f>
        <v>227.86719618573261</v>
      </c>
      <c r="O27" s="5">
        <f>Grade16!M27-M27</f>
        <v>0</v>
      </c>
      <c r="P27" s="22">
        <f t="shared" si="12"/>
        <v>0</v>
      </c>
      <c r="Q27" s="22"/>
      <c r="R27" s="22"/>
      <c r="S27" s="22">
        <f t="shared" si="6"/>
        <v>50.06789181471391</v>
      </c>
      <c r="T27" s="22">
        <f t="shared" si="7"/>
        <v>164.7689706254225</v>
      </c>
    </row>
    <row r="28" spans="1:20" x14ac:dyDescent="0.2">
      <c r="A28" s="5">
        <v>37</v>
      </c>
      <c r="B28" s="1">
        <f t="shared" si="8"/>
        <v>1.4129738209737661</v>
      </c>
      <c r="C28" s="5">
        <f t="shared" si="9"/>
        <v>45720.497748549016</v>
      </c>
      <c r="D28" s="5">
        <f t="shared" si="0"/>
        <v>44334.954852115756</v>
      </c>
      <c r="E28" s="5">
        <f t="shared" si="1"/>
        <v>34834.954852115756</v>
      </c>
      <c r="F28" s="5">
        <f t="shared" si="2"/>
        <v>11708.858244427369</v>
      </c>
      <c r="G28" s="5">
        <f t="shared" si="3"/>
        <v>32626.096607688385</v>
      </c>
      <c r="H28" s="22">
        <f t="shared" si="10"/>
        <v>20010.69787294446</v>
      </c>
      <c r="I28" s="5">
        <f t="shared" si="4"/>
        <v>51716.302378477398</v>
      </c>
      <c r="J28" s="26">
        <f t="shared" si="5"/>
        <v>0.17527803880817305</v>
      </c>
      <c r="L28" s="22">
        <f t="shared" si="11"/>
        <v>47390.651029042536</v>
      </c>
      <c r="M28" s="5">
        <f>scrimecost*Meta!O25</f>
        <v>3288.549</v>
      </c>
      <c r="N28" s="5">
        <f>L28-Grade16!L28</f>
        <v>233.56387609036756</v>
      </c>
      <c r="O28" s="5">
        <f>Grade16!M28-M28</f>
        <v>0</v>
      </c>
      <c r="P28" s="22">
        <f t="shared" si="12"/>
        <v>0</v>
      </c>
      <c r="Q28" s="22"/>
      <c r="R28" s="22"/>
      <c r="S28" s="22">
        <f t="shared" si="6"/>
        <v>51.319589110079924</v>
      </c>
      <c r="T28" s="22">
        <f t="shared" si="7"/>
        <v>183.88675355110794</v>
      </c>
    </row>
    <row r="29" spans="1:20" x14ac:dyDescent="0.2">
      <c r="A29" s="5">
        <v>38</v>
      </c>
      <c r="B29" s="1">
        <f t="shared" si="8"/>
        <v>1.4482981664981105</v>
      </c>
      <c r="C29" s="5">
        <f t="shared" si="9"/>
        <v>46863.510192262751</v>
      </c>
      <c r="D29" s="5">
        <f t="shared" si="0"/>
        <v>45425.388723418662</v>
      </c>
      <c r="E29" s="5">
        <f t="shared" si="1"/>
        <v>35925.388723418662</v>
      </c>
      <c r="F29" s="5">
        <f t="shared" si="2"/>
        <v>12173.928290538061</v>
      </c>
      <c r="G29" s="5">
        <f t="shared" si="3"/>
        <v>33251.460432880602</v>
      </c>
      <c r="H29" s="22">
        <f t="shared" si="10"/>
        <v>20510.965319768075</v>
      </c>
      <c r="I29" s="5">
        <f t="shared" si="4"/>
        <v>52818.921347939344</v>
      </c>
      <c r="J29" s="26">
        <f t="shared" si="5"/>
        <v>0.17823856546610597</v>
      </c>
      <c r="L29" s="22">
        <f t="shared" si="11"/>
        <v>48575.417304768605</v>
      </c>
      <c r="M29" s="5">
        <f>scrimecost*Meta!O26</f>
        <v>3288.549</v>
      </c>
      <c r="N29" s="5">
        <f>L29-Grade16!L29</f>
        <v>239.40297299264057</v>
      </c>
      <c r="O29" s="5">
        <f>Grade16!M29-M29</f>
        <v>0</v>
      </c>
      <c r="P29" s="22">
        <f t="shared" si="12"/>
        <v>0</v>
      </c>
      <c r="Q29" s="22"/>
      <c r="R29" s="22"/>
      <c r="S29" s="22">
        <f t="shared" si="6"/>
        <v>52.602578837834962</v>
      </c>
      <c r="T29" s="22">
        <f t="shared" si="7"/>
        <v>205.22273097427376</v>
      </c>
    </row>
    <row r="30" spans="1:20" x14ac:dyDescent="0.2">
      <c r="A30" s="5">
        <v>39</v>
      </c>
      <c r="B30" s="1">
        <f t="shared" si="8"/>
        <v>1.4845056206605631</v>
      </c>
      <c r="C30" s="5">
        <f t="shared" si="9"/>
        <v>48035.097947069306</v>
      </c>
      <c r="D30" s="5">
        <f t="shared" si="0"/>
        <v>46543.083441504117</v>
      </c>
      <c r="E30" s="5">
        <f t="shared" si="1"/>
        <v>37043.083441504117</v>
      </c>
      <c r="F30" s="5">
        <f t="shared" si="2"/>
        <v>12650.625087801505</v>
      </c>
      <c r="G30" s="5">
        <f t="shared" si="3"/>
        <v>33892.458353702612</v>
      </c>
      <c r="H30" s="22">
        <f t="shared" si="10"/>
        <v>21023.739452762275</v>
      </c>
      <c r="I30" s="5">
        <f t="shared" si="4"/>
        <v>53949.105791637819</v>
      </c>
      <c r="J30" s="26">
        <f t="shared" si="5"/>
        <v>0.18112688415677211</v>
      </c>
      <c r="L30" s="22">
        <f t="shared" si="11"/>
        <v>49789.802737387814</v>
      </c>
      <c r="M30" s="5">
        <f>scrimecost*Meta!O27</f>
        <v>3288.549</v>
      </c>
      <c r="N30" s="5">
        <f>L30-Grade16!L30</f>
        <v>245.3880473174504</v>
      </c>
      <c r="O30" s="5">
        <f>Grade16!M30-M30</f>
        <v>0</v>
      </c>
      <c r="P30" s="22">
        <f t="shared" si="12"/>
        <v>0</v>
      </c>
      <c r="Q30" s="22"/>
      <c r="R30" s="22"/>
      <c r="S30" s="22">
        <f t="shared" si="6"/>
        <v>53.917643308779482</v>
      </c>
      <c r="T30" s="22">
        <f t="shared" si="7"/>
        <v>229.03427514603527</v>
      </c>
    </row>
    <row r="31" spans="1:20" x14ac:dyDescent="0.2">
      <c r="A31" s="5">
        <v>40</v>
      </c>
      <c r="B31" s="1">
        <f t="shared" si="8"/>
        <v>1.521618261177077</v>
      </c>
      <c r="C31" s="5">
        <f t="shared" si="9"/>
        <v>49235.975395746034</v>
      </c>
      <c r="D31" s="5">
        <f t="shared" si="0"/>
        <v>47688.720527541715</v>
      </c>
      <c r="E31" s="5">
        <f t="shared" si="1"/>
        <v>38188.720527541715</v>
      </c>
      <c r="F31" s="5">
        <f t="shared" si="2"/>
        <v>13139.239304996541</v>
      </c>
      <c r="G31" s="5">
        <f t="shared" si="3"/>
        <v>34549.481222545175</v>
      </c>
      <c r="H31" s="22">
        <f t="shared" si="10"/>
        <v>21549.332939081331</v>
      </c>
      <c r="I31" s="5">
        <f t="shared" si="4"/>
        <v>55107.544846428762</v>
      </c>
      <c r="J31" s="26">
        <f t="shared" si="5"/>
        <v>0.18394475605010496</v>
      </c>
      <c r="L31" s="22">
        <f t="shared" si="11"/>
        <v>51034.547805822498</v>
      </c>
      <c r="M31" s="5">
        <f>scrimecost*Meta!O28</f>
        <v>2876.5439999999999</v>
      </c>
      <c r="N31" s="5">
        <f>L31-Grade16!L31</f>
        <v>251.52274850037793</v>
      </c>
      <c r="O31" s="5">
        <f>Grade16!M31-M31</f>
        <v>0</v>
      </c>
      <c r="P31" s="22">
        <f t="shared" si="12"/>
        <v>0</v>
      </c>
      <c r="Q31" s="22"/>
      <c r="R31" s="22"/>
      <c r="S31" s="22">
        <f t="shared" si="6"/>
        <v>55.26558439149705</v>
      </c>
      <c r="T31" s="22">
        <f t="shared" si="7"/>
        <v>255.60862065637912</v>
      </c>
    </row>
    <row r="32" spans="1:20" x14ac:dyDescent="0.2">
      <c r="A32" s="5">
        <v>41</v>
      </c>
      <c r="B32" s="1">
        <f t="shared" si="8"/>
        <v>1.559658717706504</v>
      </c>
      <c r="C32" s="5">
        <f t="shared" si="9"/>
        <v>50466.874780639686</v>
      </c>
      <c r="D32" s="5">
        <f t="shared" si="0"/>
        <v>48862.998540730259</v>
      </c>
      <c r="E32" s="5">
        <f t="shared" si="1"/>
        <v>39362.998540730259</v>
      </c>
      <c r="F32" s="5">
        <f t="shared" si="2"/>
        <v>13640.068877621456</v>
      </c>
      <c r="G32" s="5">
        <f t="shared" si="3"/>
        <v>35222.929663108807</v>
      </c>
      <c r="H32" s="22">
        <f t="shared" si="10"/>
        <v>22088.066262558361</v>
      </c>
      <c r="I32" s="5">
        <f t="shared" si="4"/>
        <v>56294.944877589485</v>
      </c>
      <c r="J32" s="26">
        <f t="shared" si="5"/>
        <v>0.18669389936067363</v>
      </c>
      <c r="L32" s="22">
        <f t="shared" si="11"/>
        <v>52310.411500968068</v>
      </c>
      <c r="M32" s="5">
        <f>scrimecost*Meta!O29</f>
        <v>2876.5439999999999</v>
      </c>
      <c r="N32" s="5">
        <f>L32-Grade16!L32</f>
        <v>257.81081721289229</v>
      </c>
      <c r="O32" s="5">
        <f>Grade16!M32-M32</f>
        <v>0</v>
      </c>
      <c r="P32" s="22">
        <f t="shared" si="12"/>
        <v>0</v>
      </c>
      <c r="Q32" s="22"/>
      <c r="R32" s="22"/>
      <c r="S32" s="22">
        <f t="shared" si="6"/>
        <v>56.647224001285551</v>
      </c>
      <c r="T32" s="22">
        <f t="shared" si="7"/>
        <v>285.26632929591551</v>
      </c>
    </row>
    <row r="33" spans="1:20" x14ac:dyDescent="0.2">
      <c r="A33" s="5">
        <v>42</v>
      </c>
      <c r="B33" s="1">
        <f t="shared" si="8"/>
        <v>1.5986501856491666</v>
      </c>
      <c r="C33" s="5">
        <f t="shared" si="9"/>
        <v>51728.54665015568</v>
      </c>
      <c r="D33" s="5">
        <f t="shared" si="0"/>
        <v>50066.633504248515</v>
      </c>
      <c r="E33" s="5">
        <f t="shared" si="1"/>
        <v>40566.633504248515</v>
      </c>
      <c r="F33" s="5">
        <f t="shared" si="2"/>
        <v>14153.419189561992</v>
      </c>
      <c r="G33" s="5">
        <f t="shared" si="3"/>
        <v>35913.214314686527</v>
      </c>
      <c r="H33" s="22">
        <f t="shared" si="10"/>
        <v>22640.267919122325</v>
      </c>
      <c r="I33" s="5">
        <f t="shared" si="4"/>
        <v>57512.029909529228</v>
      </c>
      <c r="J33" s="26">
        <f t="shared" si="5"/>
        <v>0.1893759903953747</v>
      </c>
      <c r="L33" s="22">
        <f t="shared" si="11"/>
        <v>53618.171788492276</v>
      </c>
      <c r="M33" s="5">
        <f>scrimecost*Meta!O30</f>
        <v>2876.5439999999999</v>
      </c>
      <c r="N33" s="5">
        <f>L33-Grade16!L33</f>
        <v>264.25608764322533</v>
      </c>
      <c r="O33" s="5">
        <f>Grade16!M33-M33</f>
        <v>0</v>
      </c>
      <c r="P33" s="22">
        <f t="shared" si="12"/>
        <v>0</v>
      </c>
      <c r="Q33" s="22"/>
      <c r="R33" s="22"/>
      <c r="S33" s="22">
        <f t="shared" si="6"/>
        <v>58.063404601320045</v>
      </c>
      <c r="T33" s="22">
        <f t="shared" si="7"/>
        <v>318.36515693797514</v>
      </c>
    </row>
    <row r="34" spans="1:20" x14ac:dyDescent="0.2">
      <c r="A34" s="5">
        <v>43</v>
      </c>
      <c r="B34" s="1">
        <f t="shared" si="8"/>
        <v>1.6386164402903955</v>
      </c>
      <c r="C34" s="5">
        <f t="shared" si="9"/>
        <v>53021.760316409571</v>
      </c>
      <c r="D34" s="5">
        <f t="shared" si="0"/>
        <v>51300.359341854724</v>
      </c>
      <c r="E34" s="5">
        <f t="shared" si="1"/>
        <v>41800.359341854724</v>
      </c>
      <c r="F34" s="5">
        <f t="shared" si="2"/>
        <v>14679.60325930104</v>
      </c>
      <c r="G34" s="5">
        <f t="shared" si="3"/>
        <v>36620.756082553686</v>
      </c>
      <c r="H34" s="22">
        <f t="shared" si="10"/>
        <v>23206.274617100378</v>
      </c>
      <c r="I34" s="5">
        <f t="shared" si="4"/>
        <v>58759.542067267445</v>
      </c>
      <c r="J34" s="26">
        <f t="shared" si="5"/>
        <v>0.1919926645755709</v>
      </c>
      <c r="L34" s="22">
        <f t="shared" si="11"/>
        <v>54958.626083204574</v>
      </c>
      <c r="M34" s="5">
        <f>scrimecost*Meta!O31</f>
        <v>2876.5439999999999</v>
      </c>
      <c r="N34" s="5">
        <f>L34-Grade16!L34</f>
        <v>270.86248983429687</v>
      </c>
      <c r="O34" s="5">
        <f>Grade16!M34-M34</f>
        <v>0</v>
      </c>
      <c r="P34" s="22">
        <f t="shared" si="12"/>
        <v>0</v>
      </c>
      <c r="Q34" s="22"/>
      <c r="R34" s="22"/>
      <c r="S34" s="22">
        <f t="shared" si="6"/>
        <v>59.514989716351053</v>
      </c>
      <c r="T34" s="22">
        <f t="shared" si="7"/>
        <v>355.30436908659465</v>
      </c>
    </row>
    <row r="35" spans="1:20" x14ac:dyDescent="0.2">
      <c r="A35" s="5">
        <v>44</v>
      </c>
      <c r="B35" s="1">
        <f t="shared" si="8"/>
        <v>1.6795818512976552</v>
      </c>
      <c r="C35" s="5">
        <f t="shared" si="9"/>
        <v>54347.304324319797</v>
      </c>
      <c r="D35" s="5">
        <f t="shared" si="0"/>
        <v>52564.928325401081</v>
      </c>
      <c r="E35" s="5">
        <f t="shared" si="1"/>
        <v>43064.928325401081</v>
      </c>
      <c r="F35" s="5">
        <f t="shared" si="2"/>
        <v>15218.941930783561</v>
      </c>
      <c r="G35" s="5">
        <f t="shared" si="3"/>
        <v>37345.986394617517</v>
      </c>
      <c r="H35" s="22">
        <f t="shared" si="10"/>
        <v>23786.431482527885</v>
      </c>
      <c r="I35" s="5">
        <f t="shared" si="4"/>
        <v>60038.24202894912</v>
      </c>
      <c r="J35" s="26">
        <f t="shared" si="5"/>
        <v>0.19454551743429885</v>
      </c>
      <c r="L35" s="22">
        <f t="shared" si="11"/>
        <v>56332.591735284674</v>
      </c>
      <c r="M35" s="5">
        <f>scrimecost*Meta!O32</f>
        <v>2876.5439999999999</v>
      </c>
      <c r="N35" s="5">
        <f>L35-Grade16!L35</f>
        <v>277.6340520801532</v>
      </c>
      <c r="O35" s="5">
        <f>Grade16!M35-M35</f>
        <v>0</v>
      </c>
      <c r="P35" s="22">
        <f t="shared" si="12"/>
        <v>0</v>
      </c>
      <c r="Q35" s="22"/>
      <c r="R35" s="22"/>
      <c r="S35" s="22">
        <f t="shared" si="6"/>
        <v>61.002864459259591</v>
      </c>
      <c r="T35" s="22">
        <f t="shared" si="7"/>
        <v>396.52955714818222</v>
      </c>
    </row>
    <row r="36" spans="1:20" x14ac:dyDescent="0.2">
      <c r="A36" s="5">
        <v>45</v>
      </c>
      <c r="B36" s="1">
        <f t="shared" si="8"/>
        <v>1.7215713975800966</v>
      </c>
      <c r="C36" s="5">
        <f t="shared" si="9"/>
        <v>55705.98693242779</v>
      </c>
      <c r="D36" s="5">
        <f t="shared" si="0"/>
        <v>53861.11153353611</v>
      </c>
      <c r="E36" s="5">
        <f t="shared" si="1"/>
        <v>44361.11153353611</v>
      </c>
      <c r="F36" s="5">
        <f t="shared" si="2"/>
        <v>15771.764069053152</v>
      </c>
      <c r="G36" s="5">
        <f t="shared" si="3"/>
        <v>38089.347464482955</v>
      </c>
      <c r="H36" s="22">
        <f t="shared" si="10"/>
        <v>24381.092269591081</v>
      </c>
      <c r="I36" s="5">
        <f t="shared" si="4"/>
        <v>61348.909489672849</v>
      </c>
      <c r="J36" s="26">
        <f t="shared" si="5"/>
        <v>0.19703610558915552</v>
      </c>
      <c r="L36" s="22">
        <f t="shared" si="11"/>
        <v>57740.906528666797</v>
      </c>
      <c r="M36" s="5">
        <f>scrimecost*Meta!O33</f>
        <v>2324.7070000000003</v>
      </c>
      <c r="N36" s="5">
        <f>L36-Grade16!L36</f>
        <v>284.57490338215575</v>
      </c>
      <c r="O36" s="5">
        <f>Grade16!M36-M36</f>
        <v>0</v>
      </c>
      <c r="P36" s="22">
        <f t="shared" si="12"/>
        <v>0</v>
      </c>
      <c r="Q36" s="22"/>
      <c r="R36" s="22"/>
      <c r="S36" s="22">
        <f t="shared" si="6"/>
        <v>62.527936070740793</v>
      </c>
      <c r="T36" s="22">
        <f t="shared" si="7"/>
        <v>442.53801352443247</v>
      </c>
    </row>
    <row r="37" spans="1:20" x14ac:dyDescent="0.2">
      <c r="A37" s="5">
        <v>46</v>
      </c>
      <c r="B37" s="1">
        <f t="shared" ref="B37:B56" si="13">(1+experiencepremium)^(A37-startage)</f>
        <v>1.7646106825195991</v>
      </c>
      <c r="C37" s="5">
        <f t="shared" ref="C37:C56" si="14">pretaxincome*B37/expnorm</f>
        <v>57098.636605738495</v>
      </c>
      <c r="D37" s="5">
        <f t="shared" ref="D37:D56" si="15">IF(A37&lt;startage,1,0)*(C37*(1-initialunempprob))+IF(A37=startage,1,0)*(C37*(1-unempprob))+IF(A37&gt;startage,1,0)*(C37*(1-unempprob)+unempprob*300*52)</f>
        <v>55189.699321874519</v>
      </c>
      <c r="E37" s="5">
        <f t="shared" si="1"/>
        <v>45689.699321874519</v>
      </c>
      <c r="F37" s="5">
        <f t="shared" si="2"/>
        <v>16338.406760779482</v>
      </c>
      <c r="G37" s="5">
        <f t="shared" si="3"/>
        <v>38851.292561095033</v>
      </c>
      <c r="H37" s="22">
        <f t="shared" ref="H37:H56" si="16">benefits*B37/expnorm</f>
        <v>24990.619576330857</v>
      </c>
      <c r="I37" s="5">
        <f t="shared" ref="I37:I56" si="17">G37+IF(A37&lt;startage,1,0)*(H37*(1-initialunempprob))+IF(A37&gt;=startage,1,0)*(H37*(1-unempprob))</f>
        <v>62692.343636914666</v>
      </c>
      <c r="J37" s="26">
        <f t="shared" si="5"/>
        <v>0.19946594769145462</v>
      </c>
      <c r="L37" s="22">
        <f t="shared" ref="L37:L56" si="18">(sincome+sbenefits)*(1-sunemp)*B37/expnorm</f>
        <v>59184.429191883457</v>
      </c>
      <c r="M37" s="5">
        <f>scrimecost*Meta!O34</f>
        <v>2324.7070000000003</v>
      </c>
      <c r="N37" s="5">
        <f>L37-Grade16!L37</f>
        <v>291.68927596670255</v>
      </c>
      <c r="O37" s="5">
        <f>Grade16!M37-M37</f>
        <v>0</v>
      </c>
      <c r="P37" s="22">
        <f t="shared" si="12"/>
        <v>0</v>
      </c>
      <c r="Q37" s="22"/>
      <c r="R37" s="22"/>
      <c r="S37" s="22">
        <f t="shared" si="6"/>
        <v>64.091134472507761</v>
      </c>
      <c r="T37" s="22">
        <f t="shared" si="7"/>
        <v>493.88473036566626</v>
      </c>
    </row>
    <row r="38" spans="1:20" x14ac:dyDescent="0.2">
      <c r="A38" s="5">
        <v>47</v>
      </c>
      <c r="B38" s="1">
        <f t="shared" si="13"/>
        <v>1.8087259495825889</v>
      </c>
      <c r="C38" s="5">
        <f t="shared" si="14"/>
        <v>58526.102520881948</v>
      </c>
      <c r="D38" s="5">
        <f t="shared" si="15"/>
        <v>56551.501804921376</v>
      </c>
      <c r="E38" s="5">
        <f t="shared" si="1"/>
        <v>47051.501804921376</v>
      </c>
      <c r="F38" s="5">
        <f t="shared" si="2"/>
        <v>16919.215519798967</v>
      </c>
      <c r="G38" s="5">
        <f t="shared" si="3"/>
        <v>39632.286285122405</v>
      </c>
      <c r="H38" s="22">
        <f t="shared" si="16"/>
        <v>25615.38506573913</v>
      </c>
      <c r="I38" s="5">
        <f t="shared" si="17"/>
        <v>64069.363637837538</v>
      </c>
      <c r="J38" s="26">
        <f t="shared" si="5"/>
        <v>0.20183652535223423</v>
      </c>
      <c r="L38" s="22">
        <f t="shared" si="18"/>
        <v>60664.039921680545</v>
      </c>
      <c r="M38" s="5">
        <f>scrimecost*Meta!O35</f>
        <v>2324.7070000000003</v>
      </c>
      <c r="N38" s="5">
        <f>L38-Grade16!L38</f>
        <v>298.98150786588667</v>
      </c>
      <c r="O38" s="5">
        <f>Grade16!M38-M38</f>
        <v>0</v>
      </c>
      <c r="P38" s="22">
        <f t="shared" si="12"/>
        <v>0</v>
      </c>
      <c r="Q38" s="22"/>
      <c r="R38" s="22"/>
      <c r="S38" s="22">
        <f t="shared" si="6"/>
        <v>65.693412834324079</v>
      </c>
      <c r="T38" s="22">
        <f t="shared" si="7"/>
        <v>551.18909434639841</v>
      </c>
    </row>
    <row r="39" spans="1:20" x14ac:dyDescent="0.2">
      <c r="A39" s="5">
        <v>48</v>
      </c>
      <c r="B39" s="1">
        <f t="shared" si="13"/>
        <v>1.8539440983221533</v>
      </c>
      <c r="C39" s="5">
        <f t="shared" si="14"/>
        <v>59989.25508390399</v>
      </c>
      <c r="D39" s="5">
        <f t="shared" si="15"/>
        <v>57947.349350044402</v>
      </c>
      <c r="E39" s="5">
        <f t="shared" si="1"/>
        <v>48447.349350044402</v>
      </c>
      <c r="F39" s="5">
        <f t="shared" si="2"/>
        <v>17514.544497793937</v>
      </c>
      <c r="G39" s="5">
        <f t="shared" si="3"/>
        <v>40432.804852250469</v>
      </c>
      <c r="H39" s="22">
        <f t="shared" si="16"/>
        <v>26255.769692382604</v>
      </c>
      <c r="I39" s="5">
        <f t="shared" si="17"/>
        <v>65480.809138783472</v>
      </c>
      <c r="J39" s="26">
        <f t="shared" si="5"/>
        <v>0.20414928404567778</v>
      </c>
      <c r="L39" s="22">
        <f t="shared" si="18"/>
        <v>62180.640919722551</v>
      </c>
      <c r="M39" s="5">
        <f>scrimecost*Meta!O36</f>
        <v>2324.7070000000003</v>
      </c>
      <c r="N39" s="5">
        <f>L39-Grade16!L39</f>
        <v>306.45604556252511</v>
      </c>
      <c r="O39" s="5">
        <f>Grade16!M39-M39</f>
        <v>0</v>
      </c>
      <c r="P39" s="22">
        <f t="shared" si="12"/>
        <v>0</v>
      </c>
      <c r="Q39" s="22"/>
      <c r="R39" s="22"/>
      <c r="S39" s="22">
        <f t="shared" si="6"/>
        <v>67.335748155180269</v>
      </c>
      <c r="T39" s="22">
        <f t="shared" si="7"/>
        <v>615.14235822079524</v>
      </c>
    </row>
    <row r="40" spans="1:20" x14ac:dyDescent="0.2">
      <c r="A40" s="5">
        <v>49</v>
      </c>
      <c r="B40" s="1">
        <f t="shared" si="13"/>
        <v>1.9002927007802071</v>
      </c>
      <c r="C40" s="5">
        <f t="shared" si="14"/>
        <v>61488.986461001579</v>
      </c>
      <c r="D40" s="5">
        <f t="shared" si="15"/>
        <v>59378.093083795502</v>
      </c>
      <c r="E40" s="5">
        <f t="shared" si="1"/>
        <v>49878.093083795502</v>
      </c>
      <c r="F40" s="5">
        <f t="shared" si="2"/>
        <v>18124.75670023878</v>
      </c>
      <c r="G40" s="5">
        <f t="shared" si="3"/>
        <v>41253.336383556722</v>
      </c>
      <c r="H40" s="22">
        <f t="shared" si="16"/>
        <v>26912.163934692166</v>
      </c>
      <c r="I40" s="5">
        <f t="shared" si="17"/>
        <v>66927.540777253045</v>
      </c>
      <c r="J40" s="26">
        <f t="shared" si="5"/>
        <v>0.20640563399050069</v>
      </c>
      <c r="L40" s="22">
        <f t="shared" si="18"/>
        <v>63735.156942715606</v>
      </c>
      <c r="M40" s="5">
        <f>scrimecost*Meta!O37</f>
        <v>2324.7070000000003</v>
      </c>
      <c r="N40" s="5">
        <f>L40-Grade16!L40</f>
        <v>314.11744670158805</v>
      </c>
      <c r="O40" s="5">
        <f>Grade16!M40-M40</f>
        <v>0</v>
      </c>
      <c r="P40" s="22">
        <f t="shared" si="12"/>
        <v>0</v>
      </c>
      <c r="Q40" s="22"/>
      <c r="R40" s="22"/>
      <c r="S40" s="22">
        <f t="shared" si="6"/>
        <v>69.019141859059744</v>
      </c>
      <c r="T40" s="22">
        <f t="shared" si="7"/>
        <v>686.51597928685374</v>
      </c>
    </row>
    <row r="41" spans="1:20" x14ac:dyDescent="0.2">
      <c r="A41" s="5">
        <v>50</v>
      </c>
      <c r="B41" s="1">
        <f t="shared" si="13"/>
        <v>1.9478000182997122</v>
      </c>
      <c r="C41" s="5">
        <f t="shared" si="14"/>
        <v>63026.21112252662</v>
      </c>
      <c r="D41" s="5">
        <f t="shared" si="15"/>
        <v>60844.605410890392</v>
      </c>
      <c r="E41" s="5">
        <f t="shared" si="1"/>
        <v>51344.605410890392</v>
      </c>
      <c r="F41" s="5">
        <f t="shared" si="2"/>
        <v>18750.224207744752</v>
      </c>
      <c r="G41" s="5">
        <f t="shared" si="3"/>
        <v>42094.38120314564</v>
      </c>
      <c r="H41" s="22">
        <f t="shared" si="16"/>
        <v>27584.968033059467</v>
      </c>
      <c r="I41" s="5">
        <f t="shared" si="17"/>
        <v>68410.440706684371</v>
      </c>
      <c r="J41" s="26">
        <f t="shared" si="5"/>
        <v>0.2086069510098402</v>
      </c>
      <c r="L41" s="22">
        <f t="shared" si="18"/>
        <v>65328.535866283491</v>
      </c>
      <c r="M41" s="5">
        <f>scrimecost*Meta!O38</f>
        <v>1553.134</v>
      </c>
      <c r="N41" s="5">
        <f>L41-Grade16!L41</f>
        <v>321.97038286911993</v>
      </c>
      <c r="O41" s="5">
        <f>Grade16!M41-M41</f>
        <v>0</v>
      </c>
      <c r="P41" s="22">
        <f t="shared" si="12"/>
        <v>0</v>
      </c>
      <c r="Q41" s="22"/>
      <c r="R41" s="22"/>
      <c r="S41" s="22">
        <f t="shared" si="6"/>
        <v>70.744620405534505</v>
      </c>
      <c r="T41" s="22">
        <f t="shared" si="7"/>
        <v>766.1709253437715</v>
      </c>
    </row>
    <row r="42" spans="1:20" x14ac:dyDescent="0.2">
      <c r="A42" s="5">
        <v>51</v>
      </c>
      <c r="B42" s="1">
        <f t="shared" si="13"/>
        <v>1.9964950187572048</v>
      </c>
      <c r="C42" s="5">
        <f t="shared" si="14"/>
        <v>64601.866400589781</v>
      </c>
      <c r="D42" s="5">
        <f t="shared" si="15"/>
        <v>62347.780546162649</v>
      </c>
      <c r="E42" s="5">
        <f t="shared" si="1"/>
        <v>52847.780546162649</v>
      </c>
      <c r="F42" s="5">
        <f t="shared" si="2"/>
        <v>19391.328402938369</v>
      </c>
      <c r="G42" s="5">
        <f t="shared" si="3"/>
        <v>42956.452143224276</v>
      </c>
      <c r="H42" s="22">
        <f t="shared" si="16"/>
        <v>28274.592233885953</v>
      </c>
      <c r="I42" s="5">
        <f t="shared" si="17"/>
        <v>69930.413134351475</v>
      </c>
      <c r="J42" s="26">
        <f t="shared" si="5"/>
        <v>0.21075457737017139</v>
      </c>
      <c r="L42" s="22">
        <f t="shared" si="18"/>
        <v>66961.749262940575</v>
      </c>
      <c r="M42" s="5">
        <f>scrimecost*Meta!O39</f>
        <v>1553.134</v>
      </c>
      <c r="N42" s="5">
        <f>L42-Grade16!L42</f>
        <v>330.01964244084957</v>
      </c>
      <c r="O42" s="5">
        <f>Grade16!M42-M42</f>
        <v>0</v>
      </c>
      <c r="P42" s="22">
        <f t="shared" si="12"/>
        <v>0</v>
      </c>
      <c r="Q42" s="22"/>
      <c r="R42" s="22"/>
      <c r="S42" s="22">
        <f t="shared" si="6"/>
        <v>72.513235915673235</v>
      </c>
      <c r="T42" s="22">
        <f t="shared" si="7"/>
        <v>855.06806039960941</v>
      </c>
    </row>
    <row r="43" spans="1:20" x14ac:dyDescent="0.2">
      <c r="A43" s="5">
        <v>52</v>
      </c>
      <c r="B43" s="1">
        <f t="shared" si="13"/>
        <v>2.0464073942261352</v>
      </c>
      <c r="C43" s="5">
        <f t="shared" si="14"/>
        <v>66216.913060604536</v>
      </c>
      <c r="D43" s="5">
        <f t="shared" si="15"/>
        <v>63888.535059816721</v>
      </c>
      <c r="E43" s="5">
        <f t="shared" si="1"/>
        <v>54388.535059816721</v>
      </c>
      <c r="F43" s="5">
        <f t="shared" si="2"/>
        <v>20048.460203011833</v>
      </c>
      <c r="G43" s="5">
        <f t="shared" si="3"/>
        <v>43840.074856804888</v>
      </c>
      <c r="H43" s="22">
        <f t="shared" si="16"/>
        <v>28981.457039733104</v>
      </c>
      <c r="I43" s="5">
        <f t="shared" si="17"/>
        <v>71488.384872710274</v>
      </c>
      <c r="J43" s="26">
        <f t="shared" si="5"/>
        <v>0.21284982259976287</v>
      </c>
      <c r="L43" s="22">
        <f t="shared" si="18"/>
        <v>68635.792994514108</v>
      </c>
      <c r="M43" s="5">
        <f>scrimecost*Meta!O40</f>
        <v>1553.134</v>
      </c>
      <c r="N43" s="5">
        <f>L43-Grade16!L43</f>
        <v>338.27013350189372</v>
      </c>
      <c r="O43" s="5">
        <f>Grade16!M43-M43</f>
        <v>0</v>
      </c>
      <c r="P43" s="22">
        <f t="shared" si="12"/>
        <v>0</v>
      </c>
      <c r="Q43" s="22"/>
      <c r="R43" s="22"/>
      <c r="S43" s="22">
        <f t="shared" si="6"/>
        <v>74.326066813570108</v>
      </c>
      <c r="T43" s="22">
        <f t="shared" si="7"/>
        <v>954.27973540961739</v>
      </c>
    </row>
    <row r="44" spans="1:20" x14ac:dyDescent="0.2">
      <c r="A44" s="5">
        <v>53</v>
      </c>
      <c r="B44" s="1">
        <f t="shared" si="13"/>
        <v>2.097567579081788</v>
      </c>
      <c r="C44" s="5">
        <f t="shared" si="14"/>
        <v>67872.335887119625</v>
      </c>
      <c r="D44" s="5">
        <f t="shared" si="15"/>
        <v>65467.808436312116</v>
      </c>
      <c r="E44" s="5">
        <f t="shared" si="1"/>
        <v>55967.808436312116</v>
      </c>
      <c r="F44" s="5">
        <f t="shared" si="2"/>
        <v>20722.020298087118</v>
      </c>
      <c r="G44" s="5">
        <f t="shared" si="3"/>
        <v>44745.788138224998</v>
      </c>
      <c r="H44" s="22">
        <f t="shared" si="16"/>
        <v>29705.993465726424</v>
      </c>
      <c r="I44" s="5">
        <f t="shared" si="17"/>
        <v>73085.30590452801</v>
      </c>
      <c r="J44" s="26">
        <f t="shared" si="5"/>
        <v>0.21489396428716903</v>
      </c>
      <c r="L44" s="22">
        <f t="shared" si="18"/>
        <v>70351.687819376937</v>
      </c>
      <c r="M44" s="5">
        <f>scrimecost*Meta!O41</f>
        <v>1553.134</v>
      </c>
      <c r="N44" s="5">
        <f>L44-Grade16!L44</f>
        <v>346.72688683940214</v>
      </c>
      <c r="O44" s="5">
        <f>Grade16!M44-M44</f>
        <v>0</v>
      </c>
      <c r="P44" s="22">
        <f t="shared" si="12"/>
        <v>0</v>
      </c>
      <c r="Q44" s="22"/>
      <c r="R44" s="22"/>
      <c r="S44" s="22">
        <f t="shared" si="6"/>
        <v>76.184218483900807</v>
      </c>
      <c r="T44" s="22">
        <f t="shared" si="7"/>
        <v>1065.0027238623554</v>
      </c>
    </row>
    <row r="45" spans="1:20" x14ac:dyDescent="0.2">
      <c r="A45" s="5">
        <v>54</v>
      </c>
      <c r="B45" s="1">
        <f t="shared" si="13"/>
        <v>2.1500067685588333</v>
      </c>
      <c r="C45" s="5">
        <f t="shared" si="14"/>
        <v>69569.144284297639</v>
      </c>
      <c r="D45" s="5">
        <f t="shared" si="15"/>
        <v>67086.563647219955</v>
      </c>
      <c r="E45" s="5">
        <f t="shared" si="1"/>
        <v>57586.563647219955</v>
      </c>
      <c r="F45" s="5">
        <f t="shared" si="2"/>
        <v>21412.419395539309</v>
      </c>
      <c r="G45" s="5">
        <f t="shared" si="3"/>
        <v>45674.144251680642</v>
      </c>
      <c r="H45" s="22">
        <f t="shared" si="16"/>
        <v>30448.643302369594</v>
      </c>
      <c r="I45" s="5">
        <f t="shared" si="17"/>
        <v>74722.149962141237</v>
      </c>
      <c r="J45" s="26">
        <f t="shared" si="5"/>
        <v>0.21688824886024841</v>
      </c>
      <c r="L45" s="22">
        <f t="shared" si="18"/>
        <v>72110.480014861372</v>
      </c>
      <c r="M45" s="5">
        <f>scrimecost*Meta!O42</f>
        <v>1553.134</v>
      </c>
      <c r="N45" s="5">
        <f>L45-Grade16!L45</f>
        <v>355.39505901040684</v>
      </c>
      <c r="O45" s="5">
        <f>Grade16!M45-M45</f>
        <v>0</v>
      </c>
      <c r="P45" s="22">
        <f t="shared" si="12"/>
        <v>0</v>
      </c>
      <c r="Q45" s="22"/>
      <c r="R45" s="22"/>
      <c r="S45" s="22">
        <f t="shared" ref="S45:S69" si="19">IF(A45&lt;startage,1,0)*(N45-Q45-R45)+IF(A45&gt;=startage,1,0)*completionprob*(N45*spart+O45+P45)</f>
        <v>78.088823946002634</v>
      </c>
      <c r="T45" s="22">
        <f t="shared" ref="T45:T69" si="20">S45/sreturn^(A45-startage+1)</f>
        <v>1188.5726582547277</v>
      </c>
    </row>
    <row r="46" spans="1:20" x14ac:dyDescent="0.2">
      <c r="A46" s="5">
        <v>55</v>
      </c>
      <c r="B46" s="1">
        <f t="shared" si="13"/>
        <v>2.2037569377728037</v>
      </c>
      <c r="C46" s="5">
        <f t="shared" si="14"/>
        <v>71308.372891405073</v>
      </c>
      <c r="D46" s="5">
        <f t="shared" si="15"/>
        <v>68745.787738400439</v>
      </c>
      <c r="E46" s="5">
        <f t="shared" si="1"/>
        <v>59245.787738400439</v>
      </c>
      <c r="F46" s="5">
        <f t="shared" si="2"/>
        <v>22120.078470427787</v>
      </c>
      <c r="G46" s="5">
        <f t="shared" si="3"/>
        <v>46625.709267972648</v>
      </c>
      <c r="H46" s="22">
        <f t="shared" si="16"/>
        <v>31209.85938492883</v>
      </c>
      <c r="I46" s="5">
        <f t="shared" si="17"/>
        <v>76399.915121194746</v>
      </c>
      <c r="J46" s="26">
        <f t="shared" si="5"/>
        <v>0.21883389234617934</v>
      </c>
      <c r="L46" s="22">
        <f t="shared" si="18"/>
        <v>73913.2420152329</v>
      </c>
      <c r="M46" s="5">
        <f>scrimecost*Meta!O43</f>
        <v>861.46499999999992</v>
      </c>
      <c r="N46" s="5">
        <f>L46-Grade16!L46</f>
        <v>364.27993548566883</v>
      </c>
      <c r="O46" s="5">
        <f>Grade16!M46-M46</f>
        <v>0</v>
      </c>
      <c r="P46" s="22">
        <f t="shared" si="12"/>
        <v>0</v>
      </c>
      <c r="Q46" s="22"/>
      <c r="R46" s="22"/>
      <c r="S46" s="22">
        <f t="shared" si="19"/>
        <v>80.041044544653104</v>
      </c>
      <c r="T46" s="22">
        <f t="shared" si="20"/>
        <v>1326.4801415974791</v>
      </c>
    </row>
    <row r="47" spans="1:20" x14ac:dyDescent="0.2">
      <c r="A47" s="5">
        <v>56</v>
      </c>
      <c r="B47" s="1">
        <f t="shared" si="13"/>
        <v>2.2588508612171236</v>
      </c>
      <c r="C47" s="5">
        <f t="shared" si="14"/>
        <v>73091.082213690184</v>
      </c>
      <c r="D47" s="5">
        <f t="shared" si="15"/>
        <v>70446.492431860432</v>
      </c>
      <c r="E47" s="5">
        <f t="shared" si="1"/>
        <v>60946.492431860432</v>
      </c>
      <c r="F47" s="5">
        <f t="shared" si="2"/>
        <v>22845.429022188473</v>
      </c>
      <c r="G47" s="5">
        <f t="shared" si="3"/>
        <v>47601.063409671959</v>
      </c>
      <c r="H47" s="22">
        <f t="shared" si="16"/>
        <v>31990.105869552048</v>
      </c>
      <c r="I47" s="5">
        <f t="shared" si="17"/>
        <v>78119.624409224605</v>
      </c>
      <c r="J47" s="26">
        <f t="shared" si="5"/>
        <v>0.22073208111294126</v>
      </c>
      <c r="L47" s="22">
        <f t="shared" si="18"/>
        <v>75761.073065613717</v>
      </c>
      <c r="M47" s="5">
        <f>scrimecost*Meta!O44</f>
        <v>861.46499999999992</v>
      </c>
      <c r="N47" s="5">
        <f>L47-Grade16!L47</f>
        <v>373.38693387279636</v>
      </c>
      <c r="O47" s="5">
        <f>Grade16!M47-M47</f>
        <v>0</v>
      </c>
      <c r="P47" s="22">
        <f t="shared" si="12"/>
        <v>0</v>
      </c>
      <c r="Q47" s="22"/>
      <c r="R47" s="22"/>
      <c r="S47" s="22">
        <f t="shared" si="19"/>
        <v>82.042070658266312</v>
      </c>
      <c r="T47" s="22">
        <f t="shared" si="20"/>
        <v>1480.3887283054905</v>
      </c>
    </row>
    <row r="48" spans="1:20" x14ac:dyDescent="0.2">
      <c r="A48" s="5">
        <v>57</v>
      </c>
      <c r="B48" s="1">
        <f t="shared" si="13"/>
        <v>2.3153221327475517</v>
      </c>
      <c r="C48" s="5">
        <f t="shared" si="14"/>
        <v>74918.359269032444</v>
      </c>
      <c r="D48" s="5">
        <f t="shared" si="15"/>
        <v>72189.714742656957</v>
      </c>
      <c r="E48" s="5">
        <f t="shared" si="1"/>
        <v>62689.714742656957</v>
      </c>
      <c r="F48" s="5">
        <f t="shared" si="2"/>
        <v>23588.913337743194</v>
      </c>
      <c r="G48" s="5">
        <f t="shared" si="3"/>
        <v>48600.801404913764</v>
      </c>
      <c r="H48" s="22">
        <f t="shared" si="16"/>
        <v>32789.858516290849</v>
      </c>
      <c r="I48" s="5">
        <f t="shared" si="17"/>
        <v>79882.326429455235</v>
      </c>
      <c r="J48" s="26">
        <f t="shared" si="5"/>
        <v>0.22258397259270907</v>
      </c>
      <c r="L48" s="22">
        <f t="shared" si="18"/>
        <v>77655.09989225406</v>
      </c>
      <c r="M48" s="5">
        <f>scrimecost*Meta!O45</f>
        <v>861.46499999999992</v>
      </c>
      <c r="N48" s="5">
        <f>L48-Grade16!L48</f>
        <v>382.7216072196461</v>
      </c>
      <c r="O48" s="5">
        <f>Grade16!M48-M48</f>
        <v>0</v>
      </c>
      <c r="P48" s="22">
        <f t="shared" si="12"/>
        <v>0</v>
      </c>
      <c r="Q48" s="22"/>
      <c r="R48" s="22"/>
      <c r="S48" s="22">
        <f t="shared" si="19"/>
        <v>84.093122424729515</v>
      </c>
      <c r="T48" s="22">
        <f t="shared" si="20"/>
        <v>1652.1549913705592</v>
      </c>
    </row>
    <row r="49" spans="1:20" x14ac:dyDescent="0.2">
      <c r="A49" s="5">
        <v>58</v>
      </c>
      <c r="B49" s="1">
        <f t="shared" si="13"/>
        <v>2.3732051860662402</v>
      </c>
      <c r="C49" s="5">
        <f t="shared" si="14"/>
        <v>76791.318250758239</v>
      </c>
      <c r="D49" s="5">
        <f t="shared" si="15"/>
        <v>73976.51761122336</v>
      </c>
      <c r="E49" s="5">
        <f t="shared" si="1"/>
        <v>64476.51761122336</v>
      </c>
      <c r="F49" s="5">
        <f t="shared" si="2"/>
        <v>24350.984761186763</v>
      </c>
      <c r="G49" s="5">
        <f t="shared" si="3"/>
        <v>49625.532850036601</v>
      </c>
      <c r="H49" s="22">
        <f t="shared" si="16"/>
        <v>33609.604979198113</v>
      </c>
      <c r="I49" s="5">
        <f t="shared" si="17"/>
        <v>81689.096000191596</v>
      </c>
      <c r="J49" s="26">
        <f t="shared" si="5"/>
        <v>0.22439069598760439</v>
      </c>
      <c r="L49" s="22">
        <f t="shared" si="18"/>
        <v>79596.477389560401</v>
      </c>
      <c r="M49" s="5">
        <f>scrimecost*Meta!O46</f>
        <v>861.46499999999992</v>
      </c>
      <c r="N49" s="5">
        <f>L49-Grade16!L49</f>
        <v>392.28964740011725</v>
      </c>
      <c r="O49" s="5">
        <f>Grade16!M49-M49</f>
        <v>0</v>
      </c>
      <c r="P49" s="22">
        <f t="shared" si="12"/>
        <v>0</v>
      </c>
      <c r="Q49" s="22"/>
      <c r="R49" s="22"/>
      <c r="S49" s="22">
        <f t="shared" si="19"/>
        <v>86.195450485343372</v>
      </c>
      <c r="T49" s="22">
        <f t="shared" si="20"/>
        <v>1843.850917883389</v>
      </c>
    </row>
    <row r="50" spans="1:20" x14ac:dyDescent="0.2">
      <c r="A50" s="5">
        <v>59</v>
      </c>
      <c r="B50" s="1">
        <f t="shared" si="13"/>
        <v>2.4325353157178964</v>
      </c>
      <c r="C50" s="5">
        <f t="shared" si="14"/>
        <v>78711.101207027197</v>
      </c>
      <c r="D50" s="5">
        <f t="shared" si="15"/>
        <v>75807.990551503943</v>
      </c>
      <c r="E50" s="5">
        <f t="shared" si="1"/>
        <v>66307.990551503943</v>
      </c>
      <c r="F50" s="5">
        <f t="shared" si="2"/>
        <v>25132.107970216432</v>
      </c>
      <c r="G50" s="5">
        <f t="shared" si="3"/>
        <v>50675.882581287515</v>
      </c>
      <c r="H50" s="22">
        <f t="shared" si="16"/>
        <v>34449.845103678068</v>
      </c>
      <c r="I50" s="5">
        <f t="shared" si="17"/>
        <v>83541.03481019639</v>
      </c>
      <c r="J50" s="26">
        <f t="shared" si="5"/>
        <v>0.22615335295823399</v>
      </c>
      <c r="L50" s="22">
        <f t="shared" si="18"/>
        <v>81586.389324299409</v>
      </c>
      <c r="M50" s="5">
        <f>scrimecost*Meta!O47</f>
        <v>861.46499999999992</v>
      </c>
      <c r="N50" s="5">
        <f>L50-Grade16!L50</f>
        <v>402.09688858511799</v>
      </c>
      <c r="O50" s="5">
        <f>Grade16!M50-M50</f>
        <v>0</v>
      </c>
      <c r="P50" s="22">
        <f t="shared" si="12"/>
        <v>0</v>
      </c>
      <c r="Q50" s="22"/>
      <c r="R50" s="22"/>
      <c r="S50" s="22">
        <f t="shared" si="19"/>
        <v>88.350336747476462</v>
      </c>
      <c r="T50" s="22">
        <f t="shared" si="20"/>
        <v>2057.7889030612364</v>
      </c>
    </row>
    <row r="51" spans="1:20" x14ac:dyDescent="0.2">
      <c r="A51" s="5">
        <v>60</v>
      </c>
      <c r="B51" s="1">
        <f t="shared" si="13"/>
        <v>2.4933486986108435</v>
      </c>
      <c r="C51" s="5">
        <f t="shared" si="14"/>
        <v>80678.87873720286</v>
      </c>
      <c r="D51" s="5">
        <f t="shared" si="15"/>
        <v>77685.250315291531</v>
      </c>
      <c r="E51" s="5">
        <f t="shared" si="1"/>
        <v>68185.250315291531</v>
      </c>
      <c r="F51" s="5">
        <f t="shared" si="2"/>
        <v>25932.759259471837</v>
      </c>
      <c r="G51" s="5">
        <f t="shared" si="3"/>
        <v>51752.491055819693</v>
      </c>
      <c r="H51" s="22">
        <f t="shared" si="16"/>
        <v>35311.091231270017</v>
      </c>
      <c r="I51" s="5">
        <f t="shared" si="17"/>
        <v>85439.272090451297</v>
      </c>
      <c r="J51" s="26">
        <f t="shared" si="5"/>
        <v>0.22787301829543369</v>
      </c>
      <c r="L51" s="22">
        <f t="shared" si="18"/>
        <v>83626.049057406897</v>
      </c>
      <c r="M51" s="5">
        <f>scrimecost*Meta!O48</f>
        <v>454.45400000000001</v>
      </c>
      <c r="N51" s="5">
        <f>L51-Grade16!L51</f>
        <v>412.14931079976668</v>
      </c>
      <c r="O51" s="5">
        <f>Grade16!M51-M51</f>
        <v>0</v>
      </c>
      <c r="P51" s="22">
        <f t="shared" si="12"/>
        <v>0</v>
      </c>
      <c r="Q51" s="22"/>
      <c r="R51" s="22"/>
      <c r="S51" s="22">
        <f t="shared" si="19"/>
        <v>90.559095166167936</v>
      </c>
      <c r="T51" s="22">
        <f t="shared" si="20"/>
        <v>2296.5496442755289</v>
      </c>
    </row>
    <row r="52" spans="1:20" x14ac:dyDescent="0.2">
      <c r="A52" s="5">
        <v>61</v>
      </c>
      <c r="B52" s="1">
        <f t="shared" si="13"/>
        <v>2.555682416076114</v>
      </c>
      <c r="C52" s="5">
        <f t="shared" si="14"/>
        <v>82695.850705632925</v>
      </c>
      <c r="D52" s="5">
        <f t="shared" si="15"/>
        <v>79609.441573173812</v>
      </c>
      <c r="E52" s="5">
        <f t="shared" si="1"/>
        <v>70109.441573173812</v>
      </c>
      <c r="F52" s="5">
        <f t="shared" si="2"/>
        <v>26753.426830958633</v>
      </c>
      <c r="G52" s="5">
        <f t="shared" si="3"/>
        <v>52856.014742215179</v>
      </c>
      <c r="H52" s="22">
        <f t="shared" si="16"/>
        <v>36193.868512051762</v>
      </c>
      <c r="I52" s="5">
        <f t="shared" si="17"/>
        <v>87384.965302712561</v>
      </c>
      <c r="J52" s="26">
        <f t="shared" si="5"/>
        <v>0.22955074057562844</v>
      </c>
      <c r="L52" s="22">
        <f t="shared" si="18"/>
        <v>85716.700283842059</v>
      </c>
      <c r="M52" s="5">
        <f>scrimecost*Meta!O49</f>
        <v>454.45400000000001</v>
      </c>
      <c r="N52" s="5">
        <f>L52-Grade16!L52</f>
        <v>422.45304356973793</v>
      </c>
      <c r="O52" s="5">
        <f>Grade16!M52-M52</f>
        <v>0</v>
      </c>
      <c r="P52" s="22">
        <f t="shared" si="12"/>
        <v>0</v>
      </c>
      <c r="Q52" s="22"/>
      <c r="R52" s="22"/>
      <c r="S52" s="22">
        <f t="shared" si="19"/>
        <v>92.823072545317103</v>
      </c>
      <c r="T52" s="22">
        <f t="shared" si="20"/>
        <v>2563.0132715632371</v>
      </c>
    </row>
    <row r="53" spans="1:20" x14ac:dyDescent="0.2">
      <c r="A53" s="5">
        <v>62</v>
      </c>
      <c r="B53" s="1">
        <f t="shared" si="13"/>
        <v>2.6195744764780171</v>
      </c>
      <c r="C53" s="5">
        <f t="shared" si="14"/>
        <v>84763.246973273766</v>
      </c>
      <c r="D53" s="5">
        <f t="shared" si="15"/>
        <v>81581.737612503173</v>
      </c>
      <c r="E53" s="5">
        <f t="shared" si="1"/>
        <v>72081.737612503173</v>
      </c>
      <c r="F53" s="5">
        <f t="shared" si="2"/>
        <v>27594.6110917326</v>
      </c>
      <c r="G53" s="5">
        <f t="shared" si="3"/>
        <v>53987.126520770573</v>
      </c>
      <c r="H53" s="22">
        <f t="shared" si="16"/>
        <v>37098.715224853055</v>
      </c>
      <c r="I53" s="5">
        <f t="shared" si="17"/>
        <v>89379.300845280377</v>
      </c>
      <c r="J53" s="26">
        <f t="shared" si="5"/>
        <v>0.2311875428002087</v>
      </c>
      <c r="L53" s="22">
        <f t="shared" si="18"/>
        <v>87859.617790938108</v>
      </c>
      <c r="M53" s="5">
        <f>scrimecost*Meta!O50</f>
        <v>454.45400000000001</v>
      </c>
      <c r="N53" s="5">
        <f>L53-Grade16!L53</f>
        <v>433.01436965899484</v>
      </c>
      <c r="O53" s="5">
        <f>Grade16!M53-M53</f>
        <v>0</v>
      </c>
      <c r="P53" s="22">
        <f t="shared" si="12"/>
        <v>0</v>
      </c>
      <c r="Q53" s="22"/>
      <c r="R53" s="22"/>
      <c r="S53" s="22">
        <f t="shared" si="19"/>
        <v>95.143649358952999</v>
      </c>
      <c r="T53" s="22">
        <f t="shared" si="20"/>
        <v>2860.3940901447941</v>
      </c>
    </row>
    <row r="54" spans="1:20" x14ac:dyDescent="0.2">
      <c r="A54" s="5">
        <v>63</v>
      </c>
      <c r="B54" s="1">
        <f t="shared" si="13"/>
        <v>2.6850638383899672</v>
      </c>
      <c r="C54" s="5">
        <f t="shared" si="14"/>
        <v>86882.328147605585</v>
      </c>
      <c r="D54" s="5">
        <f t="shared" si="15"/>
        <v>83603.341052815726</v>
      </c>
      <c r="E54" s="5">
        <f t="shared" si="1"/>
        <v>74103.341052815726</v>
      </c>
      <c r="F54" s="5">
        <f t="shared" si="2"/>
        <v>28456.824959025907</v>
      </c>
      <c r="G54" s="5">
        <f t="shared" si="3"/>
        <v>55146.516093789818</v>
      </c>
      <c r="H54" s="22">
        <f t="shared" si="16"/>
        <v>38026.183105474374</v>
      </c>
      <c r="I54" s="5">
        <f t="shared" si="17"/>
        <v>91423.494776412379</v>
      </c>
      <c r="J54" s="26">
        <f t="shared" si="5"/>
        <v>0.2327844230193114</v>
      </c>
      <c r="L54" s="22">
        <f t="shared" si="18"/>
        <v>90056.108235711552</v>
      </c>
      <c r="M54" s="5">
        <f>scrimecost*Meta!O51</f>
        <v>454.45400000000001</v>
      </c>
      <c r="N54" s="5">
        <f>L54-Grade16!L54</f>
        <v>443.83972890046425</v>
      </c>
      <c r="O54" s="5">
        <f>Grade16!M54-M54</f>
        <v>0</v>
      </c>
      <c r="P54" s="22">
        <f t="shared" si="12"/>
        <v>0</v>
      </c>
      <c r="Q54" s="22"/>
      <c r="R54" s="22"/>
      <c r="S54" s="22">
        <f t="shared" si="19"/>
        <v>97.522240592925627</v>
      </c>
      <c r="T54" s="22">
        <f t="shared" si="20"/>
        <v>3192.2793540372959</v>
      </c>
    </row>
    <row r="55" spans="1:20" x14ac:dyDescent="0.2">
      <c r="A55" s="5">
        <v>64</v>
      </c>
      <c r="B55" s="1">
        <f t="shared" si="13"/>
        <v>2.7521904343497163</v>
      </c>
      <c r="C55" s="5">
        <f t="shared" si="14"/>
        <v>89054.386351295718</v>
      </c>
      <c r="D55" s="5">
        <f t="shared" si="15"/>
        <v>85675.484579136115</v>
      </c>
      <c r="E55" s="5">
        <f t="shared" si="1"/>
        <v>76175.484579136115</v>
      </c>
      <c r="F55" s="5">
        <f t="shared" si="2"/>
        <v>29340.594173001555</v>
      </c>
      <c r="G55" s="5">
        <f t="shared" si="3"/>
        <v>56334.89040613456</v>
      </c>
      <c r="H55" s="22">
        <f t="shared" si="16"/>
        <v>38976.837683111233</v>
      </c>
      <c r="I55" s="5">
        <f t="shared" si="17"/>
        <v>93518.793555822675</v>
      </c>
      <c r="J55" s="26">
        <f t="shared" si="5"/>
        <v>0.23434235494038722</v>
      </c>
      <c r="L55" s="22">
        <f t="shared" si="18"/>
        <v>92307.510941604341</v>
      </c>
      <c r="M55" s="5">
        <f>scrimecost*Meta!O52</f>
        <v>454.45400000000001</v>
      </c>
      <c r="N55" s="5">
        <f>L55-Grade16!L55</f>
        <v>454.9357221229875</v>
      </c>
      <c r="O55" s="5">
        <f>Grade16!M55-M55</f>
        <v>0</v>
      </c>
      <c r="P55" s="22">
        <f t="shared" si="12"/>
        <v>0</v>
      </c>
      <c r="Q55" s="22"/>
      <c r="R55" s="22"/>
      <c r="S55" s="22">
        <f t="shared" si="19"/>
        <v>99.960296607751317</v>
      </c>
      <c r="T55" s="22">
        <f t="shared" si="20"/>
        <v>3562.6725384883266</v>
      </c>
    </row>
    <row r="56" spans="1:20" x14ac:dyDescent="0.2">
      <c r="A56" s="5">
        <v>65</v>
      </c>
      <c r="B56" s="1">
        <f t="shared" si="13"/>
        <v>2.8209951952084591</v>
      </c>
      <c r="C56" s="5">
        <f t="shared" si="14"/>
        <v>91280.746010078117</v>
      </c>
      <c r="D56" s="5">
        <f t="shared" si="15"/>
        <v>87799.431693614519</v>
      </c>
      <c r="E56" s="5">
        <f t="shared" si="1"/>
        <v>78299.431693614519</v>
      </c>
      <c r="F56" s="5">
        <f t="shared" si="2"/>
        <v>30246.457617326592</v>
      </c>
      <c r="G56" s="5">
        <f t="shared" si="3"/>
        <v>57552.974076287923</v>
      </c>
      <c r="H56" s="22">
        <f t="shared" si="16"/>
        <v>39951.258625189017</v>
      </c>
      <c r="I56" s="5">
        <f t="shared" si="17"/>
        <v>95666.474804718251</v>
      </c>
      <c r="J56" s="26">
        <f t="shared" si="5"/>
        <v>0.23586228852192453</v>
      </c>
      <c r="L56" s="22">
        <f t="shared" si="18"/>
        <v>94615.198715144434</v>
      </c>
      <c r="M56" s="5">
        <f>scrimecost*Meta!O53</f>
        <v>137.33500000000001</v>
      </c>
      <c r="N56" s="5">
        <f>L56-Grade16!L56</f>
        <v>466.30911517604545</v>
      </c>
      <c r="O56" s="5">
        <f>Grade16!M56-M56</f>
        <v>0</v>
      </c>
      <c r="P56" s="22">
        <f t="shared" si="12"/>
        <v>0</v>
      </c>
      <c r="Q56" s="22"/>
      <c r="R56" s="22"/>
      <c r="S56" s="22">
        <f t="shared" si="19"/>
        <v>102.45930402294141</v>
      </c>
      <c r="T56" s="22">
        <f t="shared" si="20"/>
        <v>3976.041633212838</v>
      </c>
    </row>
    <row r="57" spans="1:20" x14ac:dyDescent="0.2">
      <c r="A57" s="5">
        <v>66</v>
      </c>
      <c r="C57" s="5"/>
      <c r="H57" s="21"/>
      <c r="I57" s="5"/>
      <c r="M57" s="5">
        <f>scrimecost*Meta!O54</f>
        <v>137.33500000000001</v>
      </c>
      <c r="N57" s="5">
        <f>L57-Grade16!L57</f>
        <v>0</v>
      </c>
      <c r="O57" s="5">
        <f>Grade16!M57-M57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137.33500000000001</v>
      </c>
      <c r="N58" s="5">
        <f>L58-Grade16!L58</f>
        <v>0</v>
      </c>
      <c r="O58" s="5">
        <f>Grade16!M58-M58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137.33500000000001</v>
      </c>
      <c r="N59" s="5">
        <f>L59-Grade16!L59</f>
        <v>0</v>
      </c>
      <c r="O59" s="5">
        <f>Grade16!M59-M59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137.33500000000001</v>
      </c>
      <c r="N60" s="5">
        <f>L60-Grade16!L60</f>
        <v>0</v>
      </c>
      <c r="O60" s="5">
        <f>Grade16!M60-M60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137.33500000000001</v>
      </c>
      <c r="N61" s="5">
        <f>L61-Grade16!L61</f>
        <v>0</v>
      </c>
      <c r="O61" s="5">
        <f>Grade16!M61-M61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137.33500000000001</v>
      </c>
      <c r="N62" s="5">
        <f>L62-Grade16!L62</f>
        <v>0</v>
      </c>
      <c r="O62" s="5">
        <f>Grade16!M62-M62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137.33500000000001</v>
      </c>
      <c r="N63" s="5">
        <f>L63-Grade16!L63</f>
        <v>0</v>
      </c>
      <c r="O63" s="5">
        <f>Grade16!M63-M63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137.33500000000001</v>
      </c>
      <c r="N64" s="5">
        <f>L64-Grade16!L64</f>
        <v>0</v>
      </c>
      <c r="O64" s="5">
        <f>Grade16!M64-M64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137.33500000000001</v>
      </c>
      <c r="N65" s="5">
        <f>L65-Grade16!L65</f>
        <v>0</v>
      </c>
      <c r="O65" s="5">
        <f>Grade16!M65-M65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137.33500000000001</v>
      </c>
      <c r="N66" s="5">
        <f>L66-Grade16!L66</f>
        <v>0</v>
      </c>
      <c r="O66" s="5">
        <f>Grade16!M66-M66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137.33500000000001</v>
      </c>
      <c r="N67" s="5">
        <f>L67-Grade16!L67</f>
        <v>0</v>
      </c>
      <c r="O67" s="5">
        <f>Grade16!M67-M67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137.33500000000001</v>
      </c>
      <c r="N68" s="5">
        <f>L68-Grade16!L68</f>
        <v>0</v>
      </c>
      <c r="O68" s="5">
        <f>Grade16!M68-M68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137.33500000000001</v>
      </c>
      <c r="N69" s="5">
        <f>L69-Grade16!L69</f>
        <v>0</v>
      </c>
      <c r="O69" s="5">
        <f>Grade16!M69-M69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2.8740032576024532E-10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Meta!A12+6</f>
        <v>24</v>
      </c>
      <c r="C2" s="7">
        <f>Meta!B12</f>
        <v>64901</v>
      </c>
      <c r="D2" s="7">
        <f>Meta!C12</f>
        <v>27709</v>
      </c>
      <c r="E2" s="1">
        <f>Meta!D12</f>
        <v>4.2000000000000003E-2</v>
      </c>
      <c r="F2" s="1">
        <f>Meta!F12</f>
        <v>0.72499999999999998</v>
      </c>
      <c r="G2" s="1">
        <f>Meta!I12</f>
        <v>1.7342811382937739</v>
      </c>
      <c r="H2" s="1">
        <f>Meta!E12</f>
        <v>0.32600000000000001</v>
      </c>
      <c r="I2" s="13"/>
      <c r="J2" s="1">
        <f>Meta!X11</f>
        <v>0.67400000000000004</v>
      </c>
      <c r="K2" s="1">
        <f>Meta!D11</f>
        <v>4.5999999999999999E-2</v>
      </c>
      <c r="L2" s="29"/>
      <c r="N2" s="22">
        <f>Meta!T12</f>
        <v>43859</v>
      </c>
      <c r="O2" s="22">
        <f>Meta!U12</f>
        <v>19810</v>
      </c>
      <c r="P2" s="1">
        <f>Meta!V12</f>
        <v>5.8000000000000003E-2</v>
      </c>
      <c r="Q2" s="1">
        <f>Meta!X12</f>
        <v>0.67400000000000004</v>
      </c>
      <c r="R2" s="22">
        <f>Meta!W12</f>
        <v>2497</v>
      </c>
      <c r="T2" s="12">
        <f>IRR(S5:S69)+1</f>
        <v>0.92059567678368059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C13" s="5"/>
      <c r="D13" s="5"/>
      <c r="E13" s="5"/>
      <c r="F13" s="5"/>
      <c r="G13" s="5"/>
      <c r="H13" s="22"/>
      <c r="I13" s="5"/>
      <c r="J13" s="26"/>
      <c r="L13" s="22"/>
      <c r="M13" s="5"/>
      <c r="N13" s="5"/>
      <c r="O13" s="5"/>
      <c r="P13" s="22"/>
      <c r="Q13" s="22"/>
      <c r="R13" s="22"/>
      <c r="S13" s="22"/>
      <c r="T13" s="22"/>
    </row>
    <row r="14" spans="1:20" x14ac:dyDescent="0.2">
      <c r="A14" s="5">
        <v>23</v>
      </c>
      <c r="B14" s="1">
        <v>1</v>
      </c>
      <c r="C14" s="5">
        <f>0.1*Grade17!C14</f>
        <v>3235.7639660330183</v>
      </c>
      <c r="D14" s="5">
        <f t="shared" ref="D14:D36" si="0">IF(A14&lt;startage,1,0)*(C14*(1-initialunempprob))+IF(A14=startage,1,0)*(C14*(1-unempprob))+IF(A14&gt;startage,1,0)*(C14*(1-unempprob)+unempprob*300*52)</f>
        <v>3086.9188235954994</v>
      </c>
      <c r="E14" s="5">
        <f t="shared" ref="E14:E56" si="1">IF(D14-9500&gt;0,1,0)*(D14-9500)</f>
        <v>0</v>
      </c>
      <c r="F14" s="5">
        <f t="shared" ref="F14:F56" si="2">IF(E14&lt;=8500,1,0)*(0.1*E14+0.1*E14+0.0765*D14)+IF(AND(E14&gt;8500,E14&lt;=34500),1,0)*(850+0.15*(E14-8500)+0.1*E14+0.0765*D14)+IF(AND(E14&gt;34500,E14&lt;=83600),1,0)*(4750+0.25*(E14-34500)+0.1*E14+0.0765*D14)+IF(AND(E14&gt;83600,E14&lt;=174400,D14&lt;=106800),1,0)*(17025+0.28*(E14-83600)+0.1*E14+0.0765*D14)+IF(AND(E14&gt;83600,E14&lt;=174400,D14&gt;106800),1,0)*(17025+0.28*(E14-83600)+0.1*E14+8170.2+0.0145*(D14-106800))+IF(AND(E14&gt;174400,E14&lt;=379150),1,0)*(42449+0.33*(E14-174400)+0.1*E14+8170.2+0.0145*(D14-106800))+IF(E14&gt;379150,1,0)*(110016.5+0.35*(E14-379150)+0.1*E14+8170.2+0.0145*(D14-106800))</f>
        <v>236.14929000505569</v>
      </c>
      <c r="G14" s="5">
        <f t="shared" ref="G14:G56" si="3">D14-F14</f>
        <v>2850.7695335904436</v>
      </c>
      <c r="H14" s="22">
        <f>0.1*Grade17!H14</f>
        <v>1416.2115090818791</v>
      </c>
      <c r="I14" s="5">
        <f t="shared" ref="I14:I36" si="4">G14+IF(A14&lt;startage,1,0)*(H14*(1-initialunempprob))+IF(A14&gt;=startage,1,0)*(H14*(1-unempprob))</f>
        <v>4201.8353132545562</v>
      </c>
      <c r="J14" s="26">
        <f t="shared" ref="J14:J56" si="5">(F14-(IF(A14&gt;startage,1,0)*(unempprob*300*52)))/(IF(A14&lt;startage,1,0)*((C14+H14)*(1-initialunempprob))+IF(A14&gt;=startage,1,0)*((C14+H14)*(1-unempprob)))</f>
        <v>5.321093043711974E-2</v>
      </c>
      <c r="L14" s="22">
        <f>0.1*Grade17!L14</f>
        <v>3353.9652558023163</v>
      </c>
      <c r="M14" s="5">
        <f>scrimecost*Meta!O11</f>
        <v>6552.1280000000006</v>
      </c>
      <c r="N14" s="5">
        <f>L14-Grade17!L14</f>
        <v>-30185.687302220846</v>
      </c>
      <c r="O14" s="5"/>
      <c r="P14" s="22"/>
      <c r="Q14" s="22">
        <f>0.05*feel*Grade17!G14</f>
        <v>330.26557587681964</v>
      </c>
      <c r="R14" s="22">
        <f>coltuition</f>
        <v>8279</v>
      </c>
      <c r="S14" s="22">
        <f t="shared" ref="S14:S45" si="6">IF(A14&lt;startage,1,0)*(N14-Q14-R14)+IF(A14&gt;=startage,1,0)*completionprob*(N14*spart+O14+P14)</f>
        <v>-38794.952878097669</v>
      </c>
      <c r="T14" s="22">
        <f t="shared" ref="T14:T45" si="7">S14/sreturn^(A14-startage+1)</f>
        <v>-38794.952878097669</v>
      </c>
    </row>
    <row r="15" spans="1:20" x14ac:dyDescent="0.2">
      <c r="A15" s="5">
        <v>24</v>
      </c>
      <c r="B15" s="1">
        <f t="shared" ref="B15:B36" si="8">(1+experiencepremium)^(A15-startage)</f>
        <v>1</v>
      </c>
      <c r="C15" s="5">
        <f t="shared" ref="C15:C36" si="9">pretaxincome*B15/expnorm</f>
        <v>37422.421640271721</v>
      </c>
      <c r="D15" s="5">
        <f t="shared" si="0"/>
        <v>35850.679931380306</v>
      </c>
      <c r="E15" s="5">
        <f t="shared" si="1"/>
        <v>26350.679931380306</v>
      </c>
      <c r="F15" s="5">
        <f t="shared" si="2"/>
        <v>8905.2469975956701</v>
      </c>
      <c r="G15" s="5">
        <f t="shared" si="3"/>
        <v>26945.432933784636</v>
      </c>
      <c r="H15" s="22">
        <f t="shared" ref="H15:H36" si="10">benefits*B15/expnorm</f>
        <v>15977.22502319362</v>
      </c>
      <c r="I15" s="5">
        <f t="shared" si="4"/>
        <v>42251.614506004124</v>
      </c>
      <c r="J15" s="26">
        <f t="shared" si="5"/>
        <v>0.17407727401277398</v>
      </c>
      <c r="L15" s="22">
        <f t="shared" ref="L15:L36" si="11">(sincome+sbenefits)*(1-sunemp)*B15/expnorm</f>
        <v>34582.742483727852</v>
      </c>
      <c r="M15" s="5">
        <f>scrimecost*Meta!O12</f>
        <v>6259.9790000000003</v>
      </c>
      <c r="N15" s="5">
        <f>L15-Grade17!L15</f>
        <v>204.59861175411788</v>
      </c>
      <c r="O15" s="5">
        <f>Grade17!M15-M15</f>
        <v>0</v>
      </c>
      <c r="P15" s="22">
        <f t="shared" ref="P15:P56" si="12">(spart-initialspart)*(L15*J15+nptrans)</f>
        <v>0</v>
      </c>
      <c r="Q15" s="22"/>
      <c r="R15" s="22"/>
      <c r="S15" s="22">
        <f t="shared" si="6"/>
        <v>44.9552253690618</v>
      </c>
      <c r="T15" s="22">
        <f t="shared" si="7"/>
        <v>48.832757423023693</v>
      </c>
    </row>
    <row r="16" spans="1:20" x14ac:dyDescent="0.2">
      <c r="A16" s="5">
        <v>25</v>
      </c>
      <c r="B16" s="1">
        <f t="shared" si="8"/>
        <v>1.0249999999999999</v>
      </c>
      <c r="C16" s="5">
        <f t="shared" si="9"/>
        <v>38357.982181278509</v>
      </c>
      <c r="D16" s="5">
        <f t="shared" si="0"/>
        <v>37402.146929664807</v>
      </c>
      <c r="E16" s="5">
        <f t="shared" si="1"/>
        <v>27902.146929664807</v>
      </c>
      <c r="F16" s="5">
        <f t="shared" si="2"/>
        <v>9411.8009725355587</v>
      </c>
      <c r="G16" s="5">
        <f t="shared" si="3"/>
        <v>27990.345957129248</v>
      </c>
      <c r="H16" s="22">
        <f t="shared" si="10"/>
        <v>16376.65564877346</v>
      </c>
      <c r="I16" s="5">
        <f t="shared" si="4"/>
        <v>43679.18206865422</v>
      </c>
      <c r="J16" s="26">
        <f t="shared" si="5"/>
        <v>0.16699666648740613</v>
      </c>
      <c r="L16" s="22">
        <f t="shared" si="11"/>
        <v>35447.31104582105</v>
      </c>
      <c r="M16" s="5">
        <f>scrimecost*Meta!O13</f>
        <v>5256.1850000000004</v>
      </c>
      <c r="N16" s="5">
        <f>L16-Grade17!L16</f>
        <v>209.71357704797265</v>
      </c>
      <c r="O16" s="5">
        <f>Grade17!M16-M16</f>
        <v>0</v>
      </c>
      <c r="P16" s="22">
        <f t="shared" si="12"/>
        <v>0</v>
      </c>
      <c r="Q16" s="22"/>
      <c r="R16" s="22"/>
      <c r="S16" s="22">
        <f t="shared" si="6"/>
        <v>46.07910600328875</v>
      </c>
      <c r="T16" s="22">
        <f t="shared" si="7"/>
        <v>54.370857501171166</v>
      </c>
    </row>
    <row r="17" spans="1:20" x14ac:dyDescent="0.2">
      <c r="A17" s="5">
        <v>26</v>
      </c>
      <c r="B17" s="1">
        <f t="shared" si="8"/>
        <v>1.0506249999999999</v>
      </c>
      <c r="C17" s="5">
        <f t="shared" si="9"/>
        <v>39316.931735810467</v>
      </c>
      <c r="D17" s="5">
        <f t="shared" si="0"/>
        <v>38320.820602906424</v>
      </c>
      <c r="E17" s="5">
        <f t="shared" si="1"/>
        <v>28820.820602906424</v>
      </c>
      <c r="F17" s="5">
        <f t="shared" si="2"/>
        <v>9711.7479268489478</v>
      </c>
      <c r="G17" s="5">
        <f t="shared" si="3"/>
        <v>28609.072676057476</v>
      </c>
      <c r="H17" s="22">
        <f t="shared" si="10"/>
        <v>16786.072039992796</v>
      </c>
      <c r="I17" s="5">
        <f t="shared" si="4"/>
        <v>44690.129690370573</v>
      </c>
      <c r="J17" s="26">
        <f t="shared" si="5"/>
        <v>0.16850433046948715</v>
      </c>
      <c r="L17" s="22">
        <f t="shared" si="11"/>
        <v>36333.493821966571</v>
      </c>
      <c r="M17" s="5">
        <f>scrimecost*Meta!O14</f>
        <v>5256.1850000000004</v>
      </c>
      <c r="N17" s="5">
        <f>L17-Grade17!L17</f>
        <v>214.95641647416778</v>
      </c>
      <c r="O17" s="5">
        <f>Grade17!M17-M17</f>
        <v>0</v>
      </c>
      <c r="P17" s="22">
        <f t="shared" si="12"/>
        <v>0</v>
      </c>
      <c r="Q17" s="22"/>
      <c r="R17" s="22"/>
      <c r="S17" s="22">
        <f t="shared" si="6"/>
        <v>47.231083653370042</v>
      </c>
      <c r="T17" s="22">
        <f t="shared" si="7"/>
        <v>60.537030907429177</v>
      </c>
    </row>
    <row r="18" spans="1:20" x14ac:dyDescent="0.2">
      <c r="A18" s="5">
        <v>27</v>
      </c>
      <c r="B18" s="1">
        <f t="shared" si="8"/>
        <v>1.0768906249999999</v>
      </c>
      <c r="C18" s="5">
        <f t="shared" si="9"/>
        <v>40299.855029205733</v>
      </c>
      <c r="D18" s="5">
        <f t="shared" si="0"/>
        <v>39262.461117979088</v>
      </c>
      <c r="E18" s="5">
        <f t="shared" si="1"/>
        <v>29762.461117979088</v>
      </c>
      <c r="F18" s="5">
        <f t="shared" si="2"/>
        <v>10019.193555020172</v>
      </c>
      <c r="G18" s="5">
        <f t="shared" si="3"/>
        <v>29243.267562958914</v>
      </c>
      <c r="H18" s="22">
        <f t="shared" si="10"/>
        <v>17205.723840992614</v>
      </c>
      <c r="I18" s="5">
        <f t="shared" si="4"/>
        <v>45726.351002629839</v>
      </c>
      <c r="J18" s="26">
        <f t="shared" si="5"/>
        <v>0.16997522215932226</v>
      </c>
      <c r="L18" s="22">
        <f t="shared" si="11"/>
        <v>37241.831167515738</v>
      </c>
      <c r="M18" s="5">
        <f>scrimecost*Meta!O15</f>
        <v>5256.1850000000004</v>
      </c>
      <c r="N18" s="5">
        <f>L18-Grade17!L18</f>
        <v>220.33032688602543</v>
      </c>
      <c r="O18" s="5">
        <f>Grade17!M18-M18</f>
        <v>0</v>
      </c>
      <c r="P18" s="22">
        <f t="shared" si="12"/>
        <v>0</v>
      </c>
      <c r="Q18" s="22"/>
      <c r="R18" s="22"/>
      <c r="S18" s="22">
        <f t="shared" si="6"/>
        <v>48.411860744705059</v>
      </c>
      <c r="T18" s="22">
        <f t="shared" si="7"/>
        <v>67.402507142879358</v>
      </c>
    </row>
    <row r="19" spans="1:20" x14ac:dyDescent="0.2">
      <c r="A19" s="5">
        <v>28</v>
      </c>
      <c r="B19" s="1">
        <f t="shared" si="8"/>
        <v>1.1038128906249998</v>
      </c>
      <c r="C19" s="5">
        <f t="shared" si="9"/>
        <v>41307.351404935871</v>
      </c>
      <c r="D19" s="5">
        <f t="shared" si="0"/>
        <v>40227.642645928558</v>
      </c>
      <c r="E19" s="5">
        <f t="shared" si="1"/>
        <v>30727.642645928558</v>
      </c>
      <c r="F19" s="5">
        <f t="shared" si="2"/>
        <v>10334.325323895675</v>
      </c>
      <c r="G19" s="5">
        <f t="shared" si="3"/>
        <v>29893.317322032883</v>
      </c>
      <c r="H19" s="22">
        <f t="shared" si="10"/>
        <v>17635.866937017428</v>
      </c>
      <c r="I19" s="5">
        <f t="shared" si="4"/>
        <v>46788.477847695583</v>
      </c>
      <c r="J19" s="26">
        <f t="shared" si="5"/>
        <v>0.17141023844208822</v>
      </c>
      <c r="L19" s="22">
        <f t="shared" si="11"/>
        <v>38172.876946703625</v>
      </c>
      <c r="M19" s="5">
        <f>scrimecost*Meta!O16</f>
        <v>5256.1850000000004</v>
      </c>
      <c r="N19" s="5">
        <f>L19-Grade17!L19</f>
        <v>225.83858505817625</v>
      </c>
      <c r="O19" s="5">
        <f>Grade17!M19-M19</f>
        <v>0</v>
      </c>
      <c r="P19" s="22">
        <f t="shared" si="12"/>
        <v>0</v>
      </c>
      <c r="Q19" s="22"/>
      <c r="R19" s="22"/>
      <c r="S19" s="22">
        <f t="shared" si="6"/>
        <v>49.622157263322727</v>
      </c>
      <c r="T19" s="22">
        <f t="shared" si="7"/>
        <v>75.046593812850844</v>
      </c>
    </row>
    <row r="20" spans="1:20" x14ac:dyDescent="0.2">
      <c r="A20" s="5">
        <v>29</v>
      </c>
      <c r="B20" s="1">
        <f t="shared" si="8"/>
        <v>1.1314082128906247</v>
      </c>
      <c r="C20" s="5">
        <f t="shared" si="9"/>
        <v>42340.035190059265</v>
      </c>
      <c r="D20" s="5">
        <f t="shared" si="0"/>
        <v>41216.953712076771</v>
      </c>
      <c r="E20" s="5">
        <f t="shared" si="1"/>
        <v>31716.953712076771</v>
      </c>
      <c r="F20" s="5">
        <f t="shared" si="2"/>
        <v>10657.335386993065</v>
      </c>
      <c r="G20" s="5">
        <f t="shared" si="3"/>
        <v>30559.618325083706</v>
      </c>
      <c r="H20" s="22">
        <f t="shared" si="10"/>
        <v>18076.763610442864</v>
      </c>
      <c r="I20" s="5">
        <f t="shared" si="4"/>
        <v>47877.157863887973</v>
      </c>
      <c r="J20" s="26">
        <f t="shared" si="5"/>
        <v>0.17281025432771349</v>
      </c>
      <c r="L20" s="22">
        <f t="shared" si="11"/>
        <v>39127.198870371212</v>
      </c>
      <c r="M20" s="5">
        <f>scrimecost*Meta!O17</f>
        <v>5256.1850000000004</v>
      </c>
      <c r="N20" s="5">
        <f>L20-Grade17!L20</f>
        <v>231.48454968462465</v>
      </c>
      <c r="O20" s="5">
        <f>Grade17!M20-M20</f>
        <v>0</v>
      </c>
      <c r="P20" s="22">
        <f t="shared" si="12"/>
        <v>0</v>
      </c>
      <c r="Q20" s="22"/>
      <c r="R20" s="22"/>
      <c r="S20" s="22">
        <f t="shared" si="6"/>
        <v>50.86271119490447</v>
      </c>
      <c r="T20" s="22">
        <f t="shared" si="7"/>
        <v>83.557592760937155</v>
      </c>
    </row>
    <row r="21" spans="1:20" x14ac:dyDescent="0.2">
      <c r="A21" s="5">
        <v>30</v>
      </c>
      <c r="B21" s="1">
        <f t="shared" si="8"/>
        <v>1.1596934182128902</v>
      </c>
      <c r="C21" s="5">
        <f t="shared" si="9"/>
        <v>43398.536069810747</v>
      </c>
      <c r="D21" s="5">
        <f t="shared" si="0"/>
        <v>42230.99755487869</v>
      </c>
      <c r="E21" s="5">
        <f t="shared" si="1"/>
        <v>32730.99755487869</v>
      </c>
      <c r="F21" s="5">
        <f t="shared" si="2"/>
        <v>10988.420701667892</v>
      </c>
      <c r="G21" s="5">
        <f t="shared" si="3"/>
        <v>31242.576853210798</v>
      </c>
      <c r="H21" s="22">
        <f t="shared" si="10"/>
        <v>18528.682700703932</v>
      </c>
      <c r="I21" s="5">
        <f t="shared" si="4"/>
        <v>48993.054880485164</v>
      </c>
      <c r="J21" s="26">
        <f t="shared" si="5"/>
        <v>0.17417612348442116</v>
      </c>
      <c r="L21" s="22">
        <f t="shared" si="11"/>
        <v>40105.378842130493</v>
      </c>
      <c r="M21" s="5">
        <f>scrimecost*Meta!O18</f>
        <v>4237.4090000000006</v>
      </c>
      <c r="N21" s="5">
        <f>L21-Grade17!L21</f>
        <v>237.27166342674172</v>
      </c>
      <c r="O21" s="5">
        <f>Grade17!M21-M21</f>
        <v>0</v>
      </c>
      <c r="P21" s="22">
        <f t="shared" si="12"/>
        <v>0</v>
      </c>
      <c r="Q21" s="22"/>
      <c r="R21" s="22"/>
      <c r="S21" s="22">
        <f t="shared" si="6"/>
        <v>52.134278974777402</v>
      </c>
      <c r="T21" s="22">
        <f t="shared" si="7"/>
        <v>93.033820101336559</v>
      </c>
    </row>
    <row r="22" spans="1:20" x14ac:dyDescent="0.2">
      <c r="A22" s="5">
        <v>31</v>
      </c>
      <c r="B22" s="1">
        <f t="shared" si="8"/>
        <v>1.1886857536682125</v>
      </c>
      <c r="C22" s="5">
        <f t="shared" si="9"/>
        <v>44483.499471556017</v>
      </c>
      <c r="D22" s="5">
        <f t="shared" si="0"/>
        <v>43270.39249375066</v>
      </c>
      <c r="E22" s="5">
        <f t="shared" si="1"/>
        <v>33770.39249375066</v>
      </c>
      <c r="F22" s="5">
        <f t="shared" si="2"/>
        <v>11327.78314920959</v>
      </c>
      <c r="G22" s="5">
        <f t="shared" si="3"/>
        <v>31942.60934454107</v>
      </c>
      <c r="H22" s="22">
        <f t="shared" si="10"/>
        <v>18991.899768221534</v>
      </c>
      <c r="I22" s="5">
        <f t="shared" si="4"/>
        <v>50136.849322497299</v>
      </c>
      <c r="J22" s="26">
        <f t="shared" si="5"/>
        <v>0.17550867875925788</v>
      </c>
      <c r="L22" s="22">
        <f t="shared" si="11"/>
        <v>41108.01331318375</v>
      </c>
      <c r="M22" s="5">
        <f>scrimecost*Meta!O19</f>
        <v>4237.4090000000006</v>
      </c>
      <c r="N22" s="5">
        <f>L22-Grade17!L22</f>
        <v>243.20345501241536</v>
      </c>
      <c r="O22" s="5">
        <f>Grade17!M22-M22</f>
        <v>0</v>
      </c>
      <c r="P22" s="22">
        <f t="shared" si="12"/>
        <v>0</v>
      </c>
      <c r="Q22" s="22"/>
      <c r="R22" s="22"/>
      <c r="S22" s="22">
        <f t="shared" si="6"/>
        <v>53.43763594914796</v>
      </c>
      <c r="T22" s="22">
        <f t="shared" si="7"/>
        <v>103.58474193256434</v>
      </c>
    </row>
    <row r="23" spans="1:20" x14ac:dyDescent="0.2">
      <c r="A23" s="5">
        <v>32</v>
      </c>
      <c r="B23" s="1">
        <f t="shared" si="8"/>
        <v>1.2184028975099177</v>
      </c>
      <c r="C23" s="5">
        <f t="shared" si="9"/>
        <v>45595.586958344917</v>
      </c>
      <c r="D23" s="5">
        <f t="shared" si="0"/>
        <v>44335.772306094426</v>
      </c>
      <c r="E23" s="5">
        <f t="shared" si="1"/>
        <v>34835.772306094426</v>
      </c>
      <c r="F23" s="5">
        <f t="shared" si="2"/>
        <v>11709.206888549272</v>
      </c>
      <c r="G23" s="5">
        <f t="shared" si="3"/>
        <v>32626.565417545156</v>
      </c>
      <c r="H23" s="22">
        <f t="shared" si="10"/>
        <v>19466.697262427067</v>
      </c>
      <c r="I23" s="5">
        <f t="shared" si="4"/>
        <v>51275.661394950286</v>
      </c>
      <c r="J23" s="26">
        <f t="shared" si="5"/>
        <v>0.17734743650922949</v>
      </c>
      <c r="L23" s="22">
        <f t="shared" si="11"/>
        <v>42135.713646013341</v>
      </c>
      <c r="M23" s="5">
        <f>scrimecost*Meta!O20</f>
        <v>4237.4090000000006</v>
      </c>
      <c r="N23" s="5">
        <f>L23-Grade17!L23</f>
        <v>249.28354138772556</v>
      </c>
      <c r="O23" s="5">
        <f>Grade17!M23-M23</f>
        <v>0</v>
      </c>
      <c r="P23" s="22">
        <f t="shared" si="12"/>
        <v>0</v>
      </c>
      <c r="Q23" s="22"/>
      <c r="R23" s="22"/>
      <c r="S23" s="22">
        <f t="shared" si="6"/>
        <v>54.773576847876612</v>
      </c>
      <c r="T23" s="22">
        <f t="shared" si="7"/>
        <v>115.33223885193951</v>
      </c>
    </row>
    <row r="24" spans="1:20" x14ac:dyDescent="0.2">
      <c r="A24" s="5">
        <v>33</v>
      </c>
      <c r="B24" s="1">
        <f t="shared" si="8"/>
        <v>1.2488629699476654</v>
      </c>
      <c r="C24" s="5">
        <f t="shared" si="9"/>
        <v>46735.476632303529</v>
      </c>
      <c r="D24" s="5">
        <f t="shared" si="0"/>
        <v>45427.786613746779</v>
      </c>
      <c r="E24" s="5">
        <f t="shared" si="1"/>
        <v>35927.786613746779</v>
      </c>
      <c r="F24" s="5">
        <f t="shared" si="2"/>
        <v>12174.950990763002</v>
      </c>
      <c r="G24" s="5">
        <f t="shared" si="3"/>
        <v>33252.835622983781</v>
      </c>
      <c r="H24" s="22">
        <f t="shared" si="10"/>
        <v>19953.36469398774</v>
      </c>
      <c r="I24" s="5">
        <f t="shared" si="4"/>
        <v>52368.158999824038</v>
      </c>
      <c r="J24" s="26">
        <f t="shared" si="5"/>
        <v>0.18031190866096999</v>
      </c>
      <c r="L24" s="22">
        <f t="shared" si="11"/>
        <v>43189.10648716367</v>
      </c>
      <c r="M24" s="5">
        <f>scrimecost*Meta!O21</f>
        <v>4237.4090000000006</v>
      </c>
      <c r="N24" s="5">
        <f>L24-Grade17!L24</f>
        <v>255.51562992241088</v>
      </c>
      <c r="O24" s="5">
        <f>Grade17!M24-M24</f>
        <v>0</v>
      </c>
      <c r="P24" s="22">
        <f t="shared" si="12"/>
        <v>0</v>
      </c>
      <c r="Q24" s="22"/>
      <c r="R24" s="22"/>
      <c r="S24" s="22">
        <f t="shared" si="6"/>
        <v>56.142916269071812</v>
      </c>
      <c r="T24" s="22">
        <f t="shared" si="7"/>
        <v>128.41201387806689</v>
      </c>
    </row>
    <row r="25" spans="1:20" x14ac:dyDescent="0.2">
      <c r="A25" s="5">
        <v>34</v>
      </c>
      <c r="B25" s="1">
        <f t="shared" si="8"/>
        <v>1.2800845441963571</v>
      </c>
      <c r="C25" s="5">
        <f t="shared" si="9"/>
        <v>47903.86354811112</v>
      </c>
      <c r="D25" s="5">
        <f t="shared" si="0"/>
        <v>46547.10127909045</v>
      </c>
      <c r="E25" s="5">
        <f t="shared" si="1"/>
        <v>37047.10127909045</v>
      </c>
      <c r="F25" s="5">
        <f t="shared" si="2"/>
        <v>12652.338695532078</v>
      </c>
      <c r="G25" s="5">
        <f t="shared" si="3"/>
        <v>33894.762583558375</v>
      </c>
      <c r="H25" s="22">
        <f t="shared" si="10"/>
        <v>20452.198811337435</v>
      </c>
      <c r="I25" s="5">
        <f t="shared" si="4"/>
        <v>53487.969044819634</v>
      </c>
      <c r="J25" s="26">
        <f t="shared" si="5"/>
        <v>0.18320407661388757</v>
      </c>
      <c r="L25" s="22">
        <f t="shared" si="11"/>
        <v>44268.834149342765</v>
      </c>
      <c r="M25" s="5">
        <f>scrimecost*Meta!O22</f>
        <v>4237.4090000000006</v>
      </c>
      <c r="N25" s="5">
        <f>L25-Grade17!L25</f>
        <v>261.90352067047934</v>
      </c>
      <c r="O25" s="5">
        <f>Grade17!M25-M25</f>
        <v>0</v>
      </c>
      <c r="P25" s="22">
        <f t="shared" si="12"/>
        <v>0</v>
      </c>
      <c r="Q25" s="22"/>
      <c r="R25" s="22"/>
      <c r="S25" s="22">
        <f t="shared" si="6"/>
        <v>57.54648917580041</v>
      </c>
      <c r="T25" s="22">
        <f t="shared" si="7"/>
        <v>142.97516004515302</v>
      </c>
    </row>
    <row r="26" spans="1:20" x14ac:dyDescent="0.2">
      <c r="A26" s="5">
        <v>35</v>
      </c>
      <c r="B26" s="1">
        <f t="shared" si="8"/>
        <v>1.312086657801266</v>
      </c>
      <c r="C26" s="5">
        <f t="shared" si="9"/>
        <v>49101.46013681389</v>
      </c>
      <c r="D26" s="5">
        <f t="shared" si="0"/>
        <v>47694.398811067702</v>
      </c>
      <c r="E26" s="5">
        <f t="shared" si="1"/>
        <v>38194.398811067702</v>
      </c>
      <c r="F26" s="5">
        <f t="shared" si="2"/>
        <v>13141.661092920374</v>
      </c>
      <c r="G26" s="5">
        <f t="shared" si="3"/>
        <v>34552.737718147328</v>
      </c>
      <c r="H26" s="22">
        <f t="shared" si="10"/>
        <v>20963.503781620871</v>
      </c>
      <c r="I26" s="5">
        <f t="shared" si="4"/>
        <v>54635.774340940123</v>
      </c>
      <c r="J26" s="26">
        <f t="shared" si="5"/>
        <v>0.18602570388502662</v>
      </c>
      <c r="L26" s="22">
        <f t="shared" si="11"/>
        <v>45375.555003076333</v>
      </c>
      <c r="M26" s="5">
        <f>scrimecost*Meta!O23</f>
        <v>3288.549</v>
      </c>
      <c r="N26" s="5">
        <f>L26-Grade17!L26</f>
        <v>268.45110868724441</v>
      </c>
      <c r="O26" s="5">
        <f>Grade17!M26-M26</f>
        <v>0</v>
      </c>
      <c r="P26" s="22">
        <f t="shared" si="12"/>
        <v>0</v>
      </c>
      <c r="Q26" s="22"/>
      <c r="R26" s="22"/>
      <c r="S26" s="22">
        <f t="shared" si="6"/>
        <v>58.985151405196092</v>
      </c>
      <c r="T26" s="22">
        <f t="shared" si="7"/>
        <v>159.18990577740828</v>
      </c>
    </row>
    <row r="27" spans="1:20" x14ac:dyDescent="0.2">
      <c r="A27" s="5">
        <v>36</v>
      </c>
      <c r="B27" s="1">
        <f t="shared" si="8"/>
        <v>1.3448888242462975</v>
      </c>
      <c r="C27" s="5">
        <f t="shared" si="9"/>
        <v>50328.99664023424</v>
      </c>
      <c r="D27" s="5">
        <f t="shared" si="0"/>
        <v>48870.3787813444</v>
      </c>
      <c r="E27" s="5">
        <f t="shared" si="1"/>
        <v>39370.3787813444</v>
      </c>
      <c r="F27" s="5">
        <f t="shared" si="2"/>
        <v>13643.216550243387</v>
      </c>
      <c r="G27" s="5">
        <f t="shared" si="3"/>
        <v>35227.162231101014</v>
      </c>
      <c r="H27" s="22">
        <f t="shared" si="10"/>
        <v>21487.591376161388</v>
      </c>
      <c r="I27" s="5">
        <f t="shared" si="4"/>
        <v>55812.27476946362</v>
      </c>
      <c r="J27" s="26">
        <f t="shared" si="5"/>
        <v>0.1887785109788209</v>
      </c>
      <c r="L27" s="22">
        <f t="shared" si="11"/>
        <v>46509.943878153237</v>
      </c>
      <c r="M27" s="5">
        <f>scrimecost*Meta!O24</f>
        <v>3288.549</v>
      </c>
      <c r="N27" s="5">
        <f>L27-Grade17!L27</f>
        <v>275.16238640442316</v>
      </c>
      <c r="O27" s="5">
        <f>Grade17!M27-M27</f>
        <v>0</v>
      </c>
      <c r="P27" s="22">
        <f t="shared" si="12"/>
        <v>0</v>
      </c>
      <c r="Q27" s="22"/>
      <c r="R27" s="22"/>
      <c r="S27" s="22">
        <f t="shared" si="6"/>
        <v>60.459780190325482</v>
      </c>
      <c r="T27" s="22">
        <f t="shared" si="7"/>
        <v>177.24355820561098</v>
      </c>
    </row>
    <row r="28" spans="1:20" x14ac:dyDescent="0.2">
      <c r="A28" s="5">
        <v>37</v>
      </c>
      <c r="B28" s="1">
        <f t="shared" si="8"/>
        <v>1.3785110448524549</v>
      </c>
      <c r="C28" s="5">
        <f t="shared" si="9"/>
        <v>51587.221556240096</v>
      </c>
      <c r="D28" s="5">
        <f t="shared" si="0"/>
        <v>50075.758250878011</v>
      </c>
      <c r="E28" s="5">
        <f t="shared" si="1"/>
        <v>40575.758250878011</v>
      </c>
      <c r="F28" s="5">
        <f t="shared" si="2"/>
        <v>14157.310893999471</v>
      </c>
      <c r="G28" s="5">
        <f t="shared" si="3"/>
        <v>35918.44735687854</v>
      </c>
      <c r="H28" s="22">
        <f t="shared" si="10"/>
        <v>22024.781160565424</v>
      </c>
      <c r="I28" s="5">
        <f t="shared" si="4"/>
        <v>57018.187708700214</v>
      </c>
      <c r="J28" s="26">
        <f t="shared" si="5"/>
        <v>0.1914641764361811</v>
      </c>
      <c r="L28" s="22">
        <f t="shared" si="11"/>
        <v>47672.692475107062</v>
      </c>
      <c r="M28" s="5">
        <f>scrimecost*Meta!O25</f>
        <v>3288.549</v>
      </c>
      <c r="N28" s="5">
        <f>L28-Grade17!L28</f>
        <v>282.0414460645261</v>
      </c>
      <c r="O28" s="5">
        <f>Grade17!M28-M28</f>
        <v>0</v>
      </c>
      <c r="P28" s="22">
        <f t="shared" si="12"/>
        <v>0</v>
      </c>
      <c r="Q28" s="22"/>
      <c r="R28" s="22"/>
      <c r="S28" s="22">
        <f t="shared" si="6"/>
        <v>61.971274695081938</v>
      </c>
      <c r="T28" s="22">
        <f t="shared" si="7"/>
        <v>197.3446668742458</v>
      </c>
    </row>
    <row r="29" spans="1:20" x14ac:dyDescent="0.2">
      <c r="A29" s="5">
        <v>38</v>
      </c>
      <c r="B29" s="1">
        <f t="shared" si="8"/>
        <v>1.4129738209737661</v>
      </c>
      <c r="C29" s="5">
        <f t="shared" si="9"/>
        <v>52876.902095146084</v>
      </c>
      <c r="D29" s="5">
        <f t="shared" si="0"/>
        <v>51311.272207149945</v>
      </c>
      <c r="E29" s="5">
        <f t="shared" si="1"/>
        <v>41811.272207149945</v>
      </c>
      <c r="F29" s="5">
        <f t="shared" si="2"/>
        <v>14684.257596349453</v>
      </c>
      <c r="G29" s="5">
        <f t="shared" si="3"/>
        <v>36627.014610800492</v>
      </c>
      <c r="H29" s="22">
        <f t="shared" si="10"/>
        <v>22575.400689579557</v>
      </c>
      <c r="I29" s="5">
        <f t="shared" si="4"/>
        <v>58254.248471417712</v>
      </c>
      <c r="J29" s="26">
        <f t="shared" si="5"/>
        <v>0.19408433785799598</v>
      </c>
      <c r="L29" s="22">
        <f t="shared" si="11"/>
        <v>48864.509786984738</v>
      </c>
      <c r="M29" s="5">
        <f>scrimecost*Meta!O26</f>
        <v>3288.549</v>
      </c>
      <c r="N29" s="5">
        <f>L29-Grade17!L29</f>
        <v>289.09248221613234</v>
      </c>
      <c r="O29" s="5">
        <f>Grade17!M29-M29</f>
        <v>0</v>
      </c>
      <c r="P29" s="22">
        <f t="shared" si="12"/>
        <v>0</v>
      </c>
      <c r="Q29" s="22"/>
      <c r="R29" s="22"/>
      <c r="S29" s="22">
        <f t="shared" si="6"/>
        <v>63.520556562457465</v>
      </c>
      <c r="T29" s="22">
        <f t="shared" si="7"/>
        <v>219.72543283366733</v>
      </c>
    </row>
    <row r="30" spans="1:20" x14ac:dyDescent="0.2">
      <c r="A30" s="5">
        <v>39</v>
      </c>
      <c r="B30" s="1">
        <f t="shared" si="8"/>
        <v>1.4482981664981105</v>
      </c>
      <c r="C30" s="5">
        <f t="shared" si="9"/>
        <v>54198.824647524751</v>
      </c>
      <c r="D30" s="5">
        <f t="shared" si="0"/>
        <v>52577.674012328709</v>
      </c>
      <c r="E30" s="5">
        <f t="shared" si="1"/>
        <v>43077.674012328709</v>
      </c>
      <c r="F30" s="5">
        <f t="shared" si="2"/>
        <v>15224.377966258193</v>
      </c>
      <c r="G30" s="5">
        <f t="shared" si="3"/>
        <v>37353.296046070514</v>
      </c>
      <c r="H30" s="22">
        <f t="shared" si="10"/>
        <v>23139.78570681905</v>
      </c>
      <c r="I30" s="5">
        <f t="shared" si="4"/>
        <v>59521.210753203166</v>
      </c>
      <c r="J30" s="26">
        <f t="shared" si="5"/>
        <v>0.196640592903669</v>
      </c>
      <c r="L30" s="22">
        <f t="shared" si="11"/>
        <v>50086.122531659363</v>
      </c>
      <c r="M30" s="5">
        <f>scrimecost*Meta!O27</f>
        <v>3288.549</v>
      </c>
      <c r="N30" s="5">
        <f>L30-Grade17!L30</f>
        <v>296.31979427154874</v>
      </c>
      <c r="O30" s="5">
        <f>Grade17!M30-M30</f>
        <v>0</v>
      </c>
      <c r="P30" s="22">
        <f t="shared" si="12"/>
        <v>0</v>
      </c>
      <c r="Q30" s="22"/>
      <c r="R30" s="22"/>
      <c r="S30" s="22">
        <f t="shared" si="6"/>
        <v>65.108570476521777</v>
      </c>
      <c r="T30" s="22">
        <f t="shared" si="7"/>
        <v>244.64439094627667</v>
      </c>
    </row>
    <row r="31" spans="1:20" x14ac:dyDescent="0.2">
      <c r="A31" s="5">
        <v>40</v>
      </c>
      <c r="B31" s="1">
        <f t="shared" si="8"/>
        <v>1.4845056206605631</v>
      </c>
      <c r="C31" s="5">
        <f t="shared" si="9"/>
        <v>55553.795263712862</v>
      </c>
      <c r="D31" s="5">
        <f t="shared" si="0"/>
        <v>53875.735862636917</v>
      </c>
      <c r="E31" s="5">
        <f t="shared" si="1"/>
        <v>44375.735862636917</v>
      </c>
      <c r="F31" s="5">
        <f t="shared" si="2"/>
        <v>15778.001345414646</v>
      </c>
      <c r="G31" s="5">
        <f t="shared" si="3"/>
        <v>38097.73451722227</v>
      </c>
      <c r="H31" s="22">
        <f t="shared" si="10"/>
        <v>23718.280349489523</v>
      </c>
      <c r="I31" s="5">
        <f t="shared" si="4"/>
        <v>60819.847092033233</v>
      </c>
      <c r="J31" s="26">
        <f t="shared" si="5"/>
        <v>0.19913450026530127</v>
      </c>
      <c r="L31" s="22">
        <f t="shared" si="11"/>
        <v>51338.275594950836</v>
      </c>
      <c r="M31" s="5">
        <f>scrimecost*Meta!O28</f>
        <v>2876.5439999999999</v>
      </c>
      <c r="N31" s="5">
        <f>L31-Grade17!L31</f>
        <v>303.72778912833746</v>
      </c>
      <c r="O31" s="5">
        <f>Grade17!M31-M31</f>
        <v>0</v>
      </c>
      <c r="P31" s="22">
        <f t="shared" si="12"/>
        <v>0</v>
      </c>
      <c r="Q31" s="22"/>
      <c r="R31" s="22"/>
      <c r="S31" s="22">
        <f t="shared" si="6"/>
        <v>66.736284738434833</v>
      </c>
      <c r="T31" s="22">
        <f t="shared" si="7"/>
        <v>272.38939639171991</v>
      </c>
    </row>
    <row r="32" spans="1:20" x14ac:dyDescent="0.2">
      <c r="A32" s="5">
        <v>41</v>
      </c>
      <c r="B32" s="1">
        <f t="shared" si="8"/>
        <v>1.521618261177077</v>
      </c>
      <c r="C32" s="5">
        <f t="shared" si="9"/>
        <v>56942.640145305668</v>
      </c>
      <c r="D32" s="5">
        <f t="shared" si="0"/>
        <v>55206.249259202821</v>
      </c>
      <c r="E32" s="5">
        <f t="shared" si="1"/>
        <v>45706.249259202821</v>
      </c>
      <c r="F32" s="5">
        <f t="shared" si="2"/>
        <v>16345.465309050003</v>
      </c>
      <c r="G32" s="5">
        <f t="shared" si="3"/>
        <v>38860.783950152821</v>
      </c>
      <c r="H32" s="22">
        <f t="shared" si="10"/>
        <v>24311.237358226757</v>
      </c>
      <c r="I32" s="5">
        <f t="shared" si="4"/>
        <v>62150.949339334053</v>
      </c>
      <c r="J32" s="26">
        <f t="shared" si="5"/>
        <v>0.20156758061811311</v>
      </c>
      <c r="L32" s="22">
        <f t="shared" si="11"/>
        <v>52621.732484824599</v>
      </c>
      <c r="M32" s="5">
        <f>scrimecost*Meta!O29</f>
        <v>2876.5439999999999</v>
      </c>
      <c r="N32" s="5">
        <f>L32-Grade17!L32</f>
        <v>311.3209838565308</v>
      </c>
      <c r="O32" s="5">
        <f>Grade17!M32-M32</f>
        <v>0</v>
      </c>
      <c r="P32" s="22">
        <f t="shared" si="12"/>
        <v>0</v>
      </c>
      <c r="Q32" s="22"/>
      <c r="R32" s="22"/>
      <c r="S32" s="22">
        <f t="shared" si="6"/>
        <v>68.404691856892384</v>
      </c>
      <c r="T32" s="22">
        <f t="shared" si="7"/>
        <v>303.28094987035757</v>
      </c>
    </row>
    <row r="33" spans="1:20" x14ac:dyDescent="0.2">
      <c r="A33" s="5">
        <v>42</v>
      </c>
      <c r="B33" s="1">
        <f t="shared" si="8"/>
        <v>1.559658717706504</v>
      </c>
      <c r="C33" s="5">
        <f t="shared" si="9"/>
        <v>58366.206148938312</v>
      </c>
      <c r="D33" s="5">
        <f t="shared" si="0"/>
        <v>56570.0254906829</v>
      </c>
      <c r="E33" s="5">
        <f t="shared" si="1"/>
        <v>47070.0254906829</v>
      </c>
      <c r="F33" s="5">
        <f t="shared" si="2"/>
        <v>16927.115871776259</v>
      </c>
      <c r="G33" s="5">
        <f t="shared" si="3"/>
        <v>39642.90961890664</v>
      </c>
      <c r="H33" s="22">
        <f t="shared" si="10"/>
        <v>24919.018292182427</v>
      </c>
      <c r="I33" s="5">
        <f t="shared" si="4"/>
        <v>63515.329142817405</v>
      </c>
      <c r="J33" s="26">
        <f t="shared" si="5"/>
        <v>0.20394131754768582</v>
      </c>
      <c r="L33" s="22">
        <f t="shared" si="11"/>
        <v>53937.275796945221</v>
      </c>
      <c r="M33" s="5">
        <f>scrimecost*Meta!O30</f>
        <v>2876.5439999999999</v>
      </c>
      <c r="N33" s="5">
        <f>L33-Grade17!L33</f>
        <v>319.10400845294498</v>
      </c>
      <c r="O33" s="5">
        <f>Grade17!M33-M33</f>
        <v>0</v>
      </c>
      <c r="P33" s="22">
        <f t="shared" si="12"/>
        <v>0</v>
      </c>
      <c r="Q33" s="22"/>
      <c r="R33" s="22"/>
      <c r="S33" s="22">
        <f t="shared" si="6"/>
        <v>70.114809153314894</v>
      </c>
      <c r="T33" s="22">
        <f t="shared" si="7"/>
        <v>337.67589991644434</v>
      </c>
    </row>
    <row r="34" spans="1:20" x14ac:dyDescent="0.2">
      <c r="A34" s="5">
        <v>43</v>
      </c>
      <c r="B34" s="1">
        <f t="shared" si="8"/>
        <v>1.5986501856491666</v>
      </c>
      <c r="C34" s="5">
        <f t="shared" si="9"/>
        <v>59825.361302661782</v>
      </c>
      <c r="D34" s="5">
        <f t="shared" si="0"/>
        <v>57967.896127949985</v>
      </c>
      <c r="E34" s="5">
        <f t="shared" si="1"/>
        <v>48467.896127949985</v>
      </c>
      <c r="F34" s="5">
        <f t="shared" si="2"/>
        <v>17523.307698570668</v>
      </c>
      <c r="G34" s="5">
        <f t="shared" si="3"/>
        <v>40444.588429379321</v>
      </c>
      <c r="H34" s="22">
        <f t="shared" si="10"/>
        <v>25541.993749486988</v>
      </c>
      <c r="I34" s="5">
        <f t="shared" si="4"/>
        <v>64913.818441387855</v>
      </c>
      <c r="J34" s="26">
        <f t="shared" si="5"/>
        <v>0.20625715845458592</v>
      </c>
      <c r="L34" s="22">
        <f t="shared" si="11"/>
        <v>55285.707691868847</v>
      </c>
      <c r="M34" s="5">
        <f>scrimecost*Meta!O31</f>
        <v>2876.5439999999999</v>
      </c>
      <c r="N34" s="5">
        <f>L34-Grade17!L34</f>
        <v>327.08160866427352</v>
      </c>
      <c r="O34" s="5">
        <f>Grade17!M34-M34</f>
        <v>0</v>
      </c>
      <c r="P34" s="22">
        <f t="shared" si="12"/>
        <v>0</v>
      </c>
      <c r="Q34" s="22"/>
      <c r="R34" s="22"/>
      <c r="S34" s="22">
        <f t="shared" si="6"/>
        <v>71.86767938214885</v>
      </c>
      <c r="T34" s="22">
        <f t="shared" si="7"/>
        <v>375.97156508881864</v>
      </c>
    </row>
    <row r="35" spans="1:20" x14ac:dyDescent="0.2">
      <c r="A35" s="5">
        <v>44</v>
      </c>
      <c r="B35" s="1">
        <f t="shared" si="8"/>
        <v>1.6386164402903955</v>
      </c>
      <c r="C35" s="5">
        <f t="shared" si="9"/>
        <v>61320.995335228319</v>
      </c>
      <c r="D35" s="5">
        <f t="shared" si="0"/>
        <v>59400.713531148722</v>
      </c>
      <c r="E35" s="5">
        <f t="shared" si="1"/>
        <v>49900.713531148722</v>
      </c>
      <c r="F35" s="5">
        <f t="shared" si="2"/>
        <v>18134.40432103493</v>
      </c>
      <c r="G35" s="5">
        <f t="shared" si="3"/>
        <v>41266.309210113788</v>
      </c>
      <c r="H35" s="22">
        <f t="shared" si="10"/>
        <v>26180.54359322416</v>
      </c>
      <c r="I35" s="5">
        <f t="shared" si="4"/>
        <v>66347.269972422539</v>
      </c>
      <c r="J35" s="26">
        <f t="shared" si="5"/>
        <v>0.20851651543692751</v>
      </c>
      <c r="L35" s="22">
        <f t="shared" si="11"/>
        <v>56667.850384165562</v>
      </c>
      <c r="M35" s="5">
        <f>scrimecost*Meta!O32</f>
        <v>2876.5439999999999</v>
      </c>
      <c r="N35" s="5">
        <f>L35-Grade17!L35</f>
        <v>335.25864888088836</v>
      </c>
      <c r="O35" s="5">
        <f>Grade17!M35-M35</f>
        <v>0</v>
      </c>
      <c r="P35" s="22">
        <f t="shared" si="12"/>
        <v>0</v>
      </c>
      <c r="Q35" s="22"/>
      <c r="R35" s="22"/>
      <c r="S35" s="22">
        <f t="shared" si="6"/>
        <v>73.664371366704316</v>
      </c>
      <c r="T35" s="22">
        <f t="shared" si="7"/>
        <v>418.61032365743097</v>
      </c>
    </row>
    <row r="36" spans="1:20" x14ac:dyDescent="0.2">
      <c r="A36" s="5">
        <v>45</v>
      </c>
      <c r="B36" s="1">
        <f t="shared" si="8"/>
        <v>1.6795818512976552</v>
      </c>
      <c r="C36" s="5">
        <f t="shared" si="9"/>
        <v>62854.020218609017</v>
      </c>
      <c r="D36" s="5">
        <f t="shared" si="0"/>
        <v>60869.35136942743</v>
      </c>
      <c r="E36" s="5">
        <f t="shared" si="1"/>
        <v>51369.35136942743</v>
      </c>
      <c r="F36" s="5">
        <f t="shared" si="2"/>
        <v>18760.778359060798</v>
      </c>
      <c r="G36" s="5">
        <f t="shared" si="3"/>
        <v>42108.573010366628</v>
      </c>
      <c r="H36" s="22">
        <f t="shared" si="10"/>
        <v>26835.057183054763</v>
      </c>
      <c r="I36" s="5">
        <f t="shared" si="4"/>
        <v>67816.557791733096</v>
      </c>
      <c r="J36" s="26">
        <f t="shared" si="5"/>
        <v>0.21072076615140703</v>
      </c>
      <c r="L36" s="22">
        <f t="shared" si="11"/>
        <v>58084.546643769703</v>
      </c>
      <c r="M36" s="5">
        <f>scrimecost*Meta!O33</f>
        <v>2324.7070000000003</v>
      </c>
      <c r="N36" s="5">
        <f>L36-Grade17!L36</f>
        <v>343.64011510290584</v>
      </c>
      <c r="O36" s="5">
        <f>Grade17!M36-M36</f>
        <v>0</v>
      </c>
      <c r="P36" s="22">
        <f t="shared" si="12"/>
        <v>0</v>
      </c>
      <c r="Q36" s="22"/>
      <c r="R36" s="22"/>
      <c r="S36" s="22">
        <f t="shared" si="6"/>
        <v>75.505980650870896</v>
      </c>
      <c r="T36" s="22">
        <f t="shared" si="7"/>
        <v>466.08472380398121</v>
      </c>
    </row>
    <row r="37" spans="1:20" x14ac:dyDescent="0.2">
      <c r="A37" s="5">
        <v>46</v>
      </c>
      <c r="B37" s="1">
        <f t="shared" ref="B37:B56" si="13">(1+experiencepremium)^(A37-startage)</f>
        <v>1.7215713975800966</v>
      </c>
      <c r="C37" s="5">
        <f t="shared" ref="C37:C56" si="14">pretaxincome*B37/expnorm</f>
        <v>64425.370724074237</v>
      </c>
      <c r="D37" s="5">
        <f t="shared" ref="D37:D56" si="15">IF(A37&lt;startage,1,0)*(C37*(1-initialunempprob))+IF(A37=startage,1,0)*(C37*(1-unempprob))+IF(A37&gt;startage,1,0)*(C37*(1-unempprob)+unempprob*300*52)</f>
        <v>62374.705153663112</v>
      </c>
      <c r="E37" s="5">
        <f t="shared" si="1"/>
        <v>52874.705153663112</v>
      </c>
      <c r="F37" s="5">
        <f t="shared" si="2"/>
        <v>19402.811748037318</v>
      </c>
      <c r="G37" s="5">
        <f t="shared" si="3"/>
        <v>42971.893405625793</v>
      </c>
      <c r="H37" s="22">
        <f t="shared" ref="H37:H56" si="16">benefits*B37/expnorm</f>
        <v>27505.933612631132</v>
      </c>
      <c r="I37" s="5">
        <f t="shared" ref="I37:I56" si="17">G37+IF(A37&lt;startage,1,0)*(H37*(1-initialunempprob))+IF(A37&gt;=startage,1,0)*(H37*(1-unempprob))</f>
        <v>69322.577806526417</v>
      </c>
      <c r="J37" s="26">
        <f t="shared" si="5"/>
        <v>0.21287125465333837</v>
      </c>
      <c r="L37" s="22">
        <f t="shared" ref="L37:L56" si="18">(sincome+sbenefits)*(1-sunemp)*B37/expnorm</f>
        <v>59536.660309863939</v>
      </c>
      <c r="M37" s="5">
        <f>scrimecost*Meta!O34</f>
        <v>2324.7070000000003</v>
      </c>
      <c r="N37" s="5">
        <f>L37-Grade17!L37</f>
        <v>352.23111798048194</v>
      </c>
      <c r="O37" s="5">
        <f>Grade17!M37-M37</f>
        <v>0</v>
      </c>
      <c r="P37" s="22">
        <f t="shared" si="12"/>
        <v>0</v>
      </c>
      <c r="Q37" s="22"/>
      <c r="R37" s="22"/>
      <c r="S37" s="22">
        <f t="shared" si="6"/>
        <v>77.393630167143428</v>
      </c>
      <c r="T37" s="22">
        <f t="shared" si="7"/>
        <v>518.94317336810934</v>
      </c>
    </row>
    <row r="38" spans="1:20" x14ac:dyDescent="0.2">
      <c r="A38" s="5">
        <v>47</v>
      </c>
      <c r="B38" s="1">
        <f t="shared" si="13"/>
        <v>1.7646106825195991</v>
      </c>
      <c r="C38" s="5">
        <f t="shared" si="14"/>
        <v>66036.004992176095</v>
      </c>
      <c r="D38" s="5">
        <f t="shared" si="15"/>
        <v>63917.692782504695</v>
      </c>
      <c r="E38" s="5">
        <f t="shared" si="1"/>
        <v>54417.692782504695</v>
      </c>
      <c r="F38" s="5">
        <f t="shared" si="2"/>
        <v>20060.895971738253</v>
      </c>
      <c r="G38" s="5">
        <f t="shared" si="3"/>
        <v>43856.796810766442</v>
      </c>
      <c r="H38" s="22">
        <f t="shared" si="16"/>
        <v>28193.581952946912</v>
      </c>
      <c r="I38" s="5">
        <f t="shared" si="17"/>
        <v>70866.248321689578</v>
      </c>
      <c r="J38" s="26">
        <f t="shared" si="5"/>
        <v>0.21496929221619818</v>
      </c>
      <c r="L38" s="22">
        <f t="shared" si="18"/>
        <v>61025.076817610541</v>
      </c>
      <c r="M38" s="5">
        <f>scrimecost*Meta!O35</f>
        <v>2324.7070000000003</v>
      </c>
      <c r="N38" s="5">
        <f>L38-Grade17!L38</f>
        <v>361.03689592999581</v>
      </c>
      <c r="O38" s="5">
        <f>Grade17!M38-M38</f>
        <v>0</v>
      </c>
      <c r="P38" s="22">
        <f t="shared" si="12"/>
        <v>0</v>
      </c>
      <c r="Q38" s="22"/>
      <c r="R38" s="22"/>
      <c r="S38" s="22">
        <f t="shared" si="6"/>
        <v>79.328470921322406</v>
      </c>
      <c r="T38" s="22">
        <f t="shared" si="7"/>
        <v>577.79627486487004</v>
      </c>
    </row>
    <row r="39" spans="1:20" x14ac:dyDescent="0.2">
      <c r="A39" s="5">
        <v>48</v>
      </c>
      <c r="B39" s="1">
        <f t="shared" si="13"/>
        <v>1.8087259495825889</v>
      </c>
      <c r="C39" s="5">
        <f t="shared" si="14"/>
        <v>67686.905116980488</v>
      </c>
      <c r="D39" s="5">
        <f t="shared" si="15"/>
        <v>65499.255102067305</v>
      </c>
      <c r="E39" s="5">
        <f t="shared" si="1"/>
        <v>55999.255102067305</v>
      </c>
      <c r="F39" s="5">
        <f t="shared" si="2"/>
        <v>20735.432301031706</v>
      </c>
      <c r="G39" s="5">
        <f t="shared" si="3"/>
        <v>44763.822801035596</v>
      </c>
      <c r="H39" s="22">
        <f t="shared" si="16"/>
        <v>28898.421501770579</v>
      </c>
      <c r="I39" s="5">
        <f t="shared" si="17"/>
        <v>72448.510599731817</v>
      </c>
      <c r="J39" s="26">
        <f t="shared" si="5"/>
        <v>0.21701615813118336</v>
      </c>
      <c r="L39" s="22">
        <f t="shared" si="18"/>
        <v>62550.703738050797</v>
      </c>
      <c r="M39" s="5">
        <f>scrimecost*Meta!O36</f>
        <v>2324.7070000000003</v>
      </c>
      <c r="N39" s="5">
        <f>L39-Grade17!L39</f>
        <v>370.06281832824607</v>
      </c>
      <c r="O39" s="5">
        <f>Grade17!M39-M39</f>
        <v>0</v>
      </c>
      <c r="P39" s="22">
        <f t="shared" si="12"/>
        <v>0</v>
      </c>
      <c r="Q39" s="22"/>
      <c r="R39" s="22"/>
      <c r="S39" s="22">
        <f t="shared" si="6"/>
        <v>81.31168269435554</v>
      </c>
      <c r="T39" s="22">
        <f t="shared" si="7"/>
        <v>643.32387895370891</v>
      </c>
    </row>
    <row r="40" spans="1:20" x14ac:dyDescent="0.2">
      <c r="A40" s="5">
        <v>49</v>
      </c>
      <c r="B40" s="1">
        <f t="shared" si="13"/>
        <v>1.8539440983221533</v>
      </c>
      <c r="C40" s="5">
        <f t="shared" si="14"/>
        <v>69379.077744904993</v>
      </c>
      <c r="D40" s="5">
        <f t="shared" si="15"/>
        <v>67120.356479618975</v>
      </c>
      <c r="E40" s="5">
        <f t="shared" si="1"/>
        <v>57620.356479618975</v>
      </c>
      <c r="F40" s="5">
        <f t="shared" si="2"/>
        <v>21426.832038557492</v>
      </c>
      <c r="G40" s="5">
        <f t="shared" si="3"/>
        <v>45693.524441061483</v>
      </c>
      <c r="H40" s="22">
        <f t="shared" si="16"/>
        <v>29620.882039314842</v>
      </c>
      <c r="I40" s="5">
        <f t="shared" si="17"/>
        <v>74070.329434725107</v>
      </c>
      <c r="J40" s="26">
        <f t="shared" si="5"/>
        <v>0.21901310048726644</v>
      </c>
      <c r="L40" s="22">
        <f t="shared" si="18"/>
        <v>64114.471331502064</v>
      </c>
      <c r="M40" s="5">
        <f>scrimecost*Meta!O37</f>
        <v>2324.7070000000003</v>
      </c>
      <c r="N40" s="5">
        <f>L40-Grade17!L40</f>
        <v>379.31438878645713</v>
      </c>
      <c r="O40" s="5">
        <f>Grade17!M40-M40</f>
        <v>0</v>
      </c>
      <c r="P40" s="22">
        <f t="shared" si="12"/>
        <v>0</v>
      </c>
      <c r="Q40" s="22"/>
      <c r="R40" s="22"/>
      <c r="S40" s="22">
        <f t="shared" si="6"/>
        <v>83.344474761715517</v>
      </c>
      <c r="T40" s="22">
        <f t="shared" si="7"/>
        <v>716.28293783798233</v>
      </c>
    </row>
    <row r="41" spans="1:20" x14ac:dyDescent="0.2">
      <c r="A41" s="5">
        <v>50</v>
      </c>
      <c r="B41" s="1">
        <f t="shared" si="13"/>
        <v>1.9002927007802071</v>
      </c>
      <c r="C41" s="5">
        <f t="shared" si="14"/>
        <v>71113.554688527613</v>
      </c>
      <c r="D41" s="5">
        <f t="shared" si="15"/>
        <v>68781.985391609443</v>
      </c>
      <c r="E41" s="5">
        <f t="shared" si="1"/>
        <v>59281.985391609443</v>
      </c>
      <c r="F41" s="5">
        <f t="shared" si="2"/>
        <v>22135.51676952143</v>
      </c>
      <c r="G41" s="5">
        <f t="shared" si="3"/>
        <v>46646.46862208801</v>
      </c>
      <c r="H41" s="22">
        <f t="shared" si="16"/>
        <v>30361.404090297714</v>
      </c>
      <c r="I41" s="5">
        <f t="shared" si="17"/>
        <v>75732.693740593211</v>
      </c>
      <c r="J41" s="26">
        <f t="shared" si="5"/>
        <v>0.22096133693222555</v>
      </c>
      <c r="L41" s="22">
        <f t="shared" si="18"/>
        <v>65717.33311478961</v>
      </c>
      <c r="M41" s="5">
        <f>scrimecost*Meta!O38</f>
        <v>1553.134</v>
      </c>
      <c r="N41" s="5">
        <f>L41-Grade17!L41</f>
        <v>388.79724850611819</v>
      </c>
      <c r="O41" s="5">
        <f>Grade17!M41-M41</f>
        <v>0</v>
      </c>
      <c r="P41" s="22">
        <f t="shared" si="12"/>
        <v>0</v>
      </c>
      <c r="Q41" s="22"/>
      <c r="R41" s="22"/>
      <c r="S41" s="22">
        <f t="shared" si="6"/>
        <v>85.428086630758315</v>
      </c>
      <c r="T41" s="22">
        <f t="shared" si="7"/>
        <v>797.51624931478943</v>
      </c>
    </row>
    <row r="42" spans="1:20" x14ac:dyDescent="0.2">
      <c r="A42" s="5">
        <v>51</v>
      </c>
      <c r="B42" s="1">
        <f t="shared" si="13"/>
        <v>1.9478000182997122</v>
      </c>
      <c r="C42" s="5">
        <f t="shared" si="14"/>
        <v>72891.393555740797</v>
      </c>
      <c r="D42" s="5">
        <f t="shared" si="15"/>
        <v>70485.155026399676</v>
      </c>
      <c r="E42" s="5">
        <f t="shared" si="1"/>
        <v>60985.155026399676</v>
      </c>
      <c r="F42" s="5">
        <f t="shared" si="2"/>
        <v>22861.918618759461</v>
      </c>
      <c r="G42" s="5">
        <f t="shared" si="3"/>
        <v>47623.236407640215</v>
      </c>
      <c r="H42" s="22">
        <f t="shared" si="16"/>
        <v>31120.43919255515</v>
      </c>
      <c r="I42" s="5">
        <f t="shared" si="17"/>
        <v>77436.61715410804</v>
      </c>
      <c r="J42" s="26">
        <f t="shared" si="5"/>
        <v>0.2228620554151125</v>
      </c>
      <c r="L42" s="22">
        <f t="shared" si="18"/>
        <v>67360.266442659355</v>
      </c>
      <c r="M42" s="5">
        <f>scrimecost*Meta!O39</f>
        <v>1553.134</v>
      </c>
      <c r="N42" s="5">
        <f>L42-Grade17!L42</f>
        <v>398.51717971877952</v>
      </c>
      <c r="O42" s="5">
        <f>Grade17!M42-M42</f>
        <v>0</v>
      </c>
      <c r="P42" s="22">
        <f t="shared" si="12"/>
        <v>0</v>
      </c>
      <c r="Q42" s="22"/>
      <c r="R42" s="22"/>
      <c r="S42" s="22">
        <f t="shared" si="6"/>
        <v>87.56378879652911</v>
      </c>
      <c r="T42" s="22">
        <f t="shared" si="7"/>
        <v>887.96219248350849</v>
      </c>
    </row>
    <row r="43" spans="1:20" x14ac:dyDescent="0.2">
      <c r="A43" s="5">
        <v>52</v>
      </c>
      <c r="B43" s="1">
        <f t="shared" si="13"/>
        <v>1.9964950187572048</v>
      </c>
      <c r="C43" s="5">
        <f t="shared" si="14"/>
        <v>74713.67839463432</v>
      </c>
      <c r="D43" s="5">
        <f t="shared" si="15"/>
        <v>72230.903902059668</v>
      </c>
      <c r="E43" s="5">
        <f t="shared" si="1"/>
        <v>62730.903902059668</v>
      </c>
      <c r="F43" s="5">
        <f t="shared" si="2"/>
        <v>23606.480514228449</v>
      </c>
      <c r="G43" s="5">
        <f t="shared" si="3"/>
        <v>48624.423387831222</v>
      </c>
      <c r="H43" s="22">
        <f t="shared" si="16"/>
        <v>31898.45017236903</v>
      </c>
      <c r="I43" s="5">
        <f t="shared" si="17"/>
        <v>79183.138652960755</v>
      </c>
      <c r="J43" s="26">
        <f t="shared" si="5"/>
        <v>0.22471641491061198</v>
      </c>
      <c r="L43" s="22">
        <f t="shared" si="18"/>
        <v>69044.27310372582</v>
      </c>
      <c r="M43" s="5">
        <f>scrimecost*Meta!O40</f>
        <v>1553.134</v>
      </c>
      <c r="N43" s="5">
        <f>L43-Grade17!L43</f>
        <v>408.48010921171226</v>
      </c>
      <c r="O43" s="5">
        <f>Grade17!M43-M43</f>
        <v>0</v>
      </c>
      <c r="P43" s="22">
        <f t="shared" si="12"/>
        <v>0</v>
      </c>
      <c r="Q43" s="22"/>
      <c r="R43" s="22"/>
      <c r="S43" s="22">
        <f t="shared" si="6"/>
        <v>89.752883516434281</v>
      </c>
      <c r="T43" s="22">
        <f t="shared" si="7"/>
        <v>988.66556757617934</v>
      </c>
    </row>
    <row r="44" spans="1:20" x14ac:dyDescent="0.2">
      <c r="A44" s="5">
        <v>53</v>
      </c>
      <c r="B44" s="1">
        <f t="shared" si="13"/>
        <v>2.0464073942261352</v>
      </c>
      <c r="C44" s="5">
        <f t="shared" si="14"/>
        <v>76581.520354500171</v>
      </c>
      <c r="D44" s="5">
        <f t="shared" si="15"/>
        <v>74020.296499611155</v>
      </c>
      <c r="E44" s="5">
        <f t="shared" si="1"/>
        <v>64520.296499611155</v>
      </c>
      <c r="F44" s="5">
        <f t="shared" si="2"/>
        <v>24369.656457084158</v>
      </c>
      <c r="G44" s="5">
        <f t="shared" si="3"/>
        <v>49650.640042526997</v>
      </c>
      <c r="H44" s="22">
        <f t="shared" si="16"/>
        <v>32695.911426678256</v>
      </c>
      <c r="I44" s="5">
        <f t="shared" si="17"/>
        <v>80973.323189284769</v>
      </c>
      <c r="J44" s="26">
        <f t="shared" si="5"/>
        <v>0.22652554612573339</v>
      </c>
      <c r="L44" s="22">
        <f t="shared" si="18"/>
        <v>70770.379931318981</v>
      </c>
      <c r="M44" s="5">
        <f>scrimecost*Meta!O41</f>
        <v>1553.134</v>
      </c>
      <c r="N44" s="5">
        <f>L44-Grade17!L44</f>
        <v>418.69211194204399</v>
      </c>
      <c r="O44" s="5">
        <f>Grade17!M44-M44</f>
        <v>0</v>
      </c>
      <c r="P44" s="22">
        <f t="shared" si="12"/>
        <v>0</v>
      </c>
      <c r="Q44" s="22"/>
      <c r="R44" s="22"/>
      <c r="S44" s="22">
        <f t="shared" si="6"/>
        <v>91.996705604353693</v>
      </c>
      <c r="T44" s="22">
        <f t="shared" si="7"/>
        <v>1100.7896651287449</v>
      </c>
    </row>
    <row r="45" spans="1:20" x14ac:dyDescent="0.2">
      <c r="A45" s="5">
        <v>54</v>
      </c>
      <c r="B45" s="1">
        <f t="shared" si="13"/>
        <v>2.097567579081788</v>
      </c>
      <c r="C45" s="5">
        <f t="shared" si="14"/>
        <v>78496.058363362681</v>
      </c>
      <c r="D45" s="5">
        <f t="shared" si="15"/>
        <v>75854.42391210144</v>
      </c>
      <c r="E45" s="5">
        <f t="shared" si="1"/>
        <v>66354.42391210144</v>
      </c>
      <c r="F45" s="5">
        <f t="shared" si="2"/>
        <v>25151.911798511264</v>
      </c>
      <c r="G45" s="5">
        <f t="shared" si="3"/>
        <v>50702.512113590172</v>
      </c>
      <c r="H45" s="22">
        <f t="shared" si="16"/>
        <v>33513.309212345208</v>
      </c>
      <c r="I45" s="5">
        <f t="shared" si="17"/>
        <v>82808.262339016888</v>
      </c>
      <c r="J45" s="26">
        <f t="shared" si="5"/>
        <v>0.2282905521892665</v>
      </c>
      <c r="L45" s="22">
        <f t="shared" si="18"/>
        <v>72539.639429601928</v>
      </c>
      <c r="M45" s="5">
        <f>scrimecost*Meta!O42</f>
        <v>1553.134</v>
      </c>
      <c r="N45" s="5">
        <f>L45-Grade17!L45</f>
        <v>429.1594147405558</v>
      </c>
      <c r="O45" s="5">
        <f>Grade17!M45-M45</f>
        <v>0</v>
      </c>
      <c r="P45" s="22">
        <f t="shared" si="12"/>
        <v>0</v>
      </c>
      <c r="Q45" s="22"/>
      <c r="R45" s="22"/>
      <c r="S45" s="22">
        <f t="shared" si="6"/>
        <v>94.296623244453897</v>
      </c>
      <c r="T45" s="22">
        <f t="shared" si="7"/>
        <v>1225.6297039096216</v>
      </c>
    </row>
    <row r="46" spans="1:20" x14ac:dyDescent="0.2">
      <c r="A46" s="5">
        <v>55</v>
      </c>
      <c r="B46" s="1">
        <f t="shared" si="13"/>
        <v>2.1500067685588333</v>
      </c>
      <c r="C46" s="5">
        <f t="shared" si="14"/>
        <v>80458.459822446763</v>
      </c>
      <c r="D46" s="5">
        <f t="shared" si="15"/>
        <v>77734.404509903994</v>
      </c>
      <c r="E46" s="5">
        <f t="shared" si="1"/>
        <v>68234.404509903994</v>
      </c>
      <c r="F46" s="5">
        <f t="shared" si="2"/>
        <v>25953.723523474055</v>
      </c>
      <c r="G46" s="5">
        <f t="shared" si="3"/>
        <v>51780.680986429943</v>
      </c>
      <c r="H46" s="22">
        <f t="shared" si="16"/>
        <v>34351.141942653849</v>
      </c>
      <c r="I46" s="5">
        <f t="shared" si="17"/>
        <v>84689.074967492328</v>
      </c>
      <c r="J46" s="26">
        <f t="shared" si="5"/>
        <v>0.23001250932442077</v>
      </c>
      <c r="L46" s="22">
        <f t="shared" si="18"/>
        <v>74353.130415342006</v>
      </c>
      <c r="M46" s="5">
        <f>scrimecost*Meta!O43</f>
        <v>861.46499999999992</v>
      </c>
      <c r="N46" s="5">
        <f>L46-Grade17!L46</f>
        <v>439.88840010910644</v>
      </c>
      <c r="O46" s="5">
        <f>Grade17!M46-M46</f>
        <v>0</v>
      </c>
      <c r="P46" s="22">
        <f t="shared" si="12"/>
        <v>0</v>
      </c>
      <c r="Q46" s="22"/>
      <c r="R46" s="22"/>
      <c r="S46" s="22">
        <f t="shared" ref="S46:S69" si="19">IF(A46&lt;startage,1,0)*(N46-Q46-R46)+IF(A46&gt;=startage,1,0)*completionprob*(N46*spart+O46+P46)</f>
        <v>96.654038825573323</v>
      </c>
      <c r="T46" s="22">
        <f t="shared" ref="T46:T69" si="20">S46/sreturn^(A46-startage+1)</f>
        <v>1364.6277928401159</v>
      </c>
    </row>
    <row r="47" spans="1:20" x14ac:dyDescent="0.2">
      <c r="A47" s="5">
        <v>56</v>
      </c>
      <c r="B47" s="1">
        <f t="shared" si="13"/>
        <v>2.2037569377728037</v>
      </c>
      <c r="C47" s="5">
        <f t="shared" si="14"/>
        <v>82469.92131800791</v>
      </c>
      <c r="D47" s="5">
        <f t="shared" si="15"/>
        <v>79661.384622651574</v>
      </c>
      <c r="E47" s="5">
        <f t="shared" si="1"/>
        <v>70161.384622651574</v>
      </c>
      <c r="F47" s="5">
        <f t="shared" si="2"/>
        <v>26775.580541560896</v>
      </c>
      <c r="G47" s="5">
        <f t="shared" si="3"/>
        <v>52885.804081090682</v>
      </c>
      <c r="H47" s="22">
        <f t="shared" si="16"/>
        <v>35209.920491220182</v>
      </c>
      <c r="I47" s="5">
        <f t="shared" si="17"/>
        <v>86616.90791167962</v>
      </c>
      <c r="J47" s="26">
        <f t="shared" si="5"/>
        <v>0.23169246750505906</v>
      </c>
      <c r="L47" s="22">
        <f t="shared" si="18"/>
        <v>76211.958675725531</v>
      </c>
      <c r="M47" s="5">
        <f>scrimecost*Meta!O44</f>
        <v>861.46499999999992</v>
      </c>
      <c r="N47" s="5">
        <f>L47-Grade17!L47</f>
        <v>450.88561011181446</v>
      </c>
      <c r="O47" s="5">
        <f>Grade17!M47-M47</f>
        <v>0</v>
      </c>
      <c r="P47" s="22">
        <f t="shared" si="12"/>
        <v>0</v>
      </c>
      <c r="Q47" s="22"/>
      <c r="R47" s="22"/>
      <c r="S47" s="22">
        <f t="shared" si="19"/>
        <v>99.070389796208332</v>
      </c>
      <c r="T47" s="22">
        <f t="shared" si="20"/>
        <v>1519.3895897359632</v>
      </c>
    </row>
    <row r="48" spans="1:20" x14ac:dyDescent="0.2">
      <c r="A48" s="5">
        <v>57</v>
      </c>
      <c r="B48" s="1">
        <f t="shared" si="13"/>
        <v>2.2588508612171236</v>
      </c>
      <c r="C48" s="5">
        <f t="shared" si="14"/>
        <v>84531.669350958109</v>
      </c>
      <c r="D48" s="5">
        <f t="shared" si="15"/>
        <v>81636.539238217869</v>
      </c>
      <c r="E48" s="5">
        <f t="shared" si="1"/>
        <v>72136.539238217869</v>
      </c>
      <c r="F48" s="5">
        <f t="shared" si="2"/>
        <v>27617.983985099923</v>
      </c>
      <c r="G48" s="5">
        <f t="shared" si="3"/>
        <v>54018.555253117942</v>
      </c>
      <c r="H48" s="22">
        <f t="shared" si="16"/>
        <v>36090.168503500689</v>
      </c>
      <c r="I48" s="5">
        <f t="shared" si="17"/>
        <v>88592.936679471604</v>
      </c>
      <c r="J48" s="26">
        <f t="shared" si="5"/>
        <v>0.23333145109592568</v>
      </c>
      <c r="L48" s="22">
        <f t="shared" si="18"/>
        <v>78117.257642618672</v>
      </c>
      <c r="M48" s="5">
        <f>scrimecost*Meta!O45</f>
        <v>861.46499999999992</v>
      </c>
      <c r="N48" s="5">
        <f>L48-Grade17!L48</f>
        <v>462.15775036461127</v>
      </c>
      <c r="O48" s="5">
        <f>Grade17!M48-M48</f>
        <v>0</v>
      </c>
      <c r="P48" s="22">
        <f t="shared" si="12"/>
        <v>0</v>
      </c>
      <c r="Q48" s="22"/>
      <c r="R48" s="22"/>
      <c r="S48" s="22">
        <f t="shared" si="19"/>
        <v>101.54714954111387</v>
      </c>
      <c r="T48" s="22">
        <f t="shared" si="20"/>
        <v>1691.7028493121149</v>
      </c>
    </row>
    <row r="49" spans="1:20" x14ac:dyDescent="0.2">
      <c r="A49" s="5">
        <v>58</v>
      </c>
      <c r="B49" s="1">
        <f t="shared" si="13"/>
        <v>2.3153221327475517</v>
      </c>
      <c r="C49" s="5">
        <f t="shared" si="14"/>
        <v>86644.961084732058</v>
      </c>
      <c r="D49" s="5">
        <f t="shared" si="15"/>
        <v>83661.072719173302</v>
      </c>
      <c r="E49" s="5">
        <f t="shared" si="1"/>
        <v>74161.072719173302</v>
      </c>
      <c r="F49" s="5">
        <f t="shared" si="2"/>
        <v>28481.447514727413</v>
      </c>
      <c r="G49" s="5">
        <f t="shared" si="3"/>
        <v>55179.625204445889</v>
      </c>
      <c r="H49" s="22">
        <f t="shared" si="16"/>
        <v>36992.422716088207</v>
      </c>
      <c r="I49" s="5">
        <f t="shared" si="17"/>
        <v>90618.366166458392</v>
      </c>
      <c r="J49" s="26">
        <f t="shared" si="5"/>
        <v>0.23493045947725893</v>
      </c>
      <c r="L49" s="22">
        <f t="shared" si="18"/>
        <v>80070.189083684134</v>
      </c>
      <c r="M49" s="5">
        <f>scrimecost*Meta!O46</f>
        <v>861.46499999999992</v>
      </c>
      <c r="N49" s="5">
        <f>L49-Grade17!L49</f>
        <v>473.71169412373274</v>
      </c>
      <c r="O49" s="5">
        <f>Grade17!M49-M49</f>
        <v>0</v>
      </c>
      <c r="P49" s="22">
        <f t="shared" si="12"/>
        <v>0</v>
      </c>
      <c r="Q49" s="22"/>
      <c r="R49" s="22"/>
      <c r="S49" s="22">
        <f t="shared" si="19"/>
        <v>104.08582827964307</v>
      </c>
      <c r="T49" s="22">
        <f t="shared" si="20"/>
        <v>1883.5580747055699</v>
      </c>
    </row>
    <row r="50" spans="1:20" x14ac:dyDescent="0.2">
      <c r="A50" s="5">
        <v>59</v>
      </c>
      <c r="B50" s="1">
        <f t="shared" si="13"/>
        <v>2.3732051860662402</v>
      </c>
      <c r="C50" s="5">
        <f t="shared" si="14"/>
        <v>88811.085111850334</v>
      </c>
      <c r="D50" s="5">
        <f t="shared" si="15"/>
        <v>85736.219537152618</v>
      </c>
      <c r="E50" s="5">
        <f t="shared" si="1"/>
        <v>76236.219537152618</v>
      </c>
      <c r="F50" s="5">
        <f t="shared" si="2"/>
        <v>29366.49763259559</v>
      </c>
      <c r="G50" s="5">
        <f t="shared" si="3"/>
        <v>56369.721904557024</v>
      </c>
      <c r="H50" s="22">
        <f t="shared" si="16"/>
        <v>37917.233283990405</v>
      </c>
      <c r="I50" s="5">
        <f t="shared" si="17"/>
        <v>92694.431390619837</v>
      </c>
      <c r="J50" s="26">
        <f t="shared" si="5"/>
        <v>0.23649046765416948</v>
      </c>
      <c r="L50" s="22">
        <f t="shared" si="18"/>
        <v>82071.943810776225</v>
      </c>
      <c r="M50" s="5">
        <f>scrimecost*Meta!O47</f>
        <v>861.46499999999992</v>
      </c>
      <c r="N50" s="5">
        <f>L50-Grade17!L50</f>
        <v>485.55448647681624</v>
      </c>
      <c r="O50" s="5">
        <f>Grade17!M50-M50</f>
        <v>0</v>
      </c>
      <c r="P50" s="22">
        <f t="shared" si="12"/>
        <v>0</v>
      </c>
      <c r="Q50" s="22"/>
      <c r="R50" s="22"/>
      <c r="S50" s="22">
        <f t="shared" si="19"/>
        <v>106.68797398663199</v>
      </c>
      <c r="T50" s="22">
        <f t="shared" si="20"/>
        <v>2097.1715110789391</v>
      </c>
    </row>
    <row r="51" spans="1:20" x14ac:dyDescent="0.2">
      <c r="A51" s="5">
        <v>60</v>
      </c>
      <c r="B51" s="1">
        <f t="shared" si="13"/>
        <v>2.4325353157178964</v>
      </c>
      <c r="C51" s="5">
        <f t="shared" si="14"/>
        <v>91031.362239646609</v>
      </c>
      <c r="D51" s="5">
        <f t="shared" si="15"/>
        <v>87863.245025581447</v>
      </c>
      <c r="E51" s="5">
        <f t="shared" si="1"/>
        <v>78363.245025581447</v>
      </c>
      <c r="F51" s="5">
        <f t="shared" si="2"/>
        <v>30273.674003410488</v>
      </c>
      <c r="G51" s="5">
        <f t="shared" si="3"/>
        <v>57589.57102217096</v>
      </c>
      <c r="H51" s="22">
        <f t="shared" si="16"/>
        <v>38865.164116090171</v>
      </c>
      <c r="I51" s="5">
        <f t="shared" si="17"/>
        <v>94822.398245385339</v>
      </c>
      <c r="J51" s="26">
        <f t="shared" si="5"/>
        <v>0.23801242685115537</v>
      </c>
      <c r="L51" s="22">
        <f t="shared" si="18"/>
        <v>84123.742406045654</v>
      </c>
      <c r="M51" s="5">
        <f>scrimecost*Meta!O48</f>
        <v>454.45400000000001</v>
      </c>
      <c r="N51" s="5">
        <f>L51-Grade17!L51</f>
        <v>497.69334863875702</v>
      </c>
      <c r="O51" s="5">
        <f>Grade17!M51-M51</f>
        <v>0</v>
      </c>
      <c r="P51" s="22">
        <f t="shared" si="12"/>
        <v>0</v>
      </c>
      <c r="Q51" s="22"/>
      <c r="R51" s="22"/>
      <c r="S51" s="22">
        <f t="shared" si="19"/>
        <v>109.35517333630224</v>
      </c>
      <c r="T51" s="22">
        <f t="shared" si="20"/>
        <v>2335.0107469178442</v>
      </c>
    </row>
    <row r="52" spans="1:20" x14ac:dyDescent="0.2">
      <c r="A52" s="5">
        <v>61</v>
      </c>
      <c r="B52" s="1">
        <f t="shared" si="13"/>
        <v>2.4933486986108435</v>
      </c>
      <c r="C52" s="5">
        <f t="shared" si="14"/>
        <v>93307.146295637765</v>
      </c>
      <c r="D52" s="5">
        <f t="shared" si="15"/>
        <v>90043.446151220967</v>
      </c>
      <c r="E52" s="5">
        <f t="shared" si="1"/>
        <v>80543.446151220967</v>
      </c>
      <c r="F52" s="5">
        <f t="shared" si="2"/>
        <v>31203.529783495742</v>
      </c>
      <c r="G52" s="5">
        <f t="shared" si="3"/>
        <v>58839.916367725222</v>
      </c>
      <c r="H52" s="22">
        <f t="shared" si="16"/>
        <v>39836.793218992418</v>
      </c>
      <c r="I52" s="5">
        <f t="shared" si="17"/>
        <v>97003.56427151995</v>
      </c>
      <c r="J52" s="26">
        <f t="shared" si="5"/>
        <v>0.23949726509211716</v>
      </c>
      <c r="L52" s="22">
        <f t="shared" si="18"/>
        <v>86226.835966196784</v>
      </c>
      <c r="M52" s="5">
        <f>scrimecost*Meta!O49</f>
        <v>454.45400000000001</v>
      </c>
      <c r="N52" s="5">
        <f>L52-Grade17!L52</f>
        <v>510.13568235472485</v>
      </c>
      <c r="O52" s="5">
        <f>Grade17!M52-M52</f>
        <v>0</v>
      </c>
      <c r="P52" s="22">
        <f t="shared" si="12"/>
        <v>0</v>
      </c>
      <c r="Q52" s="22"/>
      <c r="R52" s="22"/>
      <c r="S52" s="22">
        <f t="shared" si="19"/>
        <v>112.08905266970957</v>
      </c>
      <c r="T52" s="22">
        <f t="shared" si="20"/>
        <v>2599.8232187583667</v>
      </c>
    </row>
    <row r="53" spans="1:20" x14ac:dyDescent="0.2">
      <c r="A53" s="5">
        <v>62</v>
      </c>
      <c r="B53" s="1">
        <f t="shared" si="13"/>
        <v>2.555682416076114</v>
      </c>
      <c r="C53" s="5">
        <f t="shared" si="14"/>
        <v>95639.824953028685</v>
      </c>
      <c r="D53" s="5">
        <f t="shared" si="15"/>
        <v>92278.15230500148</v>
      </c>
      <c r="E53" s="5">
        <f t="shared" si="1"/>
        <v>82778.15230500148</v>
      </c>
      <c r="F53" s="5">
        <f t="shared" si="2"/>
        <v>32156.631958083133</v>
      </c>
      <c r="G53" s="5">
        <f t="shared" si="3"/>
        <v>60121.520346918347</v>
      </c>
      <c r="H53" s="22">
        <f t="shared" si="16"/>
        <v>40832.713049467216</v>
      </c>
      <c r="I53" s="5">
        <f t="shared" si="17"/>
        <v>99239.259448307945</v>
      </c>
      <c r="J53" s="26">
        <f t="shared" si="5"/>
        <v>0.24094588776622636</v>
      </c>
      <c r="L53" s="22">
        <f t="shared" si="18"/>
        <v>88382.506865351679</v>
      </c>
      <c r="M53" s="5">
        <f>scrimecost*Meta!O50</f>
        <v>454.45400000000001</v>
      </c>
      <c r="N53" s="5">
        <f>L53-Grade17!L53</f>
        <v>522.88907441357151</v>
      </c>
      <c r="O53" s="5">
        <f>Grade17!M53-M53</f>
        <v>0</v>
      </c>
      <c r="P53" s="22">
        <f t="shared" si="12"/>
        <v>0</v>
      </c>
      <c r="Q53" s="22"/>
      <c r="R53" s="22"/>
      <c r="S53" s="22">
        <f t="shared" si="19"/>
        <v>114.8912789864476</v>
      </c>
      <c r="T53" s="22">
        <f t="shared" si="20"/>
        <v>2894.6679486236494</v>
      </c>
    </row>
    <row r="54" spans="1:20" x14ac:dyDescent="0.2">
      <c r="A54" s="5">
        <v>63</v>
      </c>
      <c r="B54" s="1">
        <f t="shared" si="13"/>
        <v>2.6195744764780171</v>
      </c>
      <c r="C54" s="5">
        <f t="shared" si="14"/>
        <v>98030.820576854414</v>
      </c>
      <c r="D54" s="5">
        <f t="shared" si="15"/>
        <v>94568.726112626522</v>
      </c>
      <c r="E54" s="5">
        <f t="shared" si="1"/>
        <v>85068.726112626522</v>
      </c>
      <c r="F54" s="5">
        <f t="shared" si="2"/>
        <v>33177.623470414008</v>
      </c>
      <c r="G54" s="5">
        <f t="shared" si="3"/>
        <v>61391.102642212514</v>
      </c>
      <c r="H54" s="22">
        <f t="shared" si="16"/>
        <v>41853.530875703902</v>
      </c>
      <c r="I54" s="5">
        <f t="shared" si="17"/>
        <v>101486.78522113684</v>
      </c>
      <c r="J54" s="26">
        <f t="shared" si="5"/>
        <v>0.24268797486351035</v>
      </c>
      <c r="L54" s="22">
        <f t="shared" si="18"/>
        <v>90592.06953698548</v>
      </c>
      <c r="M54" s="5">
        <f>scrimecost*Meta!O51</f>
        <v>454.45400000000001</v>
      </c>
      <c r="N54" s="5">
        <f>L54-Grade17!L54</f>
        <v>535.96130127392826</v>
      </c>
      <c r="O54" s="5">
        <f>Grade17!M54-M54</f>
        <v>0</v>
      </c>
      <c r="P54" s="22">
        <f t="shared" si="12"/>
        <v>0</v>
      </c>
      <c r="Q54" s="22"/>
      <c r="R54" s="22"/>
      <c r="S54" s="22">
        <f t="shared" si="19"/>
        <v>117.76356096111262</v>
      </c>
      <c r="T54" s="22">
        <f t="shared" si="20"/>
        <v>3222.950880787726</v>
      </c>
    </row>
    <row r="55" spans="1:20" x14ac:dyDescent="0.2">
      <c r="A55" s="5">
        <v>64</v>
      </c>
      <c r="B55" s="1">
        <f t="shared" si="13"/>
        <v>2.6850638383899672</v>
      </c>
      <c r="C55" s="5">
        <f t="shared" si="14"/>
        <v>100481.59109127577</v>
      </c>
      <c r="D55" s="5">
        <f t="shared" si="15"/>
        <v>96916.564265442183</v>
      </c>
      <c r="E55" s="5">
        <f t="shared" si="1"/>
        <v>87416.564265442183</v>
      </c>
      <c r="F55" s="5">
        <f t="shared" si="2"/>
        <v>34249.411587174356</v>
      </c>
      <c r="G55" s="5">
        <f t="shared" si="3"/>
        <v>62667.152678267827</v>
      </c>
      <c r="H55" s="22">
        <f t="shared" si="16"/>
        <v>42899.869147596495</v>
      </c>
      <c r="I55" s="5">
        <f t="shared" si="17"/>
        <v>103765.22732166527</v>
      </c>
      <c r="J55" s="26">
        <f t="shared" si="5"/>
        <v>0.24457155514059425</v>
      </c>
      <c r="L55" s="22">
        <f t="shared" si="18"/>
        <v>92856.8712754101</v>
      </c>
      <c r="M55" s="5">
        <f>scrimecost*Meta!O52</f>
        <v>454.45400000000001</v>
      </c>
      <c r="N55" s="5">
        <f>L55-Grade17!L55</f>
        <v>549.36033380575827</v>
      </c>
      <c r="O55" s="5">
        <f>Grade17!M55-M55</f>
        <v>0</v>
      </c>
      <c r="P55" s="22">
        <f t="shared" si="12"/>
        <v>0</v>
      </c>
      <c r="Q55" s="22"/>
      <c r="R55" s="22"/>
      <c r="S55" s="22">
        <f t="shared" si="19"/>
        <v>120.70764998513644</v>
      </c>
      <c r="T55" s="22">
        <f t="shared" si="20"/>
        <v>3588.4642260638861</v>
      </c>
    </row>
    <row r="56" spans="1:20" x14ac:dyDescent="0.2">
      <c r="A56" s="5">
        <v>65</v>
      </c>
      <c r="B56" s="1">
        <f t="shared" si="13"/>
        <v>2.7521904343497163</v>
      </c>
      <c r="C56" s="5">
        <f t="shared" si="14"/>
        <v>102993.63086855765</v>
      </c>
      <c r="D56" s="5">
        <f t="shared" si="15"/>
        <v>99323.098372078224</v>
      </c>
      <c r="E56" s="5">
        <f t="shared" si="1"/>
        <v>89823.098372078224</v>
      </c>
      <c r="F56" s="5">
        <f t="shared" si="2"/>
        <v>35347.994406853708</v>
      </c>
      <c r="G56" s="5">
        <f t="shared" si="3"/>
        <v>63975.103965224516</v>
      </c>
      <c r="H56" s="22">
        <f t="shared" si="16"/>
        <v>43972.365876286407</v>
      </c>
      <c r="I56" s="5">
        <f t="shared" si="17"/>
        <v>106100.63047470689</v>
      </c>
      <c r="J56" s="26">
        <f t="shared" si="5"/>
        <v>0.2464091944353102</v>
      </c>
      <c r="L56" s="22">
        <f t="shared" si="18"/>
        <v>95178.293057295348</v>
      </c>
      <c r="M56" s="5">
        <f>scrimecost*Meta!O53</f>
        <v>137.33500000000001</v>
      </c>
      <c r="N56" s="5">
        <f>L56-Grade17!L56</f>
        <v>563.0943421509146</v>
      </c>
      <c r="O56" s="5">
        <f>Grade17!M56-M56</f>
        <v>0</v>
      </c>
      <c r="P56" s="22">
        <f t="shared" si="12"/>
        <v>0</v>
      </c>
      <c r="Q56" s="22"/>
      <c r="R56" s="22"/>
      <c r="S56" s="22">
        <f t="shared" si="19"/>
        <v>123.72534123476757</v>
      </c>
      <c r="T56" s="22">
        <f t="shared" si="20"/>
        <v>3995.4302681130807</v>
      </c>
    </row>
    <row r="57" spans="1:20" x14ac:dyDescent="0.2">
      <c r="A57" s="5">
        <v>66</v>
      </c>
      <c r="C57" s="5"/>
      <c r="H57" s="21"/>
      <c r="I57" s="5"/>
      <c r="M57" s="5">
        <f>scrimecost*Meta!O54</f>
        <v>137.33500000000001</v>
      </c>
      <c r="N57" s="5">
        <f>L57-Grade17!L57</f>
        <v>0</v>
      </c>
      <c r="O57" s="5">
        <f>Grade17!M57-M57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137.33500000000001</v>
      </c>
      <c r="N58" s="5">
        <f>L58-Grade17!L58</f>
        <v>0</v>
      </c>
      <c r="O58" s="5">
        <f>Grade17!M58-M58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137.33500000000001</v>
      </c>
      <c r="N59" s="5">
        <f>L59-Grade17!L59</f>
        <v>0</v>
      </c>
      <c r="O59" s="5">
        <f>Grade17!M59-M59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137.33500000000001</v>
      </c>
      <c r="N60" s="5">
        <f>L60-Grade17!L60</f>
        <v>0</v>
      </c>
      <c r="O60" s="5">
        <f>Grade17!M60-M60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137.33500000000001</v>
      </c>
      <c r="N61" s="5">
        <f>L61-Grade17!L61</f>
        <v>0</v>
      </c>
      <c r="O61" s="5">
        <f>Grade17!M61-M61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137.33500000000001</v>
      </c>
      <c r="N62" s="5">
        <f>L62-Grade17!L62</f>
        <v>0</v>
      </c>
      <c r="O62" s="5">
        <f>Grade17!M62-M62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137.33500000000001</v>
      </c>
      <c r="N63" s="5">
        <f>L63-Grade17!L63</f>
        <v>0</v>
      </c>
      <c r="O63" s="5">
        <f>Grade17!M63-M63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137.33500000000001</v>
      </c>
      <c r="N64" s="5">
        <f>L64-Grade17!L64</f>
        <v>0</v>
      </c>
      <c r="O64" s="5">
        <f>Grade17!M64-M64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137.33500000000001</v>
      </c>
      <c r="N65" s="5">
        <f>L65-Grade17!L65</f>
        <v>0</v>
      </c>
      <c r="O65" s="5">
        <f>Grade17!M65-M65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137.33500000000001</v>
      </c>
      <c r="N66" s="5">
        <f>L66-Grade17!L66</f>
        <v>0</v>
      </c>
      <c r="O66" s="5">
        <f>Grade17!M66-M66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137.33500000000001</v>
      </c>
      <c r="N67" s="5">
        <f>L67-Grade17!L67</f>
        <v>0</v>
      </c>
      <c r="O67" s="5">
        <f>Grade17!M67-M67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137.33500000000001</v>
      </c>
      <c r="N68" s="5">
        <f>L68-Grade17!L68</f>
        <v>0</v>
      </c>
      <c r="O68" s="5">
        <f>Grade17!M68-M68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137.33500000000001</v>
      </c>
      <c r="N69" s="5">
        <f>L69-Grade17!L69</f>
        <v>0</v>
      </c>
      <c r="O69" s="5">
        <f>Grade17!M69-M69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4.0290615288540721E-10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G1" sqref="G1:G12"/>
    </sheetView>
  </sheetViews>
  <sheetFormatPr defaultRowHeight="12.75" x14ac:dyDescent="0.2"/>
  <cols>
    <col min="1" max="16384" width="9.140625" style="8"/>
  </cols>
  <sheetData>
    <row r="1" spans="1:22" x14ac:dyDescent="0.2">
      <c r="A1" s="18" t="s">
        <v>5</v>
      </c>
      <c r="B1" s="8" t="s">
        <v>8</v>
      </c>
      <c r="D1" s="8" t="s">
        <v>13</v>
      </c>
      <c r="F1" s="8" t="s">
        <v>21</v>
      </c>
      <c r="G1" s="8" t="s">
        <v>34</v>
      </c>
      <c r="K1" s="8" t="s">
        <v>22</v>
      </c>
      <c r="L1" s="8" t="s">
        <v>26</v>
      </c>
      <c r="M1" s="8" t="s">
        <v>30</v>
      </c>
      <c r="N1" s="8" t="s">
        <v>23</v>
      </c>
      <c r="O1" s="8" t="s">
        <v>27</v>
      </c>
      <c r="P1" s="8" t="s">
        <v>31</v>
      </c>
      <c r="Q1" s="8" t="s">
        <v>24</v>
      </c>
      <c r="R1" s="8" t="s">
        <v>28</v>
      </c>
      <c r="S1" s="8" t="s">
        <v>32</v>
      </c>
      <c r="T1" s="8" t="s">
        <v>25</v>
      </c>
      <c r="U1" s="8" t="s">
        <v>29</v>
      </c>
      <c r="V1" s="8" t="s">
        <v>33</v>
      </c>
    </row>
    <row r="2" spans="1:22" x14ac:dyDescent="0.2">
      <c r="A2" s="18">
        <v>8</v>
      </c>
      <c r="B2" s="11">
        <f>Meta!E2</f>
        <v>1</v>
      </c>
    </row>
    <row r="3" spans="1:22" x14ac:dyDescent="0.2">
      <c r="A3" s="18">
        <v>9</v>
      </c>
      <c r="B3" s="11">
        <f>Meta!E3</f>
        <v>0.94099999999999995</v>
      </c>
      <c r="D3" s="8">
        <f>Grade9!T2</f>
        <v>0.9891631510523281</v>
      </c>
      <c r="F3" s="15">
        <f t="shared" ref="F3:F12" si="0">(D3-1)*100</f>
        <v>-1.0836848947671895</v>
      </c>
      <c r="G3" s="15">
        <f>K3*M3+K4*M4+K5*M5+K6*M6</f>
        <v>-1.1798697149356538</v>
      </c>
      <c r="H3" s="15"/>
      <c r="I3" s="15"/>
      <c r="K3" s="8">
        <f>1-B3</f>
        <v>5.9000000000000052E-2</v>
      </c>
      <c r="L3" s="8">
        <f>D3</f>
        <v>0.9891631510523281</v>
      </c>
      <c r="M3" s="8">
        <f t="shared" ref="M3:M12" si="1">(L3-1)*100</f>
        <v>-1.0836848947671895</v>
      </c>
    </row>
    <row r="4" spans="1:22" x14ac:dyDescent="0.2">
      <c r="A4" s="18">
        <v>10</v>
      </c>
      <c r="B4" s="11">
        <f>Meta!E4</f>
        <v>0.94099999999999995</v>
      </c>
      <c r="D4" s="8">
        <f>Grade10!T2</f>
        <v>0.98954627767824122</v>
      </c>
      <c r="F4" s="15">
        <f t="shared" si="0"/>
        <v>-1.0453722321758785</v>
      </c>
      <c r="G4" s="15">
        <f>N4*P4+N5*P5+N6*P6</f>
        <v>-1.219723963651357</v>
      </c>
      <c r="H4" s="15"/>
      <c r="I4" s="15"/>
      <c r="K4" s="8">
        <f>B3*(1-B4)</f>
        <v>5.5519000000000047E-2</v>
      </c>
      <c r="L4" s="8">
        <f>(D3*D4)^0.5</f>
        <v>0.989354695819609</v>
      </c>
      <c r="M4" s="8">
        <f t="shared" si="1"/>
        <v>-1.0645304180391002</v>
      </c>
      <c r="N4" s="8">
        <f>1-B4</f>
        <v>5.9000000000000052E-2</v>
      </c>
      <c r="O4" s="8">
        <f>D4</f>
        <v>0.98954627767824122</v>
      </c>
      <c r="P4" s="8">
        <f>(O4-1)*100</f>
        <v>-1.0453722321758785</v>
      </c>
    </row>
    <row r="5" spans="1:22" x14ac:dyDescent="0.2">
      <c r="A5" s="18">
        <v>11</v>
      </c>
      <c r="B5" s="11">
        <f>Meta!E5</f>
        <v>0.94099999999999995</v>
      </c>
      <c r="D5" s="8">
        <f>Grade11!T2</f>
        <v>0.98705875496926465</v>
      </c>
      <c r="F5" s="15">
        <f t="shared" si="0"/>
        <v>-1.2941245030735349</v>
      </c>
      <c r="G5" s="15">
        <f>Q5*S5+Q6*S6</f>
        <v>-1.3268320308893533</v>
      </c>
      <c r="H5" s="15"/>
      <c r="I5" s="15"/>
      <c r="K5" s="8">
        <f>B3*B4*(1-B5)</f>
        <v>5.2243379000000034E-2</v>
      </c>
      <c r="L5" s="8">
        <f>(D3*D4*D5)^(1/3)</f>
        <v>0.98858878943137452</v>
      </c>
      <c r="M5" s="8">
        <f t="shared" si="1"/>
        <v>-1.1411210568625485</v>
      </c>
      <c r="N5" s="8">
        <f>B4*(1-B5)</f>
        <v>5.5519000000000047E-2</v>
      </c>
      <c r="O5" s="8">
        <f>(D4*D5)^0.5</f>
        <v>0.98830173369753582</v>
      </c>
      <c r="P5" s="8">
        <f>(O5-1)*100</f>
        <v>-1.1698266302464178</v>
      </c>
      <c r="Q5" s="8">
        <f>1-B5</f>
        <v>5.9000000000000052E-2</v>
      </c>
      <c r="R5" s="8">
        <f>D5</f>
        <v>0.98705875496926465</v>
      </c>
      <c r="S5" s="8">
        <f>(R5-1)*100</f>
        <v>-1.2941245030735349</v>
      </c>
    </row>
    <row r="6" spans="1:22" x14ac:dyDescent="0.2">
      <c r="A6" s="18">
        <v>12</v>
      </c>
      <c r="B6" s="11">
        <f>Meta!E6</f>
        <v>0.94099999999999995</v>
      </c>
      <c r="D6" s="8">
        <f>Grade12!T2</f>
        <v>0.98636371205736328</v>
      </c>
      <c r="F6" s="15">
        <f t="shared" si="0"/>
        <v>-1.3636287942636716</v>
      </c>
      <c r="G6" s="15">
        <f>T6*V6</f>
        <v>-1.3636287942636716</v>
      </c>
      <c r="H6" s="15"/>
      <c r="I6" s="15"/>
      <c r="K6" s="8">
        <f>B3*B4*B5</f>
        <v>0.83323762099999976</v>
      </c>
      <c r="L6" s="8">
        <f>(D3*D4*D5*D6)^0.25</f>
        <v>0.98803204995941096</v>
      </c>
      <c r="M6" s="8">
        <f t="shared" si="1"/>
        <v>-1.1967950040589037</v>
      </c>
      <c r="N6" s="8">
        <f>B4*B5</f>
        <v>0.88548099999999985</v>
      </c>
      <c r="O6" s="8">
        <f>(D4*D5*D6)^(1/3)</f>
        <v>0.98765530375842814</v>
      </c>
      <c r="P6" s="8">
        <f>(O6-1)*100</f>
        <v>-1.2344696241571862</v>
      </c>
      <c r="Q6" s="8">
        <f>B5</f>
        <v>0.94099999999999995</v>
      </c>
      <c r="R6" s="8">
        <f>(D5*D6)^0.5</f>
        <v>0.98671117231447381</v>
      </c>
      <c r="S6" s="8">
        <f>(R6-1)*100</f>
        <v>-1.3288827685526194</v>
      </c>
      <c r="T6" s="8">
        <v>1</v>
      </c>
      <c r="U6" s="8">
        <f>D6</f>
        <v>0.98636371205736328</v>
      </c>
      <c r="V6" s="8">
        <f>(U6-1)*100</f>
        <v>-1.3636287942636716</v>
      </c>
    </row>
    <row r="7" spans="1:22" x14ac:dyDescent="0.2">
      <c r="A7" s="18">
        <v>13</v>
      </c>
      <c r="B7" s="11">
        <f>Meta!E7</f>
        <v>0.61399999999999999</v>
      </c>
      <c r="D7" s="8">
        <f>Grade13!T2</f>
        <v>0.96902342369880279</v>
      </c>
      <c r="F7" s="15">
        <f t="shared" si="0"/>
        <v>-3.0976576301197212</v>
      </c>
      <c r="G7" s="15">
        <f>K7*M7+K8*M8+K9*M9+K10*M10</f>
        <v>-3.1958820273263662</v>
      </c>
      <c r="H7" s="15"/>
      <c r="I7" s="15"/>
      <c r="K7" s="8">
        <f>1-B7</f>
        <v>0.38600000000000001</v>
      </c>
      <c r="L7" s="8">
        <f>D7</f>
        <v>0.96902342369880279</v>
      </c>
      <c r="M7" s="8">
        <f t="shared" si="1"/>
        <v>-3.0976576301197212</v>
      </c>
    </row>
    <row r="8" spans="1:22" x14ac:dyDescent="0.2">
      <c r="A8" s="18">
        <v>14</v>
      </c>
      <c r="B8" s="11">
        <f>Meta!E8</f>
        <v>0.61399999999999999</v>
      </c>
      <c r="D8" s="8">
        <f>Grade14!T2</f>
        <v>0.96746009859764148</v>
      </c>
      <c r="F8" s="15">
        <f t="shared" si="0"/>
        <v>-3.2539901402358518</v>
      </c>
      <c r="G8" s="15">
        <f>N8*P8+N9*P9+N10*P10</f>
        <v>-3.3373510415032435</v>
      </c>
      <c r="H8" s="15"/>
      <c r="I8" s="15"/>
      <c r="K8" s="8">
        <f>B7*(1-B8)</f>
        <v>0.23700399999999999</v>
      </c>
      <c r="L8" s="8">
        <f>(D7*D8)^0.5</f>
        <v>0.96824144562968784</v>
      </c>
      <c r="M8" s="8">
        <f t="shared" si="1"/>
        <v>-3.1758554370312164</v>
      </c>
      <c r="N8" s="8">
        <f>1-B8</f>
        <v>0.38600000000000001</v>
      </c>
      <c r="O8" s="8">
        <f>D8</f>
        <v>0.96746009859764148</v>
      </c>
      <c r="P8" s="8">
        <f>(O8-1)*100</f>
        <v>-3.2539901402358518</v>
      </c>
    </row>
    <row r="9" spans="1:22" x14ac:dyDescent="0.2">
      <c r="A9" s="18">
        <v>15</v>
      </c>
      <c r="B9" s="11">
        <f>Meta!E9</f>
        <v>0.61399999999999999</v>
      </c>
      <c r="D9" s="8">
        <f>Grade15!T2</f>
        <v>0.96575138923221981</v>
      </c>
      <c r="F9" s="15">
        <f t="shared" si="0"/>
        <v>-3.4248610767780185</v>
      </c>
      <c r="G9" s="15">
        <f>Q9*S9+Q10*S10</f>
        <v>-3.4740410348747801</v>
      </c>
      <c r="H9" s="15"/>
      <c r="I9" s="15"/>
      <c r="K9" s="8">
        <f>B7*B8*(1-B9)</f>
        <v>0.14552045599999999</v>
      </c>
      <c r="L9" s="8">
        <f>(D7*D8*D9)^(1/3)</f>
        <v>0.96741071428387948</v>
      </c>
      <c r="M9" s="8">
        <f t="shared" si="1"/>
        <v>-3.258928571612052</v>
      </c>
      <c r="N9" s="8">
        <f>B8*(1-B9)</f>
        <v>0.23700399999999999</v>
      </c>
      <c r="O9" s="8">
        <f>(D8*D9)^0.5</f>
        <v>0.96660536634523841</v>
      </c>
      <c r="P9" s="8">
        <f>(O9-1)*100</f>
        <v>-3.3394633654761585</v>
      </c>
      <c r="Q9" s="8">
        <f>1-B9</f>
        <v>0.38600000000000001</v>
      </c>
      <c r="R9" s="8">
        <f>D9</f>
        <v>0.96575138923221981</v>
      </c>
      <c r="S9" s="8">
        <f>(R9-1)*100</f>
        <v>-3.4248610767780185</v>
      </c>
    </row>
    <row r="10" spans="1:22" x14ac:dyDescent="0.2">
      <c r="A10" s="18">
        <v>16</v>
      </c>
      <c r="B10" s="11">
        <f>Meta!E10</f>
        <v>0.61399999999999999</v>
      </c>
      <c r="D10" s="8">
        <f>Grade16!T2</f>
        <v>0.96415010051500605</v>
      </c>
      <c r="F10" s="15">
        <f t="shared" si="0"/>
        <v>-3.5849899484993952</v>
      </c>
      <c r="G10" s="15">
        <f>T10*V10</f>
        <v>-3.5849899484993952</v>
      </c>
      <c r="H10" s="15"/>
      <c r="I10" s="15"/>
      <c r="K10" s="8">
        <f>B7*B8*B9</f>
        <v>0.23147554400000001</v>
      </c>
      <c r="L10" s="8">
        <f>(D7*D8*D9*D10)^0.25</f>
        <v>0.96659452852221861</v>
      </c>
      <c r="M10" s="8">
        <f t="shared" si="1"/>
        <v>-3.340547147778139</v>
      </c>
      <c r="N10" s="8">
        <f>B8*B9</f>
        <v>0.376996</v>
      </c>
      <c r="O10" s="8">
        <f>(D8*D9*D10)^(1/3)</f>
        <v>0.96578625046682476</v>
      </c>
      <c r="P10" s="8">
        <f>(O10-1)*100</f>
        <v>-3.4213749533175242</v>
      </c>
      <c r="Q10" s="8">
        <f>B9</f>
        <v>0.61399999999999999</v>
      </c>
      <c r="R10" s="8">
        <f>(D9*D10)^0.5</f>
        <v>0.96495041271598592</v>
      </c>
      <c r="S10" s="8">
        <f>(R10-1)*100</f>
        <v>-3.5049587284014083</v>
      </c>
      <c r="T10" s="8">
        <v>1</v>
      </c>
      <c r="U10" s="8">
        <f>D10</f>
        <v>0.96415010051500605</v>
      </c>
      <c r="V10" s="8">
        <f>(U10-1)*100</f>
        <v>-3.5849899484993952</v>
      </c>
    </row>
    <row r="11" spans="1:22" x14ac:dyDescent="0.2">
      <c r="A11" s="18">
        <v>17</v>
      </c>
      <c r="B11" s="11">
        <f>Meta!E11</f>
        <v>0.32600000000000001</v>
      </c>
      <c r="D11" s="8">
        <f>Grade17!T2</f>
        <v>0.91843589399229131</v>
      </c>
      <c r="F11" s="15">
        <f t="shared" si="0"/>
        <v>-8.1564106007708688</v>
      </c>
      <c r="G11" s="15">
        <f>K11*M11+K12*M12</f>
        <v>-8.1212268135677821</v>
      </c>
      <c r="H11" s="15"/>
      <c r="I11" s="15"/>
      <c r="K11" s="8">
        <f>1-B11</f>
        <v>0.67399999999999993</v>
      </c>
      <c r="L11" s="8">
        <f>D11</f>
        <v>0.91843589399229131</v>
      </c>
      <c r="M11" s="8">
        <f t="shared" si="1"/>
        <v>-8.1564106007708688</v>
      </c>
    </row>
    <row r="12" spans="1:22" x14ac:dyDescent="0.2">
      <c r="A12" s="18">
        <v>18</v>
      </c>
      <c r="B12" s="11">
        <f>Meta!E12</f>
        <v>0.32600000000000001</v>
      </c>
      <c r="D12" s="8">
        <f>Grade18!T2</f>
        <v>0.92059567678368059</v>
      </c>
      <c r="F12" s="15">
        <f t="shared" si="0"/>
        <v>-7.9404323216319401</v>
      </c>
      <c r="G12" s="15">
        <f>N12*P12</f>
        <v>-7.9404323216319401</v>
      </c>
      <c r="H12" s="15"/>
      <c r="I12" s="15"/>
      <c r="K12" s="8">
        <f>B11</f>
        <v>0.32600000000000001</v>
      </c>
      <c r="L12" s="8">
        <f>(D11*D12)^0.5</f>
        <v>0.91951515126845962</v>
      </c>
      <c r="M12" s="8">
        <f t="shared" si="1"/>
        <v>-8.0484848731540382</v>
      </c>
      <c r="N12" s="8">
        <v>1</v>
      </c>
      <c r="O12" s="8">
        <f>D12</f>
        <v>0.92059567678368059</v>
      </c>
      <c r="P12" s="8">
        <f>(O12-1)*100</f>
        <v>-7.9404323216319401</v>
      </c>
    </row>
    <row r="14" spans="1:22" x14ac:dyDescent="0.2">
      <c r="B14" s="16"/>
    </row>
    <row r="15" spans="1:22" x14ac:dyDescent="0.2">
      <c r="B15" s="16"/>
    </row>
    <row r="16" spans="1:22" x14ac:dyDescent="0.2">
      <c r="B16" s="16"/>
    </row>
    <row r="17" spans="2:4" x14ac:dyDescent="0.2">
      <c r="B17" s="16"/>
    </row>
    <row r="18" spans="2:4" x14ac:dyDescent="0.2">
      <c r="B18" s="16"/>
    </row>
    <row r="19" spans="2:4" x14ac:dyDescent="0.2">
      <c r="B19" s="16"/>
      <c r="D19" s="30"/>
    </row>
    <row r="20" spans="2:4" x14ac:dyDescent="0.2">
      <c r="B20" s="16"/>
    </row>
    <row r="21" spans="2:4" x14ac:dyDescent="0.2">
      <c r="B21" s="16"/>
    </row>
    <row r="22" spans="2:4" x14ac:dyDescent="0.2">
      <c r="B22" s="16"/>
    </row>
    <row r="23" spans="2:4" x14ac:dyDescent="0.2">
      <c r="B23" s="16"/>
    </row>
    <row r="24" spans="2:4" x14ac:dyDescent="0.2">
      <c r="B24" s="16"/>
    </row>
    <row r="25" spans="2:4" x14ac:dyDescent="0.2">
      <c r="B25" s="16"/>
    </row>
    <row r="26" spans="2:4" x14ac:dyDescent="0.2">
      <c r="B26" s="16"/>
    </row>
    <row r="27" spans="2:4" x14ac:dyDescent="0.2">
      <c r="B27" s="2"/>
    </row>
    <row r="28" spans="2:4" x14ac:dyDescent="0.2">
      <c r="B28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R2" sqref="R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6384" width="9.140625" style="1"/>
  </cols>
  <sheetData>
    <row r="1" spans="1:18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</row>
    <row r="2" spans="1:18" x14ac:dyDescent="0.2">
      <c r="B2" s="5">
        <f>Meta!A2+6</f>
        <v>14</v>
      </c>
      <c r="C2" s="7">
        <f>Meta!B2</f>
        <v>30305</v>
      </c>
      <c r="D2" s="7">
        <f>Meta!C2</f>
        <v>13940</v>
      </c>
      <c r="E2" s="1">
        <f>Meta!D2</f>
        <v>8.6999999999999994E-2</v>
      </c>
      <c r="F2" s="1">
        <f>Meta!F2</f>
        <v>0.56200000000000006</v>
      </c>
      <c r="G2" s="1">
        <f>Meta!I2</f>
        <v>2.0085479604911836</v>
      </c>
      <c r="H2" s="1">
        <f>Meta!E2</f>
        <v>1</v>
      </c>
      <c r="I2" s="13"/>
      <c r="K2" s="1">
        <f>Meta!D2</f>
        <v>8.6999999999999994E-2</v>
      </c>
      <c r="L2" s="13"/>
      <c r="N2" s="22">
        <f>Meta!T2</f>
        <v>36330</v>
      </c>
      <c r="O2" s="22">
        <f>Meta!U2</f>
        <v>16712</v>
      </c>
      <c r="P2" s="1">
        <f>Meta!V2</f>
        <v>6.8000000000000005E-2</v>
      </c>
      <c r="Q2" s="1">
        <f>Meta!X2</f>
        <v>0.63100000000000001</v>
      </c>
      <c r="R2" s="22">
        <f>Meta!W2</f>
        <v>2797</v>
      </c>
    </row>
    <row r="3" spans="1:18" ht="14.25" x14ac:dyDescent="0.2">
      <c r="C3" s="3"/>
      <c r="G3" s="4"/>
      <c r="L3" s="1" t="s">
        <v>10</v>
      </c>
    </row>
    <row r="4" spans="1:18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</row>
    <row r="5" spans="1:18" x14ac:dyDescent="0.2">
      <c r="A5" s="5">
        <v>14</v>
      </c>
      <c r="B5" s="1">
        <f t="shared" ref="B5:B36" si="0">(1+experiencepremium)^(A5-startage)</f>
        <v>1</v>
      </c>
      <c r="C5" s="5">
        <f>pretaxincome*B5/expnorm</f>
        <v>15088.014125681628</v>
      </c>
      <c r="D5" s="5">
        <f>IF(A5&lt;startage,1,0)*(C5*(1-initialunempprob))+IF(A5=startage,1,0)*(C5*(1-unempprob))+IF(A5&gt;startage,1,0)*(C5*(1-unempprob)+unempprob*300*52)</f>
        <v>13775.356896747327</v>
      </c>
      <c r="E5" s="5">
        <f>IF(D5-9500&gt;0,1,0)*(D5-9500)</f>
        <v>4275.3568967473275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1908.8861819506362</v>
      </c>
      <c r="G5" s="5">
        <f>D5-F5</f>
        <v>11866.470714796691</v>
      </c>
      <c r="H5" s="22">
        <f t="shared" ref="H5:H36" si="1">benefits*B5/expnorm</f>
        <v>6940.3371361822101</v>
      </c>
      <c r="I5" s="5">
        <f>G5+IF(A5&lt;startage,1,0)*(H5*(1-initialunempprob))+IF(A5&gt;=startage,1,0)*(H5*(1-unempprob))</f>
        <v>18202.998520131048</v>
      </c>
      <c r="J5" s="26">
        <f t="shared" ref="J5:J36" si="2">(F5-(IF(A5&gt;startage,1,0)*(unempprob*300*52)))/(IF(A5&lt;startage,1,0)*((C5+H5)*(1-initialunempprob))+IF(A5&gt;=startage,1,0)*((C5+H5)*(1-unempprob)))</f>
        <v>9.4913341550384722E-2</v>
      </c>
      <c r="L5" s="22">
        <f t="shared" ref="L5:L36" si="3">(sincome+sbenefits)*(1-sunemp)*B5/expnorm</f>
        <v>24612.379177597933</v>
      </c>
      <c r="M5" s="5">
        <f>scrimecost*Meta!O2</f>
        <v>3059.9180000000001</v>
      </c>
      <c r="N5" s="22"/>
    </row>
    <row r="6" spans="1:18" x14ac:dyDescent="0.2">
      <c r="A6" s="5">
        <v>15</v>
      </c>
      <c r="B6" s="1">
        <f t="shared" si="0"/>
        <v>1.0249999999999999</v>
      </c>
      <c r="C6" s="5">
        <f t="shared" ref="C6:C36" si="4">pretaxincome*B6/expnorm</f>
        <v>15465.214478823666</v>
      </c>
      <c r="D6" s="5">
        <f t="shared" ref="D6:D36" si="5">IF(A6&lt;startage,1,0)*(C6*(1-initialunempprob))+IF(A6=startage,1,0)*(C6*(1-unempprob))+IF(A6&gt;startage,1,0)*(C6*(1-unempprob)+unempprob*300*52)</f>
        <v>15476.940819166008</v>
      </c>
      <c r="E6" s="5">
        <f t="shared" ref="E6:E56" si="6">IF(D6-9500&gt;0,1,0)*(D6-9500)</f>
        <v>5976.9408191660077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2379.3741364994012</v>
      </c>
      <c r="G6" s="5">
        <f t="shared" ref="G6:G56" si="8">D6-F6</f>
        <v>13097.566682666606</v>
      </c>
      <c r="H6" s="22">
        <f t="shared" si="1"/>
        <v>7113.8455645867643</v>
      </c>
      <c r="I6" s="5">
        <f t="shared" ref="I6:I36" si="9">G6+IF(A6&lt;startage,1,0)*(H6*(1-initialunempprob))+IF(A6&gt;=startage,1,0)*(H6*(1-unempprob))</f>
        <v>19592.507683134321</v>
      </c>
      <c r="J6" s="26">
        <f t="shared" si="2"/>
        <v>4.9584764171614226E-2</v>
      </c>
      <c r="L6" s="22">
        <f t="shared" si="3"/>
        <v>25227.688657037877</v>
      </c>
      <c r="M6" s="5">
        <f>scrimecost*Meta!O3</f>
        <v>5191.232</v>
      </c>
      <c r="N6" s="22"/>
    </row>
    <row r="7" spans="1:18" x14ac:dyDescent="0.2">
      <c r="A7" s="5">
        <v>16</v>
      </c>
      <c r="B7" s="1">
        <f t="shared" si="0"/>
        <v>1.0506249999999999</v>
      </c>
      <c r="C7" s="5">
        <f t="shared" si="4"/>
        <v>15851.84484079426</v>
      </c>
      <c r="D7" s="5">
        <f t="shared" si="5"/>
        <v>15829.934339645159</v>
      </c>
      <c r="E7" s="5">
        <f t="shared" si="6"/>
        <v>6329.9343396451586</v>
      </c>
      <c r="F7" s="5">
        <f t="shared" si="7"/>
        <v>2476.9768449118865</v>
      </c>
      <c r="G7" s="5">
        <f t="shared" si="8"/>
        <v>13352.957494733273</v>
      </c>
      <c r="H7" s="22">
        <f t="shared" si="1"/>
        <v>7291.6917037014346</v>
      </c>
      <c r="I7" s="5">
        <f t="shared" si="9"/>
        <v>20010.272020212684</v>
      </c>
      <c r="J7" s="26">
        <f t="shared" si="2"/>
        <v>5.2994522258776856E-2</v>
      </c>
      <c r="L7" s="22">
        <f t="shared" si="3"/>
        <v>25858.380873463822</v>
      </c>
      <c r="M7" s="5">
        <f>scrimecost*Meta!O4</f>
        <v>6567.3559999999998</v>
      </c>
      <c r="N7" s="22"/>
    </row>
    <row r="8" spans="1:18" x14ac:dyDescent="0.2">
      <c r="A8" s="5">
        <v>17</v>
      </c>
      <c r="B8" s="1">
        <f t="shared" si="0"/>
        <v>1.0768906249999999</v>
      </c>
      <c r="C8" s="5">
        <f t="shared" si="4"/>
        <v>16248.140961814115</v>
      </c>
      <c r="D8" s="5">
        <f t="shared" si="5"/>
        <v>16191.752698136286</v>
      </c>
      <c r="E8" s="5">
        <f t="shared" si="6"/>
        <v>6691.7526981362862</v>
      </c>
      <c r="F8" s="5">
        <f t="shared" si="7"/>
        <v>2577.019621034683</v>
      </c>
      <c r="G8" s="5">
        <f t="shared" si="8"/>
        <v>13614.733077101602</v>
      </c>
      <c r="H8" s="22">
        <f t="shared" si="1"/>
        <v>7473.9839962939695</v>
      </c>
      <c r="I8" s="5">
        <f t="shared" si="9"/>
        <v>20438.480465717996</v>
      </c>
      <c r="J8" s="26">
        <f t="shared" si="2"/>
        <v>5.6321115514545252E-2</v>
      </c>
      <c r="L8" s="22">
        <f t="shared" si="3"/>
        <v>26504.84039530042</v>
      </c>
      <c r="M8" s="5">
        <f>scrimecost*Meta!O5</f>
        <v>7585.4640000000009</v>
      </c>
      <c r="N8" s="22"/>
    </row>
    <row r="9" spans="1:18" x14ac:dyDescent="0.2">
      <c r="A9" s="5">
        <v>18</v>
      </c>
      <c r="B9" s="1">
        <f t="shared" si="0"/>
        <v>1.1038128906249998</v>
      </c>
      <c r="C9" s="5">
        <f t="shared" si="4"/>
        <v>16654.344485859467</v>
      </c>
      <c r="D9" s="5">
        <f t="shared" si="5"/>
        <v>16562.616515589692</v>
      </c>
      <c r="E9" s="5">
        <f t="shared" si="6"/>
        <v>7062.6165155896924</v>
      </c>
      <c r="F9" s="5">
        <f t="shared" si="7"/>
        <v>2679.5634665605503</v>
      </c>
      <c r="G9" s="5">
        <f t="shared" si="8"/>
        <v>13883.053049029142</v>
      </c>
      <c r="H9" s="22">
        <f t="shared" si="1"/>
        <v>7660.8335962013189</v>
      </c>
      <c r="I9" s="5">
        <f t="shared" si="9"/>
        <v>20877.394122360947</v>
      </c>
      <c r="J9" s="26">
        <f t="shared" si="2"/>
        <v>5.956657234944128E-2</v>
      </c>
      <c r="L9" s="22">
        <f t="shared" si="3"/>
        <v>27167.461405182927</v>
      </c>
      <c r="M9" s="5">
        <f>scrimecost*Meta!O6</f>
        <v>9218.9120000000003</v>
      </c>
      <c r="N9" s="22"/>
    </row>
    <row r="10" spans="1:18" x14ac:dyDescent="0.2">
      <c r="A10" s="5">
        <v>19</v>
      </c>
      <c r="B10" s="1">
        <f t="shared" si="0"/>
        <v>1.1314082128906247</v>
      </c>
      <c r="C10" s="5">
        <f t="shared" si="4"/>
        <v>17070.703098005954</v>
      </c>
      <c r="D10" s="5">
        <f t="shared" si="5"/>
        <v>16942.751928479436</v>
      </c>
      <c r="E10" s="5">
        <f t="shared" si="6"/>
        <v>7442.7519284794362</v>
      </c>
      <c r="F10" s="5">
        <f t="shared" si="7"/>
        <v>2784.6709082245643</v>
      </c>
      <c r="G10" s="5">
        <f t="shared" si="8"/>
        <v>14158.081020254871</v>
      </c>
      <c r="H10" s="22">
        <f t="shared" si="1"/>
        <v>7852.3544361063505</v>
      </c>
      <c r="I10" s="5">
        <f t="shared" si="9"/>
        <v>21327.28062041997</v>
      </c>
      <c r="J10" s="26">
        <f t="shared" si="2"/>
        <v>6.2732871700559356E-2</v>
      </c>
      <c r="L10" s="22">
        <f t="shared" si="3"/>
        <v>27846.647940312501</v>
      </c>
      <c r="M10" s="5">
        <f>scrimecost*Meta!O7</f>
        <v>9853.8310000000001</v>
      </c>
      <c r="N10" s="22"/>
    </row>
    <row r="11" spans="1:18" x14ac:dyDescent="0.2">
      <c r="A11" s="5">
        <v>20</v>
      </c>
      <c r="B11" s="1">
        <f t="shared" si="0"/>
        <v>1.1596934182128902</v>
      </c>
      <c r="C11" s="5">
        <f t="shared" si="4"/>
        <v>17497.470675456098</v>
      </c>
      <c r="D11" s="5">
        <f t="shared" si="5"/>
        <v>17332.390726691418</v>
      </c>
      <c r="E11" s="5">
        <f t="shared" si="6"/>
        <v>7832.3907266914175</v>
      </c>
      <c r="F11" s="5">
        <f t="shared" si="7"/>
        <v>2892.406035930177</v>
      </c>
      <c r="G11" s="5">
        <f t="shared" si="8"/>
        <v>14439.984690761241</v>
      </c>
      <c r="H11" s="22">
        <f t="shared" si="1"/>
        <v>8048.6632970090086</v>
      </c>
      <c r="I11" s="5">
        <f t="shared" si="9"/>
        <v>21788.414280930465</v>
      </c>
      <c r="J11" s="26">
        <f t="shared" si="2"/>
        <v>6.582194423823548E-2</v>
      </c>
      <c r="L11" s="22">
        <f t="shared" si="3"/>
        <v>28542.814138820311</v>
      </c>
      <c r="M11" s="5">
        <f>scrimecost*Meta!O8</f>
        <v>9437.0779999999995</v>
      </c>
      <c r="N11" s="22"/>
    </row>
    <row r="12" spans="1:18" x14ac:dyDescent="0.2">
      <c r="A12" s="5">
        <v>21</v>
      </c>
      <c r="B12" s="1">
        <f t="shared" si="0"/>
        <v>1.1886857536682125</v>
      </c>
      <c r="C12" s="5">
        <f t="shared" si="4"/>
        <v>17934.907442342501</v>
      </c>
      <c r="D12" s="5">
        <f t="shared" si="5"/>
        <v>17731.770494858705</v>
      </c>
      <c r="E12" s="5">
        <f t="shared" si="6"/>
        <v>8231.7704948587052</v>
      </c>
      <c r="F12" s="5">
        <f t="shared" si="7"/>
        <v>3002.8345418284321</v>
      </c>
      <c r="G12" s="5">
        <f t="shared" si="8"/>
        <v>14728.935953030274</v>
      </c>
      <c r="H12" s="22">
        <f t="shared" si="1"/>
        <v>8249.8798794342347</v>
      </c>
      <c r="I12" s="5">
        <f t="shared" si="9"/>
        <v>22261.076282953731</v>
      </c>
      <c r="J12" s="26">
        <f t="shared" si="2"/>
        <v>6.8835673543285417E-2</v>
      </c>
      <c r="L12" s="22">
        <f t="shared" si="3"/>
        <v>29256.384492290817</v>
      </c>
      <c r="M12" s="5">
        <f>scrimecost*Meta!O9</f>
        <v>8570.0079999999998</v>
      </c>
      <c r="N12" s="22"/>
    </row>
    <row r="13" spans="1:18" x14ac:dyDescent="0.2">
      <c r="A13" s="5">
        <v>22</v>
      </c>
      <c r="B13" s="1">
        <f t="shared" si="0"/>
        <v>1.2184028975099177</v>
      </c>
      <c r="C13" s="5">
        <f t="shared" si="4"/>
        <v>18383.280128401064</v>
      </c>
      <c r="D13" s="5">
        <f t="shared" si="5"/>
        <v>18141.134757230171</v>
      </c>
      <c r="E13" s="5">
        <f t="shared" si="6"/>
        <v>8641.1347572301711</v>
      </c>
      <c r="F13" s="5">
        <f t="shared" si="7"/>
        <v>3123.0804982356508</v>
      </c>
      <c r="G13" s="5">
        <f t="shared" si="8"/>
        <v>15018.05425899452</v>
      </c>
      <c r="H13" s="22">
        <f t="shared" si="1"/>
        <v>8456.1268764200886</v>
      </c>
      <c r="I13" s="5">
        <f t="shared" si="9"/>
        <v>22738.498097166063</v>
      </c>
      <c r="J13" s="26">
        <f t="shared" si="2"/>
        <v>7.2063875905305413E-2</v>
      </c>
      <c r="L13" s="22">
        <f t="shared" si="3"/>
        <v>29987.794104598088</v>
      </c>
      <c r="M13" s="5">
        <f>scrimecost*Meta!O10</f>
        <v>7853.9759999999997</v>
      </c>
      <c r="N13" s="22"/>
    </row>
    <row r="14" spans="1:18" x14ac:dyDescent="0.2">
      <c r="A14" s="5">
        <v>23</v>
      </c>
      <c r="B14" s="1">
        <f t="shared" si="0"/>
        <v>1.2488629699476654</v>
      </c>
      <c r="C14" s="5">
        <f t="shared" si="4"/>
        <v>18842.862131611088</v>
      </c>
      <c r="D14" s="5">
        <f t="shared" si="5"/>
        <v>18560.733126160925</v>
      </c>
      <c r="E14" s="5">
        <f t="shared" si="6"/>
        <v>9060.7331261609252</v>
      </c>
      <c r="F14" s="5">
        <f t="shared" si="7"/>
        <v>3260.0793656915421</v>
      </c>
      <c r="G14" s="5">
        <f t="shared" si="8"/>
        <v>15300.653760469384</v>
      </c>
      <c r="H14" s="22">
        <f t="shared" si="1"/>
        <v>8667.5300483305909</v>
      </c>
      <c r="I14" s="5">
        <f t="shared" si="9"/>
        <v>23214.108694595212</v>
      </c>
      <c r="J14" s="26">
        <f t="shared" si="2"/>
        <v>7.5760650963570098E-2</v>
      </c>
      <c r="L14" s="22">
        <f t="shared" si="3"/>
        <v>30737.488957213034</v>
      </c>
      <c r="M14" s="5">
        <f>scrimecost*Meta!O11</f>
        <v>7339.3280000000004</v>
      </c>
      <c r="N14" s="22"/>
    </row>
    <row r="15" spans="1:18" x14ac:dyDescent="0.2">
      <c r="A15" s="5">
        <v>24</v>
      </c>
      <c r="B15" s="1">
        <f t="shared" si="0"/>
        <v>1.2800845441963571</v>
      </c>
      <c r="C15" s="5">
        <f t="shared" si="4"/>
        <v>19313.93368490136</v>
      </c>
      <c r="D15" s="5">
        <f t="shared" si="5"/>
        <v>18990.821454314944</v>
      </c>
      <c r="E15" s="5">
        <f t="shared" si="6"/>
        <v>9490.8214543149443</v>
      </c>
      <c r="F15" s="5">
        <f t="shared" si="7"/>
        <v>3400.5032048338294</v>
      </c>
      <c r="G15" s="5">
        <f t="shared" si="8"/>
        <v>15590.318249481115</v>
      </c>
      <c r="H15" s="22">
        <f t="shared" si="1"/>
        <v>8884.2182995388539</v>
      </c>
      <c r="I15" s="5">
        <f t="shared" si="9"/>
        <v>23701.609556960088</v>
      </c>
      <c r="J15" s="26">
        <f t="shared" si="2"/>
        <v>7.9367260776511225E-2</v>
      </c>
      <c r="L15" s="22">
        <f t="shared" si="3"/>
        <v>31505.926181143361</v>
      </c>
      <c r="M15" s="5">
        <f>scrimecost*Meta!O12</f>
        <v>7012.0790000000006</v>
      </c>
      <c r="N15" s="22"/>
    </row>
    <row r="16" spans="1:18" x14ac:dyDescent="0.2">
      <c r="A16" s="5">
        <v>25</v>
      </c>
      <c r="B16" s="1">
        <f t="shared" si="0"/>
        <v>1.312086657801266</v>
      </c>
      <c r="C16" s="5">
        <f t="shared" si="4"/>
        <v>19796.782027023895</v>
      </c>
      <c r="D16" s="5">
        <f t="shared" si="5"/>
        <v>19431.661990672819</v>
      </c>
      <c r="E16" s="5">
        <f t="shared" si="6"/>
        <v>9931.6619906728192</v>
      </c>
      <c r="F16" s="5">
        <f t="shared" si="7"/>
        <v>3544.4376399546754</v>
      </c>
      <c r="G16" s="5">
        <f t="shared" si="8"/>
        <v>15887.224350718145</v>
      </c>
      <c r="H16" s="22">
        <f t="shared" si="1"/>
        <v>9106.323757027325</v>
      </c>
      <c r="I16" s="5">
        <f t="shared" si="9"/>
        <v>24201.297940884091</v>
      </c>
      <c r="J16" s="26">
        <f t="shared" si="2"/>
        <v>8.2885904496453819E-2</v>
      </c>
      <c r="L16" s="22">
        <f t="shared" si="3"/>
        <v>32293.574335671943</v>
      </c>
      <c r="M16" s="5">
        <f>scrimecost*Meta!O13</f>
        <v>5887.6850000000004</v>
      </c>
      <c r="N16" s="22"/>
    </row>
    <row r="17" spans="1:14" x14ac:dyDescent="0.2">
      <c r="A17" s="5">
        <v>26</v>
      </c>
      <c r="B17" s="1">
        <f t="shared" si="0"/>
        <v>1.3448888242462975</v>
      </c>
      <c r="C17" s="5">
        <f t="shared" si="4"/>
        <v>20291.701577699492</v>
      </c>
      <c r="D17" s="5">
        <f t="shared" si="5"/>
        <v>19883.523540439637</v>
      </c>
      <c r="E17" s="5">
        <f t="shared" si="6"/>
        <v>10383.523540439637</v>
      </c>
      <c r="F17" s="5">
        <f t="shared" si="7"/>
        <v>3691.9704359535417</v>
      </c>
      <c r="G17" s="5">
        <f t="shared" si="8"/>
        <v>16191.553104486095</v>
      </c>
      <c r="H17" s="22">
        <f t="shared" si="1"/>
        <v>9333.9818509530087</v>
      </c>
      <c r="I17" s="5">
        <f t="shared" si="9"/>
        <v>24713.478534406189</v>
      </c>
      <c r="J17" s="26">
        <f t="shared" si="2"/>
        <v>8.6318727637861206E-2</v>
      </c>
      <c r="L17" s="22">
        <f t="shared" si="3"/>
        <v>33100.913694063733</v>
      </c>
      <c r="M17" s="5">
        <f>scrimecost*Meta!O14</f>
        <v>5887.6850000000004</v>
      </c>
      <c r="N17" s="22"/>
    </row>
    <row r="18" spans="1:14" x14ac:dyDescent="0.2">
      <c r="A18" s="5">
        <v>27</v>
      </c>
      <c r="B18" s="1">
        <f t="shared" si="0"/>
        <v>1.3785110448524549</v>
      </c>
      <c r="C18" s="5">
        <f t="shared" si="4"/>
        <v>20798.994117141981</v>
      </c>
      <c r="D18" s="5">
        <f t="shared" si="5"/>
        <v>20346.681628950631</v>
      </c>
      <c r="E18" s="5">
        <f t="shared" si="6"/>
        <v>10846.681628950631</v>
      </c>
      <c r="F18" s="5">
        <f t="shared" si="7"/>
        <v>3843.1915518523811</v>
      </c>
      <c r="G18" s="5">
        <f t="shared" si="8"/>
        <v>16503.490077098249</v>
      </c>
      <c r="H18" s="22">
        <f t="shared" si="1"/>
        <v>9567.3313972268334</v>
      </c>
      <c r="I18" s="5">
        <f t="shared" si="9"/>
        <v>25238.46364276635</v>
      </c>
      <c r="J18" s="26">
        <f t="shared" si="2"/>
        <v>8.9667823385575787E-2</v>
      </c>
      <c r="L18" s="22">
        <f t="shared" si="3"/>
        <v>33928.436536415327</v>
      </c>
      <c r="M18" s="5">
        <f>scrimecost*Meta!O15</f>
        <v>5887.6850000000004</v>
      </c>
      <c r="N18" s="22"/>
    </row>
    <row r="19" spans="1:14" x14ac:dyDescent="0.2">
      <c r="A19" s="5">
        <v>28</v>
      </c>
      <c r="B19" s="1">
        <f t="shared" si="0"/>
        <v>1.4129738209737661</v>
      </c>
      <c r="C19" s="5">
        <f t="shared" si="4"/>
        <v>21318.968970070524</v>
      </c>
      <c r="D19" s="5">
        <f t="shared" si="5"/>
        <v>20821.418669674389</v>
      </c>
      <c r="E19" s="5">
        <f t="shared" si="6"/>
        <v>11321.418669674389</v>
      </c>
      <c r="F19" s="5">
        <f t="shared" si="7"/>
        <v>3998.1931956486878</v>
      </c>
      <c r="G19" s="5">
        <f t="shared" si="8"/>
        <v>16823.225474025701</v>
      </c>
      <c r="H19" s="22">
        <f t="shared" si="1"/>
        <v>9806.5146821575036</v>
      </c>
      <c r="I19" s="5">
        <f t="shared" si="9"/>
        <v>25776.573378835503</v>
      </c>
      <c r="J19" s="26">
        <f t="shared" si="2"/>
        <v>9.293523387115088E-2</v>
      </c>
      <c r="L19" s="22">
        <f t="shared" si="3"/>
        <v>34776.647449825708</v>
      </c>
      <c r="M19" s="5">
        <f>scrimecost*Meta!O16</f>
        <v>5887.6850000000004</v>
      </c>
      <c r="N19" s="22"/>
    </row>
    <row r="20" spans="1:14" x14ac:dyDescent="0.2">
      <c r="A20" s="5">
        <v>29</v>
      </c>
      <c r="B20" s="1">
        <f t="shared" si="0"/>
        <v>1.4482981664981105</v>
      </c>
      <c r="C20" s="5">
        <f t="shared" si="4"/>
        <v>21851.943194322292</v>
      </c>
      <c r="D20" s="5">
        <f t="shared" si="5"/>
        <v>21308.024136416254</v>
      </c>
      <c r="E20" s="5">
        <f t="shared" si="6"/>
        <v>11808.024136416254</v>
      </c>
      <c r="F20" s="5">
        <f t="shared" si="7"/>
        <v>4157.069880539907</v>
      </c>
      <c r="G20" s="5">
        <f t="shared" si="8"/>
        <v>17150.954255876346</v>
      </c>
      <c r="H20" s="22">
        <f t="shared" si="1"/>
        <v>10051.677549211441</v>
      </c>
      <c r="I20" s="5">
        <f t="shared" si="9"/>
        <v>26328.135858306392</v>
      </c>
      <c r="J20" s="26">
        <f t="shared" si="2"/>
        <v>9.6122951418053534E-2</v>
      </c>
      <c r="L20" s="22">
        <f t="shared" si="3"/>
        <v>35646.063636071362</v>
      </c>
      <c r="M20" s="5">
        <f>scrimecost*Meta!O17</f>
        <v>5887.6850000000004</v>
      </c>
      <c r="N20" s="22"/>
    </row>
    <row r="21" spans="1:14" x14ac:dyDescent="0.2">
      <c r="A21" s="5">
        <v>30</v>
      </c>
      <c r="B21" s="1">
        <f t="shared" si="0"/>
        <v>1.4845056206605631</v>
      </c>
      <c r="C21" s="5">
        <f t="shared" si="4"/>
        <v>22398.241774180347</v>
      </c>
      <c r="D21" s="5">
        <f t="shared" si="5"/>
        <v>21806.794739826659</v>
      </c>
      <c r="E21" s="5">
        <f t="shared" si="6"/>
        <v>12306.794739826659</v>
      </c>
      <c r="F21" s="5">
        <f t="shared" si="7"/>
        <v>4319.9184825534039</v>
      </c>
      <c r="G21" s="5">
        <f t="shared" si="8"/>
        <v>17486.876257273256</v>
      </c>
      <c r="H21" s="22">
        <f t="shared" si="1"/>
        <v>10302.969487941727</v>
      </c>
      <c r="I21" s="5">
        <f t="shared" si="9"/>
        <v>26893.487399764053</v>
      </c>
      <c r="J21" s="26">
        <f t="shared" si="2"/>
        <v>9.9232919756495078E-2</v>
      </c>
      <c r="L21" s="22">
        <f t="shared" si="3"/>
        <v>36537.215226973138</v>
      </c>
      <c r="M21" s="5">
        <f>scrimecost*Meta!O18</f>
        <v>4746.509</v>
      </c>
      <c r="N21" s="22"/>
    </row>
    <row r="22" spans="1:14" x14ac:dyDescent="0.2">
      <c r="A22" s="5">
        <v>31</v>
      </c>
      <c r="B22" s="1">
        <f t="shared" si="0"/>
        <v>1.521618261177077</v>
      </c>
      <c r="C22" s="5">
        <f t="shared" si="4"/>
        <v>22958.197818534853</v>
      </c>
      <c r="D22" s="5">
        <f t="shared" si="5"/>
        <v>22318.034608322323</v>
      </c>
      <c r="E22" s="5">
        <f t="shared" si="6"/>
        <v>12818.034608322323</v>
      </c>
      <c r="F22" s="5">
        <f t="shared" si="7"/>
        <v>4486.8382996172386</v>
      </c>
      <c r="G22" s="5">
        <f t="shared" si="8"/>
        <v>17831.196308705083</v>
      </c>
      <c r="H22" s="22">
        <f t="shared" si="1"/>
        <v>10560.543725140269</v>
      </c>
      <c r="I22" s="5">
        <f t="shared" si="9"/>
        <v>27472.972729758148</v>
      </c>
      <c r="J22" s="26">
        <f t="shared" si="2"/>
        <v>0.10226703520863319</v>
      </c>
      <c r="L22" s="22">
        <f t="shared" si="3"/>
        <v>37450.645607647464</v>
      </c>
      <c r="M22" s="5">
        <f>scrimecost*Meta!O19</f>
        <v>4746.509</v>
      </c>
      <c r="N22" s="22"/>
    </row>
    <row r="23" spans="1:14" x14ac:dyDescent="0.2">
      <c r="A23" s="5">
        <v>32</v>
      </c>
      <c r="B23" s="1">
        <f t="shared" si="0"/>
        <v>1.559658717706504</v>
      </c>
      <c r="C23" s="5">
        <f t="shared" si="4"/>
        <v>23532.152763998227</v>
      </c>
      <c r="D23" s="5">
        <f t="shared" si="5"/>
        <v>22842.055473530381</v>
      </c>
      <c r="E23" s="5">
        <f t="shared" si="6"/>
        <v>13342.055473530381</v>
      </c>
      <c r="F23" s="5">
        <f t="shared" si="7"/>
        <v>4657.9311121076698</v>
      </c>
      <c r="G23" s="5">
        <f t="shared" si="8"/>
        <v>18184.124361422713</v>
      </c>
      <c r="H23" s="22">
        <f t="shared" si="1"/>
        <v>10824.557318268777</v>
      </c>
      <c r="I23" s="5">
        <f t="shared" si="9"/>
        <v>28066.945193002106</v>
      </c>
      <c r="J23" s="26">
        <f t="shared" si="2"/>
        <v>0.10522714784486548</v>
      </c>
      <c r="L23" s="22">
        <f t="shared" si="3"/>
        <v>38386.911747838654</v>
      </c>
      <c r="M23" s="5">
        <f>scrimecost*Meta!O20</f>
        <v>4746.509</v>
      </c>
      <c r="N23" s="22"/>
    </row>
    <row r="24" spans="1:14" x14ac:dyDescent="0.2">
      <c r="A24" s="5">
        <v>33</v>
      </c>
      <c r="B24" s="1">
        <f t="shared" si="0"/>
        <v>1.5986501856491666</v>
      </c>
      <c r="C24" s="5">
        <f t="shared" si="4"/>
        <v>24120.456583098181</v>
      </c>
      <c r="D24" s="5">
        <f t="shared" si="5"/>
        <v>23379.17686036864</v>
      </c>
      <c r="E24" s="5">
        <f t="shared" si="6"/>
        <v>13879.17686036864</v>
      </c>
      <c r="F24" s="5">
        <f t="shared" si="7"/>
        <v>4833.3012449103608</v>
      </c>
      <c r="G24" s="5">
        <f t="shared" si="8"/>
        <v>18545.875615458281</v>
      </c>
      <c r="H24" s="22">
        <f t="shared" si="1"/>
        <v>11095.171251225494</v>
      </c>
      <c r="I24" s="5">
        <f t="shared" si="9"/>
        <v>28675.766967827156</v>
      </c>
      <c r="J24" s="26">
        <f t="shared" si="2"/>
        <v>0.10811506261192136</v>
      </c>
      <c r="L24" s="22">
        <f t="shared" si="3"/>
        <v>39346.584541534612</v>
      </c>
      <c r="M24" s="5">
        <f>scrimecost*Meta!O21</f>
        <v>4746.509</v>
      </c>
      <c r="N24" s="22"/>
    </row>
    <row r="25" spans="1:14" x14ac:dyDescent="0.2">
      <c r="A25" s="5">
        <v>34</v>
      </c>
      <c r="B25" s="1">
        <f t="shared" si="0"/>
        <v>1.6386164402903955</v>
      </c>
      <c r="C25" s="5">
        <f t="shared" si="4"/>
        <v>24723.467997675634</v>
      </c>
      <c r="D25" s="5">
        <f t="shared" si="5"/>
        <v>23929.726281877854</v>
      </c>
      <c r="E25" s="5">
        <f t="shared" si="6"/>
        <v>14429.726281877854</v>
      </c>
      <c r="F25" s="5">
        <f t="shared" si="7"/>
        <v>5013.0556310331194</v>
      </c>
      <c r="G25" s="5">
        <f t="shared" si="8"/>
        <v>18916.670650844735</v>
      </c>
      <c r="H25" s="22">
        <f t="shared" si="1"/>
        <v>11372.550532506131</v>
      </c>
      <c r="I25" s="5">
        <f t="shared" si="9"/>
        <v>29299.809287022836</v>
      </c>
      <c r="J25" s="26">
        <f t="shared" si="2"/>
        <v>0.11093254043343931</v>
      </c>
      <c r="L25" s="22">
        <f t="shared" si="3"/>
        <v>40330.249155072983</v>
      </c>
      <c r="M25" s="5">
        <f>scrimecost*Meta!O22</f>
        <v>4746.509</v>
      </c>
      <c r="N25" s="22"/>
    </row>
    <row r="26" spans="1:14" x14ac:dyDescent="0.2">
      <c r="A26" s="5">
        <v>35</v>
      </c>
      <c r="B26" s="1">
        <f t="shared" si="0"/>
        <v>1.6795818512976552</v>
      </c>
      <c r="C26" s="5">
        <f t="shared" si="4"/>
        <v>25341.554697617521</v>
      </c>
      <c r="D26" s="5">
        <f t="shared" si="5"/>
        <v>24494.039438924799</v>
      </c>
      <c r="E26" s="5">
        <f t="shared" si="6"/>
        <v>14994.039438924799</v>
      </c>
      <c r="F26" s="5">
        <f t="shared" si="7"/>
        <v>5197.3038768089473</v>
      </c>
      <c r="G26" s="5">
        <f t="shared" si="8"/>
        <v>19296.735562115853</v>
      </c>
      <c r="H26" s="22">
        <f t="shared" si="1"/>
        <v>11656.864295818783</v>
      </c>
      <c r="I26" s="5">
        <f t="shared" si="9"/>
        <v>29939.452664198405</v>
      </c>
      <c r="J26" s="26">
        <f t="shared" si="2"/>
        <v>0.11368129928370074</v>
      </c>
      <c r="L26" s="22">
        <f t="shared" si="3"/>
        <v>41338.505383949792</v>
      </c>
      <c r="M26" s="5">
        <f>scrimecost*Meta!O23</f>
        <v>3683.6489999999999</v>
      </c>
      <c r="N26" s="22"/>
    </row>
    <row r="27" spans="1:14" x14ac:dyDescent="0.2">
      <c r="A27" s="5">
        <v>36</v>
      </c>
      <c r="B27" s="1">
        <f t="shared" si="0"/>
        <v>1.7215713975800966</v>
      </c>
      <c r="C27" s="5">
        <f t="shared" si="4"/>
        <v>25975.093565057956</v>
      </c>
      <c r="D27" s="5">
        <f t="shared" si="5"/>
        <v>25072.460424897916</v>
      </c>
      <c r="E27" s="5">
        <f t="shared" si="6"/>
        <v>15572.460424897916</v>
      </c>
      <c r="F27" s="5">
        <f t="shared" si="7"/>
        <v>5386.1583287291696</v>
      </c>
      <c r="G27" s="5">
        <f t="shared" si="8"/>
        <v>19686.302096168747</v>
      </c>
      <c r="H27" s="22">
        <f t="shared" si="1"/>
        <v>11948.285903214253</v>
      </c>
      <c r="I27" s="5">
        <f t="shared" si="9"/>
        <v>30595.087125803359</v>
      </c>
      <c r="J27" s="26">
        <f t="shared" si="2"/>
        <v>0.11636301523517528</v>
      </c>
      <c r="L27" s="22">
        <f t="shared" si="3"/>
        <v>42371.968018548541</v>
      </c>
      <c r="M27" s="5">
        <f>scrimecost*Meta!O24</f>
        <v>3683.6489999999999</v>
      </c>
      <c r="N27" s="22"/>
    </row>
    <row r="28" spans="1:14" x14ac:dyDescent="0.2">
      <c r="A28" s="5">
        <v>37</v>
      </c>
      <c r="B28" s="1">
        <f t="shared" si="0"/>
        <v>1.7646106825195991</v>
      </c>
      <c r="C28" s="5">
        <f t="shared" si="4"/>
        <v>26624.470904184407</v>
      </c>
      <c r="D28" s="5">
        <f t="shared" si="5"/>
        <v>25665.341935520366</v>
      </c>
      <c r="E28" s="5">
        <f t="shared" si="6"/>
        <v>16165.341935520366</v>
      </c>
      <c r="F28" s="5">
        <f t="shared" si="7"/>
        <v>5579.7341419473996</v>
      </c>
      <c r="G28" s="5">
        <f t="shared" si="8"/>
        <v>20085.607793572966</v>
      </c>
      <c r="H28" s="22">
        <f t="shared" si="1"/>
        <v>12246.99305079461</v>
      </c>
      <c r="I28" s="5">
        <f t="shared" si="9"/>
        <v>31267.112448948446</v>
      </c>
      <c r="J28" s="26">
        <f t="shared" si="2"/>
        <v>0.11897932348051633</v>
      </c>
      <c r="L28" s="22">
        <f t="shared" si="3"/>
        <v>43431.267219012254</v>
      </c>
      <c r="M28" s="5">
        <f>scrimecost*Meta!O25</f>
        <v>3683.6489999999999</v>
      </c>
      <c r="N28" s="22"/>
    </row>
    <row r="29" spans="1:14" x14ac:dyDescent="0.2">
      <c r="A29" s="5">
        <v>38</v>
      </c>
      <c r="B29" s="1">
        <f t="shared" si="0"/>
        <v>1.8087259495825889</v>
      </c>
      <c r="C29" s="5">
        <f t="shared" si="4"/>
        <v>27290.082676789014</v>
      </c>
      <c r="D29" s="5">
        <f t="shared" si="5"/>
        <v>26273.045483908372</v>
      </c>
      <c r="E29" s="5">
        <f t="shared" si="6"/>
        <v>16773.045483908372</v>
      </c>
      <c r="F29" s="5">
        <f t="shared" si="7"/>
        <v>5778.1493504960836</v>
      </c>
      <c r="G29" s="5">
        <f t="shared" si="8"/>
        <v>20494.896133412287</v>
      </c>
      <c r="H29" s="22">
        <f t="shared" si="1"/>
        <v>12553.167877064474</v>
      </c>
      <c r="I29" s="5">
        <f t="shared" si="9"/>
        <v>31955.93840517215</v>
      </c>
      <c r="J29" s="26">
        <f t="shared" si="2"/>
        <v>0.1215318193296295</v>
      </c>
      <c r="L29" s="22">
        <f t="shared" si="3"/>
        <v>44517.048899487556</v>
      </c>
      <c r="M29" s="5">
        <f>scrimecost*Meta!O26</f>
        <v>3683.6489999999999</v>
      </c>
      <c r="N29" s="22"/>
    </row>
    <row r="30" spans="1:14" x14ac:dyDescent="0.2">
      <c r="A30" s="5">
        <v>39</v>
      </c>
      <c r="B30" s="1">
        <f t="shared" si="0"/>
        <v>1.8539440983221533</v>
      </c>
      <c r="C30" s="5">
        <f t="shared" si="4"/>
        <v>27972.334743708736</v>
      </c>
      <c r="D30" s="5">
        <f t="shared" si="5"/>
        <v>26895.941621006077</v>
      </c>
      <c r="E30" s="5">
        <f t="shared" si="6"/>
        <v>17395.941621006077</v>
      </c>
      <c r="F30" s="5">
        <f t="shared" si="7"/>
        <v>5981.5249392584847</v>
      </c>
      <c r="G30" s="5">
        <f t="shared" si="8"/>
        <v>20914.416681747593</v>
      </c>
      <c r="H30" s="22">
        <f t="shared" si="1"/>
        <v>12866.997073991082</v>
      </c>
      <c r="I30" s="5">
        <f t="shared" si="9"/>
        <v>32661.985010301451</v>
      </c>
      <c r="J30" s="26">
        <f t="shared" si="2"/>
        <v>0.12402205918242289</v>
      </c>
      <c r="L30" s="22">
        <f t="shared" si="3"/>
        <v>45629.975121974741</v>
      </c>
      <c r="M30" s="5">
        <f>scrimecost*Meta!O27</f>
        <v>3683.6489999999999</v>
      </c>
      <c r="N30" s="22"/>
    </row>
    <row r="31" spans="1:14" x14ac:dyDescent="0.2">
      <c r="A31" s="5">
        <v>40</v>
      </c>
      <c r="B31" s="1">
        <f t="shared" si="0"/>
        <v>1.9002927007802071</v>
      </c>
      <c r="C31" s="5">
        <f t="shared" si="4"/>
        <v>28671.643112301452</v>
      </c>
      <c r="D31" s="5">
        <f t="shared" si="5"/>
        <v>27534.410161531228</v>
      </c>
      <c r="E31" s="5">
        <f t="shared" si="6"/>
        <v>18034.410161531228</v>
      </c>
      <c r="F31" s="5">
        <f t="shared" si="7"/>
        <v>6189.9849177399465</v>
      </c>
      <c r="G31" s="5">
        <f t="shared" si="8"/>
        <v>21344.42524379128</v>
      </c>
      <c r="H31" s="22">
        <f t="shared" si="1"/>
        <v>13188.672000840859</v>
      </c>
      <c r="I31" s="5">
        <f t="shared" si="9"/>
        <v>33385.682780558986</v>
      </c>
      <c r="J31" s="26">
        <f t="shared" si="2"/>
        <v>0.12645156147783104</v>
      </c>
      <c r="L31" s="22">
        <f t="shared" si="3"/>
        <v>46770.724500024109</v>
      </c>
      <c r="M31" s="5">
        <f>scrimecost*Meta!O28</f>
        <v>3222.1439999999998</v>
      </c>
      <c r="N31" s="22"/>
    </row>
    <row r="32" spans="1:14" x14ac:dyDescent="0.2">
      <c r="A32" s="5">
        <v>41</v>
      </c>
      <c r="B32" s="1">
        <f t="shared" si="0"/>
        <v>1.9478000182997122</v>
      </c>
      <c r="C32" s="5">
        <f t="shared" si="4"/>
        <v>29388.434190108987</v>
      </c>
      <c r="D32" s="5">
        <f t="shared" si="5"/>
        <v>28188.840415569506</v>
      </c>
      <c r="E32" s="5">
        <f t="shared" si="6"/>
        <v>18688.840415569506</v>
      </c>
      <c r="F32" s="5">
        <f t="shared" si="7"/>
        <v>6403.6563956834434</v>
      </c>
      <c r="G32" s="5">
        <f t="shared" si="8"/>
        <v>21785.184019886063</v>
      </c>
      <c r="H32" s="22">
        <f t="shared" si="1"/>
        <v>13518.38880086188</v>
      </c>
      <c r="I32" s="5">
        <f t="shared" si="9"/>
        <v>34127.47299507296</v>
      </c>
      <c r="J32" s="26">
        <f t="shared" si="2"/>
        <v>0.12882180761969261</v>
      </c>
      <c r="L32" s="22">
        <f t="shared" si="3"/>
        <v>47939.992612524708</v>
      </c>
      <c r="M32" s="5">
        <f>scrimecost*Meta!O29</f>
        <v>3222.1439999999998</v>
      </c>
      <c r="N32" s="22"/>
    </row>
    <row r="33" spans="1:14" x14ac:dyDescent="0.2">
      <c r="A33" s="5">
        <v>42</v>
      </c>
      <c r="B33" s="1">
        <f t="shared" si="0"/>
        <v>1.9964950187572048</v>
      </c>
      <c r="C33" s="5">
        <f t="shared" si="4"/>
        <v>30123.145044861711</v>
      </c>
      <c r="D33" s="5">
        <f t="shared" si="5"/>
        <v>28859.631425958745</v>
      </c>
      <c r="E33" s="5">
        <f t="shared" si="6"/>
        <v>19359.631425958745</v>
      </c>
      <c r="F33" s="5">
        <f t="shared" si="7"/>
        <v>6622.6696605755296</v>
      </c>
      <c r="G33" s="5">
        <f t="shared" si="8"/>
        <v>22236.961765383217</v>
      </c>
      <c r="H33" s="22">
        <f t="shared" si="1"/>
        <v>13856.348520883428</v>
      </c>
      <c r="I33" s="5">
        <f t="shared" si="9"/>
        <v>34887.807964949789</v>
      </c>
      <c r="J33" s="26">
        <f t="shared" si="2"/>
        <v>0.13113424288004541</v>
      </c>
      <c r="L33" s="22">
        <f t="shared" si="3"/>
        <v>49138.492427837824</v>
      </c>
      <c r="M33" s="5">
        <f>scrimecost*Meta!O30</f>
        <v>3222.1439999999998</v>
      </c>
      <c r="N33" s="22"/>
    </row>
    <row r="34" spans="1:14" x14ac:dyDescent="0.2">
      <c r="A34" s="5">
        <v>43</v>
      </c>
      <c r="B34" s="1">
        <f t="shared" si="0"/>
        <v>2.0464073942261352</v>
      </c>
      <c r="C34" s="5">
        <f t="shared" si="4"/>
        <v>30876.223670983258</v>
      </c>
      <c r="D34" s="5">
        <f t="shared" si="5"/>
        <v>29547.192211607715</v>
      </c>
      <c r="E34" s="5">
        <f t="shared" si="6"/>
        <v>20047.192211607715</v>
      </c>
      <c r="F34" s="5">
        <f t="shared" si="7"/>
        <v>6847.1582570899191</v>
      </c>
      <c r="G34" s="5">
        <f t="shared" si="8"/>
        <v>22700.033954517796</v>
      </c>
      <c r="H34" s="22">
        <f t="shared" si="1"/>
        <v>14202.757233905513</v>
      </c>
      <c r="I34" s="5">
        <f t="shared" si="9"/>
        <v>35667.151309073532</v>
      </c>
      <c r="J34" s="26">
        <f t="shared" si="2"/>
        <v>0.13339027728038966</v>
      </c>
      <c r="L34" s="22">
        <f t="shared" si="3"/>
        <v>50366.954738533772</v>
      </c>
      <c r="M34" s="5">
        <f>scrimecost*Meta!O31</f>
        <v>3222.1439999999998</v>
      </c>
      <c r="N34" s="22"/>
    </row>
    <row r="35" spans="1:14" x14ac:dyDescent="0.2">
      <c r="A35" s="5">
        <v>44</v>
      </c>
      <c r="B35" s="1">
        <f t="shared" si="0"/>
        <v>2.097567579081788</v>
      </c>
      <c r="C35" s="5">
        <f t="shared" si="4"/>
        <v>31648.129262757833</v>
      </c>
      <c r="D35" s="5">
        <f t="shared" si="5"/>
        <v>30251.942016897905</v>
      </c>
      <c r="E35" s="5">
        <f t="shared" si="6"/>
        <v>20751.942016897905</v>
      </c>
      <c r="F35" s="5">
        <f t="shared" si="7"/>
        <v>7077.2590685171654</v>
      </c>
      <c r="G35" s="5">
        <f t="shared" si="8"/>
        <v>23174.682948380738</v>
      </c>
      <c r="H35" s="22">
        <f t="shared" si="1"/>
        <v>14557.826164753149</v>
      </c>
      <c r="I35" s="5">
        <f t="shared" si="9"/>
        <v>36465.978236800365</v>
      </c>
      <c r="J35" s="26">
        <f t="shared" si="2"/>
        <v>0.13559128645145713</v>
      </c>
      <c r="L35" s="22">
        <f t="shared" si="3"/>
        <v>51626.128606997103</v>
      </c>
      <c r="M35" s="5">
        <f>scrimecost*Meta!O32</f>
        <v>3222.1439999999998</v>
      </c>
      <c r="N35" s="22"/>
    </row>
    <row r="36" spans="1:14" x14ac:dyDescent="0.2">
      <c r="A36" s="5">
        <v>45</v>
      </c>
      <c r="B36" s="1">
        <f t="shared" si="0"/>
        <v>2.1500067685588333</v>
      </c>
      <c r="C36" s="5">
        <f t="shared" si="4"/>
        <v>32439.332494326787</v>
      </c>
      <c r="D36" s="5">
        <f t="shared" si="5"/>
        <v>30974.310567320357</v>
      </c>
      <c r="E36" s="5">
        <f t="shared" si="6"/>
        <v>21474.310567320357</v>
      </c>
      <c r="F36" s="5">
        <f t="shared" si="7"/>
        <v>7313.1124002300967</v>
      </c>
      <c r="G36" s="5">
        <f t="shared" si="8"/>
        <v>23661.198167090261</v>
      </c>
      <c r="H36" s="22">
        <f t="shared" si="1"/>
        <v>14921.771818871981</v>
      </c>
      <c r="I36" s="5">
        <f t="shared" si="9"/>
        <v>37284.775837720379</v>
      </c>
      <c r="J36" s="26">
        <f t="shared" si="2"/>
        <v>0.13773861247201083</v>
      </c>
      <c r="L36" s="22">
        <f t="shared" si="3"/>
        <v>52916.781822172052</v>
      </c>
      <c r="M36" s="5">
        <f>scrimecost*Meta!O33</f>
        <v>2604.0070000000001</v>
      </c>
      <c r="N36" s="22"/>
    </row>
    <row r="37" spans="1:14" x14ac:dyDescent="0.2">
      <c r="A37" s="5">
        <v>46</v>
      </c>
      <c r="B37" s="1">
        <f t="shared" ref="B37:B56" si="10">(1+experiencepremium)^(A37-startage)</f>
        <v>2.2037569377728037</v>
      </c>
      <c r="C37" s="5">
        <f t="shared" ref="C37:C56" si="11">pretaxincome*B37/expnorm</f>
        <v>33250.31580668495</v>
      </c>
      <c r="D37" s="5">
        <f t="shared" ref="D37:D56" si="12">IF(A37&lt;startage,1,0)*(C37*(1-initialunempprob))+IF(A37=startage,1,0)*(C37*(1-unempprob))+IF(A37&gt;startage,1,0)*(C37*(1-unempprob)+unempprob*300*52)</f>
        <v>31714.738331503362</v>
      </c>
      <c r="E37" s="5">
        <f t="shared" si="6"/>
        <v>22214.738331503362</v>
      </c>
      <c r="F37" s="5">
        <f t="shared" si="7"/>
        <v>7554.8620652358477</v>
      </c>
      <c r="G37" s="5">
        <f t="shared" si="8"/>
        <v>24159.876266267514</v>
      </c>
      <c r="H37" s="22">
        <f t="shared" ref="H37:H56" si="13">benefits*B37/expnorm</f>
        <v>15294.816114343777</v>
      </c>
      <c r="I37" s="5">
        <f t="shared" ref="I37:I56" si="14">G37+IF(A37&lt;startage,1,0)*(H37*(1-initialunempprob))+IF(A37&gt;=startage,1,0)*(H37*(1-unempprob))</f>
        <v>38124.04337866338</v>
      </c>
      <c r="J37" s="26">
        <f t="shared" ref="J37:J56" si="15">(F37-(IF(A37&gt;startage,1,0)*(unempprob*300*52)))/(IF(A37&lt;startage,1,0)*((C37+H37)*(1-initialunempprob))+IF(A37&gt;=startage,1,0)*((C37+H37)*(1-unempprob)))</f>
        <v>0.13983356468718514</v>
      </c>
      <c r="L37" s="22">
        <f t="shared" ref="L37:L56" si="16">(sincome+sbenefits)*(1-sunemp)*B37/expnorm</f>
        <v>54239.701367726339</v>
      </c>
      <c r="M37" s="5">
        <f>scrimecost*Meta!O34</f>
        <v>2604.0070000000001</v>
      </c>
      <c r="N37" s="22"/>
    </row>
    <row r="38" spans="1:14" x14ac:dyDescent="0.2">
      <c r="A38" s="5">
        <v>47</v>
      </c>
      <c r="B38" s="1">
        <f t="shared" si="10"/>
        <v>2.2588508612171236</v>
      </c>
      <c r="C38" s="5">
        <f t="shared" si="11"/>
        <v>34081.573701852067</v>
      </c>
      <c r="D38" s="5">
        <f t="shared" si="12"/>
        <v>32473.676789790938</v>
      </c>
      <c r="E38" s="5">
        <f t="shared" si="6"/>
        <v>22973.676789790938</v>
      </c>
      <c r="F38" s="5">
        <f t="shared" si="7"/>
        <v>7802.6554718667412</v>
      </c>
      <c r="G38" s="5">
        <f t="shared" si="8"/>
        <v>24671.021317924198</v>
      </c>
      <c r="H38" s="22">
        <f t="shared" si="13"/>
        <v>15677.186517202372</v>
      </c>
      <c r="I38" s="5">
        <f t="shared" si="14"/>
        <v>38984.292608129967</v>
      </c>
      <c r="J38" s="26">
        <f t="shared" si="15"/>
        <v>0.14187742050686733</v>
      </c>
      <c r="L38" s="22">
        <f t="shared" si="16"/>
        <v>55595.693901919491</v>
      </c>
      <c r="M38" s="5">
        <f>scrimecost*Meta!O35</f>
        <v>2604.0070000000001</v>
      </c>
      <c r="N38" s="22"/>
    </row>
    <row r="39" spans="1:14" x14ac:dyDescent="0.2">
      <c r="A39" s="5">
        <v>48</v>
      </c>
      <c r="B39" s="1">
        <f t="shared" si="10"/>
        <v>2.3153221327475517</v>
      </c>
      <c r="C39" s="5">
        <f t="shared" si="11"/>
        <v>34933.613044398371</v>
      </c>
      <c r="D39" s="5">
        <f t="shared" si="12"/>
        <v>33251.58870953571</v>
      </c>
      <c r="E39" s="5">
        <f t="shared" si="6"/>
        <v>23751.58870953571</v>
      </c>
      <c r="F39" s="5">
        <f t="shared" si="7"/>
        <v>8056.6437136634095</v>
      </c>
      <c r="G39" s="5">
        <f t="shared" si="8"/>
        <v>25194.944995872302</v>
      </c>
      <c r="H39" s="22">
        <f t="shared" si="13"/>
        <v>16069.116180132431</v>
      </c>
      <c r="I39" s="5">
        <f t="shared" si="14"/>
        <v>39866.048068333213</v>
      </c>
      <c r="J39" s="26">
        <f t="shared" si="15"/>
        <v>0.1438714261846061</v>
      </c>
      <c r="L39" s="22">
        <f t="shared" si="16"/>
        <v>56985.58624946748</v>
      </c>
      <c r="M39" s="5">
        <f>scrimecost*Meta!O36</f>
        <v>2604.0070000000001</v>
      </c>
      <c r="N39" s="22"/>
    </row>
    <row r="40" spans="1:14" x14ac:dyDescent="0.2">
      <c r="A40" s="5">
        <v>49</v>
      </c>
      <c r="B40" s="1">
        <f t="shared" si="10"/>
        <v>2.3732051860662402</v>
      </c>
      <c r="C40" s="5">
        <f t="shared" si="11"/>
        <v>35806.95337050833</v>
      </c>
      <c r="D40" s="5">
        <f t="shared" si="12"/>
        <v>34048.948427274103</v>
      </c>
      <c r="E40" s="5">
        <f t="shared" si="6"/>
        <v>24548.948427274103</v>
      </c>
      <c r="F40" s="5">
        <f t="shared" si="7"/>
        <v>8316.9816615049949</v>
      </c>
      <c r="G40" s="5">
        <f t="shared" si="8"/>
        <v>25731.96676576911</v>
      </c>
      <c r="H40" s="22">
        <f t="shared" si="13"/>
        <v>16470.844084635737</v>
      </c>
      <c r="I40" s="5">
        <f t="shared" si="14"/>
        <v>40769.847415041542</v>
      </c>
      <c r="J40" s="26">
        <f t="shared" si="15"/>
        <v>0.145816797577522</v>
      </c>
      <c r="L40" s="22">
        <f t="shared" si="16"/>
        <v>58410.225905704159</v>
      </c>
      <c r="M40" s="5">
        <f>scrimecost*Meta!O37</f>
        <v>2604.0070000000001</v>
      </c>
      <c r="N40" s="22"/>
    </row>
    <row r="41" spans="1:14" x14ac:dyDescent="0.2">
      <c r="A41" s="5">
        <v>50</v>
      </c>
      <c r="B41" s="1">
        <f t="shared" si="10"/>
        <v>2.4325353157178964</v>
      </c>
      <c r="C41" s="5">
        <f t="shared" si="11"/>
        <v>36702.127204771037</v>
      </c>
      <c r="D41" s="5">
        <f t="shared" si="12"/>
        <v>34866.242137955953</v>
      </c>
      <c r="E41" s="5">
        <f t="shared" si="6"/>
        <v>25366.242137955953</v>
      </c>
      <c r="F41" s="5">
        <f t="shared" si="7"/>
        <v>8583.8280580426181</v>
      </c>
      <c r="G41" s="5">
        <f t="shared" si="8"/>
        <v>26282.414079913335</v>
      </c>
      <c r="H41" s="22">
        <f t="shared" si="13"/>
        <v>16882.615186751635</v>
      </c>
      <c r="I41" s="5">
        <f t="shared" si="14"/>
        <v>41696.241745417574</v>
      </c>
      <c r="J41" s="26">
        <f t="shared" si="15"/>
        <v>0.14771472088768381</v>
      </c>
      <c r="L41" s="22">
        <f t="shared" si="16"/>
        <v>59870.48155334677</v>
      </c>
      <c r="M41" s="5">
        <f>scrimecost*Meta!O38</f>
        <v>1739.7339999999999</v>
      </c>
      <c r="N41" s="22"/>
    </row>
    <row r="42" spans="1:14" x14ac:dyDescent="0.2">
      <c r="A42" s="5">
        <v>51</v>
      </c>
      <c r="B42" s="1">
        <f t="shared" si="10"/>
        <v>2.4933486986108435</v>
      </c>
      <c r="C42" s="5">
        <f t="shared" si="11"/>
        <v>37619.680384890307</v>
      </c>
      <c r="D42" s="5">
        <f t="shared" si="12"/>
        <v>35703.968191404849</v>
      </c>
      <c r="E42" s="5">
        <f t="shared" si="6"/>
        <v>26203.968191404849</v>
      </c>
      <c r="F42" s="5">
        <f t="shared" si="7"/>
        <v>8857.3456144936827</v>
      </c>
      <c r="G42" s="5">
        <f t="shared" si="8"/>
        <v>26846.622576911166</v>
      </c>
      <c r="H42" s="22">
        <f t="shared" si="13"/>
        <v>17304.680566420422</v>
      </c>
      <c r="I42" s="5">
        <f t="shared" si="14"/>
        <v>42645.795934053014</v>
      </c>
      <c r="J42" s="26">
        <f t="shared" si="15"/>
        <v>0.14956635338540269</v>
      </c>
      <c r="L42" s="22">
        <f t="shared" si="16"/>
        <v>61367.243592180428</v>
      </c>
      <c r="M42" s="5">
        <f>scrimecost*Meta!O39</f>
        <v>1739.7339999999999</v>
      </c>
      <c r="N42" s="22"/>
    </row>
    <row r="43" spans="1:14" x14ac:dyDescent="0.2">
      <c r="A43" s="5">
        <v>52</v>
      </c>
      <c r="B43" s="1">
        <f t="shared" si="10"/>
        <v>2.555682416076114</v>
      </c>
      <c r="C43" s="5">
        <f t="shared" si="11"/>
        <v>38560.172394512556</v>
      </c>
      <c r="D43" s="5">
        <f t="shared" si="12"/>
        <v>36562.637396189959</v>
      </c>
      <c r="E43" s="5">
        <f t="shared" si="6"/>
        <v>27062.637396189959</v>
      </c>
      <c r="F43" s="5">
        <f t="shared" si="7"/>
        <v>9137.7011098560215</v>
      </c>
      <c r="G43" s="5">
        <f t="shared" si="8"/>
        <v>27424.936286333937</v>
      </c>
      <c r="H43" s="22">
        <f t="shared" si="13"/>
        <v>17737.297580580926</v>
      </c>
      <c r="I43" s="5">
        <f t="shared" si="14"/>
        <v>43619.088977404324</v>
      </c>
      <c r="J43" s="26">
        <f t="shared" si="15"/>
        <v>0.15137282411488448</v>
      </c>
      <c r="L43" s="22">
        <f t="shared" si="16"/>
        <v>62901.424681984921</v>
      </c>
      <c r="M43" s="5">
        <f>scrimecost*Meta!O40</f>
        <v>1739.7339999999999</v>
      </c>
      <c r="N43" s="22"/>
    </row>
    <row r="44" spans="1:14" x14ac:dyDescent="0.2">
      <c r="A44" s="5">
        <v>53</v>
      </c>
      <c r="B44" s="1">
        <f t="shared" si="10"/>
        <v>2.6195744764780171</v>
      </c>
      <c r="C44" s="5">
        <f t="shared" si="11"/>
        <v>39524.176704375372</v>
      </c>
      <c r="D44" s="5">
        <f t="shared" si="12"/>
        <v>37442.773331094715</v>
      </c>
      <c r="E44" s="5">
        <f t="shared" si="6"/>
        <v>27942.773331094715</v>
      </c>
      <c r="F44" s="5">
        <f t="shared" si="7"/>
        <v>9425.0654926024254</v>
      </c>
      <c r="G44" s="5">
        <f t="shared" si="8"/>
        <v>28017.70783849229</v>
      </c>
      <c r="H44" s="22">
        <f t="shared" si="13"/>
        <v>18180.730020095452</v>
      </c>
      <c r="I44" s="5">
        <f t="shared" si="14"/>
        <v>44616.714346839435</v>
      </c>
      <c r="J44" s="26">
        <f t="shared" si="15"/>
        <v>0.15313523458267167</v>
      </c>
      <c r="L44" s="22">
        <f t="shared" si="16"/>
        <v>64473.960299034552</v>
      </c>
      <c r="M44" s="5">
        <f>scrimecost*Meta!O41</f>
        <v>1739.7339999999999</v>
      </c>
      <c r="N44" s="22"/>
    </row>
    <row r="45" spans="1:14" x14ac:dyDescent="0.2">
      <c r="A45" s="5">
        <v>54</v>
      </c>
      <c r="B45" s="1">
        <f t="shared" si="10"/>
        <v>2.6850638383899672</v>
      </c>
      <c r="C45" s="5">
        <f t="shared" si="11"/>
        <v>40512.28112198475</v>
      </c>
      <c r="D45" s="5">
        <f t="shared" si="12"/>
        <v>38344.912664372074</v>
      </c>
      <c r="E45" s="5">
        <f t="shared" si="6"/>
        <v>28844.912664372074</v>
      </c>
      <c r="F45" s="5">
        <f t="shared" si="7"/>
        <v>9719.6139849174815</v>
      </c>
      <c r="G45" s="5">
        <f t="shared" si="8"/>
        <v>28625.298679454594</v>
      </c>
      <c r="H45" s="22">
        <f t="shared" si="13"/>
        <v>18635.248270597836</v>
      </c>
      <c r="I45" s="5">
        <f t="shared" si="14"/>
        <v>45639.280350510424</v>
      </c>
      <c r="J45" s="26">
        <f t="shared" si="15"/>
        <v>0.15485465942929327</v>
      </c>
      <c r="L45" s="22">
        <f t="shared" si="16"/>
        <v>66085.809306510404</v>
      </c>
      <c r="M45" s="5">
        <f>scrimecost*Meta!O42</f>
        <v>1739.7339999999999</v>
      </c>
      <c r="N45" s="22"/>
    </row>
    <row r="46" spans="1:14" x14ac:dyDescent="0.2">
      <c r="A46" s="5">
        <v>55</v>
      </c>
      <c r="B46" s="1">
        <f t="shared" si="10"/>
        <v>2.7521904343497163</v>
      </c>
      <c r="C46" s="5">
        <f t="shared" si="11"/>
        <v>41525.088150034375</v>
      </c>
      <c r="D46" s="5">
        <f t="shared" si="12"/>
        <v>39269.60548098138</v>
      </c>
      <c r="E46" s="5">
        <f t="shared" si="6"/>
        <v>29769.60548098138</v>
      </c>
      <c r="F46" s="5">
        <f t="shared" si="7"/>
        <v>10021.52618954042</v>
      </c>
      <c r="G46" s="5">
        <f t="shared" si="8"/>
        <v>29248.079291440961</v>
      </c>
      <c r="H46" s="22">
        <f t="shared" si="13"/>
        <v>19101.129477362781</v>
      </c>
      <c r="I46" s="5">
        <f t="shared" si="14"/>
        <v>46687.410504273183</v>
      </c>
      <c r="J46" s="26">
        <f t="shared" si="15"/>
        <v>0.15653214708453386</v>
      </c>
      <c r="L46" s="22">
        <f t="shared" si="16"/>
        <v>67737.954539173166</v>
      </c>
      <c r="M46" s="5">
        <f>scrimecost*Meta!O43</f>
        <v>964.96499999999992</v>
      </c>
      <c r="N46" s="22"/>
    </row>
    <row r="47" spans="1:14" x14ac:dyDescent="0.2">
      <c r="A47" s="5">
        <v>56</v>
      </c>
      <c r="B47" s="1">
        <f t="shared" si="10"/>
        <v>2.8209951952084591</v>
      </c>
      <c r="C47" s="5">
        <f t="shared" si="11"/>
        <v>42563.215353785235</v>
      </c>
      <c r="D47" s="5">
        <f t="shared" si="12"/>
        <v>40217.415618005922</v>
      </c>
      <c r="E47" s="5">
        <f t="shared" si="6"/>
        <v>30717.415618005922</v>
      </c>
      <c r="F47" s="5">
        <f t="shared" si="7"/>
        <v>10330.986199278934</v>
      </c>
      <c r="G47" s="5">
        <f t="shared" si="8"/>
        <v>29886.429418726988</v>
      </c>
      <c r="H47" s="22">
        <f t="shared" si="13"/>
        <v>19578.657714296853</v>
      </c>
      <c r="I47" s="5">
        <f t="shared" si="14"/>
        <v>47761.74391188001</v>
      </c>
      <c r="J47" s="26">
        <f t="shared" si="15"/>
        <v>0.15816872040671981</v>
      </c>
      <c r="L47" s="22">
        <f t="shared" si="16"/>
        <v>69431.40340265249</v>
      </c>
      <c r="M47" s="5">
        <f>scrimecost*Meta!O44</f>
        <v>964.96499999999992</v>
      </c>
      <c r="N47" s="22"/>
    </row>
    <row r="48" spans="1:14" x14ac:dyDescent="0.2">
      <c r="A48" s="5">
        <v>57</v>
      </c>
      <c r="B48" s="1">
        <f t="shared" si="10"/>
        <v>2.8915200750886707</v>
      </c>
      <c r="C48" s="5">
        <f t="shared" si="11"/>
        <v>43627.295737629865</v>
      </c>
      <c r="D48" s="5">
        <f t="shared" si="12"/>
        <v>41188.921008456069</v>
      </c>
      <c r="E48" s="5">
        <f t="shared" si="6"/>
        <v>31688.921008456069</v>
      </c>
      <c r="F48" s="5">
        <f t="shared" si="7"/>
        <v>10648.182709260906</v>
      </c>
      <c r="G48" s="5">
        <f t="shared" si="8"/>
        <v>30540.738299195164</v>
      </c>
      <c r="H48" s="22">
        <f t="shared" si="13"/>
        <v>20068.124157154274</v>
      </c>
      <c r="I48" s="5">
        <f t="shared" si="14"/>
        <v>48862.935654677014</v>
      </c>
      <c r="J48" s="26">
        <f t="shared" si="15"/>
        <v>0.15976537730641341</v>
      </c>
      <c r="L48" s="22">
        <f t="shared" si="16"/>
        <v>71167.188487718813</v>
      </c>
      <c r="M48" s="5">
        <f>scrimecost*Meta!O45</f>
        <v>964.96499999999992</v>
      </c>
      <c r="N48" s="22"/>
    </row>
    <row r="49" spans="1:14" x14ac:dyDescent="0.2">
      <c r="A49" s="5">
        <v>58</v>
      </c>
      <c r="B49" s="1">
        <f t="shared" si="10"/>
        <v>2.9638080769658868</v>
      </c>
      <c r="C49" s="5">
        <f t="shared" si="11"/>
        <v>44717.978131070602</v>
      </c>
      <c r="D49" s="5">
        <f t="shared" si="12"/>
        <v>42184.714033667457</v>
      </c>
      <c r="E49" s="5">
        <f t="shared" si="6"/>
        <v>32684.714033667457</v>
      </c>
      <c r="F49" s="5">
        <f t="shared" si="7"/>
        <v>10973.309131992424</v>
      </c>
      <c r="G49" s="5">
        <f t="shared" si="8"/>
        <v>31211.404901675032</v>
      </c>
      <c r="H49" s="22">
        <f t="shared" si="13"/>
        <v>20569.827261083126</v>
      </c>
      <c r="I49" s="5">
        <f t="shared" si="14"/>
        <v>49991.657191043923</v>
      </c>
      <c r="J49" s="26">
        <f t="shared" si="15"/>
        <v>0.16132309135489495</v>
      </c>
      <c r="L49" s="22">
        <f t="shared" si="16"/>
        <v>72946.368199911754</v>
      </c>
      <c r="M49" s="5">
        <f>scrimecost*Meta!O46</f>
        <v>964.96499999999992</v>
      </c>
      <c r="N49" s="22"/>
    </row>
    <row r="50" spans="1:14" x14ac:dyDescent="0.2">
      <c r="A50" s="5">
        <v>59</v>
      </c>
      <c r="B50" s="1">
        <f t="shared" si="10"/>
        <v>3.0379032788900342</v>
      </c>
      <c r="C50" s="5">
        <f t="shared" si="11"/>
        <v>45835.927584347366</v>
      </c>
      <c r="D50" s="5">
        <f t="shared" si="12"/>
        <v>43205.401884509141</v>
      </c>
      <c r="E50" s="5">
        <f t="shared" si="6"/>
        <v>33705.401884509141</v>
      </c>
      <c r="F50" s="5">
        <f t="shared" si="7"/>
        <v>11306.563715292235</v>
      </c>
      <c r="G50" s="5">
        <f t="shared" si="8"/>
        <v>31898.838169216906</v>
      </c>
      <c r="H50" s="22">
        <f t="shared" si="13"/>
        <v>21084.072942610208</v>
      </c>
      <c r="I50" s="5">
        <f t="shared" si="14"/>
        <v>51148.596765820024</v>
      </c>
      <c r="J50" s="26">
        <f t="shared" si="15"/>
        <v>0.16284281237780376</v>
      </c>
      <c r="L50" s="22">
        <f t="shared" si="16"/>
        <v>74770.027404909561</v>
      </c>
      <c r="M50" s="5">
        <f>scrimecost*Meta!O47</f>
        <v>964.96499999999992</v>
      </c>
      <c r="N50" s="22"/>
    </row>
    <row r="51" spans="1:14" x14ac:dyDescent="0.2">
      <c r="A51" s="5">
        <v>60</v>
      </c>
      <c r="B51" s="1">
        <f t="shared" si="10"/>
        <v>3.1138508608622844</v>
      </c>
      <c r="C51" s="5">
        <f t="shared" si="11"/>
        <v>46981.825773956036</v>
      </c>
      <c r="D51" s="5">
        <f t="shared" si="12"/>
        <v>44251.606931621856</v>
      </c>
      <c r="E51" s="5">
        <f t="shared" si="6"/>
        <v>34751.606931621856</v>
      </c>
      <c r="F51" s="5">
        <f t="shared" si="7"/>
        <v>11673.310356336722</v>
      </c>
      <c r="G51" s="5">
        <f t="shared" si="8"/>
        <v>32578.296575285134</v>
      </c>
      <c r="H51" s="22">
        <f t="shared" si="13"/>
        <v>21611.174766175456</v>
      </c>
      <c r="I51" s="5">
        <f t="shared" si="14"/>
        <v>52309.299136803325</v>
      </c>
      <c r="J51" s="26">
        <f t="shared" si="15"/>
        <v>0.16472723196271857</v>
      </c>
      <c r="L51" s="22">
        <f t="shared" si="16"/>
        <v>76639.278090032283</v>
      </c>
      <c r="M51" s="5">
        <f>scrimecost*Meta!O48</f>
        <v>509.05399999999997</v>
      </c>
      <c r="N51" s="22"/>
    </row>
    <row r="52" spans="1:14" x14ac:dyDescent="0.2">
      <c r="A52" s="5">
        <v>61</v>
      </c>
      <c r="B52" s="1">
        <f t="shared" si="10"/>
        <v>3.1916971323838421</v>
      </c>
      <c r="C52" s="5">
        <f t="shared" si="11"/>
        <v>48156.371418304952</v>
      </c>
      <c r="D52" s="5">
        <f t="shared" si="12"/>
        <v>45323.967104912423</v>
      </c>
      <c r="E52" s="5">
        <f t="shared" si="6"/>
        <v>35823.967104912423</v>
      </c>
      <c r="F52" s="5">
        <f t="shared" si="7"/>
        <v>12130.671970245148</v>
      </c>
      <c r="G52" s="5">
        <f t="shared" si="8"/>
        <v>33193.295134667278</v>
      </c>
      <c r="H52" s="22">
        <f t="shared" si="13"/>
        <v>22151.454135329848</v>
      </c>
      <c r="I52" s="5">
        <f t="shared" si="14"/>
        <v>53417.572760223426</v>
      </c>
      <c r="J52" s="26">
        <f t="shared" si="15"/>
        <v>0.16783450114391843</v>
      </c>
      <c r="L52" s="22">
        <f t="shared" si="16"/>
        <v>78555.260042283102</v>
      </c>
      <c r="M52" s="5">
        <f>scrimecost*Meta!O49</f>
        <v>509.05399999999997</v>
      </c>
      <c r="N52" s="22"/>
    </row>
    <row r="53" spans="1:14" x14ac:dyDescent="0.2">
      <c r="A53" s="5">
        <v>62</v>
      </c>
      <c r="B53" s="1">
        <f t="shared" si="10"/>
        <v>3.2714895606934378</v>
      </c>
      <c r="C53" s="5">
        <f t="shared" si="11"/>
        <v>49360.280703762568</v>
      </c>
      <c r="D53" s="5">
        <f t="shared" si="12"/>
        <v>46423.136282535226</v>
      </c>
      <c r="E53" s="5">
        <f t="shared" si="6"/>
        <v>36923.136282535226</v>
      </c>
      <c r="F53" s="5">
        <f t="shared" si="7"/>
        <v>12599.467624501274</v>
      </c>
      <c r="G53" s="5">
        <f t="shared" si="8"/>
        <v>33823.668658033952</v>
      </c>
      <c r="H53" s="22">
        <f t="shared" si="13"/>
        <v>22705.240488713091</v>
      </c>
      <c r="I53" s="5">
        <f t="shared" si="14"/>
        <v>54553.553224229006</v>
      </c>
      <c r="J53" s="26">
        <f t="shared" si="15"/>
        <v>0.17086598327191818</v>
      </c>
      <c r="L53" s="22">
        <f t="shared" si="16"/>
        <v>80519.141543340171</v>
      </c>
      <c r="M53" s="5">
        <f>scrimecost*Meta!O50</f>
        <v>509.05399999999997</v>
      </c>
      <c r="N53" s="22"/>
    </row>
    <row r="54" spans="1:14" x14ac:dyDescent="0.2">
      <c r="A54" s="5">
        <v>63</v>
      </c>
      <c r="B54" s="1">
        <f t="shared" si="10"/>
        <v>3.3532767997107733</v>
      </c>
      <c r="C54" s="5">
        <f t="shared" si="11"/>
        <v>50594.287721356632</v>
      </c>
      <c r="D54" s="5">
        <f t="shared" si="12"/>
        <v>47549.7846895986</v>
      </c>
      <c r="E54" s="5">
        <f t="shared" si="6"/>
        <v>38049.7846895986</v>
      </c>
      <c r="F54" s="5">
        <f t="shared" si="7"/>
        <v>13079.983170113803</v>
      </c>
      <c r="G54" s="5">
        <f t="shared" si="8"/>
        <v>34469.801519484798</v>
      </c>
      <c r="H54" s="22">
        <f t="shared" si="13"/>
        <v>23272.871500930913</v>
      </c>
      <c r="I54" s="5">
        <f t="shared" si="14"/>
        <v>55717.933199834719</v>
      </c>
      <c r="J54" s="26">
        <f t="shared" si="15"/>
        <v>0.1738235268114301</v>
      </c>
      <c r="L54" s="22">
        <f t="shared" si="16"/>
        <v>82532.120081923669</v>
      </c>
      <c r="M54" s="5">
        <f>scrimecost*Meta!O51</f>
        <v>509.05399999999997</v>
      </c>
      <c r="N54" s="22"/>
    </row>
    <row r="55" spans="1:14" x14ac:dyDescent="0.2">
      <c r="A55" s="5">
        <v>64</v>
      </c>
      <c r="B55" s="1">
        <f t="shared" si="10"/>
        <v>3.4371087197035428</v>
      </c>
      <c r="C55" s="5">
        <f t="shared" si="11"/>
        <v>51859.144914390548</v>
      </c>
      <c r="D55" s="5">
        <f t="shared" si="12"/>
        <v>48704.599306838572</v>
      </c>
      <c r="E55" s="5">
        <f t="shared" si="6"/>
        <v>39204.599306838572</v>
      </c>
      <c r="F55" s="5">
        <f t="shared" si="7"/>
        <v>13572.511604366651</v>
      </c>
      <c r="G55" s="5">
        <f t="shared" si="8"/>
        <v>35132.087702471923</v>
      </c>
      <c r="H55" s="22">
        <f t="shared" si="13"/>
        <v>23854.693288454193</v>
      </c>
      <c r="I55" s="5">
        <f t="shared" si="14"/>
        <v>56911.422674830603</v>
      </c>
      <c r="J55" s="26">
        <f t="shared" si="15"/>
        <v>0.17670893514266137</v>
      </c>
      <c r="L55" s="22">
        <f t="shared" si="16"/>
        <v>84595.423083971764</v>
      </c>
      <c r="M55" s="5">
        <f>scrimecost*Meta!O52</f>
        <v>509.05399999999997</v>
      </c>
      <c r="N55" s="22"/>
    </row>
    <row r="56" spans="1:14" x14ac:dyDescent="0.2">
      <c r="A56" s="5">
        <v>65</v>
      </c>
      <c r="B56" s="1">
        <f t="shared" si="10"/>
        <v>3.5230364376961316</v>
      </c>
      <c r="C56" s="5">
        <f t="shared" si="11"/>
        <v>53155.623537250307</v>
      </c>
      <c r="D56" s="5">
        <f t="shared" si="12"/>
        <v>49888.284289509531</v>
      </c>
      <c r="E56" s="5">
        <f t="shared" si="6"/>
        <v>40388.284289509531</v>
      </c>
      <c r="F56" s="5">
        <f t="shared" si="7"/>
        <v>14077.353249475815</v>
      </c>
      <c r="G56" s="5">
        <f t="shared" si="8"/>
        <v>35810.931040033713</v>
      </c>
      <c r="H56" s="22">
        <f t="shared" si="13"/>
        <v>24451.060620665547</v>
      </c>
      <c r="I56" s="5">
        <f t="shared" si="14"/>
        <v>58134.749386701355</v>
      </c>
      <c r="J56" s="26">
        <f t="shared" si="15"/>
        <v>0.17952396766093565</v>
      </c>
      <c r="L56" s="22">
        <f t="shared" si="16"/>
        <v>86710.30866107106</v>
      </c>
      <c r="M56" s="5">
        <f>scrimecost*Meta!O53</f>
        <v>153.83500000000001</v>
      </c>
      <c r="N56" s="22"/>
    </row>
    <row r="57" spans="1:14" x14ac:dyDescent="0.2">
      <c r="A57" s="5">
        <v>66</v>
      </c>
      <c r="C57" s="5"/>
      <c r="H57" s="21"/>
      <c r="I57" s="5"/>
      <c r="M57" s="5">
        <f>scrimecost*Meta!O54</f>
        <v>153.83500000000001</v>
      </c>
      <c r="N57" s="5"/>
    </row>
    <row r="58" spans="1:14" x14ac:dyDescent="0.2">
      <c r="A58" s="5">
        <v>67</v>
      </c>
      <c r="C58" s="5"/>
      <c r="H58" s="21"/>
      <c r="I58" s="5"/>
      <c r="M58" s="5">
        <f>scrimecost*Meta!O55</f>
        <v>153.83500000000001</v>
      </c>
      <c r="N58" s="5"/>
    </row>
    <row r="59" spans="1:14" x14ac:dyDescent="0.2">
      <c r="A59" s="5">
        <v>68</v>
      </c>
      <c r="H59" s="21"/>
      <c r="I59" s="5"/>
      <c r="M59" s="5">
        <f>scrimecost*Meta!O56</f>
        <v>153.83500000000001</v>
      </c>
      <c r="N59" s="5"/>
    </row>
    <row r="60" spans="1:14" x14ac:dyDescent="0.2">
      <c r="A60" s="5">
        <v>69</v>
      </c>
      <c r="H60" s="21"/>
      <c r="I60" s="5"/>
      <c r="M60" s="5">
        <f>scrimecost*Meta!O57</f>
        <v>153.83500000000001</v>
      </c>
      <c r="N60" s="5"/>
    </row>
    <row r="61" spans="1:14" x14ac:dyDescent="0.2">
      <c r="A61" s="5">
        <v>70</v>
      </c>
      <c r="H61" s="21"/>
      <c r="I61" s="5"/>
      <c r="M61" s="5">
        <f>scrimecost*Meta!O58</f>
        <v>153.83500000000001</v>
      </c>
      <c r="N61" s="5"/>
    </row>
    <row r="62" spans="1:14" x14ac:dyDescent="0.2">
      <c r="A62" s="5">
        <v>71</v>
      </c>
      <c r="H62" s="21"/>
      <c r="I62" s="5"/>
      <c r="M62" s="5">
        <f>scrimecost*Meta!O59</f>
        <v>153.83500000000001</v>
      </c>
      <c r="N62" s="5"/>
    </row>
    <row r="63" spans="1:14" x14ac:dyDescent="0.2">
      <c r="A63" s="5">
        <v>72</v>
      </c>
      <c r="H63" s="21"/>
      <c r="M63" s="5">
        <f>scrimecost*Meta!O60</f>
        <v>153.83500000000001</v>
      </c>
      <c r="N63" s="5"/>
    </row>
    <row r="64" spans="1:14" x14ac:dyDescent="0.2">
      <c r="A64" s="5">
        <v>73</v>
      </c>
      <c r="H64" s="21"/>
      <c r="M64" s="5">
        <f>scrimecost*Meta!O61</f>
        <v>153.83500000000001</v>
      </c>
      <c r="N64" s="5"/>
    </row>
    <row r="65" spans="1:14" x14ac:dyDescent="0.2">
      <c r="A65" s="5">
        <v>74</v>
      </c>
      <c r="H65" s="21"/>
      <c r="M65" s="5">
        <f>scrimecost*Meta!O62</f>
        <v>153.83500000000001</v>
      </c>
      <c r="N65" s="5"/>
    </row>
    <row r="66" spans="1:14" x14ac:dyDescent="0.2">
      <c r="A66" s="5">
        <v>75</v>
      </c>
      <c r="H66" s="21"/>
      <c r="M66" s="5">
        <f>scrimecost*Meta!O63</f>
        <v>153.83500000000001</v>
      </c>
      <c r="N66" s="5"/>
    </row>
    <row r="67" spans="1:14" x14ac:dyDescent="0.2">
      <c r="A67" s="5">
        <v>76</v>
      </c>
      <c r="H67" s="21"/>
      <c r="M67" s="5">
        <f>scrimecost*Meta!O64</f>
        <v>153.83500000000001</v>
      </c>
      <c r="N67" s="5"/>
    </row>
    <row r="68" spans="1:14" x14ac:dyDescent="0.2">
      <c r="A68" s="5">
        <v>77</v>
      </c>
      <c r="H68" s="21"/>
      <c r="M68" s="5">
        <f>scrimecost*Meta!O65</f>
        <v>153.83500000000001</v>
      </c>
      <c r="N68" s="5"/>
    </row>
    <row r="69" spans="1:14" x14ac:dyDescent="0.2">
      <c r="A69" s="5">
        <v>78</v>
      </c>
      <c r="H69" s="21"/>
      <c r="M69" s="5">
        <f>scrimecost*Meta!O66</f>
        <v>153.83500000000001</v>
      </c>
      <c r="N69" s="5"/>
    </row>
    <row r="70" spans="1:14" x14ac:dyDescent="0.2">
      <c r="A70" s="5">
        <v>79</v>
      </c>
      <c r="H70" s="21"/>
      <c r="M70" s="5"/>
    </row>
    <row r="71" spans="1:14" x14ac:dyDescent="0.2">
      <c r="A71" s="5">
        <v>80</v>
      </c>
      <c r="H71" s="21"/>
      <c r="M71" s="5"/>
    </row>
    <row r="72" spans="1:14" x14ac:dyDescent="0.2">
      <c r="A72" s="5">
        <v>81</v>
      </c>
      <c r="H72" s="21"/>
      <c r="M72" s="5"/>
    </row>
    <row r="73" spans="1:14" x14ac:dyDescent="0.2">
      <c r="A73" s="5">
        <v>82</v>
      </c>
      <c r="H73" s="21"/>
      <c r="M73" s="5"/>
    </row>
    <row r="74" spans="1:14" x14ac:dyDescent="0.2">
      <c r="A74" s="5">
        <v>83</v>
      </c>
      <c r="H74" s="21"/>
      <c r="M74" s="5"/>
    </row>
    <row r="75" spans="1:14" x14ac:dyDescent="0.2">
      <c r="A75" s="5">
        <v>84</v>
      </c>
      <c r="H75" s="21"/>
      <c r="M75" s="5"/>
    </row>
    <row r="76" spans="1:14" x14ac:dyDescent="0.2">
      <c r="A76" s="5">
        <v>85</v>
      </c>
      <c r="H76" s="21"/>
    </row>
    <row r="77" spans="1:14" x14ac:dyDescent="0.2">
      <c r="A77" s="5">
        <v>86</v>
      </c>
      <c r="H77" s="21"/>
    </row>
    <row r="78" spans="1:14" x14ac:dyDescent="0.2">
      <c r="A78" s="5">
        <v>87</v>
      </c>
      <c r="H78" s="21"/>
    </row>
    <row r="79" spans="1:14" x14ac:dyDescent="0.2">
      <c r="A79" s="5">
        <v>88</v>
      </c>
      <c r="H79" s="21"/>
    </row>
    <row r="80" spans="1:14" x14ac:dyDescent="0.2">
      <c r="A80" s="5">
        <v>89</v>
      </c>
      <c r="H80" s="21"/>
    </row>
    <row r="81" spans="1:8" x14ac:dyDescent="0.2">
      <c r="A81" s="5">
        <v>90</v>
      </c>
      <c r="H81" s="2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A5" sqref="A5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Meta!A3+6</f>
        <v>15</v>
      </c>
      <c r="C2" s="7">
        <f>Meta!B3</f>
        <v>31572</v>
      </c>
      <c r="D2" s="7">
        <f>Meta!C3</f>
        <v>14523</v>
      </c>
      <c r="E2" s="1">
        <f>Meta!D3</f>
        <v>8.3000000000000004E-2</v>
      </c>
      <c r="F2" s="1">
        <f>Meta!F3</f>
        <v>0.57599999999999996</v>
      </c>
      <c r="G2" s="1">
        <f>Meta!I3</f>
        <v>1.978852107996969</v>
      </c>
      <c r="H2" s="1">
        <f>Meta!E3</f>
        <v>0.94099999999999995</v>
      </c>
      <c r="I2" s="13"/>
      <c r="J2" s="1">
        <f>Meta!X2</f>
        <v>0.63100000000000001</v>
      </c>
      <c r="K2" s="1">
        <f>Meta!D2</f>
        <v>8.6999999999999994E-2</v>
      </c>
      <c r="L2" s="29"/>
      <c r="N2" s="22">
        <f>Meta!T3</f>
        <v>37014</v>
      </c>
      <c r="O2" s="22">
        <f>Meta!U3</f>
        <v>17026</v>
      </c>
      <c r="P2" s="1">
        <f>Meta!V3</f>
        <v>6.7000000000000004E-2</v>
      </c>
      <c r="Q2" s="1">
        <f>Meta!X3</f>
        <v>0.63900000000000001</v>
      </c>
      <c r="R2" s="22">
        <f>Meta!W3</f>
        <v>2740</v>
      </c>
      <c r="T2" s="12">
        <f>IRR(S5:S69)+1</f>
        <v>0.9891631510523281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B5" s="1">
        <v>1</v>
      </c>
      <c r="C5" s="5">
        <f>0.1*Grade8!C5</f>
        <v>1508.801412568163</v>
      </c>
      <c r="D5" s="5">
        <f>IF(A5&lt;startage,1,0)*(C5*(1-initialunempprob))+IF(A5=startage,1,0)*(C5*(1-unempprob))+IF(A5&gt;startage,1,0)*(C5*(1-unempprob)+unempprob*300*52)</f>
        <v>1377.5356896747328</v>
      </c>
      <c r="E5" s="5">
        <f>IF(D5-9500&gt;0,1,0)*(D5-9500)</f>
        <v>0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105.38148026011706</v>
      </c>
      <c r="G5" s="5">
        <f>D5-F5</f>
        <v>1272.1542094146157</v>
      </c>
      <c r="H5" s="22">
        <f>0.1*Grade8!H5</f>
        <v>694.0337136182211</v>
      </c>
      <c r="I5" s="5">
        <f>G5+IF(A5&lt;startage,1,0)*(H5*(1-initialunempprob))+IF(A5&gt;=startage,1,0)*(H5*(1-unempprob))</f>
        <v>1905.8069899480515</v>
      </c>
      <c r="J5" s="26">
        <f t="shared" ref="J5:J36" si="0">(F5-(IF(A5&gt;startage,1,0)*(unempprob*300*52)))/(IF(A5&lt;startage,1,0)*((C5+H5)*(1-initialunempprob))+IF(A5&gt;=startage,1,0)*((C5+H5)*(1-unempprob)))</f>
        <v>5.239761554977964E-2</v>
      </c>
      <c r="L5" s="22">
        <f>0.1*Grade8!L5</f>
        <v>2461.2379177597936</v>
      </c>
      <c r="M5" s="5"/>
      <c r="N5" s="5">
        <f>L5-Grade8!L5</f>
        <v>-22151.141259838139</v>
      </c>
      <c r="O5" s="5"/>
      <c r="P5" s="22"/>
      <c r="Q5" s="22">
        <f>0.05*feel*Grade8!G5</f>
        <v>166.1305900071537</v>
      </c>
      <c r="R5" s="22">
        <f>hstuition</f>
        <v>11298</v>
      </c>
      <c r="S5" s="22">
        <f t="shared" ref="S5:S36" si="1">IF(A5&lt;startage,1,0)*(N5-Q5-R5)+IF(A5&gt;=startage,1,0)*completionprob*(N5*spart+O5+P5)</f>
        <v>-33615.271849845289</v>
      </c>
      <c r="T5" s="22">
        <f t="shared" ref="T5:T36" si="2">S5/sreturn^(A5-startage+1)</f>
        <v>-33615.271849845289</v>
      </c>
    </row>
    <row r="6" spans="1:20" x14ac:dyDescent="0.2">
      <c r="A6" s="5">
        <v>15</v>
      </c>
      <c r="B6" s="1">
        <f t="shared" ref="B6:B36" si="3">(1+experiencepremium)^(A6-startage)</f>
        <v>1</v>
      </c>
      <c r="C6" s="5">
        <f t="shared" ref="C6:C36" si="4">pretaxincome*B6/expnorm</f>
        <v>15954.704180474491</v>
      </c>
      <c r="D6" s="5">
        <f t="shared" ref="D6:D36" si="5">IF(A6&lt;startage,1,0)*(C6*(1-initialunempprob))+IF(A6=startage,1,0)*(C6*(1-unempprob))+IF(A6&gt;startage,1,0)*(C6*(1-unempprob)+unempprob*300*52)</f>
        <v>14630.463733495109</v>
      </c>
      <c r="E6" s="5">
        <f t="shared" ref="E6:E56" si="6">IF(D6-9500&gt;0,1,0)*(D6-9500)</f>
        <v>5130.4637334951094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2145.3232223113978</v>
      </c>
      <c r="G6" s="5">
        <f t="shared" ref="G6:G56" si="8">D6-F6</f>
        <v>12485.140511183712</v>
      </c>
      <c r="H6" s="22">
        <f t="shared" ref="H6:H36" si="9">benefits*B6/expnorm</f>
        <v>7339.1032818013127</v>
      </c>
      <c r="I6" s="5">
        <f t="shared" ref="I6:I36" si="10">G6+IF(A6&lt;startage,1,0)*(H6*(1-initialunempprob))+IF(A6&gt;=startage,1,0)*(H6*(1-unempprob))</f>
        <v>19215.098220595515</v>
      </c>
      <c r="J6" s="26">
        <f t="shared" si="0"/>
        <v>0.10043449882510574</v>
      </c>
      <c r="L6" s="22">
        <f t="shared" ref="L6:L36" si="11">(sincome+sbenefits)*(1-sunemp)*B6/expnorm</f>
        <v>25479.074356413312</v>
      </c>
      <c r="M6" s="5">
        <f>scrimecost*Meta!O3</f>
        <v>5085.4400000000005</v>
      </c>
      <c r="N6" s="5">
        <f>L6-Grade8!L6</f>
        <v>251.38569937543434</v>
      </c>
      <c r="O6" s="5">
        <f>Grade8!M6-M6</f>
        <v>105.79199999999946</v>
      </c>
      <c r="P6" s="22">
        <f t="shared" ref="P6:P37" si="12">(spart-initialspart)*(L6*J6+nptrans)</f>
        <v>72.903824508111853</v>
      </c>
      <c r="S6" s="22">
        <f t="shared" si="1"/>
        <v>319.310740510882</v>
      </c>
      <c r="T6" s="22">
        <f t="shared" si="2"/>
        <v>322.80897258574691</v>
      </c>
    </row>
    <row r="7" spans="1:20" x14ac:dyDescent="0.2">
      <c r="A7" s="5">
        <v>16</v>
      </c>
      <c r="B7" s="1">
        <f t="shared" si="3"/>
        <v>1.0249999999999999</v>
      </c>
      <c r="C7" s="5">
        <f t="shared" si="4"/>
        <v>16353.57178498635</v>
      </c>
      <c r="D7" s="5">
        <f t="shared" si="5"/>
        <v>16291.025326832485</v>
      </c>
      <c r="E7" s="5">
        <f t="shared" si="6"/>
        <v>6791.025326832485</v>
      </c>
      <c r="F7" s="5">
        <f t="shared" si="7"/>
        <v>2604.468502869182</v>
      </c>
      <c r="G7" s="5">
        <f t="shared" si="8"/>
        <v>13686.556823963303</v>
      </c>
      <c r="H7" s="22">
        <f t="shared" si="9"/>
        <v>7522.580863846345</v>
      </c>
      <c r="I7" s="5">
        <f t="shared" si="10"/>
        <v>20584.763476110402</v>
      </c>
      <c r="J7" s="26">
        <f t="shared" si="0"/>
        <v>5.9817423175288077E-2</v>
      </c>
      <c r="L7" s="22">
        <f t="shared" si="11"/>
        <v>26116.051215323641</v>
      </c>
      <c r="M7" s="5">
        <f>scrimecost*Meta!O4</f>
        <v>6433.5199999999995</v>
      </c>
      <c r="N7" s="5">
        <f>L7-Grade8!L7</f>
        <v>257.67034185981902</v>
      </c>
      <c r="O7" s="5">
        <f>Grade8!M7-M7</f>
        <v>133.83600000000024</v>
      </c>
      <c r="P7" s="22">
        <f t="shared" si="12"/>
        <v>64.929559097716151</v>
      </c>
      <c r="S7" s="22">
        <f t="shared" si="1"/>
        <v>341.9753100009184</v>
      </c>
      <c r="T7" s="22">
        <f t="shared" si="2"/>
        <v>349.50942627595953</v>
      </c>
    </row>
    <row r="8" spans="1:20" x14ac:dyDescent="0.2">
      <c r="A8" s="5">
        <v>17</v>
      </c>
      <c r="B8" s="1">
        <f t="shared" si="3"/>
        <v>1.0506249999999999</v>
      </c>
      <c r="C8" s="5">
        <f t="shared" si="4"/>
        <v>16762.411079611011</v>
      </c>
      <c r="D8" s="5">
        <f t="shared" si="5"/>
        <v>16665.930960003298</v>
      </c>
      <c r="E8" s="5">
        <f t="shared" si="6"/>
        <v>7165.9309600032975</v>
      </c>
      <c r="F8" s="5">
        <f t="shared" si="7"/>
        <v>2708.1299104409118</v>
      </c>
      <c r="G8" s="5">
        <f t="shared" si="8"/>
        <v>13957.801049562386</v>
      </c>
      <c r="H8" s="22">
        <f t="shared" si="9"/>
        <v>7710.6453854425026</v>
      </c>
      <c r="I8" s="5">
        <f t="shared" si="10"/>
        <v>21028.462868013161</v>
      </c>
      <c r="J8" s="26">
        <f t="shared" si="0"/>
        <v>6.2977584919054322E-2</v>
      </c>
      <c r="L8" s="22">
        <f t="shared" si="11"/>
        <v>26768.952495706737</v>
      </c>
      <c r="M8" s="5">
        <f>scrimecost*Meta!O5</f>
        <v>7430.88</v>
      </c>
      <c r="N8" s="5">
        <f>L8-Grade8!L8</f>
        <v>264.11210040631704</v>
      </c>
      <c r="O8" s="5">
        <f>Grade8!M8-M8</f>
        <v>154.58400000000074</v>
      </c>
      <c r="P8" s="22">
        <f t="shared" si="12"/>
        <v>65.918751831940071</v>
      </c>
      <c r="S8" s="22">
        <f t="shared" si="1"/>
        <v>366.30343133607437</v>
      </c>
      <c r="T8" s="22">
        <f t="shared" si="2"/>
        <v>378.47500101047041</v>
      </c>
    </row>
    <row r="9" spans="1:20" x14ac:dyDescent="0.2">
      <c r="A9" s="5">
        <v>18</v>
      </c>
      <c r="B9" s="1">
        <f t="shared" si="3"/>
        <v>1.0768906249999999</v>
      </c>
      <c r="C9" s="5">
        <f t="shared" si="4"/>
        <v>17181.471356601287</v>
      </c>
      <c r="D9" s="5">
        <f t="shared" si="5"/>
        <v>17050.209234003381</v>
      </c>
      <c r="E9" s="5">
        <f t="shared" si="6"/>
        <v>7550.2092340033814</v>
      </c>
      <c r="F9" s="5">
        <f t="shared" si="7"/>
        <v>2814.3828532019352</v>
      </c>
      <c r="G9" s="5">
        <f t="shared" si="8"/>
        <v>14235.826380801445</v>
      </c>
      <c r="H9" s="22">
        <f t="shared" si="9"/>
        <v>7903.4115200785654</v>
      </c>
      <c r="I9" s="5">
        <f t="shared" si="10"/>
        <v>21483.254744713489</v>
      </c>
      <c r="J9" s="26">
        <f t="shared" si="0"/>
        <v>6.6060669547118978E-2</v>
      </c>
      <c r="L9" s="22">
        <f t="shared" si="11"/>
        <v>27438.176308099402</v>
      </c>
      <c r="M9" s="5">
        <f>scrimecost*Meta!O6</f>
        <v>9031.0399999999991</v>
      </c>
      <c r="N9" s="5">
        <f>L9-Grade8!L9</f>
        <v>270.71490291647569</v>
      </c>
      <c r="O9" s="5">
        <f>Grade8!M9-M9</f>
        <v>187.87200000000121</v>
      </c>
      <c r="P9" s="22">
        <f t="shared" si="12"/>
        <v>66.932674384519601</v>
      </c>
      <c r="S9" s="22">
        <f t="shared" si="1"/>
        <v>402.55179900460797</v>
      </c>
      <c r="T9" s="22">
        <f t="shared" si="2"/>
        <v>420.48456099710631</v>
      </c>
    </row>
    <row r="10" spans="1:20" x14ac:dyDescent="0.2">
      <c r="A10" s="5">
        <v>19</v>
      </c>
      <c r="B10" s="1">
        <f t="shared" si="3"/>
        <v>1.1038128906249998</v>
      </c>
      <c r="C10" s="5">
        <f t="shared" si="4"/>
        <v>17611.008140516318</v>
      </c>
      <c r="D10" s="5">
        <f t="shared" si="5"/>
        <v>17444.094464853464</v>
      </c>
      <c r="E10" s="5">
        <f t="shared" si="6"/>
        <v>7944.0944648534642</v>
      </c>
      <c r="F10" s="5">
        <f t="shared" si="7"/>
        <v>2923.2921195319832</v>
      </c>
      <c r="G10" s="5">
        <f t="shared" si="8"/>
        <v>14520.802345321481</v>
      </c>
      <c r="H10" s="22">
        <f t="shared" si="9"/>
        <v>8100.9968080805293</v>
      </c>
      <c r="I10" s="5">
        <f t="shared" si="10"/>
        <v>21949.416418331326</v>
      </c>
      <c r="J10" s="26">
        <f t="shared" si="0"/>
        <v>6.9068556989133237E-2</v>
      </c>
      <c r="L10" s="22">
        <f t="shared" si="11"/>
        <v>28124.130715801886</v>
      </c>
      <c r="M10" s="5">
        <f>scrimecost*Meta!O7</f>
        <v>9653.02</v>
      </c>
      <c r="N10" s="5">
        <f>L10-Grade8!L10</f>
        <v>277.48277548938495</v>
      </c>
      <c r="O10" s="5">
        <f>Grade8!M10-M10</f>
        <v>200.81099999999969</v>
      </c>
      <c r="P10" s="22">
        <f t="shared" si="12"/>
        <v>67.971945000913621</v>
      </c>
      <c r="S10" s="22">
        <f t="shared" si="1"/>
        <v>419.77486666485106</v>
      </c>
      <c r="T10" s="22">
        <f t="shared" si="2"/>
        <v>443.27862038253988</v>
      </c>
    </row>
    <row r="11" spans="1:20" x14ac:dyDescent="0.2">
      <c r="A11" s="5">
        <v>20</v>
      </c>
      <c r="B11" s="1">
        <f t="shared" si="3"/>
        <v>1.1314082128906247</v>
      </c>
      <c r="C11" s="5">
        <f t="shared" si="4"/>
        <v>18051.28334402922</v>
      </c>
      <c r="D11" s="5">
        <f t="shared" si="5"/>
        <v>17847.826826474793</v>
      </c>
      <c r="E11" s="5">
        <f t="shared" si="6"/>
        <v>8347.8268264747931</v>
      </c>
      <c r="F11" s="5">
        <f t="shared" si="7"/>
        <v>3034.9241175202806</v>
      </c>
      <c r="G11" s="5">
        <f t="shared" si="8"/>
        <v>14812.902708954512</v>
      </c>
      <c r="H11" s="22">
        <f t="shared" si="9"/>
        <v>8303.5217282825415</v>
      </c>
      <c r="I11" s="5">
        <f t="shared" si="10"/>
        <v>22427.232133789603</v>
      </c>
      <c r="J11" s="26">
        <f t="shared" si="0"/>
        <v>7.2003081322805612E-2</v>
      </c>
      <c r="L11" s="22">
        <f t="shared" si="11"/>
        <v>28827.233983696929</v>
      </c>
      <c r="M11" s="5">
        <f>scrimecost*Meta!O8</f>
        <v>9244.76</v>
      </c>
      <c r="N11" s="5">
        <f>L11-Grade8!L11</f>
        <v>284.4198448766183</v>
      </c>
      <c r="O11" s="5">
        <f>Grade8!M11-M11</f>
        <v>192.3179999999993</v>
      </c>
      <c r="P11" s="22">
        <f t="shared" si="12"/>
        <v>69.037197382717466</v>
      </c>
      <c r="S11" s="22">
        <f t="shared" si="1"/>
        <v>416.95660904160218</v>
      </c>
      <c r="T11" s="22">
        <f t="shared" si="2"/>
        <v>445.12633158040404</v>
      </c>
    </row>
    <row r="12" spans="1:20" x14ac:dyDescent="0.2">
      <c r="A12" s="5">
        <v>21</v>
      </c>
      <c r="B12" s="1">
        <f t="shared" si="3"/>
        <v>1.1596934182128902</v>
      </c>
      <c r="C12" s="5">
        <f t="shared" si="4"/>
        <v>18502.56542762995</v>
      </c>
      <c r="D12" s="5">
        <f t="shared" si="5"/>
        <v>18261.652497136663</v>
      </c>
      <c r="E12" s="5">
        <f t="shared" si="6"/>
        <v>8761.6524971366634</v>
      </c>
      <c r="F12" s="5">
        <f t="shared" si="7"/>
        <v>3162.4295403151209</v>
      </c>
      <c r="G12" s="5">
        <f t="shared" si="8"/>
        <v>15099.222956821543</v>
      </c>
      <c r="H12" s="22">
        <f t="shared" si="9"/>
        <v>8511.1097714896041</v>
      </c>
      <c r="I12" s="5">
        <f t="shared" si="10"/>
        <v>22903.91061727751</v>
      </c>
      <c r="J12" s="26">
        <f t="shared" si="0"/>
        <v>7.5394163157944796E-2</v>
      </c>
      <c r="L12" s="22">
        <f t="shared" si="11"/>
        <v>29547.914833289353</v>
      </c>
      <c r="M12" s="5">
        <f>scrimecost*Meta!O9</f>
        <v>8395.36</v>
      </c>
      <c r="N12" s="5">
        <f>L12-Grade8!L12</f>
        <v>291.53034099853539</v>
      </c>
      <c r="O12" s="5">
        <f>Grade8!M12-M12</f>
        <v>174.64799999999923</v>
      </c>
      <c r="P12" s="22">
        <f t="shared" si="12"/>
        <v>70.253922495344653</v>
      </c>
      <c r="S12" s="22">
        <f t="shared" si="1"/>
        <v>405.74961158019693</v>
      </c>
      <c r="T12" s="22">
        <f t="shared" si="2"/>
        <v>437.90772564380376</v>
      </c>
    </row>
    <row r="13" spans="1:20" x14ac:dyDescent="0.2">
      <c r="A13" s="5">
        <v>22</v>
      </c>
      <c r="B13" s="1">
        <f t="shared" si="3"/>
        <v>1.1886857536682125</v>
      </c>
      <c r="C13" s="5">
        <f t="shared" si="4"/>
        <v>18965.129563320701</v>
      </c>
      <c r="D13" s="5">
        <f t="shared" si="5"/>
        <v>18685.823809565081</v>
      </c>
      <c r="E13" s="5">
        <f t="shared" si="6"/>
        <v>9185.8238095650813</v>
      </c>
      <c r="F13" s="5">
        <f t="shared" si="7"/>
        <v>3300.9214738229994</v>
      </c>
      <c r="G13" s="5">
        <f t="shared" si="8"/>
        <v>15384.902335742081</v>
      </c>
      <c r="H13" s="22">
        <f t="shared" si="9"/>
        <v>8723.8875157768434</v>
      </c>
      <c r="I13" s="5">
        <f t="shared" si="10"/>
        <v>23384.707187709446</v>
      </c>
      <c r="J13" s="26">
        <f t="shared" si="0"/>
        <v>7.9009688914261716E-2</v>
      </c>
      <c r="L13" s="22">
        <f t="shared" si="11"/>
        <v>30286.612704121584</v>
      </c>
      <c r="M13" s="5">
        <f>scrimecost*Meta!O10</f>
        <v>7693.9199999999992</v>
      </c>
      <c r="N13" s="5">
        <f>L13-Grade8!L13</f>
        <v>298.81859952349623</v>
      </c>
      <c r="O13" s="5">
        <f>Grade8!M13-M13</f>
        <v>160.05600000000049</v>
      </c>
      <c r="P13" s="22">
        <f t="shared" si="12"/>
        <v>71.575486784155046</v>
      </c>
      <c r="S13" s="22">
        <f t="shared" si="1"/>
        <v>397.64455413876908</v>
      </c>
      <c r="T13" s="22">
        <f t="shared" si="2"/>
        <v>433.86199016494726</v>
      </c>
    </row>
    <row r="14" spans="1:20" x14ac:dyDescent="0.2">
      <c r="A14" s="5">
        <v>23</v>
      </c>
      <c r="B14" s="1">
        <f t="shared" si="3"/>
        <v>1.2184028975099177</v>
      </c>
      <c r="C14" s="5">
        <f t="shared" si="4"/>
        <v>19439.257802403714</v>
      </c>
      <c r="D14" s="5">
        <f t="shared" si="5"/>
        <v>19120.599404804205</v>
      </c>
      <c r="E14" s="5">
        <f t="shared" si="6"/>
        <v>9620.5994048042048</v>
      </c>
      <c r="F14" s="5">
        <f t="shared" si="7"/>
        <v>3442.8757056685727</v>
      </c>
      <c r="G14" s="5">
        <f t="shared" si="8"/>
        <v>15677.723699135633</v>
      </c>
      <c r="H14" s="22">
        <f t="shared" si="9"/>
        <v>8941.9847036712654</v>
      </c>
      <c r="I14" s="5">
        <f t="shared" si="10"/>
        <v>23877.523672402182</v>
      </c>
      <c r="J14" s="26">
        <f t="shared" si="0"/>
        <v>8.2537031115546444E-2</v>
      </c>
      <c r="L14" s="22">
        <f t="shared" si="11"/>
        <v>31043.778021724622</v>
      </c>
      <c r="M14" s="5">
        <f>scrimecost*Meta!O11</f>
        <v>7189.76</v>
      </c>
      <c r="N14" s="5">
        <f>L14-Grade8!L14</f>
        <v>306.28906451158764</v>
      </c>
      <c r="O14" s="5">
        <f>Grade8!M14-M14</f>
        <v>149.56800000000021</v>
      </c>
      <c r="P14" s="22">
        <f t="shared" si="12"/>
        <v>72.930090180185687</v>
      </c>
      <c r="S14" s="22">
        <f t="shared" si="1"/>
        <v>393.54201106130807</v>
      </c>
      <c r="T14" s="22">
        <f t="shared" si="2"/>
        <v>434.08995504567275</v>
      </c>
    </row>
    <row r="15" spans="1:20" x14ac:dyDescent="0.2">
      <c r="A15" s="5">
        <v>24</v>
      </c>
      <c r="B15" s="1">
        <f t="shared" si="3"/>
        <v>1.2488629699476654</v>
      </c>
      <c r="C15" s="5">
        <f t="shared" si="4"/>
        <v>19925.239247463807</v>
      </c>
      <c r="D15" s="5">
        <f t="shared" si="5"/>
        <v>19566.244389924312</v>
      </c>
      <c r="E15" s="5">
        <f t="shared" si="6"/>
        <v>10066.244389924312</v>
      </c>
      <c r="F15" s="5">
        <f t="shared" si="7"/>
        <v>3588.3787933102876</v>
      </c>
      <c r="G15" s="5">
        <f t="shared" si="8"/>
        <v>15977.865596614025</v>
      </c>
      <c r="H15" s="22">
        <f t="shared" si="9"/>
        <v>9165.5343212630451</v>
      </c>
      <c r="I15" s="5">
        <f t="shared" si="10"/>
        <v>24382.660569212239</v>
      </c>
      <c r="J15" s="26">
        <f t="shared" si="0"/>
        <v>8.5978340580214571E-2</v>
      </c>
      <c r="L15" s="22">
        <f t="shared" si="11"/>
        <v>31819.872472267733</v>
      </c>
      <c r="M15" s="5">
        <f>scrimecost*Meta!O12</f>
        <v>6869.18</v>
      </c>
      <c r="N15" s="5">
        <f>L15-Grade8!L15</f>
        <v>313.94629112437178</v>
      </c>
      <c r="O15" s="5">
        <f>Grade8!M15-M15</f>
        <v>142.89900000000034</v>
      </c>
      <c r="P15" s="22">
        <f t="shared" si="12"/>
        <v>74.318558661117095</v>
      </c>
      <c r="S15" s="22">
        <f t="shared" si="1"/>
        <v>393.17731360690516</v>
      </c>
      <c r="T15" s="22">
        <f t="shared" si="2"/>
        <v>438.4389785816781</v>
      </c>
    </row>
    <row r="16" spans="1:20" x14ac:dyDescent="0.2">
      <c r="A16" s="5">
        <v>25</v>
      </c>
      <c r="B16" s="1">
        <f t="shared" si="3"/>
        <v>1.2800845441963571</v>
      </c>
      <c r="C16" s="5">
        <f t="shared" si="4"/>
        <v>20423.370228650401</v>
      </c>
      <c r="D16" s="5">
        <f t="shared" si="5"/>
        <v>20023.030499672419</v>
      </c>
      <c r="E16" s="5">
        <f t="shared" si="6"/>
        <v>10523.030499672419</v>
      </c>
      <c r="F16" s="5">
        <f t="shared" si="7"/>
        <v>3737.5194581430451</v>
      </c>
      <c r="G16" s="5">
        <f t="shared" si="8"/>
        <v>16285.511041529375</v>
      </c>
      <c r="H16" s="22">
        <f t="shared" si="9"/>
        <v>9394.672679294621</v>
      </c>
      <c r="I16" s="5">
        <f t="shared" si="10"/>
        <v>24900.425888442544</v>
      </c>
      <c r="J16" s="26">
        <f t="shared" si="0"/>
        <v>8.9335715667695645E-2</v>
      </c>
      <c r="L16" s="22">
        <f t="shared" si="11"/>
        <v>32615.369284074426</v>
      </c>
      <c r="M16" s="5">
        <f>scrimecost*Meta!O13</f>
        <v>5767.7</v>
      </c>
      <c r="N16" s="5">
        <f>L16-Grade8!L16</f>
        <v>321.79494840248299</v>
      </c>
      <c r="O16" s="5">
        <f>Grade8!M16-M16</f>
        <v>119.98500000000058</v>
      </c>
      <c r="P16" s="22">
        <f t="shared" si="12"/>
        <v>75.741738854071798</v>
      </c>
      <c r="S16" s="22">
        <f t="shared" si="1"/>
        <v>377.67384194114669</v>
      </c>
      <c r="T16" s="22">
        <f t="shared" si="2"/>
        <v>425.76473111473189</v>
      </c>
    </row>
    <row r="17" spans="1:20" x14ac:dyDescent="0.2">
      <c r="A17" s="5">
        <v>26</v>
      </c>
      <c r="B17" s="1">
        <f t="shared" si="3"/>
        <v>1.312086657801266</v>
      </c>
      <c r="C17" s="5">
        <f t="shared" si="4"/>
        <v>20933.954484366663</v>
      </c>
      <c r="D17" s="5">
        <f t="shared" si="5"/>
        <v>20491.236262164231</v>
      </c>
      <c r="E17" s="5">
        <f t="shared" si="6"/>
        <v>10991.236262164231</v>
      </c>
      <c r="F17" s="5">
        <f t="shared" si="7"/>
        <v>3890.3886395966215</v>
      </c>
      <c r="G17" s="5">
        <f t="shared" si="8"/>
        <v>16600.84762256761</v>
      </c>
      <c r="H17" s="22">
        <f t="shared" si="9"/>
        <v>9629.539496276986</v>
      </c>
      <c r="I17" s="5">
        <f t="shared" si="10"/>
        <v>25431.135340653607</v>
      </c>
      <c r="J17" s="26">
        <f t="shared" si="0"/>
        <v>9.261120355792106E-2</v>
      </c>
      <c r="L17" s="22">
        <f t="shared" si="11"/>
        <v>33430.753516176286</v>
      </c>
      <c r="M17" s="5">
        <f>scrimecost*Meta!O14</f>
        <v>5767.7</v>
      </c>
      <c r="N17" s="5">
        <f>L17-Grade8!L17</f>
        <v>329.83982211255352</v>
      </c>
      <c r="O17" s="5">
        <f>Grade8!M17-M17</f>
        <v>119.98500000000058</v>
      </c>
      <c r="P17" s="22">
        <f t="shared" si="12"/>
        <v>77.200498551850359</v>
      </c>
      <c r="S17" s="22">
        <f t="shared" si="1"/>
        <v>383.88390933374808</v>
      </c>
      <c r="T17" s="22">
        <f t="shared" si="2"/>
        <v>437.50674854167249</v>
      </c>
    </row>
    <row r="18" spans="1:20" x14ac:dyDescent="0.2">
      <c r="A18" s="5">
        <v>27</v>
      </c>
      <c r="B18" s="1">
        <f t="shared" si="3"/>
        <v>1.3448888242462975</v>
      </c>
      <c r="C18" s="5">
        <f t="shared" si="4"/>
        <v>21457.303346475826</v>
      </c>
      <c r="D18" s="5">
        <f t="shared" si="5"/>
        <v>20971.147168718333</v>
      </c>
      <c r="E18" s="5">
        <f t="shared" si="6"/>
        <v>11471.147168718333</v>
      </c>
      <c r="F18" s="5">
        <f t="shared" si="7"/>
        <v>4047.0795505865358</v>
      </c>
      <c r="G18" s="5">
        <f t="shared" si="8"/>
        <v>16924.067618131798</v>
      </c>
      <c r="H18" s="22">
        <f t="shared" si="9"/>
        <v>9870.2779836839109</v>
      </c>
      <c r="I18" s="5">
        <f t="shared" si="10"/>
        <v>25975.112529169943</v>
      </c>
      <c r="J18" s="26">
        <f t="shared" si="0"/>
        <v>9.5806801499604369E-2</v>
      </c>
      <c r="L18" s="22">
        <f t="shared" si="11"/>
        <v>34266.522354080691</v>
      </c>
      <c r="M18" s="5">
        <f>scrimecost*Meta!O15</f>
        <v>5767.7</v>
      </c>
      <c r="N18" s="5">
        <f>L18-Grade8!L18</f>
        <v>338.08581766536372</v>
      </c>
      <c r="O18" s="5">
        <f>Grade8!M18-M18</f>
        <v>119.98500000000058</v>
      </c>
      <c r="P18" s="22">
        <f t="shared" si="12"/>
        <v>78.695727242073389</v>
      </c>
      <c r="S18" s="22">
        <f t="shared" si="1"/>
        <v>390.24922841115716</v>
      </c>
      <c r="T18" s="22">
        <f t="shared" si="2"/>
        <v>449.6338212715296</v>
      </c>
    </row>
    <row r="19" spans="1:20" x14ac:dyDescent="0.2">
      <c r="A19" s="5">
        <v>28</v>
      </c>
      <c r="B19" s="1">
        <f t="shared" si="3"/>
        <v>1.3785110448524549</v>
      </c>
      <c r="C19" s="5">
        <f t="shared" si="4"/>
        <v>21993.735930137722</v>
      </c>
      <c r="D19" s="5">
        <f t="shared" si="5"/>
        <v>21463.055847936292</v>
      </c>
      <c r="E19" s="5">
        <f t="shared" si="6"/>
        <v>11963.055847936292</v>
      </c>
      <c r="F19" s="5">
        <f t="shared" si="7"/>
        <v>4207.6877343511987</v>
      </c>
      <c r="G19" s="5">
        <f t="shared" si="8"/>
        <v>17255.368113585093</v>
      </c>
      <c r="H19" s="22">
        <f t="shared" si="9"/>
        <v>10117.034933276007</v>
      </c>
      <c r="I19" s="5">
        <f t="shared" si="10"/>
        <v>26532.689147399193</v>
      </c>
      <c r="J19" s="26">
        <f t="shared" si="0"/>
        <v>9.8924458028075896E-2</v>
      </c>
      <c r="L19" s="22">
        <f t="shared" si="11"/>
        <v>35123.185412932704</v>
      </c>
      <c r="M19" s="5">
        <f>scrimecost*Meta!O16</f>
        <v>5767.7</v>
      </c>
      <c r="N19" s="5">
        <f>L19-Grade8!L19</f>
        <v>346.53796310699545</v>
      </c>
      <c r="O19" s="5">
        <f>Grade8!M19-M19</f>
        <v>119.98500000000058</v>
      </c>
      <c r="P19" s="22">
        <f t="shared" si="12"/>
        <v>80.228336649551991</v>
      </c>
      <c r="S19" s="22">
        <f t="shared" si="1"/>
        <v>396.77368046550225</v>
      </c>
      <c r="T19" s="22">
        <f t="shared" si="2"/>
        <v>462.15945757514413</v>
      </c>
    </row>
    <row r="20" spans="1:20" x14ac:dyDescent="0.2">
      <c r="A20" s="5">
        <v>29</v>
      </c>
      <c r="B20" s="1">
        <f t="shared" si="3"/>
        <v>1.4129738209737661</v>
      </c>
      <c r="C20" s="5">
        <f t="shared" si="4"/>
        <v>22543.579328391163</v>
      </c>
      <c r="D20" s="5">
        <f t="shared" si="5"/>
        <v>21967.262244134698</v>
      </c>
      <c r="E20" s="5">
        <f t="shared" si="6"/>
        <v>12467.262244134698</v>
      </c>
      <c r="F20" s="5">
        <f t="shared" si="7"/>
        <v>4372.3111227099789</v>
      </c>
      <c r="G20" s="5">
        <f t="shared" si="8"/>
        <v>17594.951121424718</v>
      </c>
      <c r="H20" s="22">
        <f t="shared" si="9"/>
        <v>10369.960806607907</v>
      </c>
      <c r="I20" s="5">
        <f t="shared" si="10"/>
        <v>27104.205181084169</v>
      </c>
      <c r="J20" s="26">
        <f t="shared" si="0"/>
        <v>0.10196607415341401</v>
      </c>
      <c r="L20" s="22">
        <f t="shared" si="11"/>
        <v>36001.26504825602</v>
      </c>
      <c r="M20" s="5">
        <f>scrimecost*Meta!O17</f>
        <v>5767.7</v>
      </c>
      <c r="N20" s="5">
        <f>L20-Grade8!L20</f>
        <v>355.20141218465869</v>
      </c>
      <c r="O20" s="5">
        <f>Grade8!M20-M20</f>
        <v>119.98500000000058</v>
      </c>
      <c r="P20" s="22">
        <f t="shared" si="12"/>
        <v>81.799261292217551</v>
      </c>
      <c r="S20" s="22">
        <f t="shared" si="1"/>
        <v>403.46124382120041</v>
      </c>
      <c r="T20" s="22">
        <f t="shared" si="2"/>
        <v>475.09765027753508</v>
      </c>
    </row>
    <row r="21" spans="1:20" x14ac:dyDescent="0.2">
      <c r="A21" s="5">
        <v>30</v>
      </c>
      <c r="B21" s="1">
        <f t="shared" si="3"/>
        <v>1.4482981664981105</v>
      </c>
      <c r="C21" s="5">
        <f t="shared" si="4"/>
        <v>23107.168811600946</v>
      </c>
      <c r="D21" s="5">
        <f t="shared" si="5"/>
        <v>22484.073800238068</v>
      </c>
      <c r="E21" s="5">
        <f t="shared" si="6"/>
        <v>12984.073800238068</v>
      </c>
      <c r="F21" s="5">
        <f t="shared" si="7"/>
        <v>4541.0500957777294</v>
      </c>
      <c r="G21" s="5">
        <f t="shared" si="8"/>
        <v>17943.023704460338</v>
      </c>
      <c r="H21" s="22">
        <f t="shared" si="9"/>
        <v>10629.209826773107</v>
      </c>
      <c r="I21" s="5">
        <f t="shared" si="10"/>
        <v>27690.009115611276</v>
      </c>
      <c r="J21" s="26">
        <f t="shared" si="0"/>
        <v>0.10493350451959754</v>
      </c>
      <c r="L21" s="22">
        <f t="shared" si="11"/>
        <v>36901.296674462428</v>
      </c>
      <c r="M21" s="5">
        <f>scrimecost*Meta!O18</f>
        <v>4649.78</v>
      </c>
      <c r="N21" s="5">
        <f>L21-Grade8!L21</f>
        <v>364.08144748929044</v>
      </c>
      <c r="O21" s="5">
        <f>Grade8!M21-M21</f>
        <v>96.729000000000269</v>
      </c>
      <c r="P21" s="22">
        <f t="shared" si="12"/>
        <v>83.409459050949778</v>
      </c>
      <c r="S21" s="22">
        <f t="shared" si="1"/>
        <v>388.43210026080681</v>
      </c>
      <c r="T21" s="22">
        <f t="shared" si="2"/>
        <v>462.41109205085542</v>
      </c>
    </row>
    <row r="22" spans="1:20" x14ac:dyDescent="0.2">
      <c r="A22" s="5">
        <v>31</v>
      </c>
      <c r="B22" s="1">
        <f t="shared" si="3"/>
        <v>1.4845056206605631</v>
      </c>
      <c r="C22" s="5">
        <f t="shared" si="4"/>
        <v>23684.848031890964</v>
      </c>
      <c r="D22" s="5">
        <f t="shared" si="5"/>
        <v>23013.805645244014</v>
      </c>
      <c r="E22" s="5">
        <f t="shared" si="6"/>
        <v>13513.805645244014</v>
      </c>
      <c r="F22" s="5">
        <f t="shared" si="7"/>
        <v>4714.0075431721707</v>
      </c>
      <c r="G22" s="5">
        <f t="shared" si="8"/>
        <v>18299.798102071843</v>
      </c>
      <c r="H22" s="22">
        <f t="shared" si="9"/>
        <v>10894.940072442434</v>
      </c>
      <c r="I22" s="5">
        <f t="shared" si="10"/>
        <v>28290.458148501555</v>
      </c>
      <c r="J22" s="26">
        <f t="shared" si="0"/>
        <v>0.10782855853538628</v>
      </c>
      <c r="L22" s="22">
        <f t="shared" si="11"/>
        <v>37823.829091323983</v>
      </c>
      <c r="M22" s="5">
        <f>scrimecost*Meta!O19</f>
        <v>4649.78</v>
      </c>
      <c r="N22" s="5">
        <f>L22-Grade8!L22</f>
        <v>373.18348367651924</v>
      </c>
      <c r="O22" s="5">
        <f>Grade8!M22-M22</f>
        <v>96.729000000000269</v>
      </c>
      <c r="P22" s="22">
        <f t="shared" si="12"/>
        <v>85.059911753650283</v>
      </c>
      <c r="S22" s="22">
        <f t="shared" si="1"/>
        <v>395.45822151139248</v>
      </c>
      <c r="T22" s="22">
        <f t="shared" si="2"/>
        <v>475.93298996997231</v>
      </c>
    </row>
    <row r="23" spans="1:20" x14ac:dyDescent="0.2">
      <c r="A23" s="5">
        <v>32</v>
      </c>
      <c r="B23" s="1">
        <f t="shared" si="3"/>
        <v>1.521618261177077</v>
      </c>
      <c r="C23" s="5">
        <f t="shared" si="4"/>
        <v>24276.969232688236</v>
      </c>
      <c r="D23" s="5">
        <f t="shared" si="5"/>
        <v>23556.780786375111</v>
      </c>
      <c r="E23" s="5">
        <f t="shared" si="6"/>
        <v>14056.780786375111</v>
      </c>
      <c r="F23" s="5">
        <f t="shared" si="7"/>
        <v>4891.2889267514738</v>
      </c>
      <c r="G23" s="5">
        <f t="shared" si="8"/>
        <v>18665.491859623638</v>
      </c>
      <c r="H23" s="22">
        <f t="shared" si="9"/>
        <v>11167.313574253492</v>
      </c>
      <c r="I23" s="5">
        <f t="shared" si="10"/>
        <v>28905.918407214092</v>
      </c>
      <c r="J23" s="26">
        <f t="shared" si="0"/>
        <v>0.11065300147761922</v>
      </c>
      <c r="L23" s="22">
        <f t="shared" si="11"/>
        <v>38769.424818607076</v>
      </c>
      <c r="M23" s="5">
        <f>scrimecost*Meta!O20</f>
        <v>4649.78</v>
      </c>
      <c r="N23" s="5">
        <f>L23-Grade8!L23</f>
        <v>382.51307076842204</v>
      </c>
      <c r="O23" s="5">
        <f>Grade8!M23-M23</f>
        <v>96.729000000000269</v>
      </c>
      <c r="P23" s="22">
        <f t="shared" si="12"/>
        <v>86.751625773918278</v>
      </c>
      <c r="S23" s="22">
        <f t="shared" si="1"/>
        <v>402.65999579323875</v>
      </c>
      <c r="T23" s="22">
        <f t="shared" si="2"/>
        <v>489.90938144286707</v>
      </c>
    </row>
    <row r="24" spans="1:20" x14ac:dyDescent="0.2">
      <c r="A24" s="5">
        <v>33</v>
      </c>
      <c r="B24" s="1">
        <f t="shared" si="3"/>
        <v>1.559658717706504</v>
      </c>
      <c r="C24" s="5">
        <f t="shared" si="4"/>
        <v>24883.893463505443</v>
      </c>
      <c r="D24" s="5">
        <f t="shared" si="5"/>
        <v>24113.330306034492</v>
      </c>
      <c r="E24" s="5">
        <f t="shared" si="6"/>
        <v>14613.330306034492</v>
      </c>
      <c r="F24" s="5">
        <f t="shared" si="7"/>
        <v>5073.0023449202617</v>
      </c>
      <c r="G24" s="5">
        <f t="shared" si="8"/>
        <v>19040.327961114228</v>
      </c>
      <c r="H24" s="22">
        <f t="shared" si="9"/>
        <v>11446.49641360983</v>
      </c>
      <c r="I24" s="5">
        <f t="shared" si="10"/>
        <v>29536.765172394444</v>
      </c>
      <c r="J24" s="26">
        <f t="shared" si="0"/>
        <v>0.11340855556760261</v>
      </c>
      <c r="L24" s="22">
        <f t="shared" si="11"/>
        <v>39738.660439072257</v>
      </c>
      <c r="M24" s="5">
        <f>scrimecost*Meta!O21</f>
        <v>4649.78</v>
      </c>
      <c r="N24" s="5">
        <f>L24-Grade8!L24</f>
        <v>392.07589753764478</v>
      </c>
      <c r="O24" s="5">
        <f>Grade8!M24-M24</f>
        <v>96.729000000000269</v>
      </c>
      <c r="P24" s="22">
        <f t="shared" si="12"/>
        <v>88.485632644693013</v>
      </c>
      <c r="S24" s="22">
        <f t="shared" si="1"/>
        <v>410.04181443214463</v>
      </c>
      <c r="T24" s="22">
        <f t="shared" si="2"/>
        <v>504.35634472629329</v>
      </c>
    </row>
    <row r="25" spans="1:20" x14ac:dyDescent="0.2">
      <c r="A25" s="5">
        <v>34</v>
      </c>
      <c r="B25" s="1">
        <f t="shared" si="3"/>
        <v>1.5986501856491666</v>
      </c>
      <c r="C25" s="5">
        <f t="shared" si="4"/>
        <v>25505.990800093081</v>
      </c>
      <c r="D25" s="5">
        <f t="shared" si="5"/>
        <v>24683.793563685354</v>
      </c>
      <c r="E25" s="5">
        <f t="shared" si="6"/>
        <v>15183.793563685354</v>
      </c>
      <c r="F25" s="5">
        <f t="shared" si="7"/>
        <v>5259.2585985432679</v>
      </c>
      <c r="G25" s="5">
        <f t="shared" si="8"/>
        <v>19424.534965142087</v>
      </c>
      <c r="H25" s="22">
        <f t="shared" si="9"/>
        <v>11732.658823950074</v>
      </c>
      <c r="I25" s="5">
        <f t="shared" si="10"/>
        <v>30183.383106704307</v>
      </c>
      <c r="J25" s="26">
        <f t="shared" si="0"/>
        <v>0.11609690102124492</v>
      </c>
      <c r="L25" s="22">
        <f t="shared" si="11"/>
        <v>40732.12695004906</v>
      </c>
      <c r="M25" s="5">
        <f>scrimecost*Meta!O22</f>
        <v>4649.78</v>
      </c>
      <c r="N25" s="5">
        <f>L25-Grade8!L25</f>
        <v>401.87779497607698</v>
      </c>
      <c r="O25" s="5">
        <f>Grade8!M25-M25</f>
        <v>96.729000000000269</v>
      </c>
      <c r="P25" s="22">
        <f t="shared" si="12"/>
        <v>90.262989687237109</v>
      </c>
      <c r="S25" s="22">
        <f t="shared" si="1"/>
        <v>417.60817853701047</v>
      </c>
      <c r="T25" s="22">
        <f t="shared" si="2"/>
        <v>519.29053633497153</v>
      </c>
    </row>
    <row r="26" spans="1:20" x14ac:dyDescent="0.2">
      <c r="A26" s="5">
        <v>35</v>
      </c>
      <c r="B26" s="1">
        <f t="shared" si="3"/>
        <v>1.6386164402903955</v>
      </c>
      <c r="C26" s="5">
        <f t="shared" si="4"/>
        <v>26143.640570095402</v>
      </c>
      <c r="D26" s="5">
        <f t="shared" si="5"/>
        <v>25268.518402777485</v>
      </c>
      <c r="E26" s="5">
        <f t="shared" si="6"/>
        <v>15768.518402777485</v>
      </c>
      <c r="F26" s="5">
        <f t="shared" si="7"/>
        <v>5450.171258506849</v>
      </c>
      <c r="G26" s="5">
        <f t="shared" si="8"/>
        <v>19818.347144270636</v>
      </c>
      <c r="H26" s="22">
        <f t="shared" si="9"/>
        <v>12025.975294548825</v>
      </c>
      <c r="I26" s="5">
        <f t="shared" si="10"/>
        <v>30846.16648937191</v>
      </c>
      <c r="J26" s="26">
        <f t="shared" si="0"/>
        <v>0.11871967707357892</v>
      </c>
      <c r="L26" s="22">
        <f t="shared" si="11"/>
        <v>41750.430123800281</v>
      </c>
      <c r="M26" s="5">
        <f>scrimecost*Meta!O23</f>
        <v>3608.58</v>
      </c>
      <c r="N26" s="5">
        <f>L26-Grade8!L26</f>
        <v>411.92473985048855</v>
      </c>
      <c r="O26" s="5">
        <f>Grade8!M26-M26</f>
        <v>75.06899999999996</v>
      </c>
      <c r="P26" s="22">
        <f t="shared" si="12"/>
        <v>92.084780655844796</v>
      </c>
      <c r="S26" s="22">
        <f t="shared" si="1"/>
        <v>404.98164174450875</v>
      </c>
      <c r="T26" s="22">
        <f t="shared" si="2"/>
        <v>509.10670857467755</v>
      </c>
    </row>
    <row r="27" spans="1:20" x14ac:dyDescent="0.2">
      <c r="A27" s="5">
        <v>36</v>
      </c>
      <c r="B27" s="1">
        <f t="shared" si="3"/>
        <v>1.6795818512976552</v>
      </c>
      <c r="C27" s="5">
        <f t="shared" si="4"/>
        <v>26797.231584347785</v>
      </c>
      <c r="D27" s="5">
        <f t="shared" si="5"/>
        <v>25867.861362846917</v>
      </c>
      <c r="E27" s="5">
        <f t="shared" si="6"/>
        <v>16367.861362846917</v>
      </c>
      <c r="F27" s="5">
        <f t="shared" si="7"/>
        <v>5645.8567349695186</v>
      </c>
      <c r="G27" s="5">
        <f t="shared" si="8"/>
        <v>20222.004627877399</v>
      </c>
      <c r="H27" s="22">
        <f t="shared" si="9"/>
        <v>12326.624676912546</v>
      </c>
      <c r="I27" s="5">
        <f t="shared" si="10"/>
        <v>31525.519456606205</v>
      </c>
      <c r="J27" s="26">
        <f t="shared" si="0"/>
        <v>0.12127848297829495</v>
      </c>
      <c r="L27" s="22">
        <f t="shared" si="11"/>
        <v>42794.190876895285</v>
      </c>
      <c r="M27" s="5">
        <f>scrimecost*Meta!O24</f>
        <v>3608.58</v>
      </c>
      <c r="N27" s="5">
        <f>L27-Grade8!L27</f>
        <v>422.22285834674403</v>
      </c>
      <c r="O27" s="5">
        <f>Grade8!M27-M27</f>
        <v>75.06899999999996</v>
      </c>
      <c r="P27" s="22">
        <f t="shared" si="12"/>
        <v>93.952116398667684</v>
      </c>
      <c r="S27" s="22">
        <f t="shared" si="1"/>
        <v>412.93105303218505</v>
      </c>
      <c r="T27" s="22">
        <f t="shared" si="2"/>
        <v>524.78703548228896</v>
      </c>
    </row>
    <row r="28" spans="1:20" x14ac:dyDescent="0.2">
      <c r="A28" s="5">
        <v>37</v>
      </c>
      <c r="B28" s="1">
        <f t="shared" si="3"/>
        <v>1.7215713975800966</v>
      </c>
      <c r="C28" s="5">
        <f t="shared" si="4"/>
        <v>27467.162373956482</v>
      </c>
      <c r="D28" s="5">
        <f t="shared" si="5"/>
        <v>26482.187896918094</v>
      </c>
      <c r="E28" s="5">
        <f t="shared" si="6"/>
        <v>16982.187896918094</v>
      </c>
      <c r="F28" s="5">
        <f t="shared" si="7"/>
        <v>5846.4343483437578</v>
      </c>
      <c r="G28" s="5">
        <f t="shared" si="8"/>
        <v>20635.753548574336</v>
      </c>
      <c r="H28" s="22">
        <f t="shared" si="9"/>
        <v>12634.790293835358</v>
      </c>
      <c r="I28" s="5">
        <f t="shared" si="10"/>
        <v>32221.856248021359</v>
      </c>
      <c r="J28" s="26">
        <f t="shared" si="0"/>
        <v>0.12377487898289603</v>
      </c>
      <c r="L28" s="22">
        <f t="shared" si="11"/>
        <v>43864.045648817671</v>
      </c>
      <c r="M28" s="5">
        <f>scrimecost*Meta!O25</f>
        <v>3608.58</v>
      </c>
      <c r="N28" s="5">
        <f>L28-Grade8!L28</f>
        <v>432.77842980541755</v>
      </c>
      <c r="O28" s="5">
        <f>Grade8!M28-M28</f>
        <v>75.06899999999996</v>
      </c>
      <c r="P28" s="22">
        <f t="shared" si="12"/>
        <v>95.866135535061147</v>
      </c>
      <c r="S28" s="22">
        <f t="shared" si="1"/>
        <v>421.07919960206027</v>
      </c>
      <c r="T28" s="22">
        <f t="shared" si="2"/>
        <v>541.00516732322285</v>
      </c>
    </row>
    <row r="29" spans="1:20" x14ac:dyDescent="0.2">
      <c r="A29" s="5">
        <v>38</v>
      </c>
      <c r="B29" s="1">
        <f t="shared" si="3"/>
        <v>1.7646106825195991</v>
      </c>
      <c r="C29" s="5">
        <f t="shared" si="4"/>
        <v>28153.841433305395</v>
      </c>
      <c r="D29" s="5">
        <f t="shared" si="5"/>
        <v>27111.872594341046</v>
      </c>
      <c r="E29" s="5">
        <f t="shared" si="6"/>
        <v>17611.872594341046</v>
      </c>
      <c r="F29" s="5">
        <f t="shared" si="7"/>
        <v>6052.0264020523518</v>
      </c>
      <c r="G29" s="5">
        <f t="shared" si="8"/>
        <v>21059.846192288693</v>
      </c>
      <c r="H29" s="22">
        <f t="shared" si="9"/>
        <v>12950.660051181243</v>
      </c>
      <c r="I29" s="5">
        <f t="shared" si="10"/>
        <v>32935.601459221893</v>
      </c>
      <c r="J29" s="26">
        <f t="shared" si="0"/>
        <v>0.12621038728006778</v>
      </c>
      <c r="L29" s="22">
        <f t="shared" si="11"/>
        <v>44960.64679003811</v>
      </c>
      <c r="M29" s="5">
        <f>scrimecost*Meta!O26</f>
        <v>3608.58</v>
      </c>
      <c r="N29" s="5">
        <f>L29-Grade8!L29</f>
        <v>443.59789055055444</v>
      </c>
      <c r="O29" s="5">
        <f>Grade8!M29-M29</f>
        <v>75.06899999999996</v>
      </c>
      <c r="P29" s="22">
        <f t="shared" si="12"/>
        <v>97.828005149864467</v>
      </c>
      <c r="S29" s="22">
        <f t="shared" si="1"/>
        <v>429.43104983618025</v>
      </c>
      <c r="T29" s="22">
        <f t="shared" si="2"/>
        <v>557.7802566927711</v>
      </c>
    </row>
    <row r="30" spans="1:20" x14ac:dyDescent="0.2">
      <c r="A30" s="5">
        <v>39</v>
      </c>
      <c r="B30" s="1">
        <f t="shared" si="3"/>
        <v>1.8087259495825889</v>
      </c>
      <c r="C30" s="5">
        <f t="shared" si="4"/>
        <v>28857.687469138025</v>
      </c>
      <c r="D30" s="5">
        <f t="shared" si="5"/>
        <v>27757.299409199568</v>
      </c>
      <c r="E30" s="5">
        <f t="shared" si="6"/>
        <v>18257.299409199568</v>
      </c>
      <c r="F30" s="5">
        <f t="shared" si="7"/>
        <v>6262.7582571036583</v>
      </c>
      <c r="G30" s="5">
        <f t="shared" si="8"/>
        <v>21494.54115209591</v>
      </c>
      <c r="H30" s="22">
        <f t="shared" si="9"/>
        <v>13274.426552460773</v>
      </c>
      <c r="I30" s="5">
        <f t="shared" si="10"/>
        <v>33667.190300702438</v>
      </c>
      <c r="J30" s="26">
        <f t="shared" si="0"/>
        <v>0.12858649293584506</v>
      </c>
      <c r="L30" s="22">
        <f t="shared" si="11"/>
        <v>46084.662959789064</v>
      </c>
      <c r="M30" s="5">
        <f>scrimecost*Meta!O27</f>
        <v>3608.58</v>
      </c>
      <c r="N30" s="5">
        <f>L30-Grade8!L30</f>
        <v>454.68783781432285</v>
      </c>
      <c r="O30" s="5">
        <f>Grade8!M30-M30</f>
        <v>75.06899999999996</v>
      </c>
      <c r="P30" s="22">
        <f t="shared" si="12"/>
        <v>99.838921505037831</v>
      </c>
      <c r="S30" s="22">
        <f t="shared" si="1"/>
        <v>437.99169632615508</v>
      </c>
      <c r="T30" s="22">
        <f t="shared" si="2"/>
        <v>575.13214643953961</v>
      </c>
    </row>
    <row r="31" spans="1:20" x14ac:dyDescent="0.2">
      <c r="A31" s="5">
        <v>40</v>
      </c>
      <c r="B31" s="1">
        <f t="shared" si="3"/>
        <v>1.8539440983221533</v>
      </c>
      <c r="C31" s="5">
        <f t="shared" si="4"/>
        <v>29579.129655866469</v>
      </c>
      <c r="D31" s="5">
        <f t="shared" si="5"/>
        <v>28418.861894429552</v>
      </c>
      <c r="E31" s="5">
        <f t="shared" si="6"/>
        <v>18918.861894429552</v>
      </c>
      <c r="F31" s="5">
        <f t="shared" si="7"/>
        <v>6478.7584085312483</v>
      </c>
      <c r="G31" s="5">
        <f t="shared" si="8"/>
        <v>21940.103485898304</v>
      </c>
      <c r="H31" s="22">
        <f t="shared" si="9"/>
        <v>13606.287216272291</v>
      </c>
      <c r="I31" s="5">
        <f t="shared" si="10"/>
        <v>34417.068863219996</v>
      </c>
      <c r="J31" s="26">
        <f t="shared" si="0"/>
        <v>0.13090464479513997</v>
      </c>
      <c r="L31" s="22">
        <f t="shared" si="11"/>
        <v>47236.779533783782</v>
      </c>
      <c r="M31" s="5">
        <f>scrimecost*Meta!O28</f>
        <v>3156.4799999999996</v>
      </c>
      <c r="N31" s="5">
        <f>L31-Grade8!L31</f>
        <v>466.05503375967237</v>
      </c>
      <c r="O31" s="5">
        <f>Grade8!M31-M31</f>
        <v>65.664000000000215</v>
      </c>
      <c r="P31" s="22">
        <f t="shared" si="12"/>
        <v>101.9001107690905</v>
      </c>
      <c r="S31" s="22">
        <f t="shared" si="1"/>
        <v>437.91625397837151</v>
      </c>
      <c r="T31" s="22">
        <f t="shared" si="2"/>
        <v>581.33289900318391</v>
      </c>
    </row>
    <row r="32" spans="1:20" x14ac:dyDescent="0.2">
      <c r="A32" s="5">
        <v>41</v>
      </c>
      <c r="B32" s="1">
        <f t="shared" si="3"/>
        <v>1.9002927007802071</v>
      </c>
      <c r="C32" s="5">
        <f t="shared" si="4"/>
        <v>30318.607897263129</v>
      </c>
      <c r="D32" s="5">
        <f t="shared" si="5"/>
        <v>29096.963441790289</v>
      </c>
      <c r="E32" s="5">
        <f t="shared" si="6"/>
        <v>19596.963441790289</v>
      </c>
      <c r="F32" s="5">
        <f t="shared" si="7"/>
        <v>6700.1585637445296</v>
      </c>
      <c r="G32" s="5">
        <f t="shared" si="8"/>
        <v>22396.804878045761</v>
      </c>
      <c r="H32" s="22">
        <f t="shared" si="9"/>
        <v>13946.444396679097</v>
      </c>
      <c r="I32" s="5">
        <f t="shared" si="10"/>
        <v>35185.694389800497</v>
      </c>
      <c r="J32" s="26">
        <f t="shared" si="0"/>
        <v>0.13316625636518387</v>
      </c>
      <c r="L32" s="22">
        <f t="shared" si="11"/>
        <v>48417.69902212837</v>
      </c>
      <c r="M32" s="5">
        <f>scrimecost*Meta!O29</f>
        <v>3156.4799999999996</v>
      </c>
      <c r="N32" s="5">
        <f>L32-Grade8!L32</f>
        <v>477.70640960366291</v>
      </c>
      <c r="O32" s="5">
        <f>Grade8!M32-M32</f>
        <v>65.664000000000215</v>
      </c>
      <c r="P32" s="22">
        <f t="shared" si="12"/>
        <v>104.01282976474457</v>
      </c>
      <c r="S32" s="22">
        <f t="shared" si="1"/>
        <v>446.91028319689775</v>
      </c>
      <c r="T32" s="22">
        <f t="shared" si="2"/>
        <v>599.77209330633593</v>
      </c>
    </row>
    <row r="33" spans="1:20" x14ac:dyDescent="0.2">
      <c r="A33" s="5">
        <v>42</v>
      </c>
      <c r="B33" s="1">
        <f t="shared" si="3"/>
        <v>1.9478000182997122</v>
      </c>
      <c r="C33" s="5">
        <f t="shared" si="4"/>
        <v>31076.573094694708</v>
      </c>
      <c r="D33" s="5">
        <f t="shared" si="5"/>
        <v>29792.017527835047</v>
      </c>
      <c r="E33" s="5">
        <f t="shared" si="6"/>
        <v>20292.017527835047</v>
      </c>
      <c r="F33" s="5">
        <f t="shared" si="7"/>
        <v>6927.0937228381426</v>
      </c>
      <c r="G33" s="5">
        <f t="shared" si="8"/>
        <v>22864.923804996906</v>
      </c>
      <c r="H33" s="22">
        <f t="shared" si="9"/>
        <v>14295.105506596074</v>
      </c>
      <c r="I33" s="5">
        <f t="shared" si="10"/>
        <v>35973.53555454551</v>
      </c>
      <c r="J33" s="26">
        <f t="shared" si="0"/>
        <v>0.13537270667742174</v>
      </c>
      <c r="L33" s="22">
        <f t="shared" si="11"/>
        <v>49628.141497681579</v>
      </c>
      <c r="M33" s="5">
        <f>scrimecost*Meta!O30</f>
        <v>3156.4799999999996</v>
      </c>
      <c r="N33" s="5">
        <f>L33-Grade8!L33</f>
        <v>489.64906984375557</v>
      </c>
      <c r="O33" s="5">
        <f>Grade8!M33-M33</f>
        <v>65.664000000000215</v>
      </c>
      <c r="P33" s="22">
        <f t="shared" si="12"/>
        <v>106.17836673528993</v>
      </c>
      <c r="S33" s="22">
        <f t="shared" si="1"/>
        <v>456.12916314588841</v>
      </c>
      <c r="T33" s="22">
        <f t="shared" si="2"/>
        <v>618.85060217431226</v>
      </c>
    </row>
    <row r="34" spans="1:20" x14ac:dyDescent="0.2">
      <c r="A34" s="5">
        <v>43</v>
      </c>
      <c r="B34" s="1">
        <f t="shared" si="3"/>
        <v>1.9964950187572048</v>
      </c>
      <c r="C34" s="5">
        <f t="shared" si="4"/>
        <v>31853.487422062073</v>
      </c>
      <c r="D34" s="5">
        <f t="shared" si="5"/>
        <v>30504.447966030923</v>
      </c>
      <c r="E34" s="5">
        <f t="shared" si="6"/>
        <v>21004.447966030923</v>
      </c>
      <c r="F34" s="5">
        <f t="shared" si="7"/>
        <v>7159.7022609090964</v>
      </c>
      <c r="G34" s="5">
        <f t="shared" si="8"/>
        <v>23344.745705121826</v>
      </c>
      <c r="H34" s="22">
        <f t="shared" si="9"/>
        <v>14652.483144260974</v>
      </c>
      <c r="I34" s="5">
        <f t="shared" si="10"/>
        <v>36781.07274840914</v>
      </c>
      <c r="J34" s="26">
        <f t="shared" si="0"/>
        <v>0.13752534112838555</v>
      </c>
      <c r="L34" s="22">
        <f t="shared" si="11"/>
        <v>50868.84503512361</v>
      </c>
      <c r="M34" s="5">
        <f>scrimecost*Meta!O31</f>
        <v>3156.4799999999996</v>
      </c>
      <c r="N34" s="5">
        <f>L34-Grade8!L34</f>
        <v>501.89029658983782</v>
      </c>
      <c r="O34" s="5">
        <f>Grade8!M34-M34</f>
        <v>65.664000000000215</v>
      </c>
      <c r="P34" s="22">
        <f t="shared" si="12"/>
        <v>108.39804213009894</v>
      </c>
      <c r="S34" s="22">
        <f t="shared" si="1"/>
        <v>465.5785150935962</v>
      </c>
      <c r="T34" s="22">
        <f t="shared" si="2"/>
        <v>638.59127290341462</v>
      </c>
    </row>
    <row r="35" spans="1:20" x14ac:dyDescent="0.2">
      <c r="A35" s="5">
        <v>44</v>
      </c>
      <c r="B35" s="1">
        <f t="shared" si="3"/>
        <v>2.0464073942261352</v>
      </c>
      <c r="C35" s="5">
        <f t="shared" si="4"/>
        <v>32649.824607613627</v>
      </c>
      <c r="D35" s="5">
        <f t="shared" si="5"/>
        <v>31234.689165181699</v>
      </c>
      <c r="E35" s="5">
        <f t="shared" si="6"/>
        <v>21734.689165181699</v>
      </c>
      <c r="F35" s="5">
        <f t="shared" si="7"/>
        <v>7398.1260124318251</v>
      </c>
      <c r="G35" s="5">
        <f t="shared" si="8"/>
        <v>23836.563152749874</v>
      </c>
      <c r="H35" s="22">
        <f t="shared" si="9"/>
        <v>15018.7952228675</v>
      </c>
      <c r="I35" s="5">
        <f t="shared" si="10"/>
        <v>37608.798372119374</v>
      </c>
      <c r="J35" s="26">
        <f t="shared" si="0"/>
        <v>0.13962547230005759</v>
      </c>
      <c r="L35" s="22">
        <f t="shared" si="11"/>
        <v>52140.566161001712</v>
      </c>
      <c r="M35" s="5">
        <f>scrimecost*Meta!O32</f>
        <v>3156.4799999999996</v>
      </c>
      <c r="N35" s="5">
        <f>L35-Grade8!L35</f>
        <v>514.43755400460941</v>
      </c>
      <c r="O35" s="5">
        <f>Grade8!M35-M35</f>
        <v>65.664000000000215</v>
      </c>
      <c r="P35" s="22">
        <f t="shared" si="12"/>
        <v>110.67320940977822</v>
      </c>
      <c r="S35" s="22">
        <f t="shared" si="1"/>
        <v>475.26410084001913</v>
      </c>
      <c r="T35" s="22">
        <f t="shared" si="2"/>
        <v>659.01777708724603</v>
      </c>
    </row>
    <row r="36" spans="1:20" x14ac:dyDescent="0.2">
      <c r="A36" s="5">
        <v>45</v>
      </c>
      <c r="B36" s="1">
        <f t="shared" si="3"/>
        <v>2.097567579081788</v>
      </c>
      <c r="C36" s="5">
        <f t="shared" si="4"/>
        <v>33466.070222803959</v>
      </c>
      <c r="D36" s="5">
        <f t="shared" si="5"/>
        <v>31983.186394311229</v>
      </c>
      <c r="E36" s="5">
        <f t="shared" si="6"/>
        <v>22483.186394311229</v>
      </c>
      <c r="F36" s="5">
        <f t="shared" si="7"/>
        <v>7642.5103577426162</v>
      </c>
      <c r="G36" s="5">
        <f t="shared" si="8"/>
        <v>24340.676036568613</v>
      </c>
      <c r="H36" s="22">
        <f t="shared" si="9"/>
        <v>15394.265103439186</v>
      </c>
      <c r="I36" s="5">
        <f t="shared" si="10"/>
        <v>38457.217136422347</v>
      </c>
      <c r="J36" s="26">
        <f t="shared" si="0"/>
        <v>0.14167438076022532</v>
      </c>
      <c r="L36" s="22">
        <f t="shared" si="11"/>
        <v>53444.080315026738</v>
      </c>
      <c r="M36" s="5">
        <f>scrimecost*Meta!O33</f>
        <v>2550.94</v>
      </c>
      <c r="N36" s="5">
        <f>L36-Grade8!L36</f>
        <v>527.29849285468663</v>
      </c>
      <c r="O36" s="5">
        <f>Grade8!M36-M36</f>
        <v>53.067000000000007</v>
      </c>
      <c r="P36" s="22">
        <f t="shared" si="12"/>
        <v>113.00525587144938</v>
      </c>
      <c r="S36" s="22">
        <f t="shared" si="1"/>
        <v>473.33804923006403</v>
      </c>
      <c r="T36" s="22">
        <f t="shared" si="2"/>
        <v>663.537704629882</v>
      </c>
    </row>
    <row r="37" spans="1:20" x14ac:dyDescent="0.2">
      <c r="A37" s="5">
        <v>46</v>
      </c>
      <c r="B37" s="1">
        <f t="shared" ref="B37:B56" si="13">(1+experiencepremium)^(A37-startage)</f>
        <v>2.1500067685588333</v>
      </c>
      <c r="C37" s="5">
        <f t="shared" ref="C37:C56" si="14">pretaxincome*B37/expnorm</f>
        <v>34302.721978374066</v>
      </c>
      <c r="D37" s="5">
        <f t="shared" ref="D37:D56" si="15">IF(A37&lt;startage,1,0)*(C37*(1-initialunempprob))+IF(A37=startage,1,0)*(C37*(1-unempprob))+IF(A37&gt;startage,1,0)*(C37*(1-unempprob)+unempprob*300*52)</f>
        <v>32750.396054169018</v>
      </c>
      <c r="E37" s="5">
        <f t="shared" si="6"/>
        <v>23250.396054169018</v>
      </c>
      <c r="F37" s="5">
        <f t="shared" si="7"/>
        <v>7893.0043116861843</v>
      </c>
      <c r="G37" s="5">
        <f t="shared" si="8"/>
        <v>24857.391742482832</v>
      </c>
      <c r="H37" s="22">
        <f t="shared" ref="H37:H56" si="16">benefits*B37/expnorm</f>
        <v>15779.121731025169</v>
      </c>
      <c r="I37" s="5">
        <f t="shared" ref="I37:I56" si="17">G37+IF(A37&lt;startage,1,0)*(H37*(1-initialunempprob))+IF(A37&gt;=startage,1,0)*(H37*(1-unempprob))</f>
        <v>39326.846369832914</v>
      </c>
      <c r="J37" s="26">
        <f t="shared" ref="J37:J56" si="18">(F37-(IF(A37&gt;startage,1,0)*(unempprob*300*52)))/(IF(A37&lt;startage,1,0)*((C37+H37)*(1-initialunempprob))+IF(A37&gt;=startage,1,0)*((C37+H37)*(1-unempprob)))</f>
        <v>0.14367331584331591</v>
      </c>
      <c r="L37" s="22">
        <f t="shared" ref="L37:L56" si="19">(sincome+sbenefits)*(1-sunemp)*B37/expnorm</f>
        <v>54780.182322902423</v>
      </c>
      <c r="M37" s="5">
        <f>scrimecost*Meta!O34</f>
        <v>2550.94</v>
      </c>
      <c r="N37" s="5">
        <f>L37-Grade8!L37</f>
        <v>540.48095517608454</v>
      </c>
      <c r="O37" s="5">
        <f>Grade8!M37-M37</f>
        <v>53.067000000000007</v>
      </c>
      <c r="P37" s="22">
        <f t="shared" si="12"/>
        <v>115.39560349466242</v>
      </c>
      <c r="S37" s="22">
        <f t="shared" ref="S37:S68" si="20">IF(A37&lt;startage,1,0)*(N37-Q37-R37)+IF(A37&gt;=startage,1,0)*completionprob*(N37*spart+O37+P37)</f>
        <v>483.51396775490178</v>
      </c>
      <c r="T37" s="22">
        <f t="shared" ref="T37:T68" si="21">S37/sreturn^(A37-startage+1)</f>
        <v>685.22828985271337</v>
      </c>
    </row>
    <row r="38" spans="1:20" x14ac:dyDescent="0.2">
      <c r="A38" s="5">
        <v>47</v>
      </c>
      <c r="B38" s="1">
        <f t="shared" si="13"/>
        <v>2.2037569377728037</v>
      </c>
      <c r="C38" s="5">
        <f t="shared" si="14"/>
        <v>35160.290027833413</v>
      </c>
      <c r="D38" s="5">
        <f t="shared" si="15"/>
        <v>33536.785955523243</v>
      </c>
      <c r="E38" s="5">
        <f t="shared" si="6"/>
        <v>24036.785955523243</v>
      </c>
      <c r="F38" s="5">
        <f t="shared" si="7"/>
        <v>8149.7606144783385</v>
      </c>
      <c r="G38" s="5">
        <f t="shared" si="8"/>
        <v>25387.025341044904</v>
      </c>
      <c r="H38" s="22">
        <f t="shared" si="16"/>
        <v>16173.599774300794</v>
      </c>
      <c r="I38" s="5">
        <f t="shared" si="17"/>
        <v>40218.21633407873</v>
      </c>
      <c r="J38" s="26">
        <f t="shared" si="18"/>
        <v>0.14562349641218475</v>
      </c>
      <c r="L38" s="22">
        <f t="shared" si="19"/>
        <v>56149.686880974972</v>
      </c>
      <c r="M38" s="5">
        <f>scrimecost*Meta!O35</f>
        <v>2550.94</v>
      </c>
      <c r="N38" s="5">
        <f>L38-Grade8!L38</f>
        <v>553.99297905548156</v>
      </c>
      <c r="O38" s="5">
        <f>Grade8!M38-M38</f>
        <v>53.067000000000007</v>
      </c>
      <c r="P38" s="22">
        <f t="shared" ref="P38:P56" si="22">(spart-initialspart)*(L38*J38+nptrans)</f>
        <v>117.84570980845575</v>
      </c>
      <c r="S38" s="22">
        <f t="shared" si="20"/>
        <v>493.94428424283876</v>
      </c>
      <c r="T38" s="22">
        <f t="shared" si="21"/>
        <v>707.6789783543901</v>
      </c>
    </row>
    <row r="39" spans="1:20" x14ac:dyDescent="0.2">
      <c r="A39" s="5">
        <v>48</v>
      </c>
      <c r="B39" s="1">
        <f t="shared" si="13"/>
        <v>2.2588508612171236</v>
      </c>
      <c r="C39" s="5">
        <f t="shared" si="14"/>
        <v>36039.297278529251</v>
      </c>
      <c r="D39" s="5">
        <f t="shared" si="15"/>
        <v>34342.835604411324</v>
      </c>
      <c r="E39" s="5">
        <f t="shared" si="6"/>
        <v>24842.835604411324</v>
      </c>
      <c r="F39" s="5">
        <f t="shared" si="7"/>
        <v>8412.9358248402968</v>
      </c>
      <c r="G39" s="5">
        <f t="shared" si="8"/>
        <v>25929.899779571027</v>
      </c>
      <c r="H39" s="22">
        <f t="shared" si="16"/>
        <v>16577.939768658311</v>
      </c>
      <c r="I39" s="5">
        <f t="shared" si="17"/>
        <v>41131.870547430699</v>
      </c>
      <c r="J39" s="26">
        <f t="shared" si="18"/>
        <v>0.14752611160132506</v>
      </c>
      <c r="L39" s="22">
        <f t="shared" si="19"/>
        <v>57553.429052999345</v>
      </c>
      <c r="M39" s="5">
        <f>scrimecost*Meta!O36</f>
        <v>2550.94</v>
      </c>
      <c r="N39" s="5">
        <f>L39-Grade8!L39</f>
        <v>567.84280353186477</v>
      </c>
      <c r="O39" s="5">
        <f>Grade8!M39-M39</f>
        <v>53.067000000000007</v>
      </c>
      <c r="P39" s="22">
        <f t="shared" si="22"/>
        <v>120.35706878009391</v>
      </c>
      <c r="S39" s="22">
        <f t="shared" si="20"/>
        <v>504.63535864297512</v>
      </c>
      <c r="T39" s="22">
        <f t="shared" si="21"/>
        <v>730.9170263267182</v>
      </c>
    </row>
    <row r="40" spans="1:20" x14ac:dyDescent="0.2">
      <c r="A40" s="5">
        <v>49</v>
      </c>
      <c r="B40" s="1">
        <f t="shared" si="13"/>
        <v>2.3153221327475517</v>
      </c>
      <c r="C40" s="5">
        <f t="shared" si="14"/>
        <v>36940.279710492476</v>
      </c>
      <c r="D40" s="5">
        <f t="shared" si="15"/>
        <v>35169.036494521606</v>
      </c>
      <c r="E40" s="5">
        <f t="shared" si="6"/>
        <v>25669.036494521606</v>
      </c>
      <c r="F40" s="5">
        <f t="shared" si="7"/>
        <v>8682.6904154613039</v>
      </c>
      <c r="G40" s="5">
        <f t="shared" si="8"/>
        <v>26486.346079060302</v>
      </c>
      <c r="H40" s="22">
        <f t="shared" si="16"/>
        <v>16992.388262874771</v>
      </c>
      <c r="I40" s="5">
        <f t="shared" si="17"/>
        <v>42068.366116116464</v>
      </c>
      <c r="J40" s="26">
        <f t="shared" si="18"/>
        <v>0.14938232154194978</v>
      </c>
      <c r="L40" s="22">
        <f t="shared" si="19"/>
        <v>58992.264779324323</v>
      </c>
      <c r="M40" s="5">
        <f>scrimecost*Meta!O37</f>
        <v>2550.94</v>
      </c>
      <c r="N40" s="5">
        <f>L40-Grade8!L40</f>
        <v>582.03887362016394</v>
      </c>
      <c r="O40" s="5">
        <f>Grade8!M40-M40</f>
        <v>53.067000000000007</v>
      </c>
      <c r="P40" s="22">
        <f t="shared" si="22"/>
        <v>122.93121172602302</v>
      </c>
      <c r="S40" s="22">
        <f t="shared" si="20"/>
        <v>515.59370990311857</v>
      </c>
      <c r="T40" s="22">
        <f t="shared" si="21"/>
        <v>754.97067434981716</v>
      </c>
    </row>
    <row r="41" spans="1:20" x14ac:dyDescent="0.2">
      <c r="A41" s="5">
        <v>50</v>
      </c>
      <c r="B41" s="1">
        <f t="shared" si="13"/>
        <v>2.3732051860662402</v>
      </c>
      <c r="C41" s="5">
        <f t="shared" si="14"/>
        <v>37863.78670325478</v>
      </c>
      <c r="D41" s="5">
        <f t="shared" si="15"/>
        <v>36015.892406884639</v>
      </c>
      <c r="E41" s="5">
        <f t="shared" si="6"/>
        <v>26515.892406884639</v>
      </c>
      <c r="F41" s="5">
        <f t="shared" si="7"/>
        <v>8959.1888708478346</v>
      </c>
      <c r="G41" s="5">
        <f t="shared" si="8"/>
        <v>27056.703536036803</v>
      </c>
      <c r="H41" s="22">
        <f t="shared" si="16"/>
        <v>17417.197969446639</v>
      </c>
      <c r="I41" s="5">
        <f t="shared" si="17"/>
        <v>43028.274074019369</v>
      </c>
      <c r="J41" s="26">
        <f t="shared" si="18"/>
        <v>0.15119325806938846</v>
      </c>
      <c r="L41" s="22">
        <f t="shared" si="19"/>
        <v>60467.07139880742</v>
      </c>
      <c r="M41" s="5">
        <f>scrimecost*Meta!O38</f>
        <v>1704.28</v>
      </c>
      <c r="N41" s="5">
        <f>L41-Grade8!L41</f>
        <v>596.58984546065039</v>
      </c>
      <c r="O41" s="5">
        <f>Grade8!M41-M41</f>
        <v>35.453999999999951</v>
      </c>
      <c r="P41" s="22">
        <f t="shared" si="22"/>
        <v>125.56970824560034</v>
      </c>
      <c r="S41" s="22">
        <f t="shared" si="20"/>
        <v>510.25218694475353</v>
      </c>
      <c r="T41" s="22">
        <f t="shared" si="21"/>
        <v>755.33466666964421</v>
      </c>
    </row>
    <row r="42" spans="1:20" x14ac:dyDescent="0.2">
      <c r="A42" s="5">
        <v>51</v>
      </c>
      <c r="B42" s="1">
        <f t="shared" si="13"/>
        <v>2.4325353157178964</v>
      </c>
      <c r="C42" s="5">
        <f t="shared" si="14"/>
        <v>38810.381370836163</v>
      </c>
      <c r="D42" s="5">
        <f t="shared" si="15"/>
        <v>36883.919717056764</v>
      </c>
      <c r="E42" s="5">
        <f t="shared" si="6"/>
        <v>27383.919717056764</v>
      </c>
      <c r="F42" s="5">
        <f t="shared" si="7"/>
        <v>9242.599787619034</v>
      </c>
      <c r="G42" s="5">
        <f t="shared" si="8"/>
        <v>27641.31992943773</v>
      </c>
      <c r="H42" s="22">
        <f t="shared" si="16"/>
        <v>17852.627918682803</v>
      </c>
      <c r="I42" s="5">
        <f t="shared" si="17"/>
        <v>44012.179730869859</v>
      </c>
      <c r="J42" s="26">
        <f t="shared" si="18"/>
        <v>0.1529600254132312</v>
      </c>
      <c r="L42" s="22">
        <f t="shared" si="19"/>
        <v>61978.748183777614</v>
      </c>
      <c r="M42" s="5">
        <f>scrimecost*Meta!O39</f>
        <v>1704.28</v>
      </c>
      <c r="N42" s="5">
        <f>L42-Grade8!L42</f>
        <v>611.50459159718594</v>
      </c>
      <c r="O42" s="5">
        <f>Grade8!M42-M42</f>
        <v>35.453999999999951</v>
      </c>
      <c r="P42" s="22">
        <f t="shared" si="22"/>
        <v>128.27416717816715</v>
      </c>
      <c r="S42" s="22">
        <f t="shared" si="20"/>
        <v>521.76530473745152</v>
      </c>
      <c r="T42" s="22">
        <f t="shared" si="21"/>
        <v>780.83956384770056</v>
      </c>
    </row>
    <row r="43" spans="1:20" x14ac:dyDescent="0.2">
      <c r="A43" s="5">
        <v>52</v>
      </c>
      <c r="B43" s="1">
        <f t="shared" si="13"/>
        <v>2.4933486986108435</v>
      </c>
      <c r="C43" s="5">
        <f t="shared" si="14"/>
        <v>39780.640905107059</v>
      </c>
      <c r="D43" s="5">
        <f t="shared" si="15"/>
        <v>37773.647709983175</v>
      </c>
      <c r="E43" s="5">
        <f t="shared" si="6"/>
        <v>28273.647709983175</v>
      </c>
      <c r="F43" s="5">
        <f t="shared" si="7"/>
        <v>9533.0959773095074</v>
      </c>
      <c r="G43" s="5">
        <f t="shared" si="8"/>
        <v>28240.551732673666</v>
      </c>
      <c r="H43" s="22">
        <f t="shared" si="16"/>
        <v>18298.943616649874</v>
      </c>
      <c r="I43" s="5">
        <f t="shared" si="17"/>
        <v>45020.683029141597</v>
      </c>
      <c r="J43" s="26">
        <f t="shared" si="18"/>
        <v>0.15468370087063865</v>
      </c>
      <c r="L43" s="22">
        <f t="shared" si="19"/>
        <v>63528.216888372044</v>
      </c>
      <c r="M43" s="5">
        <f>scrimecost*Meta!O40</f>
        <v>1704.28</v>
      </c>
      <c r="N43" s="5">
        <f>L43-Grade8!L43</f>
        <v>626.79220638712286</v>
      </c>
      <c r="O43" s="5">
        <f>Grade8!M43-M43</f>
        <v>35.453999999999951</v>
      </c>
      <c r="P43" s="22">
        <f t="shared" si="22"/>
        <v>131.04623758404807</v>
      </c>
      <c r="S43" s="22">
        <f t="shared" si="20"/>
        <v>533.56625047495982</v>
      </c>
      <c r="T43" s="22">
        <f t="shared" si="21"/>
        <v>807.24810720136065</v>
      </c>
    </row>
    <row r="44" spans="1:20" x14ac:dyDescent="0.2">
      <c r="A44" s="5">
        <v>53</v>
      </c>
      <c r="B44" s="1">
        <f t="shared" si="13"/>
        <v>2.555682416076114</v>
      </c>
      <c r="C44" s="5">
        <f t="shared" si="14"/>
        <v>40775.156927734723</v>
      </c>
      <c r="D44" s="5">
        <f t="shared" si="15"/>
        <v>38685.618902732742</v>
      </c>
      <c r="E44" s="5">
        <f t="shared" si="6"/>
        <v>29185.618902732742</v>
      </c>
      <c r="F44" s="5">
        <f t="shared" si="7"/>
        <v>9830.8545717422403</v>
      </c>
      <c r="G44" s="5">
        <f t="shared" si="8"/>
        <v>28854.764330990503</v>
      </c>
      <c r="H44" s="22">
        <f t="shared" si="16"/>
        <v>18756.417207066115</v>
      </c>
      <c r="I44" s="5">
        <f t="shared" si="17"/>
        <v>46054.398909870128</v>
      </c>
      <c r="J44" s="26">
        <f t="shared" si="18"/>
        <v>0.15636533546323125</v>
      </c>
      <c r="L44" s="22">
        <f t="shared" si="19"/>
        <v>65116.422310581329</v>
      </c>
      <c r="M44" s="5">
        <f>scrimecost*Meta!O41</f>
        <v>1704.28</v>
      </c>
      <c r="N44" s="5">
        <f>L44-Grade8!L44</f>
        <v>642.46201154677692</v>
      </c>
      <c r="O44" s="5">
        <f>Grade8!M44-M44</f>
        <v>35.453999999999951</v>
      </c>
      <c r="P44" s="22">
        <f t="shared" si="22"/>
        <v>133.887609750076</v>
      </c>
      <c r="S44" s="22">
        <f t="shared" si="20"/>
        <v>545.66221985588686</v>
      </c>
      <c r="T44" s="22">
        <f t="shared" si="21"/>
        <v>834.59281204321906</v>
      </c>
    </row>
    <row r="45" spans="1:20" x14ac:dyDescent="0.2">
      <c r="A45" s="5">
        <v>54</v>
      </c>
      <c r="B45" s="1">
        <f t="shared" si="13"/>
        <v>2.6195744764780171</v>
      </c>
      <c r="C45" s="5">
        <f t="shared" si="14"/>
        <v>41794.5358509281</v>
      </c>
      <c r="D45" s="5">
        <f t="shared" si="15"/>
        <v>39620.389375301071</v>
      </c>
      <c r="E45" s="5">
        <f t="shared" si="6"/>
        <v>30120.389375301071</v>
      </c>
      <c r="F45" s="5">
        <f t="shared" si="7"/>
        <v>10136.057131035799</v>
      </c>
      <c r="G45" s="5">
        <f t="shared" si="8"/>
        <v>29484.332244265272</v>
      </c>
      <c r="H45" s="22">
        <f t="shared" si="16"/>
        <v>19225.327637242768</v>
      </c>
      <c r="I45" s="5">
        <f t="shared" si="17"/>
        <v>47113.957687616887</v>
      </c>
      <c r="J45" s="26">
        <f t="shared" si="18"/>
        <v>0.15800595457795585</v>
      </c>
      <c r="L45" s="22">
        <f t="shared" si="19"/>
        <v>66744.332868345868</v>
      </c>
      <c r="M45" s="5">
        <f>scrimecost*Meta!O42</f>
        <v>1704.28</v>
      </c>
      <c r="N45" s="5">
        <f>L45-Grade8!L45</f>
        <v>658.52356183546362</v>
      </c>
      <c r="O45" s="5">
        <f>Grade8!M45-M45</f>
        <v>35.453999999999951</v>
      </c>
      <c r="P45" s="22">
        <f t="shared" si="22"/>
        <v>136.80001622025472</v>
      </c>
      <c r="S45" s="22">
        <f t="shared" si="20"/>
        <v>558.06058847136217</v>
      </c>
      <c r="T45" s="22">
        <f t="shared" si="21"/>
        <v>862.90736925183944</v>
      </c>
    </row>
    <row r="46" spans="1:20" x14ac:dyDescent="0.2">
      <c r="A46" s="5">
        <v>55</v>
      </c>
      <c r="B46" s="1">
        <f t="shared" si="13"/>
        <v>2.6850638383899672</v>
      </c>
      <c r="C46" s="5">
        <f t="shared" si="14"/>
        <v>42839.399247201298</v>
      </c>
      <c r="D46" s="5">
        <f t="shared" si="15"/>
        <v>40578.529109683594</v>
      </c>
      <c r="E46" s="5">
        <f t="shared" si="6"/>
        <v>31078.529109683594</v>
      </c>
      <c r="F46" s="5">
        <f t="shared" si="7"/>
        <v>10448.889754311693</v>
      </c>
      <c r="G46" s="5">
        <f t="shared" si="8"/>
        <v>30129.639355371903</v>
      </c>
      <c r="H46" s="22">
        <f t="shared" si="16"/>
        <v>19705.960828173836</v>
      </c>
      <c r="I46" s="5">
        <f t="shared" si="17"/>
        <v>48200.00543480731</v>
      </c>
      <c r="J46" s="26">
        <f t="shared" si="18"/>
        <v>0.15960655859232123</v>
      </c>
      <c r="L46" s="22">
        <f t="shared" si="19"/>
        <v>68412.941190054509</v>
      </c>
      <c r="M46" s="5">
        <f>scrimecost*Meta!O43</f>
        <v>945.3</v>
      </c>
      <c r="N46" s="5">
        <f>L46-Grade8!L46</f>
        <v>674.98665088134294</v>
      </c>
      <c r="O46" s="5">
        <f>Grade8!M46-M46</f>
        <v>19.664999999999964</v>
      </c>
      <c r="P46" s="22">
        <f t="shared" si="22"/>
        <v>139.78523285218782</v>
      </c>
      <c r="S46" s="22">
        <f t="shared" si="20"/>
        <v>555.9114673022093</v>
      </c>
      <c r="T46" s="22">
        <f t="shared" si="21"/>
        <v>869.00150487145049</v>
      </c>
    </row>
    <row r="47" spans="1:20" x14ac:dyDescent="0.2">
      <c r="A47" s="5">
        <v>56</v>
      </c>
      <c r="B47" s="1">
        <f t="shared" si="13"/>
        <v>2.7521904343497163</v>
      </c>
      <c r="C47" s="5">
        <f t="shared" si="14"/>
        <v>43910.384228381328</v>
      </c>
      <c r="D47" s="5">
        <f t="shared" si="15"/>
        <v>41560.622337425681</v>
      </c>
      <c r="E47" s="5">
        <f t="shared" si="6"/>
        <v>32060.622337425681</v>
      </c>
      <c r="F47" s="5">
        <f t="shared" si="7"/>
        <v>10769.543193169484</v>
      </c>
      <c r="G47" s="5">
        <f t="shared" si="8"/>
        <v>30791.079144256197</v>
      </c>
      <c r="H47" s="22">
        <f t="shared" si="16"/>
        <v>20198.609848878179</v>
      </c>
      <c r="I47" s="5">
        <f t="shared" si="17"/>
        <v>49313.204375677487</v>
      </c>
      <c r="J47" s="26">
        <f t="shared" si="18"/>
        <v>0.16116812348438508</v>
      </c>
      <c r="L47" s="22">
        <f t="shared" si="19"/>
        <v>70123.264719805869</v>
      </c>
      <c r="M47" s="5">
        <f>scrimecost*Meta!O44</f>
        <v>945.3</v>
      </c>
      <c r="N47" s="5">
        <f>L47-Grade8!L47</f>
        <v>691.86131715337979</v>
      </c>
      <c r="O47" s="5">
        <f>Grade8!M47-M47</f>
        <v>19.664999999999964</v>
      </c>
      <c r="P47" s="22">
        <f t="shared" si="22"/>
        <v>142.84507989991928</v>
      </c>
      <c r="S47" s="22">
        <f t="shared" si="20"/>
        <v>568.93750332883405</v>
      </c>
      <c r="T47" s="22">
        <f t="shared" si="21"/>
        <v>899.10731088729528</v>
      </c>
    </row>
    <row r="48" spans="1:20" x14ac:dyDescent="0.2">
      <c r="A48" s="5">
        <v>57</v>
      </c>
      <c r="B48" s="1">
        <f t="shared" si="13"/>
        <v>2.8209951952084591</v>
      </c>
      <c r="C48" s="5">
        <f t="shared" si="14"/>
        <v>45008.14383409085</v>
      </c>
      <c r="D48" s="5">
        <f t="shared" si="15"/>
        <v>42567.267895861311</v>
      </c>
      <c r="E48" s="5">
        <f t="shared" si="6"/>
        <v>33067.267895861311</v>
      </c>
      <c r="F48" s="5">
        <f t="shared" si="7"/>
        <v>11098.212967998717</v>
      </c>
      <c r="G48" s="5">
        <f t="shared" si="8"/>
        <v>31469.054927862591</v>
      </c>
      <c r="H48" s="22">
        <f t="shared" si="16"/>
        <v>20703.575095100136</v>
      </c>
      <c r="I48" s="5">
        <f t="shared" si="17"/>
        <v>50454.233290069416</v>
      </c>
      <c r="J48" s="26">
        <f t="shared" si="18"/>
        <v>0.1626916014278619</v>
      </c>
      <c r="L48" s="22">
        <f t="shared" si="19"/>
        <v>71876.34633780102</v>
      </c>
      <c r="M48" s="5">
        <f>scrimecost*Meta!O45</f>
        <v>945.3</v>
      </c>
      <c r="N48" s="5">
        <f>L48-Grade8!L48</f>
        <v>709.15785008220701</v>
      </c>
      <c r="O48" s="5">
        <f>Grade8!M48-M48</f>
        <v>19.664999999999964</v>
      </c>
      <c r="P48" s="22">
        <f t="shared" si="22"/>
        <v>145.98142312384402</v>
      </c>
      <c r="S48" s="22">
        <f t="shared" si="20"/>
        <v>582.28919025611822</v>
      </c>
      <c r="T48" s="22">
        <f t="shared" si="21"/>
        <v>930.28874110569814</v>
      </c>
    </row>
    <row r="49" spans="1:20" x14ac:dyDescent="0.2">
      <c r="A49" s="5">
        <v>58</v>
      </c>
      <c r="B49" s="1">
        <f t="shared" si="13"/>
        <v>2.8915200750886707</v>
      </c>
      <c r="C49" s="5">
        <f t="shared" si="14"/>
        <v>46133.347429943125</v>
      </c>
      <c r="D49" s="5">
        <f t="shared" si="15"/>
        <v>43599.079593257848</v>
      </c>
      <c r="E49" s="5">
        <f t="shared" si="6"/>
        <v>34099.079593257848</v>
      </c>
      <c r="F49" s="5">
        <f t="shared" si="7"/>
        <v>11435.099487198688</v>
      </c>
      <c r="G49" s="5">
        <f t="shared" si="8"/>
        <v>32163.98010605916</v>
      </c>
      <c r="H49" s="22">
        <f t="shared" si="16"/>
        <v>21221.164472477638</v>
      </c>
      <c r="I49" s="5">
        <f t="shared" si="17"/>
        <v>51623.787927321158</v>
      </c>
      <c r="J49" s="26">
        <f t="shared" si="18"/>
        <v>0.16417792137271747</v>
      </c>
      <c r="L49" s="22">
        <f t="shared" si="19"/>
        <v>73673.254996246047</v>
      </c>
      <c r="M49" s="5">
        <f>scrimecost*Meta!O46</f>
        <v>945.3</v>
      </c>
      <c r="N49" s="5">
        <f>L49-Grade8!L49</f>
        <v>726.88679633429274</v>
      </c>
      <c r="O49" s="5">
        <f>Grade8!M49-M49</f>
        <v>19.664999999999964</v>
      </c>
      <c r="P49" s="22">
        <f t="shared" si="22"/>
        <v>149.19617492836693</v>
      </c>
      <c r="S49" s="22">
        <f t="shared" si="20"/>
        <v>595.97466935660714</v>
      </c>
      <c r="T49" s="22">
        <f t="shared" si="21"/>
        <v>962.58459946105472</v>
      </c>
    </row>
    <row r="50" spans="1:20" x14ac:dyDescent="0.2">
      <c r="A50" s="5">
        <v>59</v>
      </c>
      <c r="B50" s="1">
        <f t="shared" si="13"/>
        <v>2.9638080769658868</v>
      </c>
      <c r="C50" s="5">
        <f t="shared" si="14"/>
        <v>47286.681115691696</v>
      </c>
      <c r="D50" s="5">
        <f t="shared" si="15"/>
        <v>44656.686583089293</v>
      </c>
      <c r="E50" s="5">
        <f t="shared" si="6"/>
        <v>35156.686583089293</v>
      </c>
      <c r="F50" s="5">
        <f t="shared" si="7"/>
        <v>11846.076827687582</v>
      </c>
      <c r="G50" s="5">
        <f t="shared" si="8"/>
        <v>32810.609755401711</v>
      </c>
      <c r="H50" s="22">
        <f t="shared" si="16"/>
        <v>21751.693584289576</v>
      </c>
      <c r="I50" s="5">
        <f t="shared" si="17"/>
        <v>52756.912772195254</v>
      </c>
      <c r="J50" s="26">
        <f t="shared" si="18"/>
        <v>0.16666527497268871</v>
      </c>
      <c r="L50" s="22">
        <f t="shared" si="19"/>
        <v>75515.086371152182</v>
      </c>
      <c r="M50" s="5">
        <f>scrimecost*Meta!O47</f>
        <v>945.3</v>
      </c>
      <c r="N50" s="5">
        <f>L50-Grade8!L50</f>
        <v>745.05896624262095</v>
      </c>
      <c r="O50" s="5">
        <f>Grade8!M50-M50</f>
        <v>19.664999999999964</v>
      </c>
      <c r="P50" s="22">
        <f t="shared" si="22"/>
        <v>153.11794107707544</v>
      </c>
      <c r="S50" s="22">
        <f t="shared" si="20"/>
        <v>610.59195889624959</v>
      </c>
      <c r="T50" s="22">
        <f t="shared" si="21"/>
        <v>996.9979353336912</v>
      </c>
    </row>
    <row r="51" spans="1:20" x14ac:dyDescent="0.2">
      <c r="A51" s="5">
        <v>60</v>
      </c>
      <c r="B51" s="1">
        <f t="shared" si="13"/>
        <v>3.0379032788900342</v>
      </c>
      <c r="C51" s="5">
        <f t="shared" si="14"/>
        <v>48468.848143583986</v>
      </c>
      <c r="D51" s="5">
        <f t="shared" si="15"/>
        <v>45740.73374766652</v>
      </c>
      <c r="E51" s="5">
        <f t="shared" si="6"/>
        <v>36240.73374766652</v>
      </c>
      <c r="F51" s="5">
        <f t="shared" si="7"/>
        <v>12308.422943379772</v>
      </c>
      <c r="G51" s="5">
        <f t="shared" si="8"/>
        <v>33432.310804286746</v>
      </c>
      <c r="H51" s="22">
        <f t="shared" si="16"/>
        <v>22295.485923896817</v>
      </c>
      <c r="I51" s="5">
        <f t="shared" si="17"/>
        <v>53877.271396500131</v>
      </c>
      <c r="J51" s="26">
        <f t="shared" si="18"/>
        <v>0.16972524505046227</v>
      </c>
      <c r="L51" s="22">
        <f t="shared" si="19"/>
        <v>77402.963530430992</v>
      </c>
      <c r="M51" s="5">
        <f>scrimecost*Meta!O48</f>
        <v>498.68</v>
      </c>
      <c r="N51" s="5">
        <f>L51-Grade8!L51</f>
        <v>763.68544039870903</v>
      </c>
      <c r="O51" s="5">
        <f>Grade8!M51-M51</f>
        <v>10.373999999999967</v>
      </c>
      <c r="P51" s="22">
        <f t="shared" si="22"/>
        <v>157.5298956226753</v>
      </c>
      <c r="S51" s="22">
        <f t="shared" si="20"/>
        <v>617.20085740724073</v>
      </c>
      <c r="T51" s="22">
        <f t="shared" si="21"/>
        <v>1018.8301058952577</v>
      </c>
    </row>
    <row r="52" spans="1:20" x14ac:dyDescent="0.2">
      <c r="A52" s="5">
        <v>61</v>
      </c>
      <c r="B52" s="1">
        <f t="shared" si="13"/>
        <v>3.1138508608622844</v>
      </c>
      <c r="C52" s="5">
        <f t="shared" si="14"/>
        <v>49680.569347173579</v>
      </c>
      <c r="D52" s="5">
        <f t="shared" si="15"/>
        <v>46851.88209135818</v>
      </c>
      <c r="E52" s="5">
        <f t="shared" si="6"/>
        <v>37351.88209135818</v>
      </c>
      <c r="F52" s="5">
        <f t="shared" si="7"/>
        <v>12782.327711964264</v>
      </c>
      <c r="G52" s="5">
        <f t="shared" si="8"/>
        <v>34069.554379393914</v>
      </c>
      <c r="H52" s="22">
        <f t="shared" si="16"/>
        <v>22852.873071994232</v>
      </c>
      <c r="I52" s="5">
        <f t="shared" si="17"/>
        <v>55025.638986412625</v>
      </c>
      <c r="J52" s="26">
        <f t="shared" si="18"/>
        <v>0.17271058171170481</v>
      </c>
      <c r="L52" s="22">
        <f t="shared" si="19"/>
        <v>79338.037618691742</v>
      </c>
      <c r="M52" s="5">
        <f>scrimecost*Meta!O49</f>
        <v>498.68</v>
      </c>
      <c r="N52" s="5">
        <f>L52-Grade8!L52</f>
        <v>782.77757640864002</v>
      </c>
      <c r="O52" s="5">
        <f>Grade8!M52-M52</f>
        <v>10.373999999999967</v>
      </c>
      <c r="P52" s="22">
        <f t="shared" si="22"/>
        <v>162.05214903191509</v>
      </c>
      <c r="S52" s="22">
        <f t="shared" si="20"/>
        <v>632.93638015597094</v>
      </c>
      <c r="T52" s="22">
        <f t="shared" si="21"/>
        <v>1056.2515968079397</v>
      </c>
    </row>
    <row r="53" spans="1:20" x14ac:dyDescent="0.2">
      <c r="A53" s="5">
        <v>62</v>
      </c>
      <c r="B53" s="1">
        <f t="shared" si="13"/>
        <v>3.1916971323838421</v>
      </c>
      <c r="C53" s="5">
        <f t="shared" si="14"/>
        <v>50922.583580852937</v>
      </c>
      <c r="D53" s="5">
        <f t="shared" si="15"/>
        <v>47990.809143642146</v>
      </c>
      <c r="E53" s="5">
        <f t="shared" si="6"/>
        <v>38490.809143642146</v>
      </c>
      <c r="F53" s="5">
        <f t="shared" si="7"/>
        <v>13268.080099763374</v>
      </c>
      <c r="G53" s="5">
        <f t="shared" si="8"/>
        <v>34722.729043878775</v>
      </c>
      <c r="H53" s="22">
        <f t="shared" si="16"/>
        <v>23424.194898794092</v>
      </c>
      <c r="I53" s="5">
        <f t="shared" si="17"/>
        <v>56202.715766072957</v>
      </c>
      <c r="J53" s="26">
        <f t="shared" si="18"/>
        <v>0.17562310528364874</v>
      </c>
      <c r="L53" s="22">
        <f t="shared" si="19"/>
        <v>81321.488559159057</v>
      </c>
      <c r="M53" s="5">
        <f>scrimecost*Meta!O50</f>
        <v>498.68</v>
      </c>
      <c r="N53" s="5">
        <f>L53-Grade8!L53</f>
        <v>802.34701581888658</v>
      </c>
      <c r="O53" s="5">
        <f>Grade8!M53-M53</f>
        <v>10.373999999999967</v>
      </c>
      <c r="P53" s="22">
        <f t="shared" si="22"/>
        <v>166.68745877638597</v>
      </c>
      <c r="S53" s="22">
        <f t="shared" si="20"/>
        <v>649.0652909734597</v>
      </c>
      <c r="T53" s="22">
        <f t="shared" si="21"/>
        <v>1095.0344336251294</v>
      </c>
    </row>
    <row r="54" spans="1:20" x14ac:dyDescent="0.2">
      <c r="A54" s="5">
        <v>63</v>
      </c>
      <c r="B54" s="1">
        <f t="shared" si="13"/>
        <v>3.2714895606934378</v>
      </c>
      <c r="C54" s="5">
        <f t="shared" si="14"/>
        <v>52195.648170374247</v>
      </c>
      <c r="D54" s="5">
        <f t="shared" si="15"/>
        <v>49158.209372233192</v>
      </c>
      <c r="E54" s="5">
        <f t="shared" si="6"/>
        <v>39658.209372233192</v>
      </c>
      <c r="F54" s="5">
        <f t="shared" si="7"/>
        <v>13765.976297257457</v>
      </c>
      <c r="G54" s="5">
        <f t="shared" si="8"/>
        <v>35392.233074975738</v>
      </c>
      <c r="H54" s="22">
        <f t="shared" si="16"/>
        <v>24009.799771263944</v>
      </c>
      <c r="I54" s="5">
        <f t="shared" si="17"/>
        <v>57409.219465224778</v>
      </c>
      <c r="J54" s="26">
        <f t="shared" si="18"/>
        <v>0.17846459169530138</v>
      </c>
      <c r="L54" s="22">
        <f t="shared" si="19"/>
        <v>83354.525773138012</v>
      </c>
      <c r="M54" s="5">
        <f>scrimecost*Meta!O51</f>
        <v>498.68</v>
      </c>
      <c r="N54" s="5">
        <f>L54-Grade8!L54</f>
        <v>822.40569121434237</v>
      </c>
      <c r="O54" s="5">
        <f>Grade8!M54-M54</f>
        <v>10.373999999999967</v>
      </c>
      <c r="P54" s="22">
        <f t="shared" si="22"/>
        <v>171.43865126446858</v>
      </c>
      <c r="S54" s="22">
        <f t="shared" si="20"/>
        <v>665.59742456135768</v>
      </c>
      <c r="T54" s="22">
        <f t="shared" si="21"/>
        <v>1135.2279983680685</v>
      </c>
    </row>
    <row r="55" spans="1:20" x14ac:dyDescent="0.2">
      <c r="A55" s="5">
        <v>64</v>
      </c>
      <c r="B55" s="1">
        <f t="shared" si="13"/>
        <v>3.3532767997107733</v>
      </c>
      <c r="C55" s="5">
        <f t="shared" si="14"/>
        <v>53500.539374633598</v>
      </c>
      <c r="D55" s="5">
        <f t="shared" si="15"/>
        <v>50354.794606539013</v>
      </c>
      <c r="E55" s="5">
        <f t="shared" si="6"/>
        <v>40854.794606539013</v>
      </c>
      <c r="F55" s="5">
        <f t="shared" si="7"/>
        <v>14276.31989968889</v>
      </c>
      <c r="G55" s="5">
        <f t="shared" si="8"/>
        <v>36078.474706850124</v>
      </c>
      <c r="H55" s="22">
        <f t="shared" si="16"/>
        <v>24610.044765545539</v>
      </c>
      <c r="I55" s="5">
        <f t="shared" si="17"/>
        <v>58645.885756855379</v>
      </c>
      <c r="J55" s="26">
        <f t="shared" si="18"/>
        <v>0.18123677356032827</v>
      </c>
      <c r="L55" s="22">
        <f t="shared" si="19"/>
        <v>85438.388917466466</v>
      </c>
      <c r="M55" s="5">
        <f>scrimecost*Meta!O52</f>
        <v>498.68</v>
      </c>
      <c r="N55" s="5">
        <f>L55-Grade8!L55</f>
        <v>842.96583349470166</v>
      </c>
      <c r="O55" s="5">
        <f>Grade8!M55-M55</f>
        <v>10.373999999999967</v>
      </c>
      <c r="P55" s="22">
        <f t="shared" si="22"/>
        <v>176.30862356475319</v>
      </c>
      <c r="S55" s="22">
        <f t="shared" si="20"/>
        <v>682.54286148896324</v>
      </c>
      <c r="T55" s="22">
        <f t="shared" si="21"/>
        <v>1176.8834628126349</v>
      </c>
    </row>
    <row r="56" spans="1:20" x14ac:dyDescent="0.2">
      <c r="A56" s="5">
        <v>65</v>
      </c>
      <c r="B56" s="1">
        <f t="shared" si="13"/>
        <v>3.4371087197035428</v>
      </c>
      <c r="C56" s="5">
        <f t="shared" si="14"/>
        <v>54838.052858999443</v>
      </c>
      <c r="D56" s="5">
        <f t="shared" si="15"/>
        <v>51581.294471702495</v>
      </c>
      <c r="E56" s="5">
        <f t="shared" si="6"/>
        <v>42081.294471702495</v>
      </c>
      <c r="F56" s="5">
        <f t="shared" si="7"/>
        <v>14799.422092181114</v>
      </c>
      <c r="G56" s="5">
        <f t="shared" si="8"/>
        <v>36781.872379521381</v>
      </c>
      <c r="H56" s="22">
        <f t="shared" si="16"/>
        <v>25225.295884684179</v>
      </c>
      <c r="I56" s="5">
        <f t="shared" si="17"/>
        <v>59913.468705776773</v>
      </c>
      <c r="J56" s="26">
        <f t="shared" si="18"/>
        <v>0.18394134123352526</v>
      </c>
      <c r="L56" s="22">
        <f t="shared" si="19"/>
        <v>87574.348640403128</v>
      </c>
      <c r="M56" s="5">
        <f>scrimecost*Meta!O53</f>
        <v>150.69999999999999</v>
      </c>
      <c r="N56" s="5">
        <f>L56-Grade8!L56</f>
        <v>864.03997933206847</v>
      </c>
      <c r="O56" s="5">
        <f>Grade8!M56-M56</f>
        <v>3.1350000000000193</v>
      </c>
      <c r="P56" s="22">
        <f t="shared" si="22"/>
        <v>181.30034517254498</v>
      </c>
      <c r="S56" s="22">
        <f t="shared" si="20"/>
        <v>693.10003533975828</v>
      </c>
      <c r="T56" s="22">
        <f t="shared" si="21"/>
        <v>1208.1796685790989</v>
      </c>
    </row>
    <row r="57" spans="1:20" x14ac:dyDescent="0.2">
      <c r="A57" s="5">
        <v>66</v>
      </c>
      <c r="C57" s="5"/>
      <c r="H57" s="21"/>
      <c r="I57" s="5"/>
      <c r="M57" s="5">
        <f>scrimecost*Meta!O54</f>
        <v>150.69999999999999</v>
      </c>
      <c r="N57" s="5">
        <f>L57-Grade8!L57</f>
        <v>0</v>
      </c>
      <c r="O57" s="5">
        <f>Grade8!M57-M57</f>
        <v>3.1350000000000193</v>
      </c>
      <c r="S57" s="22">
        <f t="shared" si="20"/>
        <v>2.9500350000000179</v>
      </c>
      <c r="T57" s="22">
        <f t="shared" si="21"/>
        <v>5.1987010160171438</v>
      </c>
    </row>
    <row r="58" spans="1:20" x14ac:dyDescent="0.2">
      <c r="A58" s="5">
        <v>67</v>
      </c>
      <c r="C58" s="5"/>
      <c r="H58" s="21"/>
      <c r="I58" s="5"/>
      <c r="M58" s="5">
        <f>scrimecost*Meta!O55</f>
        <v>150.69999999999999</v>
      </c>
      <c r="N58" s="5">
        <f>L58-Grade8!L58</f>
        <v>0</v>
      </c>
      <c r="O58" s="5">
        <f>Grade8!M58-M58</f>
        <v>3.1350000000000193</v>
      </c>
      <c r="S58" s="22">
        <f t="shared" si="20"/>
        <v>2.9500350000000179</v>
      </c>
      <c r="T58" s="22">
        <f t="shared" si="21"/>
        <v>5.2556557636487655</v>
      </c>
    </row>
    <row r="59" spans="1:20" x14ac:dyDescent="0.2">
      <c r="A59" s="5">
        <v>68</v>
      </c>
      <c r="H59" s="21"/>
      <c r="I59" s="5"/>
      <c r="M59" s="5">
        <f>scrimecost*Meta!O56</f>
        <v>150.69999999999999</v>
      </c>
      <c r="N59" s="5">
        <f>L59-Grade8!L59</f>
        <v>0</v>
      </c>
      <c r="O59" s="5">
        <f>Grade8!M59-M59</f>
        <v>3.1350000000000193</v>
      </c>
      <c r="S59" s="22">
        <f t="shared" si="20"/>
        <v>2.9500350000000179</v>
      </c>
      <c r="T59" s="22">
        <f t="shared" si="21"/>
        <v>5.3132344831664025</v>
      </c>
    </row>
    <row r="60" spans="1:20" x14ac:dyDescent="0.2">
      <c r="A60" s="5">
        <v>69</v>
      </c>
      <c r="H60" s="21"/>
      <c r="I60" s="5"/>
      <c r="M60" s="5">
        <f>scrimecost*Meta!O57</f>
        <v>150.69999999999999</v>
      </c>
      <c r="N60" s="5">
        <f>L60-Grade8!L60</f>
        <v>0</v>
      </c>
      <c r="O60" s="5">
        <f>Grade8!M60-M60</f>
        <v>3.1350000000000193</v>
      </c>
      <c r="S60" s="22">
        <f t="shared" si="20"/>
        <v>2.9500350000000179</v>
      </c>
      <c r="T60" s="22">
        <f t="shared" si="21"/>
        <v>5.3714440105394949</v>
      </c>
    </row>
    <row r="61" spans="1:20" x14ac:dyDescent="0.2">
      <c r="A61" s="5">
        <v>70</v>
      </c>
      <c r="H61" s="21"/>
      <c r="I61" s="5"/>
      <c r="M61" s="5">
        <f>scrimecost*Meta!O58</f>
        <v>150.69999999999999</v>
      </c>
      <c r="N61" s="5">
        <f>L61-Grade8!L61</f>
        <v>0</v>
      </c>
      <c r="O61" s="5">
        <f>Grade8!M61-M61</f>
        <v>3.1350000000000193</v>
      </c>
      <c r="S61" s="22">
        <f t="shared" si="20"/>
        <v>2.9500350000000179</v>
      </c>
      <c r="T61" s="22">
        <f t="shared" si="21"/>
        <v>5.4302912566294523</v>
      </c>
    </row>
    <row r="62" spans="1:20" x14ac:dyDescent="0.2">
      <c r="A62" s="5">
        <v>71</v>
      </c>
      <c r="H62" s="21"/>
      <c r="I62" s="5"/>
      <c r="M62" s="5">
        <f>scrimecost*Meta!O59</f>
        <v>150.69999999999999</v>
      </c>
      <c r="N62" s="5">
        <f>L62-Grade8!L62</f>
        <v>0</v>
      </c>
      <c r="O62" s="5">
        <f>Grade8!M62-M62</f>
        <v>3.1350000000000193</v>
      </c>
      <c r="S62" s="22">
        <f t="shared" si="20"/>
        <v>2.9500350000000179</v>
      </c>
      <c r="T62" s="22">
        <f t="shared" si="21"/>
        <v>5.4897832080101239</v>
      </c>
    </row>
    <row r="63" spans="1:20" x14ac:dyDescent="0.2">
      <c r="A63" s="5">
        <v>72</v>
      </c>
      <c r="H63" s="21"/>
      <c r="M63" s="5">
        <f>scrimecost*Meta!O60</f>
        <v>150.69999999999999</v>
      </c>
      <c r="N63" s="5">
        <f>L63-Grade8!L63</f>
        <v>0</v>
      </c>
      <c r="O63" s="5">
        <f>Grade8!M63-M63</f>
        <v>3.1350000000000193</v>
      </c>
      <c r="S63" s="22">
        <f t="shared" si="20"/>
        <v>2.9500350000000179</v>
      </c>
      <c r="T63" s="22">
        <f t="shared" si="21"/>
        <v>5.5499269277972783</v>
      </c>
    </row>
    <row r="64" spans="1:20" x14ac:dyDescent="0.2">
      <c r="A64" s="5">
        <v>73</v>
      </c>
      <c r="H64" s="21"/>
      <c r="M64" s="5">
        <f>scrimecost*Meta!O61</f>
        <v>150.69999999999999</v>
      </c>
      <c r="N64" s="5">
        <f>L64-Grade8!L64</f>
        <v>0</v>
      </c>
      <c r="O64" s="5">
        <f>Grade8!M64-M64</f>
        <v>3.1350000000000193</v>
      </c>
      <c r="S64" s="22">
        <f t="shared" si="20"/>
        <v>2.9500350000000179</v>
      </c>
      <c r="T64" s="22">
        <f t="shared" si="21"/>
        <v>5.6107295564871693</v>
      </c>
    </row>
    <row r="65" spans="1:20" x14ac:dyDescent="0.2">
      <c r="A65" s="5">
        <v>74</v>
      </c>
      <c r="H65" s="21"/>
      <c r="M65" s="5">
        <f>scrimecost*Meta!O62</f>
        <v>150.69999999999999</v>
      </c>
      <c r="N65" s="5">
        <f>L65-Grade8!L65</f>
        <v>0</v>
      </c>
      <c r="O65" s="5">
        <f>Grade8!M65-M65</f>
        <v>3.1350000000000193</v>
      </c>
      <c r="S65" s="22">
        <f t="shared" si="20"/>
        <v>2.9500350000000179</v>
      </c>
      <c r="T65" s="22">
        <f t="shared" si="21"/>
        <v>5.6721983128042677</v>
      </c>
    </row>
    <row r="66" spans="1:20" x14ac:dyDescent="0.2">
      <c r="A66" s="5">
        <v>75</v>
      </c>
      <c r="H66" s="21"/>
      <c r="M66" s="5">
        <f>scrimecost*Meta!O63</f>
        <v>150.69999999999999</v>
      </c>
      <c r="N66" s="5">
        <f>L66-Grade8!L66</f>
        <v>0</v>
      </c>
      <c r="O66" s="5">
        <f>Grade8!M66-M66</f>
        <v>3.1350000000000193</v>
      </c>
      <c r="S66" s="22">
        <f t="shared" si="20"/>
        <v>2.9500350000000179</v>
      </c>
      <c r="T66" s="22">
        <f t="shared" si="21"/>
        <v>5.7343404945583138</v>
      </c>
    </row>
    <row r="67" spans="1:20" x14ac:dyDescent="0.2">
      <c r="A67" s="5">
        <v>76</v>
      </c>
      <c r="H67" s="21"/>
      <c r="M67" s="5">
        <f>scrimecost*Meta!O64</f>
        <v>150.69999999999999</v>
      </c>
      <c r="N67" s="5">
        <f>L67-Grade8!L67</f>
        <v>0</v>
      </c>
      <c r="O67" s="5">
        <f>Grade8!M67-M67</f>
        <v>3.1350000000000193</v>
      </c>
      <c r="S67" s="22">
        <f t="shared" si="20"/>
        <v>2.9500350000000179</v>
      </c>
      <c r="T67" s="22">
        <f t="shared" si="21"/>
        <v>5.7971634795107319</v>
      </c>
    </row>
    <row r="68" spans="1:20" x14ac:dyDescent="0.2">
      <c r="A68" s="5">
        <v>77</v>
      </c>
      <c r="H68" s="21"/>
      <c r="M68" s="5">
        <f>scrimecost*Meta!O65</f>
        <v>150.69999999999999</v>
      </c>
      <c r="N68" s="5">
        <f>L68-Grade8!L68</f>
        <v>0</v>
      </c>
      <c r="O68" s="5">
        <f>Grade8!M68-M68</f>
        <v>3.1350000000000193</v>
      </c>
      <c r="S68" s="22">
        <f t="shared" si="20"/>
        <v>2.9500350000000179</v>
      </c>
      <c r="T68" s="22">
        <f t="shared" si="21"/>
        <v>5.8606747262505463</v>
      </c>
    </row>
    <row r="69" spans="1:20" x14ac:dyDescent="0.2">
      <c r="A69" s="5">
        <v>78</v>
      </c>
      <c r="H69" s="21"/>
      <c r="M69" s="5">
        <f>scrimecost*Meta!O66</f>
        <v>150.69999999999999</v>
      </c>
      <c r="N69" s="5">
        <f>L69-Grade8!L69</f>
        <v>0</v>
      </c>
      <c r="O69" s="5">
        <f>Grade8!M69-M69</f>
        <v>3.1350000000000193</v>
      </c>
      <c r="S69" s="22">
        <f>IF(A69&lt;startage,1,0)*(N69-Q69-R69)+IF(A69&gt;=startage,1,0)*completionprob*(N69*spart+O69+P69)</f>
        <v>2.9500350000000179</v>
      </c>
      <c r="T69" s="22">
        <f>S69/sreturn^(A69-startage+1)</f>
        <v>5.9248817750799025</v>
      </c>
    </row>
    <row r="70" spans="1:20" x14ac:dyDescent="0.2">
      <c r="A70" s="5">
        <v>79</v>
      </c>
      <c r="H70" s="21"/>
      <c r="M70" s="5"/>
      <c r="S70" s="22">
        <f>SUM(T5:T69)</f>
        <v>7.0331118706690177E-10</v>
      </c>
    </row>
    <row r="71" spans="1:20" x14ac:dyDescent="0.2">
      <c r="A71" s="5">
        <v>80</v>
      </c>
      <c r="H71" s="21"/>
      <c r="M71" s="5"/>
    </row>
    <row r="72" spans="1:20" x14ac:dyDescent="0.2">
      <c r="A72" s="5">
        <v>81</v>
      </c>
      <c r="H72" s="21"/>
      <c r="M72" s="5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6" sqref="S6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Meta!A4+6</f>
        <v>16</v>
      </c>
      <c r="C2" s="7">
        <f>Meta!B4</f>
        <v>32893</v>
      </c>
      <c r="D2" s="7">
        <f>Meta!C4</f>
        <v>15131</v>
      </c>
      <c r="E2" s="1">
        <f>Meta!D4</f>
        <v>7.9000000000000001E-2</v>
      </c>
      <c r="F2" s="1">
        <f>Meta!F4</f>
        <v>0.59199999999999997</v>
      </c>
      <c r="G2" s="1">
        <f>Meta!I4</f>
        <v>1.9496869757628374</v>
      </c>
      <c r="H2" s="1">
        <f>Meta!E4</f>
        <v>0.94099999999999995</v>
      </c>
      <c r="I2" s="13"/>
      <c r="J2" s="1">
        <f>Meta!X3</f>
        <v>0.63900000000000001</v>
      </c>
      <c r="K2" s="1">
        <f>Meta!D3</f>
        <v>8.3000000000000004E-2</v>
      </c>
      <c r="L2" s="29"/>
      <c r="N2" s="22">
        <f>Meta!T4</f>
        <v>37710</v>
      </c>
      <c r="O2" s="22">
        <f>Meta!U4</f>
        <v>17347</v>
      </c>
      <c r="P2" s="1">
        <f>Meta!V4</f>
        <v>6.5000000000000002E-2</v>
      </c>
      <c r="Q2" s="1">
        <f>Meta!X4</f>
        <v>0.64600000000000002</v>
      </c>
      <c r="R2" s="22">
        <f>Meta!W4</f>
        <v>2684</v>
      </c>
      <c r="T2" s="12">
        <f>IRR(S5:S69)+1</f>
        <v>0.98954627767824122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B6" s="1">
        <v>1</v>
      </c>
      <c r="C6" s="5">
        <f>0.1*Grade9!C6</f>
        <v>1595.4704180474491</v>
      </c>
      <c r="D6" s="5">
        <f t="shared" ref="D6:D36" si="0">IF(A6&lt;startage,1,0)*(C6*(1-initialunempprob))+IF(A6=startage,1,0)*(C6*(1-unempprob))+IF(A6&gt;startage,1,0)*(C6*(1-unempprob)+unempprob*300*52)</f>
        <v>1463.046373349511</v>
      </c>
      <c r="E6" s="5">
        <f t="shared" ref="E6:E56" si="1">IF(D6-9500&gt;0,1,0)*(D6-9500)</f>
        <v>0</v>
      </c>
      <c r="F6" s="5">
        <f t="shared" ref="F6:F56" si="2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111.92304756123758</v>
      </c>
      <c r="G6" s="5">
        <f t="shared" ref="G6:G56" si="3">D6-F6</f>
        <v>1351.1233257882734</v>
      </c>
      <c r="H6" s="22">
        <f>0.1*Grade9!H6</f>
        <v>733.91032818013127</v>
      </c>
      <c r="I6" s="5">
        <f t="shared" ref="I6:I36" si="4">G6+IF(A6&lt;startage,1,0)*(H6*(1-initialunempprob))+IF(A6&gt;=startage,1,0)*(H6*(1-unempprob))</f>
        <v>2024.1190967294538</v>
      </c>
      <c r="J6" s="26">
        <f t="shared" ref="J6:J37" si="5">(F6-(IF(A6&gt;startage,1,0)*(unempprob*300*52)))/(IF(A6&lt;startage,1,0)*((C6+H6)*(1-initialunempprob))+IF(A6&gt;=startage,1,0)*((C6+H6)*(1-unempprob)))</f>
        <v>5.2397396680767976E-2</v>
      </c>
      <c r="L6" s="22">
        <f>0.1*Grade9!L6</f>
        <v>2547.9074356413312</v>
      </c>
      <c r="M6" s="5">
        <f>scrimecost*Meta!O3</f>
        <v>4981.5039999999999</v>
      </c>
      <c r="N6" s="5">
        <f>L6-Grade9!L6</f>
        <v>-22931.166920771982</v>
      </c>
      <c r="O6" s="5"/>
      <c r="P6" s="22"/>
      <c r="Q6" s="22">
        <f>0.05*feel*Grade9!G6</f>
        <v>174.79196715657199</v>
      </c>
      <c r="R6" s="22">
        <f>hstuition</f>
        <v>11298</v>
      </c>
      <c r="S6" s="22">
        <f t="shared" ref="S6:S37" si="6">IF(A6&lt;startage,1,0)*(N6-Q6-R6)+IF(A6&gt;=startage,1,0)*completionprob*(N6*spart+O6+P6)</f>
        <v>-34403.958887928558</v>
      </c>
      <c r="T6" s="22">
        <f t="shared" ref="T6:T37" si="7">S6/sreturn^(A6-startage+1)</f>
        <v>-34403.958887928558</v>
      </c>
    </row>
    <row r="7" spans="1:20" x14ac:dyDescent="0.2">
      <c r="A7" s="5">
        <v>16</v>
      </c>
      <c r="B7" s="1">
        <f t="shared" ref="B7:B36" si="8">(1+experiencepremium)^(A7-startage)</f>
        <v>1</v>
      </c>
      <c r="C7" s="5">
        <f t="shared" ref="C7:C36" si="9">pretaxincome*B7/expnorm</f>
        <v>16870.913335783163</v>
      </c>
      <c r="D7" s="5">
        <f t="shared" si="0"/>
        <v>15538.111182256294</v>
      </c>
      <c r="E7" s="5">
        <f t="shared" si="1"/>
        <v>6038.1111822562943</v>
      </c>
      <c r="F7" s="5">
        <f t="shared" si="2"/>
        <v>2396.2877418938651</v>
      </c>
      <c r="G7" s="5">
        <f t="shared" si="3"/>
        <v>13141.82344036243</v>
      </c>
      <c r="H7" s="22">
        <f t="shared" ref="H7:H36" si="10">benefits*B7/expnorm</f>
        <v>7760.732973086524</v>
      </c>
      <c r="I7" s="5">
        <f t="shared" si="4"/>
        <v>20289.458508575117</v>
      </c>
      <c r="J7" s="26">
        <f t="shared" si="5"/>
        <v>0.10562966346519576</v>
      </c>
      <c r="L7" s="22">
        <f t="shared" ref="L7:L36" si="11">(sincome+sbenefits)*(1-sunemp)*B7/expnorm</f>
        <v>26403.364047635663</v>
      </c>
      <c r="M7" s="5">
        <f>scrimecost*Meta!O4</f>
        <v>6302.0319999999992</v>
      </c>
      <c r="N7" s="5">
        <f>L7-Grade9!L7</f>
        <v>287.31283231202178</v>
      </c>
      <c r="O7" s="5">
        <f>Grade9!M7-M7</f>
        <v>131.48800000000028</v>
      </c>
      <c r="P7" s="22">
        <f t="shared" ref="P7:P38" si="12">(spart-initialspart)*(L7*J7+nptrans)</f>
        <v>65.400849210905676</v>
      </c>
      <c r="Q7" s="22"/>
      <c r="R7" s="22"/>
      <c r="S7" s="22">
        <f t="shared" si="6"/>
        <v>359.92585549028814</v>
      </c>
      <c r="T7" s="22">
        <f t="shared" si="7"/>
        <v>363.72816876718207</v>
      </c>
    </row>
    <row r="8" spans="1:20" x14ac:dyDescent="0.2">
      <c r="A8" s="5">
        <v>17</v>
      </c>
      <c r="B8" s="1">
        <f t="shared" si="8"/>
        <v>1.0249999999999999</v>
      </c>
      <c r="C8" s="5">
        <f t="shared" si="9"/>
        <v>17292.686169177741</v>
      </c>
      <c r="D8" s="5">
        <f t="shared" si="0"/>
        <v>17158.9639618127</v>
      </c>
      <c r="E8" s="5">
        <f t="shared" si="1"/>
        <v>7658.9639618127003</v>
      </c>
      <c r="F8" s="5">
        <f t="shared" si="2"/>
        <v>2844.4535354412119</v>
      </c>
      <c r="G8" s="5">
        <f t="shared" si="3"/>
        <v>14314.510426371489</v>
      </c>
      <c r="H8" s="22">
        <f t="shared" si="10"/>
        <v>7954.7512974136862</v>
      </c>
      <c r="I8" s="5">
        <f t="shared" si="4"/>
        <v>21640.836371289493</v>
      </c>
      <c r="J8" s="26">
        <f t="shared" si="5"/>
        <v>6.9327018788085878E-2</v>
      </c>
      <c r="L8" s="22">
        <f t="shared" si="11"/>
        <v>27063.448148826552</v>
      </c>
      <c r="M8" s="5">
        <f>scrimecost*Meta!O5</f>
        <v>7279.0080000000007</v>
      </c>
      <c r="N8" s="5">
        <f>L8-Grade9!L8</f>
        <v>294.49565311981496</v>
      </c>
      <c r="O8" s="5">
        <f>Grade9!M8-M8</f>
        <v>151.87199999999939</v>
      </c>
      <c r="P8" s="22">
        <f t="shared" si="12"/>
        <v>59.011597247988661</v>
      </c>
      <c r="Q8" s="22"/>
      <c r="R8" s="22"/>
      <c r="S8" s="22">
        <f t="shared" si="6"/>
        <v>377.46124960274864</v>
      </c>
      <c r="T8" s="22">
        <f t="shared" si="7"/>
        <v>385.47849468203594</v>
      </c>
    </row>
    <row r="9" spans="1:20" x14ac:dyDescent="0.2">
      <c r="A9" s="5">
        <v>18</v>
      </c>
      <c r="B9" s="1">
        <f t="shared" si="8"/>
        <v>1.0506249999999999</v>
      </c>
      <c r="C9" s="5">
        <f t="shared" si="9"/>
        <v>17725.003323407185</v>
      </c>
      <c r="D9" s="5">
        <f t="shared" si="0"/>
        <v>17557.12806085802</v>
      </c>
      <c r="E9" s="5">
        <f t="shared" si="1"/>
        <v>8057.12806085802</v>
      </c>
      <c r="F9" s="5">
        <f t="shared" si="2"/>
        <v>2954.5459088272428</v>
      </c>
      <c r="G9" s="5">
        <f t="shared" si="3"/>
        <v>14602.582152030776</v>
      </c>
      <c r="H9" s="22">
        <f t="shared" si="10"/>
        <v>8153.620079849029</v>
      </c>
      <c r="I9" s="5">
        <f t="shared" si="4"/>
        <v>22112.066245571732</v>
      </c>
      <c r="J9" s="26">
        <f t="shared" si="5"/>
        <v>7.2255205990074817E-2</v>
      </c>
      <c r="L9" s="22">
        <f t="shared" si="11"/>
        <v>27740.034352547216</v>
      </c>
      <c r="M9" s="5">
        <f>scrimecost*Meta!O6</f>
        <v>8846.4639999999999</v>
      </c>
      <c r="N9" s="5">
        <f>L9-Grade9!L9</f>
        <v>301.85804444781388</v>
      </c>
      <c r="O9" s="5">
        <f>Grade9!M9-M9</f>
        <v>184.57599999999911</v>
      </c>
      <c r="P9" s="22">
        <f t="shared" si="12"/>
        <v>59.908533274205411</v>
      </c>
      <c r="Q9" s="22"/>
      <c r="R9" s="22"/>
      <c r="S9" s="22">
        <f t="shared" si="6"/>
        <v>413.5552250182302</v>
      </c>
      <c r="T9" s="22">
        <f t="shared" si="7"/>
        <v>426.80075971737728</v>
      </c>
    </row>
    <row r="10" spans="1:20" x14ac:dyDescent="0.2">
      <c r="A10" s="5">
        <v>19</v>
      </c>
      <c r="B10" s="1">
        <f t="shared" si="8"/>
        <v>1.0768906249999999</v>
      </c>
      <c r="C10" s="5">
        <f t="shared" si="9"/>
        <v>18168.128406492364</v>
      </c>
      <c r="D10" s="5">
        <f t="shared" si="0"/>
        <v>17965.246262379471</v>
      </c>
      <c r="E10" s="5">
        <f t="shared" si="1"/>
        <v>8465.2462623794709</v>
      </c>
      <c r="F10" s="5">
        <f t="shared" si="2"/>
        <v>3067.3905915479236</v>
      </c>
      <c r="G10" s="5">
        <f t="shared" si="3"/>
        <v>14897.855670831548</v>
      </c>
      <c r="H10" s="22">
        <f t="shared" si="10"/>
        <v>8357.4605818452546</v>
      </c>
      <c r="I10" s="5">
        <f t="shared" si="4"/>
        <v>22595.076866711028</v>
      </c>
      <c r="J10" s="26">
        <f t="shared" si="5"/>
        <v>7.5111973992015232E-2</v>
      </c>
      <c r="L10" s="22">
        <f t="shared" si="11"/>
        <v>28433.535211360897</v>
      </c>
      <c r="M10" s="5">
        <f>scrimecost*Meta!O7</f>
        <v>9455.732</v>
      </c>
      <c r="N10" s="5">
        <f>L10-Grade9!L10</f>
        <v>309.40449555901068</v>
      </c>
      <c r="O10" s="5">
        <f>Grade9!M10-M10</f>
        <v>197.28800000000047</v>
      </c>
      <c r="P10" s="22">
        <f t="shared" si="12"/>
        <v>60.827892701077573</v>
      </c>
      <c r="Q10" s="22"/>
      <c r="R10" s="22"/>
      <c r="S10" s="22">
        <f t="shared" si="6"/>
        <v>430.96971621909921</v>
      </c>
      <c r="T10" s="22">
        <f t="shared" si="7"/>
        <v>449.4716621040879</v>
      </c>
    </row>
    <row r="11" spans="1:20" x14ac:dyDescent="0.2">
      <c r="A11" s="5">
        <v>20</v>
      </c>
      <c r="B11" s="1">
        <f t="shared" si="8"/>
        <v>1.1038128906249998</v>
      </c>
      <c r="C11" s="5">
        <f t="shared" si="9"/>
        <v>18622.331616654668</v>
      </c>
      <c r="D11" s="5">
        <f t="shared" si="0"/>
        <v>18383.56741893895</v>
      </c>
      <c r="E11" s="5">
        <f t="shared" si="1"/>
        <v>8883.5674189389501</v>
      </c>
      <c r="F11" s="5">
        <f t="shared" si="2"/>
        <v>3202.2347622835673</v>
      </c>
      <c r="G11" s="5">
        <f t="shared" si="3"/>
        <v>15181.332656655382</v>
      </c>
      <c r="H11" s="22">
        <f t="shared" si="10"/>
        <v>8566.3970963913853</v>
      </c>
      <c r="I11" s="5">
        <f t="shared" si="4"/>
        <v>23070.984382431849</v>
      </c>
      <c r="J11" s="26">
        <f t="shared" si="5"/>
        <v>7.8664949053764435E-2</v>
      </c>
      <c r="L11" s="22">
        <f t="shared" si="11"/>
        <v>29144.373591644911</v>
      </c>
      <c r="M11" s="5">
        <f>scrimecost*Meta!O8</f>
        <v>9055.8160000000007</v>
      </c>
      <c r="N11" s="5">
        <f>L11-Grade9!L11</f>
        <v>317.13960794798186</v>
      </c>
      <c r="O11" s="5">
        <f>Grade9!M11-M11</f>
        <v>188.94399999999951</v>
      </c>
      <c r="P11" s="22">
        <f t="shared" si="12"/>
        <v>61.926484646534433</v>
      </c>
      <c r="Q11" s="22"/>
      <c r="R11" s="22"/>
      <c r="S11" s="22">
        <f t="shared" si="6"/>
        <v>428.85385376945533</v>
      </c>
      <c r="T11" s="22">
        <f t="shared" si="7"/>
        <v>451.98994097242525</v>
      </c>
    </row>
    <row r="12" spans="1:20" x14ac:dyDescent="0.2">
      <c r="A12" s="5">
        <v>21</v>
      </c>
      <c r="B12" s="1">
        <f t="shared" si="8"/>
        <v>1.1314082128906247</v>
      </c>
      <c r="C12" s="5">
        <f t="shared" si="9"/>
        <v>19087.889907071036</v>
      </c>
      <c r="D12" s="5">
        <f t="shared" si="0"/>
        <v>18812.346604412425</v>
      </c>
      <c r="E12" s="5">
        <f t="shared" si="1"/>
        <v>9312.3466044124252</v>
      </c>
      <c r="F12" s="5">
        <f t="shared" si="2"/>
        <v>3342.2311663406567</v>
      </c>
      <c r="G12" s="5">
        <f t="shared" si="3"/>
        <v>15470.115438071769</v>
      </c>
      <c r="H12" s="22">
        <f t="shared" si="10"/>
        <v>8780.5570238011696</v>
      </c>
      <c r="I12" s="5">
        <f t="shared" si="4"/>
        <v>23557.008456992648</v>
      </c>
      <c r="J12" s="26">
        <f t="shared" si="5"/>
        <v>8.2200660357991409E-2</v>
      </c>
      <c r="L12" s="22">
        <f t="shared" si="11"/>
        <v>29872.982931436036</v>
      </c>
      <c r="M12" s="5">
        <f>scrimecost*Meta!O9</f>
        <v>8223.7759999999998</v>
      </c>
      <c r="N12" s="5">
        <f>L12-Grade9!L12</f>
        <v>325.06809814668304</v>
      </c>
      <c r="O12" s="5">
        <f>Grade9!M12-M12</f>
        <v>171.58400000000074</v>
      </c>
      <c r="P12" s="22">
        <f t="shared" si="12"/>
        <v>63.067052466789391</v>
      </c>
      <c r="Q12" s="22"/>
      <c r="R12" s="22"/>
      <c r="S12" s="22">
        <f t="shared" si="6"/>
        <v>418.41098628124411</v>
      </c>
      <c r="T12" s="22">
        <f t="shared" si="7"/>
        <v>445.64231588807894</v>
      </c>
    </row>
    <row r="13" spans="1:20" x14ac:dyDescent="0.2">
      <c r="A13" s="5">
        <v>22</v>
      </c>
      <c r="B13" s="1">
        <f t="shared" si="8"/>
        <v>1.1596934182128902</v>
      </c>
      <c r="C13" s="5">
        <f t="shared" si="9"/>
        <v>19565.087154747809</v>
      </c>
      <c r="D13" s="5">
        <f t="shared" si="0"/>
        <v>19251.845269522735</v>
      </c>
      <c r="E13" s="5">
        <f t="shared" si="1"/>
        <v>9751.8452695227352</v>
      </c>
      <c r="F13" s="5">
        <f t="shared" si="2"/>
        <v>3485.727480499173</v>
      </c>
      <c r="G13" s="5">
        <f t="shared" si="3"/>
        <v>15766.117789023563</v>
      </c>
      <c r="H13" s="22">
        <f t="shared" si="10"/>
        <v>9000.0709493961986</v>
      </c>
      <c r="I13" s="5">
        <f t="shared" si="4"/>
        <v>24055.183133417464</v>
      </c>
      <c r="J13" s="26">
        <f t="shared" si="5"/>
        <v>8.5650134801139671E-2</v>
      </c>
      <c r="L13" s="22">
        <f t="shared" si="11"/>
        <v>30619.807504721932</v>
      </c>
      <c r="M13" s="5">
        <f>scrimecost*Meta!O10</f>
        <v>7536.6719999999996</v>
      </c>
      <c r="N13" s="5">
        <f>L13-Grade9!L13</f>
        <v>333.19480060034766</v>
      </c>
      <c r="O13" s="5">
        <f>Grade9!M13-M13</f>
        <v>157.24799999999959</v>
      </c>
      <c r="P13" s="22">
        <f t="shared" si="12"/>
        <v>64.236134482550739</v>
      </c>
      <c r="Q13" s="22"/>
      <c r="R13" s="22"/>
      <c r="S13" s="22">
        <f t="shared" si="6"/>
        <v>410.96102510582278</v>
      </c>
      <c r="T13" s="22">
        <f t="shared" si="7"/>
        <v>442.33150158634919</v>
      </c>
    </row>
    <row r="14" spans="1:20" x14ac:dyDescent="0.2">
      <c r="A14" s="5">
        <v>23</v>
      </c>
      <c r="B14" s="1">
        <f t="shared" si="8"/>
        <v>1.1886857536682125</v>
      </c>
      <c r="C14" s="5">
        <f t="shared" si="9"/>
        <v>20054.214333616506</v>
      </c>
      <c r="D14" s="5">
        <f t="shared" si="0"/>
        <v>19702.331401260806</v>
      </c>
      <c r="E14" s="5">
        <f t="shared" si="1"/>
        <v>10202.331401260806</v>
      </c>
      <c r="F14" s="5">
        <f t="shared" si="2"/>
        <v>3632.8112025116534</v>
      </c>
      <c r="G14" s="5">
        <f t="shared" si="3"/>
        <v>16069.520198749153</v>
      </c>
      <c r="H14" s="22">
        <f t="shared" si="10"/>
        <v>9225.072723131103</v>
      </c>
      <c r="I14" s="5">
        <f t="shared" si="4"/>
        <v>24565.812176752901</v>
      </c>
      <c r="J14" s="26">
        <f t="shared" si="5"/>
        <v>8.9015475721284348E-2</v>
      </c>
      <c r="L14" s="22">
        <f t="shared" si="11"/>
        <v>31385.302692339985</v>
      </c>
      <c r="M14" s="5">
        <f>scrimecost*Meta!O11</f>
        <v>7042.8160000000007</v>
      </c>
      <c r="N14" s="5">
        <f>L14-Grade9!L14</f>
        <v>341.52467061536299</v>
      </c>
      <c r="O14" s="5">
        <f>Grade9!M14-M14</f>
        <v>146.94399999999951</v>
      </c>
      <c r="P14" s="22">
        <f t="shared" si="12"/>
        <v>65.434443548706113</v>
      </c>
      <c r="Q14" s="22"/>
      <c r="R14" s="22"/>
      <c r="S14" s="22">
        <f t="shared" si="6"/>
        <v>407.45618130102247</v>
      </c>
      <c r="T14" s="22">
        <f t="shared" si="7"/>
        <v>443.19212492919229</v>
      </c>
    </row>
    <row r="15" spans="1:20" x14ac:dyDescent="0.2">
      <c r="A15" s="5">
        <v>24</v>
      </c>
      <c r="B15" s="1">
        <f t="shared" si="8"/>
        <v>1.2184028975099177</v>
      </c>
      <c r="C15" s="5">
        <f t="shared" si="9"/>
        <v>20555.569691956916</v>
      </c>
      <c r="D15" s="5">
        <f t="shared" si="0"/>
        <v>20164.079686292323</v>
      </c>
      <c r="E15" s="5">
        <f t="shared" si="1"/>
        <v>10664.079686292323</v>
      </c>
      <c r="F15" s="5">
        <f t="shared" si="2"/>
        <v>3783.5720175744436</v>
      </c>
      <c r="G15" s="5">
        <f t="shared" si="3"/>
        <v>16380.507668717881</v>
      </c>
      <c r="H15" s="22">
        <f t="shared" si="10"/>
        <v>9455.6995412093802</v>
      </c>
      <c r="I15" s="5">
        <f t="shared" si="4"/>
        <v>25089.206946171718</v>
      </c>
      <c r="J15" s="26">
        <f t="shared" si="5"/>
        <v>9.2298735155571757E-2</v>
      </c>
      <c r="L15" s="22">
        <f t="shared" si="11"/>
        <v>32169.935259648482</v>
      </c>
      <c r="M15" s="5">
        <f>scrimecost*Meta!O12</f>
        <v>6728.7880000000005</v>
      </c>
      <c r="N15" s="5">
        <f>L15-Grade9!L15</f>
        <v>350.0627873807498</v>
      </c>
      <c r="O15" s="5">
        <f>Grade9!M15-M15</f>
        <v>140.39199999999983</v>
      </c>
      <c r="P15" s="22">
        <f t="shared" si="12"/>
        <v>66.662710341515364</v>
      </c>
      <c r="Q15" s="22"/>
      <c r="R15" s="22"/>
      <c r="S15" s="22">
        <f t="shared" si="6"/>
        <v>407.63675000110027</v>
      </c>
      <c r="T15" s="22">
        <f t="shared" si="7"/>
        <v>448.07255649234838</v>
      </c>
    </row>
    <row r="16" spans="1:20" x14ac:dyDescent="0.2">
      <c r="A16" s="5">
        <v>25</v>
      </c>
      <c r="B16" s="1">
        <f t="shared" si="8"/>
        <v>1.2488629699476654</v>
      </c>
      <c r="C16" s="5">
        <f t="shared" si="9"/>
        <v>21069.458934255839</v>
      </c>
      <c r="D16" s="5">
        <f t="shared" si="0"/>
        <v>20637.371678449632</v>
      </c>
      <c r="E16" s="5">
        <f t="shared" si="1"/>
        <v>11137.371678449632</v>
      </c>
      <c r="F16" s="5">
        <f t="shared" si="2"/>
        <v>3938.1018530138049</v>
      </c>
      <c r="G16" s="5">
        <f t="shared" si="3"/>
        <v>16699.269825435826</v>
      </c>
      <c r="H16" s="22">
        <f t="shared" si="10"/>
        <v>9692.0920297396115</v>
      </c>
      <c r="I16" s="5">
        <f t="shared" si="4"/>
        <v>25625.686584826006</v>
      </c>
      <c r="J16" s="26">
        <f t="shared" si="5"/>
        <v>9.550191509146197E-2</v>
      </c>
      <c r="L16" s="22">
        <f t="shared" si="11"/>
        <v>32974.183641139687</v>
      </c>
      <c r="M16" s="5">
        <f>scrimecost*Meta!O13</f>
        <v>5649.82</v>
      </c>
      <c r="N16" s="5">
        <f>L16-Grade9!L16</f>
        <v>358.81435706526099</v>
      </c>
      <c r="O16" s="5">
        <f>Grade9!M16-M16</f>
        <v>117.88000000000011</v>
      </c>
      <c r="P16" s="22">
        <f t="shared" si="12"/>
        <v>67.921683804144834</v>
      </c>
      <c r="Q16" s="22"/>
      <c r="R16" s="22"/>
      <c r="S16" s="22">
        <f t="shared" si="6"/>
        <v>392.95760871867367</v>
      </c>
      <c r="T16" s="22">
        <f t="shared" si="7"/>
        <v>436.5003613113235</v>
      </c>
    </row>
    <row r="17" spans="1:20" x14ac:dyDescent="0.2">
      <c r="A17" s="5">
        <v>26</v>
      </c>
      <c r="B17" s="1">
        <f t="shared" si="8"/>
        <v>1.2800845441963571</v>
      </c>
      <c r="C17" s="5">
        <f t="shared" si="9"/>
        <v>21596.195407612235</v>
      </c>
      <c r="D17" s="5">
        <f t="shared" si="0"/>
        <v>21122.49597041087</v>
      </c>
      <c r="E17" s="5">
        <f t="shared" si="1"/>
        <v>11622.49597041087</v>
      </c>
      <c r="F17" s="5">
        <f t="shared" si="2"/>
        <v>4096.494934339149</v>
      </c>
      <c r="G17" s="5">
        <f t="shared" si="3"/>
        <v>17026.001036071721</v>
      </c>
      <c r="H17" s="22">
        <f t="shared" si="10"/>
        <v>9934.3943304831027</v>
      </c>
      <c r="I17" s="5">
        <f t="shared" si="4"/>
        <v>26175.578214446658</v>
      </c>
      <c r="J17" s="26">
        <f t="shared" si="5"/>
        <v>9.8626968687452368E-2</v>
      </c>
      <c r="L17" s="22">
        <f t="shared" si="11"/>
        <v>33798.538232168183</v>
      </c>
      <c r="M17" s="5">
        <f>scrimecost*Meta!O14</f>
        <v>5649.82</v>
      </c>
      <c r="N17" s="5">
        <f>L17-Grade9!L17</f>
        <v>367.78471599189652</v>
      </c>
      <c r="O17" s="5">
        <f>Grade9!M17-M17</f>
        <v>117.88000000000011</v>
      </c>
      <c r="P17" s="22">
        <f t="shared" si="12"/>
        <v>69.212131603340055</v>
      </c>
      <c r="Q17" s="22"/>
      <c r="R17" s="22"/>
      <c r="S17" s="22">
        <f t="shared" si="6"/>
        <v>399.62487570419313</v>
      </c>
      <c r="T17" s="22">
        <f t="shared" si="7"/>
        <v>448.59591030111307</v>
      </c>
    </row>
    <row r="18" spans="1:20" x14ac:dyDescent="0.2">
      <c r="A18" s="5">
        <v>27</v>
      </c>
      <c r="B18" s="1">
        <f t="shared" si="8"/>
        <v>1.312086657801266</v>
      </c>
      <c r="C18" s="5">
        <f t="shared" si="9"/>
        <v>22136.100292802541</v>
      </c>
      <c r="D18" s="5">
        <f t="shared" si="0"/>
        <v>21619.748369671142</v>
      </c>
      <c r="E18" s="5">
        <f t="shared" si="1"/>
        <v>12119.748369671142</v>
      </c>
      <c r="F18" s="5">
        <f t="shared" si="2"/>
        <v>4258.847842697628</v>
      </c>
      <c r="G18" s="5">
        <f t="shared" si="3"/>
        <v>17360.900526973513</v>
      </c>
      <c r="H18" s="22">
        <f t="shared" si="10"/>
        <v>10182.754188745181</v>
      </c>
      <c r="I18" s="5">
        <f t="shared" si="4"/>
        <v>26739.217134807826</v>
      </c>
      <c r="J18" s="26">
        <f t="shared" si="5"/>
        <v>0.10167580146402842</v>
      </c>
      <c r="L18" s="22">
        <f t="shared" si="11"/>
        <v>34643.501687972384</v>
      </c>
      <c r="M18" s="5">
        <f>scrimecost*Meta!O15</f>
        <v>5649.82</v>
      </c>
      <c r="N18" s="5">
        <f>L18-Grade9!L18</f>
        <v>376.97933389169339</v>
      </c>
      <c r="O18" s="5">
        <f>Grade9!M18-M18</f>
        <v>117.88000000000011</v>
      </c>
      <c r="P18" s="22">
        <f t="shared" si="12"/>
        <v>70.534840597515156</v>
      </c>
      <c r="Q18" s="22"/>
      <c r="R18" s="22"/>
      <c r="S18" s="22">
        <f t="shared" si="6"/>
        <v>406.45882436434772</v>
      </c>
      <c r="T18" s="22">
        <f t="shared" si="7"/>
        <v>461.08738768775811</v>
      </c>
    </row>
    <row r="19" spans="1:20" x14ac:dyDescent="0.2">
      <c r="A19" s="5">
        <v>28</v>
      </c>
      <c r="B19" s="1">
        <f t="shared" si="8"/>
        <v>1.3448888242462975</v>
      </c>
      <c r="C19" s="5">
        <f t="shared" si="9"/>
        <v>22689.502800122602</v>
      </c>
      <c r="D19" s="5">
        <f t="shared" si="0"/>
        <v>22129.43207891292</v>
      </c>
      <c r="E19" s="5">
        <f t="shared" si="1"/>
        <v>12629.43207891292</v>
      </c>
      <c r="F19" s="5">
        <f t="shared" si="2"/>
        <v>4425.2595737650681</v>
      </c>
      <c r="G19" s="5">
        <f t="shared" si="3"/>
        <v>17704.17250514785</v>
      </c>
      <c r="H19" s="22">
        <f t="shared" si="10"/>
        <v>10437.323043463808</v>
      </c>
      <c r="I19" s="5">
        <f t="shared" si="4"/>
        <v>27316.947028178016</v>
      </c>
      <c r="J19" s="26">
        <f t="shared" si="5"/>
        <v>0.104650272465566</v>
      </c>
      <c r="L19" s="22">
        <f t="shared" si="11"/>
        <v>35509.589230171689</v>
      </c>
      <c r="M19" s="5">
        <f>scrimecost*Meta!O16</f>
        <v>5649.82</v>
      </c>
      <c r="N19" s="5">
        <f>L19-Grade9!L19</f>
        <v>386.40381723898463</v>
      </c>
      <c r="O19" s="5">
        <f>Grade9!M19-M19</f>
        <v>117.88000000000011</v>
      </c>
      <c r="P19" s="22">
        <f t="shared" si="12"/>
        <v>71.890617316544635</v>
      </c>
      <c r="Q19" s="22"/>
      <c r="R19" s="22"/>
      <c r="S19" s="22">
        <f t="shared" si="6"/>
        <v>413.46362174100602</v>
      </c>
      <c r="T19" s="22">
        <f t="shared" si="7"/>
        <v>473.98858343760566</v>
      </c>
    </row>
    <row r="20" spans="1:20" x14ac:dyDescent="0.2">
      <c r="A20" s="5">
        <v>29</v>
      </c>
      <c r="B20" s="1">
        <f t="shared" si="8"/>
        <v>1.3785110448524549</v>
      </c>
      <c r="C20" s="5">
        <f t="shared" si="9"/>
        <v>23256.740370125663</v>
      </c>
      <c r="D20" s="5">
        <f t="shared" si="0"/>
        <v>22651.857880885738</v>
      </c>
      <c r="E20" s="5">
        <f t="shared" si="1"/>
        <v>13151.857880885738</v>
      </c>
      <c r="F20" s="5">
        <f t="shared" si="2"/>
        <v>4595.8315981091937</v>
      </c>
      <c r="G20" s="5">
        <f t="shared" si="3"/>
        <v>18056.026282776544</v>
      </c>
      <c r="H20" s="22">
        <f t="shared" si="10"/>
        <v>10698.256119550404</v>
      </c>
      <c r="I20" s="5">
        <f t="shared" si="4"/>
        <v>27909.120168882466</v>
      </c>
      <c r="J20" s="26">
        <f t="shared" si="5"/>
        <v>0.10755219539389536</v>
      </c>
      <c r="L20" s="22">
        <f t="shared" si="11"/>
        <v>36397.328960925981</v>
      </c>
      <c r="M20" s="5">
        <f>scrimecost*Meta!O17</f>
        <v>5649.82</v>
      </c>
      <c r="N20" s="5">
        <f>L20-Grade9!L20</f>
        <v>396.0639126699607</v>
      </c>
      <c r="O20" s="5">
        <f>Grade9!M20-M20</f>
        <v>117.88000000000011</v>
      </c>
      <c r="P20" s="22">
        <f t="shared" si="12"/>
        <v>73.280288453549858</v>
      </c>
      <c r="Q20" s="22"/>
      <c r="R20" s="22"/>
      <c r="S20" s="22">
        <f t="shared" si="6"/>
        <v>420.64353905208225</v>
      </c>
      <c r="T20" s="22">
        <f t="shared" si="7"/>
        <v>487.31377740981753</v>
      </c>
    </row>
    <row r="21" spans="1:20" x14ac:dyDescent="0.2">
      <c r="A21" s="5">
        <v>30</v>
      </c>
      <c r="B21" s="1">
        <f t="shared" si="8"/>
        <v>1.4129738209737661</v>
      </c>
      <c r="C21" s="5">
        <f t="shared" si="9"/>
        <v>23838.158879378803</v>
      </c>
      <c r="D21" s="5">
        <f t="shared" si="0"/>
        <v>23187.344327907882</v>
      </c>
      <c r="E21" s="5">
        <f t="shared" si="1"/>
        <v>13687.344327907882</v>
      </c>
      <c r="F21" s="5">
        <f t="shared" si="2"/>
        <v>4770.6679230619229</v>
      </c>
      <c r="G21" s="5">
        <f t="shared" si="3"/>
        <v>18416.676404845959</v>
      </c>
      <c r="H21" s="22">
        <f t="shared" si="10"/>
        <v>10965.712522539161</v>
      </c>
      <c r="I21" s="5">
        <f t="shared" si="4"/>
        <v>28516.097638104526</v>
      </c>
      <c r="J21" s="26">
        <f t="shared" si="5"/>
        <v>0.11038333971421668</v>
      </c>
      <c r="L21" s="22">
        <f t="shared" si="11"/>
        <v>37307.262184949126</v>
      </c>
      <c r="M21" s="5">
        <f>scrimecost*Meta!O18</f>
        <v>4554.7480000000005</v>
      </c>
      <c r="N21" s="5">
        <f>L21-Grade9!L21</f>
        <v>405.96551048669789</v>
      </c>
      <c r="O21" s="5">
        <f>Grade9!M21-M21</f>
        <v>95.031999999999243</v>
      </c>
      <c r="P21" s="22">
        <f t="shared" si="12"/>
        <v>74.704701368980196</v>
      </c>
      <c r="Q21" s="22"/>
      <c r="R21" s="22"/>
      <c r="S21" s="22">
        <f t="shared" si="6"/>
        <v>406.50298629592646</v>
      </c>
      <c r="T21" s="22">
        <f t="shared" si="7"/>
        <v>475.90700598515269</v>
      </c>
    </row>
    <row r="22" spans="1:20" x14ac:dyDescent="0.2">
      <c r="A22" s="5">
        <v>31</v>
      </c>
      <c r="B22" s="1">
        <f t="shared" si="8"/>
        <v>1.4482981664981105</v>
      </c>
      <c r="C22" s="5">
        <f t="shared" si="9"/>
        <v>24434.112851363279</v>
      </c>
      <c r="D22" s="5">
        <f t="shared" si="0"/>
        <v>23736.217936105582</v>
      </c>
      <c r="E22" s="5">
        <f t="shared" si="1"/>
        <v>14236.217936105582</v>
      </c>
      <c r="F22" s="5">
        <f t="shared" si="2"/>
        <v>4949.8751561384724</v>
      </c>
      <c r="G22" s="5">
        <f t="shared" si="3"/>
        <v>18786.342779967112</v>
      </c>
      <c r="H22" s="22">
        <f t="shared" si="10"/>
        <v>11239.855335602644</v>
      </c>
      <c r="I22" s="5">
        <f t="shared" si="4"/>
        <v>29138.249544057147</v>
      </c>
      <c r="J22" s="26">
        <f t="shared" si="5"/>
        <v>0.11314543173404236</v>
      </c>
      <c r="L22" s="22">
        <f t="shared" si="11"/>
        <v>38239.94373957286</v>
      </c>
      <c r="M22" s="5">
        <f>scrimecost*Meta!O19</f>
        <v>4554.7480000000005</v>
      </c>
      <c r="N22" s="5">
        <f>L22-Grade9!L22</f>
        <v>416.11464824887662</v>
      </c>
      <c r="O22" s="5">
        <f>Grade9!M22-M22</f>
        <v>95.031999999999243</v>
      </c>
      <c r="P22" s="22">
        <f t="shared" si="12"/>
        <v>76.164724607296293</v>
      </c>
      <c r="Q22" s="22"/>
      <c r="R22" s="22"/>
      <c r="S22" s="22">
        <f t="shared" si="6"/>
        <v>414.04638692088167</v>
      </c>
      <c r="T22" s="22">
        <f t="shared" si="7"/>
        <v>489.85917595075028</v>
      </c>
    </row>
    <row r="23" spans="1:20" x14ac:dyDescent="0.2">
      <c r="A23" s="5">
        <v>32</v>
      </c>
      <c r="B23" s="1">
        <f t="shared" si="8"/>
        <v>1.4845056206605631</v>
      </c>
      <c r="C23" s="5">
        <f t="shared" si="9"/>
        <v>25044.965672647355</v>
      </c>
      <c r="D23" s="5">
        <f t="shared" si="0"/>
        <v>24298.813384508216</v>
      </c>
      <c r="E23" s="5">
        <f t="shared" si="1"/>
        <v>14798.813384508216</v>
      </c>
      <c r="F23" s="5">
        <f t="shared" si="2"/>
        <v>5133.5625700419323</v>
      </c>
      <c r="G23" s="5">
        <f t="shared" si="3"/>
        <v>19165.250814466282</v>
      </c>
      <c r="H23" s="22">
        <f t="shared" si="10"/>
        <v>11520.85171899271</v>
      </c>
      <c r="I23" s="5">
        <f t="shared" si="4"/>
        <v>29775.955247658567</v>
      </c>
      <c r="J23" s="26">
        <f t="shared" si="5"/>
        <v>0.11584015565582349</v>
      </c>
      <c r="L23" s="22">
        <f t="shared" si="11"/>
        <v>39195.942333062179</v>
      </c>
      <c r="M23" s="5">
        <f>scrimecost*Meta!O20</f>
        <v>4554.7480000000005</v>
      </c>
      <c r="N23" s="5">
        <f>L23-Grade9!L23</f>
        <v>426.51751445510308</v>
      </c>
      <c r="O23" s="5">
        <f>Grade9!M23-M23</f>
        <v>95.031999999999243</v>
      </c>
      <c r="P23" s="22">
        <f t="shared" si="12"/>
        <v>77.661248426570296</v>
      </c>
      <c r="Q23" s="22"/>
      <c r="R23" s="22"/>
      <c r="S23" s="22">
        <f t="shared" si="6"/>
        <v>421.77837256145671</v>
      </c>
      <c r="T23" s="22">
        <f t="shared" si="7"/>
        <v>504.27849221691372</v>
      </c>
    </row>
    <row r="24" spans="1:20" x14ac:dyDescent="0.2">
      <c r="A24" s="5">
        <v>33</v>
      </c>
      <c r="B24" s="1">
        <f t="shared" si="8"/>
        <v>1.521618261177077</v>
      </c>
      <c r="C24" s="5">
        <f t="shared" si="9"/>
        <v>25671.089814463539</v>
      </c>
      <c r="D24" s="5">
        <f t="shared" si="0"/>
        <v>24875.473719120921</v>
      </c>
      <c r="E24" s="5">
        <f t="shared" si="1"/>
        <v>15375.473719120921</v>
      </c>
      <c r="F24" s="5">
        <f t="shared" si="2"/>
        <v>5321.8421692929805</v>
      </c>
      <c r="G24" s="5">
        <f t="shared" si="3"/>
        <v>19553.63154982794</v>
      </c>
      <c r="H24" s="22">
        <f t="shared" si="10"/>
        <v>11808.873011967524</v>
      </c>
      <c r="I24" s="5">
        <f t="shared" si="4"/>
        <v>30429.603593850028</v>
      </c>
      <c r="J24" s="26">
        <f t="shared" si="5"/>
        <v>0.11846915460390267</v>
      </c>
      <c r="L24" s="22">
        <f t="shared" si="11"/>
        <v>40175.840891388725</v>
      </c>
      <c r="M24" s="5">
        <f>scrimecost*Meta!O21</f>
        <v>4554.7480000000005</v>
      </c>
      <c r="N24" s="5">
        <f>L24-Grade9!L24</f>
        <v>437.18045231646829</v>
      </c>
      <c r="O24" s="5">
        <f>Grade9!M24-M24</f>
        <v>95.031999999999243</v>
      </c>
      <c r="P24" s="22">
        <f t="shared" si="12"/>
        <v>79.195185341326152</v>
      </c>
      <c r="Q24" s="22"/>
      <c r="R24" s="22"/>
      <c r="S24" s="22">
        <f t="shared" si="6"/>
        <v>429.70365784303578</v>
      </c>
      <c r="T24" s="22">
        <f t="shared" si="7"/>
        <v>519.18134599828727</v>
      </c>
    </row>
    <row r="25" spans="1:20" x14ac:dyDescent="0.2">
      <c r="A25" s="5">
        <v>34</v>
      </c>
      <c r="B25" s="1">
        <f t="shared" si="8"/>
        <v>1.559658717706504</v>
      </c>
      <c r="C25" s="5">
        <f t="shared" si="9"/>
        <v>26312.867059825126</v>
      </c>
      <c r="D25" s="5">
        <f t="shared" si="0"/>
        <v>25466.550562098942</v>
      </c>
      <c r="E25" s="5">
        <f t="shared" si="1"/>
        <v>15966.550562098942</v>
      </c>
      <c r="F25" s="5">
        <f t="shared" si="2"/>
        <v>5514.8287585253047</v>
      </c>
      <c r="G25" s="5">
        <f t="shared" si="3"/>
        <v>19951.721803573637</v>
      </c>
      <c r="H25" s="22">
        <f t="shared" si="10"/>
        <v>12104.094837266714</v>
      </c>
      <c r="I25" s="5">
        <f t="shared" si="4"/>
        <v>31099.59314869628</v>
      </c>
      <c r="J25" s="26">
        <f t="shared" si="5"/>
        <v>0.12103403162641894</v>
      </c>
      <c r="L25" s="22">
        <f t="shared" si="11"/>
        <v>41180.236913673441</v>
      </c>
      <c r="M25" s="5">
        <f>scrimecost*Meta!O22</f>
        <v>4554.7480000000005</v>
      </c>
      <c r="N25" s="5">
        <f>L25-Grade9!L25</f>
        <v>448.10996362438163</v>
      </c>
      <c r="O25" s="5">
        <f>Grade9!M25-M25</f>
        <v>95.031999999999243</v>
      </c>
      <c r="P25" s="22">
        <f t="shared" si="12"/>
        <v>80.7674706789509</v>
      </c>
      <c r="Q25" s="22"/>
      <c r="R25" s="22"/>
      <c r="S25" s="22">
        <f t="shared" si="6"/>
        <v>437.82707525666297</v>
      </c>
      <c r="T25" s="22">
        <f t="shared" si="7"/>
        <v>534.58471212491349</v>
      </c>
    </row>
    <row r="26" spans="1:20" x14ac:dyDescent="0.2">
      <c r="A26" s="5">
        <v>35</v>
      </c>
      <c r="B26" s="1">
        <f t="shared" si="8"/>
        <v>1.5986501856491666</v>
      </c>
      <c r="C26" s="5">
        <f t="shared" si="9"/>
        <v>26970.688736320757</v>
      </c>
      <c r="D26" s="5">
        <f t="shared" si="0"/>
        <v>26072.40432615142</v>
      </c>
      <c r="E26" s="5">
        <f t="shared" si="1"/>
        <v>16572.40432615142</v>
      </c>
      <c r="F26" s="5">
        <f t="shared" si="2"/>
        <v>5712.6400124884385</v>
      </c>
      <c r="G26" s="5">
        <f t="shared" si="3"/>
        <v>20359.764313662981</v>
      </c>
      <c r="H26" s="22">
        <f t="shared" si="10"/>
        <v>12406.69720819838</v>
      </c>
      <c r="I26" s="5">
        <f t="shared" si="4"/>
        <v>31786.332442413688</v>
      </c>
      <c r="J26" s="26">
        <f t="shared" si="5"/>
        <v>0.12353635067277631</v>
      </c>
      <c r="L26" s="22">
        <f t="shared" si="11"/>
        <v>42209.742836515281</v>
      </c>
      <c r="M26" s="5">
        <f>scrimecost*Meta!O23</f>
        <v>3534.828</v>
      </c>
      <c r="N26" s="5">
        <f>L26-Grade9!L26</f>
        <v>459.31271271500009</v>
      </c>
      <c r="O26" s="5">
        <f>Grade9!M26-M26</f>
        <v>73.751999999999953</v>
      </c>
      <c r="P26" s="22">
        <f t="shared" si="12"/>
        <v>82.379063150016293</v>
      </c>
      <c r="Q26" s="22"/>
      <c r="R26" s="22"/>
      <c r="S26" s="22">
        <f t="shared" si="6"/>
        <v>426.12909810563582</v>
      </c>
      <c r="T26" s="22">
        <f t="shared" si="7"/>
        <v>525.79808657566571</v>
      </c>
    </row>
    <row r="27" spans="1:20" x14ac:dyDescent="0.2">
      <c r="A27" s="5">
        <v>36</v>
      </c>
      <c r="B27" s="1">
        <f t="shared" si="8"/>
        <v>1.6386164402903955</v>
      </c>
      <c r="C27" s="5">
        <f t="shared" si="9"/>
        <v>27644.955954728772</v>
      </c>
      <c r="D27" s="5">
        <f t="shared" si="0"/>
        <v>26693.404434305201</v>
      </c>
      <c r="E27" s="5">
        <f t="shared" si="1"/>
        <v>17193.404434305201</v>
      </c>
      <c r="F27" s="5">
        <f t="shared" si="2"/>
        <v>5915.3965478006485</v>
      </c>
      <c r="G27" s="5">
        <f t="shared" si="3"/>
        <v>20778.007886504551</v>
      </c>
      <c r="H27" s="22">
        <f t="shared" si="10"/>
        <v>12716.864638403338</v>
      </c>
      <c r="I27" s="5">
        <f t="shared" si="4"/>
        <v>32490.240218474028</v>
      </c>
      <c r="J27" s="26">
        <f t="shared" si="5"/>
        <v>0.12597763754727126</v>
      </c>
      <c r="L27" s="22">
        <f t="shared" si="11"/>
        <v>43264.986407428158</v>
      </c>
      <c r="M27" s="5">
        <f>scrimecost*Meta!O24</f>
        <v>3534.828</v>
      </c>
      <c r="N27" s="5">
        <f>L27-Grade9!L27</f>
        <v>470.79553053287236</v>
      </c>
      <c r="O27" s="5">
        <f>Grade9!M27-M27</f>
        <v>73.751999999999953</v>
      </c>
      <c r="P27" s="22">
        <f t="shared" si="12"/>
        <v>84.030945432858289</v>
      </c>
      <c r="Q27" s="22"/>
      <c r="R27" s="22"/>
      <c r="S27" s="22">
        <f t="shared" si="6"/>
        <v>434.66376352582523</v>
      </c>
      <c r="T27" s="22">
        <f t="shared" si="7"/>
        <v>541.99482137464031</v>
      </c>
    </row>
    <row r="28" spans="1:20" x14ac:dyDescent="0.2">
      <c r="A28" s="5">
        <v>37</v>
      </c>
      <c r="B28" s="1">
        <f t="shared" si="8"/>
        <v>1.6795818512976552</v>
      </c>
      <c r="C28" s="5">
        <f t="shared" si="9"/>
        <v>28336.079853596984</v>
      </c>
      <c r="D28" s="5">
        <f t="shared" si="0"/>
        <v>27329.929545162824</v>
      </c>
      <c r="E28" s="5">
        <f t="shared" si="1"/>
        <v>17829.929545162824</v>
      </c>
      <c r="F28" s="5">
        <f t="shared" si="2"/>
        <v>6123.2219964956621</v>
      </c>
      <c r="G28" s="5">
        <f t="shared" si="3"/>
        <v>21206.70754866716</v>
      </c>
      <c r="H28" s="22">
        <f t="shared" si="10"/>
        <v>13034.78625436342</v>
      </c>
      <c r="I28" s="5">
        <f t="shared" si="4"/>
        <v>33211.745688935873</v>
      </c>
      <c r="J28" s="26">
        <f t="shared" si="5"/>
        <v>0.12835938083946141</v>
      </c>
      <c r="L28" s="22">
        <f t="shared" si="11"/>
        <v>44346.611067613856</v>
      </c>
      <c r="M28" s="5">
        <f>scrimecost*Meta!O25</f>
        <v>3534.828</v>
      </c>
      <c r="N28" s="5">
        <f>L28-Grade9!L28</f>
        <v>482.56541879618453</v>
      </c>
      <c r="O28" s="5">
        <f>Grade9!M28-M28</f>
        <v>73.751999999999953</v>
      </c>
      <c r="P28" s="22">
        <f t="shared" si="12"/>
        <v>85.724124772771319</v>
      </c>
      <c r="Q28" s="22"/>
      <c r="R28" s="22"/>
      <c r="S28" s="22">
        <f t="shared" si="6"/>
        <v>443.41179558151521</v>
      </c>
      <c r="T28" s="22">
        <f t="shared" si="7"/>
        <v>558.74394972100208</v>
      </c>
    </row>
    <row r="29" spans="1:20" x14ac:dyDescent="0.2">
      <c r="A29" s="5">
        <v>38</v>
      </c>
      <c r="B29" s="1">
        <f t="shared" si="8"/>
        <v>1.7215713975800966</v>
      </c>
      <c r="C29" s="5">
        <f t="shared" si="9"/>
        <v>29044.48184993691</v>
      </c>
      <c r="D29" s="5">
        <f t="shared" si="0"/>
        <v>27982.367783791899</v>
      </c>
      <c r="E29" s="5">
        <f t="shared" si="1"/>
        <v>18482.367783791899</v>
      </c>
      <c r="F29" s="5">
        <f t="shared" si="2"/>
        <v>6336.2430814080544</v>
      </c>
      <c r="G29" s="5">
        <f t="shared" si="3"/>
        <v>21646.124702383844</v>
      </c>
      <c r="H29" s="22">
        <f t="shared" si="10"/>
        <v>13360.655910722506</v>
      </c>
      <c r="I29" s="5">
        <f t="shared" si="4"/>
        <v>33951.288796159271</v>
      </c>
      <c r="J29" s="26">
        <f t="shared" si="5"/>
        <v>0.13068303283184213</v>
      </c>
      <c r="L29" s="22">
        <f t="shared" si="11"/>
        <v>45455.276344304206</v>
      </c>
      <c r="M29" s="5">
        <f>scrimecost*Meta!O26</f>
        <v>3534.828</v>
      </c>
      <c r="N29" s="5">
        <f>L29-Grade9!L29</f>
        <v>494.62955426609551</v>
      </c>
      <c r="O29" s="5">
        <f>Grade9!M29-M29</f>
        <v>73.751999999999953</v>
      </c>
      <c r="P29" s="22">
        <f t="shared" si="12"/>
        <v>87.459633596182215</v>
      </c>
      <c r="Q29" s="22"/>
      <c r="R29" s="22"/>
      <c r="S29" s="22">
        <f t="shared" si="6"/>
        <v>452.37852843860713</v>
      </c>
      <c r="T29" s="22">
        <f t="shared" si="7"/>
        <v>576.06496809792304</v>
      </c>
    </row>
    <row r="30" spans="1:20" x14ac:dyDescent="0.2">
      <c r="A30" s="5">
        <v>39</v>
      </c>
      <c r="B30" s="1">
        <f t="shared" si="8"/>
        <v>1.7646106825195991</v>
      </c>
      <c r="C30" s="5">
        <f t="shared" si="9"/>
        <v>29770.593896185335</v>
      </c>
      <c r="D30" s="5">
        <f t="shared" si="0"/>
        <v>28651.116978386697</v>
      </c>
      <c r="E30" s="5">
        <f t="shared" si="1"/>
        <v>19151.116978386697</v>
      </c>
      <c r="F30" s="5">
        <f t="shared" si="2"/>
        <v>6554.5896934432567</v>
      </c>
      <c r="G30" s="5">
        <f t="shared" si="3"/>
        <v>22096.52728494344</v>
      </c>
      <c r="H30" s="22">
        <f t="shared" si="10"/>
        <v>13694.67230849057</v>
      </c>
      <c r="I30" s="5">
        <f t="shared" si="4"/>
        <v>34709.32048106326</v>
      </c>
      <c r="J30" s="26">
        <f t="shared" si="5"/>
        <v>0.13295001038538429</v>
      </c>
      <c r="L30" s="22">
        <f t="shared" si="11"/>
        <v>46591.65825291181</v>
      </c>
      <c r="M30" s="5">
        <f>scrimecost*Meta!O27</f>
        <v>3534.828</v>
      </c>
      <c r="N30" s="5">
        <f>L30-Grade9!L30</f>
        <v>506.99529312274535</v>
      </c>
      <c r="O30" s="5">
        <f>Grade9!M30-M30</f>
        <v>73.751999999999953</v>
      </c>
      <c r="P30" s="22">
        <f t="shared" si="12"/>
        <v>89.238530140178383</v>
      </c>
      <c r="Q30" s="22"/>
      <c r="R30" s="22"/>
      <c r="S30" s="22">
        <f t="shared" si="6"/>
        <v>461.56942961712099</v>
      </c>
      <c r="T30" s="22">
        <f t="shared" si="7"/>
        <v>593.97806839913324</v>
      </c>
    </row>
    <row r="31" spans="1:20" x14ac:dyDescent="0.2">
      <c r="A31" s="5">
        <v>40</v>
      </c>
      <c r="B31" s="1">
        <f t="shared" si="8"/>
        <v>1.8087259495825889</v>
      </c>
      <c r="C31" s="5">
        <f t="shared" si="9"/>
        <v>30514.858743589964</v>
      </c>
      <c r="D31" s="5">
        <f t="shared" si="0"/>
        <v>29336.58490284636</v>
      </c>
      <c r="E31" s="5">
        <f t="shared" si="1"/>
        <v>19836.58490284636</v>
      </c>
      <c r="F31" s="5">
        <f t="shared" si="2"/>
        <v>6778.3949707793363</v>
      </c>
      <c r="G31" s="5">
        <f t="shared" si="3"/>
        <v>22558.189932067024</v>
      </c>
      <c r="H31" s="22">
        <f t="shared" si="10"/>
        <v>14037.039116202832</v>
      </c>
      <c r="I31" s="5">
        <f t="shared" si="4"/>
        <v>35486.302958089829</v>
      </c>
      <c r="J31" s="26">
        <f t="shared" si="5"/>
        <v>0.13516169580347415</v>
      </c>
      <c r="L31" s="22">
        <f t="shared" si="11"/>
        <v>47756.449709234606</v>
      </c>
      <c r="M31" s="5">
        <f>scrimecost*Meta!O28</f>
        <v>3091.9679999999998</v>
      </c>
      <c r="N31" s="5">
        <f>L31-Grade9!L31</f>
        <v>519.6701754508249</v>
      </c>
      <c r="O31" s="5">
        <f>Grade9!M31-M31</f>
        <v>64.511999999999716</v>
      </c>
      <c r="P31" s="22">
        <f t="shared" si="12"/>
        <v>91.061899097774443</v>
      </c>
      <c r="Q31" s="22"/>
      <c r="R31" s="22"/>
      <c r="S31" s="22">
        <f t="shared" si="6"/>
        <v>462.29526332510568</v>
      </c>
      <c r="T31" s="22">
        <f t="shared" si="7"/>
        <v>601.19686429841261</v>
      </c>
    </row>
    <row r="32" spans="1:20" x14ac:dyDescent="0.2">
      <c r="A32" s="5">
        <v>41</v>
      </c>
      <c r="B32" s="1">
        <f t="shared" si="8"/>
        <v>1.8539440983221533</v>
      </c>
      <c r="C32" s="5">
        <f t="shared" si="9"/>
        <v>31277.730212179707</v>
      </c>
      <c r="D32" s="5">
        <f t="shared" si="0"/>
        <v>30039.189525417514</v>
      </c>
      <c r="E32" s="5">
        <f t="shared" si="1"/>
        <v>20539.189525417514</v>
      </c>
      <c r="F32" s="5">
        <f t="shared" si="2"/>
        <v>7007.7953800488185</v>
      </c>
      <c r="G32" s="5">
        <f t="shared" si="3"/>
        <v>23031.394145368697</v>
      </c>
      <c r="H32" s="22">
        <f t="shared" si="10"/>
        <v>14387.965094107902</v>
      </c>
      <c r="I32" s="5">
        <f t="shared" si="4"/>
        <v>36282.709997042075</v>
      </c>
      <c r="J32" s="26">
        <f t="shared" si="5"/>
        <v>0.13731943767478136</v>
      </c>
      <c r="L32" s="22">
        <f t="shared" si="11"/>
        <v>48950.360951965464</v>
      </c>
      <c r="M32" s="5">
        <f>scrimecost*Meta!O29</f>
        <v>3091.9679999999998</v>
      </c>
      <c r="N32" s="5">
        <f>L32-Grade9!L32</f>
        <v>532.66192983709334</v>
      </c>
      <c r="O32" s="5">
        <f>Grade9!M32-M32</f>
        <v>64.511999999999716</v>
      </c>
      <c r="P32" s="22">
        <f t="shared" si="12"/>
        <v>92.930852279310386</v>
      </c>
      <c r="Q32" s="22"/>
      <c r="R32" s="22"/>
      <c r="S32" s="22">
        <f t="shared" si="6"/>
        <v>471.95145387578208</v>
      </c>
      <c r="T32" s="22">
        <f t="shared" si="7"/>
        <v>620.23815899751787</v>
      </c>
    </row>
    <row r="33" spans="1:20" x14ac:dyDescent="0.2">
      <c r="A33" s="5">
        <v>42</v>
      </c>
      <c r="B33" s="1">
        <f t="shared" si="8"/>
        <v>1.9002927007802071</v>
      </c>
      <c r="C33" s="5">
        <f t="shared" si="9"/>
        <v>32059.673467484201</v>
      </c>
      <c r="D33" s="5">
        <f t="shared" si="0"/>
        <v>30759.359263552953</v>
      </c>
      <c r="E33" s="5">
        <f t="shared" si="1"/>
        <v>21259.359263552953</v>
      </c>
      <c r="F33" s="5">
        <f t="shared" si="2"/>
        <v>7242.9307995500403</v>
      </c>
      <c r="G33" s="5">
        <f t="shared" si="3"/>
        <v>23516.428464002915</v>
      </c>
      <c r="H33" s="22">
        <f t="shared" si="10"/>
        <v>14747.664221460596</v>
      </c>
      <c r="I33" s="5">
        <f t="shared" si="4"/>
        <v>37099.027211968125</v>
      </c>
      <c r="J33" s="26">
        <f t="shared" si="5"/>
        <v>0.13942455169556892</v>
      </c>
      <c r="L33" s="22">
        <f t="shared" si="11"/>
        <v>50174.119975764595</v>
      </c>
      <c r="M33" s="5">
        <f>scrimecost*Meta!O30</f>
        <v>3091.9679999999998</v>
      </c>
      <c r="N33" s="5">
        <f>L33-Grade9!L33</f>
        <v>545.97847808301594</v>
      </c>
      <c r="O33" s="5">
        <f>Grade9!M33-M33</f>
        <v>64.511999999999716</v>
      </c>
      <c r="P33" s="22">
        <f t="shared" si="12"/>
        <v>94.846529290384765</v>
      </c>
      <c r="Q33" s="22"/>
      <c r="R33" s="22"/>
      <c r="S33" s="22">
        <f t="shared" si="6"/>
        <v>481.84904919022398</v>
      </c>
      <c r="T33" s="22">
        <f t="shared" si="7"/>
        <v>639.93527516737561</v>
      </c>
    </row>
    <row r="34" spans="1:20" x14ac:dyDescent="0.2">
      <c r="A34" s="5">
        <v>43</v>
      </c>
      <c r="B34" s="1">
        <f t="shared" si="8"/>
        <v>1.9478000182997122</v>
      </c>
      <c r="C34" s="5">
        <f t="shared" si="9"/>
        <v>32861.165304171307</v>
      </c>
      <c r="D34" s="5">
        <f t="shared" si="0"/>
        <v>31497.533245141778</v>
      </c>
      <c r="E34" s="5">
        <f t="shared" si="1"/>
        <v>21997.533245141778</v>
      </c>
      <c r="F34" s="5">
        <f t="shared" si="2"/>
        <v>7483.9446045387904</v>
      </c>
      <c r="G34" s="5">
        <f t="shared" si="3"/>
        <v>24013.588640602989</v>
      </c>
      <c r="H34" s="22">
        <f t="shared" si="10"/>
        <v>15116.355826997113</v>
      </c>
      <c r="I34" s="5">
        <f t="shared" si="4"/>
        <v>37935.752357267331</v>
      </c>
      <c r="J34" s="26">
        <f t="shared" si="5"/>
        <v>0.14147832147194694</v>
      </c>
      <c r="L34" s="22">
        <f t="shared" si="11"/>
        <v>51428.472975158707</v>
      </c>
      <c r="M34" s="5">
        <f>scrimecost*Meta!O31</f>
        <v>3091.9679999999998</v>
      </c>
      <c r="N34" s="5">
        <f>L34-Grade9!L34</f>
        <v>559.62794003509771</v>
      </c>
      <c r="O34" s="5">
        <f>Grade9!M34-M34</f>
        <v>64.511999999999716</v>
      </c>
      <c r="P34" s="22">
        <f t="shared" si="12"/>
        <v>96.81009822673596</v>
      </c>
      <c r="Q34" s="22"/>
      <c r="R34" s="22"/>
      <c r="S34" s="22">
        <f t="shared" si="6"/>
        <v>491.99408438753369</v>
      </c>
      <c r="T34" s="22">
        <f t="shared" si="7"/>
        <v>660.31143090984187</v>
      </c>
    </row>
    <row r="35" spans="1:20" x14ac:dyDescent="0.2">
      <c r="A35" s="5">
        <v>44</v>
      </c>
      <c r="B35" s="1">
        <f t="shared" si="8"/>
        <v>1.9964950187572048</v>
      </c>
      <c r="C35" s="5">
        <f t="shared" si="9"/>
        <v>33682.694436775586</v>
      </c>
      <c r="D35" s="5">
        <f t="shared" si="0"/>
        <v>32254.161576270319</v>
      </c>
      <c r="E35" s="5">
        <f t="shared" si="1"/>
        <v>22754.161576270319</v>
      </c>
      <c r="F35" s="5">
        <f t="shared" si="2"/>
        <v>7730.9837546522594</v>
      </c>
      <c r="G35" s="5">
        <f t="shared" si="3"/>
        <v>24523.177821618061</v>
      </c>
      <c r="H35" s="22">
        <f t="shared" si="10"/>
        <v>15494.26472267204</v>
      </c>
      <c r="I35" s="5">
        <f t="shared" si="4"/>
        <v>38793.395631199011</v>
      </c>
      <c r="J35" s="26">
        <f t="shared" si="5"/>
        <v>0.1434819993025597</v>
      </c>
      <c r="L35" s="22">
        <f t="shared" si="11"/>
        <v>52714.184799537667</v>
      </c>
      <c r="M35" s="5">
        <f>scrimecost*Meta!O32</f>
        <v>3091.9679999999998</v>
      </c>
      <c r="N35" s="5">
        <f>L35-Grade9!L35</f>
        <v>573.61863853595423</v>
      </c>
      <c r="O35" s="5">
        <f>Grade9!M35-M35</f>
        <v>64.511999999999716</v>
      </c>
      <c r="P35" s="22">
        <f t="shared" si="12"/>
        <v>98.822756386495954</v>
      </c>
      <c r="Q35" s="22"/>
      <c r="R35" s="22"/>
      <c r="S35" s="22">
        <f t="shared" si="6"/>
        <v>502.39274546475946</v>
      </c>
      <c r="T35" s="22">
        <f t="shared" si="7"/>
        <v>681.39067324522409</v>
      </c>
    </row>
    <row r="36" spans="1:20" x14ac:dyDescent="0.2">
      <c r="A36" s="5">
        <v>45</v>
      </c>
      <c r="B36" s="1">
        <f t="shared" si="8"/>
        <v>2.0464073942261352</v>
      </c>
      <c r="C36" s="5">
        <f t="shared" si="9"/>
        <v>34524.761797694977</v>
      </c>
      <c r="D36" s="5">
        <f t="shared" si="0"/>
        <v>33029.705615677078</v>
      </c>
      <c r="E36" s="5">
        <f t="shared" si="1"/>
        <v>23529.705615677078</v>
      </c>
      <c r="F36" s="5">
        <f t="shared" si="2"/>
        <v>7984.1988835185657</v>
      </c>
      <c r="G36" s="5">
        <f t="shared" si="3"/>
        <v>25045.506732158512</v>
      </c>
      <c r="H36" s="22">
        <f t="shared" si="10"/>
        <v>15881.621340738842</v>
      </c>
      <c r="I36" s="5">
        <f t="shared" si="4"/>
        <v>39672.479986978986</v>
      </c>
      <c r="J36" s="26">
        <f t="shared" si="5"/>
        <v>0.14543680694218189</v>
      </c>
      <c r="L36" s="22">
        <f t="shared" si="11"/>
        <v>54032.039419526118</v>
      </c>
      <c r="M36" s="5">
        <f>scrimecost*Meta!O33</f>
        <v>2498.8040000000001</v>
      </c>
      <c r="N36" s="5">
        <f>L36-Grade9!L36</f>
        <v>587.95910449937946</v>
      </c>
      <c r="O36" s="5">
        <f>Grade9!M36-M36</f>
        <v>52.135999999999967</v>
      </c>
      <c r="P36" s="22">
        <f t="shared" si="12"/>
        <v>100.88573100024996</v>
      </c>
      <c r="Q36" s="22"/>
      <c r="R36" s="22"/>
      <c r="S36" s="22">
        <f t="shared" si="6"/>
        <v>501.40555706894497</v>
      </c>
      <c r="T36" s="22">
        <f t="shared" si="7"/>
        <v>687.23593228307789</v>
      </c>
    </row>
    <row r="37" spans="1:20" x14ac:dyDescent="0.2">
      <c r="A37" s="5">
        <v>46</v>
      </c>
      <c r="B37" s="1">
        <f t="shared" ref="B37:B56" si="13">(1+experiencepremium)^(A37-startage)</f>
        <v>2.097567579081788</v>
      </c>
      <c r="C37" s="5">
        <f t="shared" ref="C37:C56" si="14">pretaxincome*B37/expnorm</f>
        <v>35387.880842637343</v>
      </c>
      <c r="D37" s="5">
        <f t="shared" ref="D37:D56" si="15">IF(A37&lt;startage,1,0)*(C37*(1-initialunempprob))+IF(A37=startage,1,0)*(C37*(1-unempprob))+IF(A37&gt;startage,1,0)*(C37*(1-unempprob)+unempprob*300*52)</f>
        <v>33824.638256068996</v>
      </c>
      <c r="E37" s="5">
        <f t="shared" si="1"/>
        <v>24324.638256068996</v>
      </c>
      <c r="F37" s="5">
        <f t="shared" si="2"/>
        <v>8243.7443906065273</v>
      </c>
      <c r="G37" s="5">
        <f t="shared" si="3"/>
        <v>25580.893865462469</v>
      </c>
      <c r="H37" s="22">
        <f t="shared" ref="H37:H56" si="16">benefits*B37/expnorm</f>
        <v>16278.661874257308</v>
      </c>
      <c r="I37" s="5">
        <f t="shared" ref="I37:I56" si="17">G37+IF(A37&lt;startage,1,0)*(H37*(1-initialunempprob))+IF(A37&gt;=startage,1,0)*(H37*(1-unempprob))</f>
        <v>40573.541451653451</v>
      </c>
      <c r="J37" s="26">
        <f t="shared" si="5"/>
        <v>0.14734393634669135</v>
      </c>
      <c r="L37" s="22">
        <f t="shared" ref="L37:L56" si="18">(sincome+sbenefits)*(1-sunemp)*B37/expnorm</f>
        <v>55382.840405014256</v>
      </c>
      <c r="M37" s="5">
        <f>scrimecost*Meta!O34</f>
        <v>2498.8040000000001</v>
      </c>
      <c r="N37" s="5">
        <f>L37-Grade9!L37</f>
        <v>602.65808211183321</v>
      </c>
      <c r="O37" s="5">
        <f>Grade9!M37-M37</f>
        <v>52.135999999999967</v>
      </c>
      <c r="P37" s="22">
        <f t="shared" si="12"/>
        <v>103.00027997934779</v>
      </c>
      <c r="Q37" s="22"/>
      <c r="R37" s="22"/>
      <c r="S37" s="22">
        <f t="shared" si="6"/>
        <v>512.33065036320011</v>
      </c>
      <c r="T37" s="22">
        <f t="shared" si="7"/>
        <v>709.62832912331066</v>
      </c>
    </row>
    <row r="38" spans="1:20" x14ac:dyDescent="0.2">
      <c r="A38" s="5">
        <v>47</v>
      </c>
      <c r="B38" s="1">
        <f t="shared" si="13"/>
        <v>2.1500067685588333</v>
      </c>
      <c r="C38" s="5">
        <f t="shared" si="14"/>
        <v>36272.577863703293</v>
      </c>
      <c r="D38" s="5">
        <f t="shared" si="15"/>
        <v>34639.444212470735</v>
      </c>
      <c r="E38" s="5">
        <f t="shared" si="1"/>
        <v>25139.444212470735</v>
      </c>
      <c r="F38" s="5">
        <f t="shared" si="2"/>
        <v>8509.7785353716954</v>
      </c>
      <c r="G38" s="5">
        <f t="shared" si="3"/>
        <v>26129.665677099038</v>
      </c>
      <c r="H38" s="22">
        <f t="shared" si="16"/>
        <v>16685.628421113746</v>
      </c>
      <c r="I38" s="5">
        <f t="shared" si="17"/>
        <v>41497.129452944799</v>
      </c>
      <c r="J38" s="26">
        <f t="shared" ref="J38:J56" si="19">(F38-(IF(A38&gt;startage,1,0)*(unempprob*300*52)))/(IF(A38&lt;startage,1,0)*((C38+H38)*(1-initialunempprob))+IF(A38&gt;=startage,1,0)*((C38+H38)*(1-unempprob)))</f>
        <v>0.14920455039987135</v>
      </c>
      <c r="L38" s="22">
        <f t="shared" si="18"/>
        <v>56767.411415139628</v>
      </c>
      <c r="M38" s="5">
        <f>scrimecost*Meta!O35</f>
        <v>2498.8040000000001</v>
      </c>
      <c r="N38" s="5">
        <f>L38-Grade9!L38</f>
        <v>617.72453416465578</v>
      </c>
      <c r="O38" s="5">
        <f>Grade9!M38-M38</f>
        <v>52.135999999999967</v>
      </c>
      <c r="P38" s="22">
        <f t="shared" si="12"/>
        <v>105.16769268292312</v>
      </c>
      <c r="Q38" s="22"/>
      <c r="R38" s="22"/>
      <c r="S38" s="22">
        <f t="shared" ref="S38:S69" si="20">IF(A38&lt;startage,1,0)*(N38-Q38-R38)+IF(A38&gt;=startage,1,0)*completionprob*(N38*spart+O38+P38)</f>
        <v>523.5288709898465</v>
      </c>
      <c r="T38" s="22">
        <f t="shared" ref="T38:T69" si="21">S38/sreturn^(A38-startage+1)</f>
        <v>732.79944777645903</v>
      </c>
    </row>
    <row r="39" spans="1:20" x14ac:dyDescent="0.2">
      <c r="A39" s="5">
        <v>48</v>
      </c>
      <c r="B39" s="1">
        <f t="shared" si="13"/>
        <v>2.2037569377728037</v>
      </c>
      <c r="C39" s="5">
        <f t="shared" si="14"/>
        <v>37179.392310295865</v>
      </c>
      <c r="D39" s="5">
        <f t="shared" si="15"/>
        <v>35474.620317782494</v>
      </c>
      <c r="E39" s="5">
        <f t="shared" si="1"/>
        <v>25974.620317782494</v>
      </c>
      <c r="F39" s="5">
        <f t="shared" si="2"/>
        <v>8782.4635337559848</v>
      </c>
      <c r="G39" s="5">
        <f t="shared" si="3"/>
        <v>26692.156784026509</v>
      </c>
      <c r="H39" s="22">
        <f t="shared" si="16"/>
        <v>17102.769131641588</v>
      </c>
      <c r="I39" s="5">
        <f t="shared" si="17"/>
        <v>42443.807154268412</v>
      </c>
      <c r="J39" s="26">
        <f t="shared" si="19"/>
        <v>0.15101978362248591</v>
      </c>
      <c r="L39" s="22">
        <f t="shared" si="18"/>
        <v>58186.596700518101</v>
      </c>
      <c r="M39" s="5">
        <f>scrimecost*Meta!O36</f>
        <v>2498.8040000000001</v>
      </c>
      <c r="N39" s="5">
        <f>L39-Grade9!L39</f>
        <v>633.16764751875598</v>
      </c>
      <c r="O39" s="5">
        <f>Grade9!M39-M39</f>
        <v>52.135999999999967</v>
      </c>
      <c r="P39" s="22">
        <f t="shared" ref="P39:P56" si="22">(spart-initialspart)*(L39*J39+nptrans)</f>
        <v>107.38929070408777</v>
      </c>
      <c r="Q39" s="22"/>
      <c r="R39" s="22"/>
      <c r="S39" s="22">
        <f t="shared" si="20"/>
        <v>535.00704713213304</v>
      </c>
      <c r="T39" s="22">
        <f t="shared" si="21"/>
        <v>756.77693961167063</v>
      </c>
    </row>
    <row r="40" spans="1:20" x14ac:dyDescent="0.2">
      <c r="A40" s="5">
        <v>49</v>
      </c>
      <c r="B40" s="1">
        <f t="shared" si="13"/>
        <v>2.2588508612171236</v>
      </c>
      <c r="C40" s="5">
        <f t="shared" si="14"/>
        <v>38108.877118053257</v>
      </c>
      <c r="D40" s="5">
        <f t="shared" si="15"/>
        <v>36330.675825727056</v>
      </c>
      <c r="E40" s="5">
        <f t="shared" si="1"/>
        <v>26830.675825727056</v>
      </c>
      <c r="F40" s="5">
        <f t="shared" si="2"/>
        <v>9061.9656570998832</v>
      </c>
      <c r="G40" s="5">
        <f t="shared" si="3"/>
        <v>27268.710168627171</v>
      </c>
      <c r="H40" s="22">
        <f t="shared" si="16"/>
        <v>17530.338359932626</v>
      </c>
      <c r="I40" s="5">
        <f t="shared" si="17"/>
        <v>43414.151798125124</v>
      </c>
      <c r="J40" s="26">
        <f t="shared" si="19"/>
        <v>0.15279074286406114</v>
      </c>
      <c r="L40" s="22">
        <f t="shared" si="18"/>
        <v>59641.261618031058</v>
      </c>
      <c r="M40" s="5">
        <f>scrimecost*Meta!O37</f>
        <v>2498.8040000000001</v>
      </c>
      <c r="N40" s="5">
        <f>L40-Grade9!L40</f>
        <v>648.99683870673471</v>
      </c>
      <c r="O40" s="5">
        <f>Grade9!M40-M40</f>
        <v>52.135999999999967</v>
      </c>
      <c r="P40" s="22">
        <f t="shared" si="22"/>
        <v>109.66642867578157</v>
      </c>
      <c r="Q40" s="22"/>
      <c r="R40" s="22"/>
      <c r="S40" s="22">
        <f t="shared" si="20"/>
        <v>546.77217767799254</v>
      </c>
      <c r="T40" s="22">
        <f t="shared" si="21"/>
        <v>781.58944406951071</v>
      </c>
    </row>
    <row r="41" spans="1:20" x14ac:dyDescent="0.2">
      <c r="A41" s="5">
        <v>50</v>
      </c>
      <c r="B41" s="1">
        <f t="shared" si="13"/>
        <v>2.3153221327475517</v>
      </c>
      <c r="C41" s="5">
        <f t="shared" si="14"/>
        <v>39061.599046004587</v>
      </c>
      <c r="D41" s="5">
        <f t="shared" si="15"/>
        <v>37208.132721370224</v>
      </c>
      <c r="E41" s="5">
        <f t="shared" si="1"/>
        <v>27708.132721370224</v>
      </c>
      <c r="F41" s="5">
        <f t="shared" si="2"/>
        <v>9348.4553335273777</v>
      </c>
      <c r="G41" s="5">
        <f t="shared" si="3"/>
        <v>27859.677387842847</v>
      </c>
      <c r="H41" s="22">
        <f t="shared" si="16"/>
        <v>17968.596818930942</v>
      </c>
      <c r="I41" s="5">
        <f t="shared" si="17"/>
        <v>44408.755058078241</v>
      </c>
      <c r="J41" s="26">
        <f t="shared" si="19"/>
        <v>0.15451850797779298</v>
      </c>
      <c r="L41" s="22">
        <f t="shared" si="18"/>
        <v>61132.293158481829</v>
      </c>
      <c r="M41" s="5">
        <f>scrimecost*Meta!O38</f>
        <v>1669.4480000000001</v>
      </c>
      <c r="N41" s="5">
        <f>L41-Grade9!L41</f>
        <v>665.22175967440853</v>
      </c>
      <c r="O41" s="5">
        <f>Grade9!M41-M41</f>
        <v>34.83199999999988</v>
      </c>
      <c r="P41" s="22">
        <f t="shared" si="22"/>
        <v>112.00049509676768</v>
      </c>
      <c r="Q41" s="22"/>
      <c r="R41" s="22"/>
      <c r="S41" s="22">
        <f t="shared" si="20"/>
        <v>542.54837248749573</v>
      </c>
      <c r="T41" s="22">
        <f t="shared" si="21"/>
        <v>783.744729513577</v>
      </c>
    </row>
    <row r="42" spans="1:20" x14ac:dyDescent="0.2">
      <c r="A42" s="5">
        <v>51</v>
      </c>
      <c r="B42" s="1">
        <f t="shared" si="13"/>
        <v>2.3732051860662402</v>
      </c>
      <c r="C42" s="5">
        <f t="shared" si="14"/>
        <v>40038.139022154697</v>
      </c>
      <c r="D42" s="5">
        <f t="shared" si="15"/>
        <v>38107.526039404482</v>
      </c>
      <c r="E42" s="5">
        <f t="shared" si="1"/>
        <v>28607.526039404482</v>
      </c>
      <c r="F42" s="5">
        <f t="shared" si="2"/>
        <v>9642.1072518655637</v>
      </c>
      <c r="G42" s="5">
        <f t="shared" si="3"/>
        <v>28465.418787538918</v>
      </c>
      <c r="H42" s="22">
        <f t="shared" si="16"/>
        <v>18417.811739404209</v>
      </c>
      <c r="I42" s="5">
        <f t="shared" si="17"/>
        <v>45428.223399530194</v>
      </c>
      <c r="J42" s="26">
        <f t="shared" si="19"/>
        <v>0.15620413247899492</v>
      </c>
      <c r="L42" s="22">
        <f t="shared" si="18"/>
        <v>62660.600487443873</v>
      </c>
      <c r="M42" s="5">
        <f>scrimecost*Meta!O39</f>
        <v>1669.4480000000001</v>
      </c>
      <c r="N42" s="5">
        <f>L42-Grade9!L42</f>
        <v>681.8523036662591</v>
      </c>
      <c r="O42" s="5">
        <f>Grade9!M42-M42</f>
        <v>34.83199999999988</v>
      </c>
      <c r="P42" s="22">
        <f t="shared" si="22"/>
        <v>114.3929131782785</v>
      </c>
      <c r="Q42" s="22"/>
      <c r="R42" s="22"/>
      <c r="S42" s="22">
        <f t="shared" si="20"/>
        <v>554.9091127672275</v>
      </c>
      <c r="T42" s="22">
        <f t="shared" si="21"/>
        <v>810.06881896710922</v>
      </c>
    </row>
    <row r="43" spans="1:20" x14ac:dyDescent="0.2">
      <c r="A43" s="5">
        <v>52</v>
      </c>
      <c r="B43" s="1">
        <f t="shared" si="13"/>
        <v>2.4325353157178964</v>
      </c>
      <c r="C43" s="5">
        <f t="shared" si="14"/>
        <v>41039.092497708567</v>
      </c>
      <c r="D43" s="5">
        <f t="shared" si="15"/>
        <v>39029.404190389592</v>
      </c>
      <c r="E43" s="5">
        <f t="shared" si="1"/>
        <v>29529.404190389592</v>
      </c>
      <c r="F43" s="5">
        <f t="shared" si="2"/>
        <v>9943.1004681622017</v>
      </c>
      <c r="G43" s="5">
        <f t="shared" si="3"/>
        <v>29086.303722227392</v>
      </c>
      <c r="H43" s="22">
        <f t="shared" si="16"/>
        <v>18878.257032889316</v>
      </c>
      <c r="I43" s="5">
        <f t="shared" si="17"/>
        <v>46473.178449518455</v>
      </c>
      <c r="J43" s="26">
        <f t="shared" si="19"/>
        <v>0.15784864418748454</v>
      </c>
      <c r="L43" s="22">
        <f t="shared" si="18"/>
        <v>64227.115499629974</v>
      </c>
      <c r="M43" s="5">
        <f>scrimecost*Meta!O40</f>
        <v>1669.4480000000001</v>
      </c>
      <c r="N43" s="5">
        <f>L43-Grade9!L43</f>
        <v>698.89861125792959</v>
      </c>
      <c r="O43" s="5">
        <f>Grade9!M43-M43</f>
        <v>34.83199999999988</v>
      </c>
      <c r="P43" s="22">
        <f t="shared" si="22"/>
        <v>116.84514171182704</v>
      </c>
      <c r="Q43" s="22"/>
      <c r="R43" s="22"/>
      <c r="S43" s="22">
        <f t="shared" si="20"/>
        <v>567.57887155396691</v>
      </c>
      <c r="T43" s="22">
        <f t="shared" si="21"/>
        <v>837.31750282744838</v>
      </c>
    </row>
    <row r="44" spans="1:20" x14ac:dyDescent="0.2">
      <c r="A44" s="5">
        <v>53</v>
      </c>
      <c r="B44" s="1">
        <f t="shared" si="13"/>
        <v>2.4933486986108435</v>
      </c>
      <c r="C44" s="5">
        <f t="shared" si="14"/>
        <v>42065.069810151275</v>
      </c>
      <c r="D44" s="5">
        <f t="shared" si="15"/>
        <v>39974.329295149328</v>
      </c>
      <c r="E44" s="5">
        <f t="shared" si="1"/>
        <v>30474.329295149328</v>
      </c>
      <c r="F44" s="5">
        <f t="shared" si="2"/>
        <v>10251.618514866255</v>
      </c>
      <c r="G44" s="5">
        <f t="shared" si="3"/>
        <v>29722.710780283072</v>
      </c>
      <c r="H44" s="22">
        <f t="shared" si="16"/>
        <v>19350.213458711547</v>
      </c>
      <c r="I44" s="5">
        <f t="shared" si="17"/>
        <v>47544.25737575641</v>
      </c>
      <c r="J44" s="26">
        <f t="shared" si="19"/>
        <v>0.15945304585430367</v>
      </c>
      <c r="L44" s="22">
        <f t="shared" si="18"/>
        <v>65832.793387120706</v>
      </c>
      <c r="M44" s="5">
        <f>scrimecost*Meta!O41</f>
        <v>1669.4480000000001</v>
      </c>
      <c r="N44" s="5">
        <f>L44-Grade9!L44</f>
        <v>716.3710765393771</v>
      </c>
      <c r="O44" s="5">
        <f>Grade9!M44-M44</f>
        <v>34.83199999999988</v>
      </c>
      <c r="P44" s="22">
        <f t="shared" si="22"/>
        <v>119.35867595871431</v>
      </c>
      <c r="Q44" s="22"/>
      <c r="R44" s="22"/>
      <c r="S44" s="22">
        <f t="shared" si="20"/>
        <v>580.56537431036577</v>
      </c>
      <c r="T44" s="22">
        <f t="shared" si="21"/>
        <v>865.52371171867878</v>
      </c>
    </row>
    <row r="45" spans="1:20" x14ac:dyDescent="0.2">
      <c r="A45" s="5">
        <v>54</v>
      </c>
      <c r="B45" s="1">
        <f t="shared" si="13"/>
        <v>2.555682416076114</v>
      </c>
      <c r="C45" s="5">
        <f t="shared" si="14"/>
        <v>43116.696555405048</v>
      </c>
      <c r="D45" s="5">
        <f t="shared" si="15"/>
        <v>40942.87752752805</v>
      </c>
      <c r="E45" s="5">
        <f t="shared" si="1"/>
        <v>31442.87752752805</v>
      </c>
      <c r="F45" s="5">
        <f t="shared" si="2"/>
        <v>10567.849512737908</v>
      </c>
      <c r="G45" s="5">
        <f t="shared" si="3"/>
        <v>30375.028014790143</v>
      </c>
      <c r="H45" s="22">
        <f t="shared" si="16"/>
        <v>19833.968795179331</v>
      </c>
      <c r="I45" s="5">
        <f t="shared" si="17"/>
        <v>48642.113275150303</v>
      </c>
      <c r="J45" s="26">
        <f t="shared" si="19"/>
        <v>0.16101831577315159</v>
      </c>
      <c r="L45" s="22">
        <f t="shared" si="18"/>
        <v>67478.613221798718</v>
      </c>
      <c r="M45" s="5">
        <f>scrimecost*Meta!O42</f>
        <v>1669.4480000000001</v>
      </c>
      <c r="N45" s="5">
        <f>L45-Grade9!L45</f>
        <v>734.28035345285025</v>
      </c>
      <c r="O45" s="5">
        <f>Grade9!M45-M45</f>
        <v>34.83199999999988</v>
      </c>
      <c r="P45" s="22">
        <f t="shared" si="22"/>
        <v>121.93504856177375</v>
      </c>
      <c r="Q45" s="22"/>
      <c r="R45" s="22"/>
      <c r="S45" s="22">
        <f t="shared" si="20"/>
        <v>593.87653963566834</v>
      </c>
      <c r="T45" s="22">
        <f t="shared" si="21"/>
        <v>894.72155404149521</v>
      </c>
    </row>
    <row r="46" spans="1:20" x14ac:dyDescent="0.2">
      <c r="A46" s="5">
        <v>55</v>
      </c>
      <c r="B46" s="1">
        <f t="shared" si="13"/>
        <v>2.6195744764780171</v>
      </c>
      <c r="C46" s="5">
        <f t="shared" si="14"/>
        <v>44194.613969290178</v>
      </c>
      <c r="D46" s="5">
        <f t="shared" si="15"/>
        <v>41935.63946571626</v>
      </c>
      <c r="E46" s="5">
        <f t="shared" si="1"/>
        <v>32435.63946571626</v>
      </c>
      <c r="F46" s="5">
        <f t="shared" si="2"/>
        <v>10891.986285556359</v>
      </c>
      <c r="G46" s="5">
        <f t="shared" si="3"/>
        <v>31043.653180159901</v>
      </c>
      <c r="H46" s="22">
        <f t="shared" si="16"/>
        <v>20329.81801505882</v>
      </c>
      <c r="I46" s="5">
        <f t="shared" si="17"/>
        <v>49767.415572029073</v>
      </c>
      <c r="J46" s="26">
        <f t="shared" si="19"/>
        <v>0.16254540837690573</v>
      </c>
      <c r="L46" s="22">
        <f t="shared" si="18"/>
        <v>69165.578552343693</v>
      </c>
      <c r="M46" s="5">
        <f>scrimecost*Meta!O43</f>
        <v>925.9799999999999</v>
      </c>
      <c r="N46" s="5">
        <f>L46-Grade9!L46</f>
        <v>752.63736228918424</v>
      </c>
      <c r="O46" s="5">
        <f>Grade9!M46-M46</f>
        <v>19.32000000000005</v>
      </c>
      <c r="P46" s="22">
        <f t="shared" si="22"/>
        <v>124.57583047990971</v>
      </c>
      <c r="Q46" s="22"/>
      <c r="R46" s="22"/>
      <c r="S46" s="22">
        <f t="shared" si="20"/>
        <v>592.92369209411811</v>
      </c>
      <c r="T46" s="22">
        <f t="shared" si="21"/>
        <v>902.72282831825612</v>
      </c>
    </row>
    <row r="47" spans="1:20" x14ac:dyDescent="0.2">
      <c r="A47" s="5">
        <v>56</v>
      </c>
      <c r="B47" s="1">
        <f t="shared" si="13"/>
        <v>2.6850638383899672</v>
      </c>
      <c r="C47" s="5">
        <f t="shared" si="14"/>
        <v>45299.479318522426</v>
      </c>
      <c r="D47" s="5">
        <f t="shared" si="15"/>
        <v>42953.220452359157</v>
      </c>
      <c r="E47" s="5">
        <f t="shared" si="1"/>
        <v>33453.220452359157</v>
      </c>
      <c r="F47" s="5">
        <f t="shared" si="2"/>
        <v>11224.226477695265</v>
      </c>
      <c r="G47" s="5">
        <f t="shared" si="3"/>
        <v>31728.993974663892</v>
      </c>
      <c r="H47" s="22">
        <f t="shared" si="16"/>
        <v>20838.063465435287</v>
      </c>
      <c r="I47" s="5">
        <f t="shared" si="17"/>
        <v>50920.850426329795</v>
      </c>
      <c r="J47" s="26">
        <f t="shared" si="19"/>
        <v>0.16403525481959264</v>
      </c>
      <c r="L47" s="22">
        <f t="shared" si="18"/>
        <v>70894.71801615227</v>
      </c>
      <c r="M47" s="5">
        <f>scrimecost*Meta!O44</f>
        <v>925.9799999999999</v>
      </c>
      <c r="N47" s="5">
        <f>L47-Grade9!L47</f>
        <v>771.45329634640075</v>
      </c>
      <c r="O47" s="5">
        <f>Grade9!M47-M47</f>
        <v>19.32000000000005</v>
      </c>
      <c r="P47" s="22">
        <f t="shared" si="22"/>
        <v>127.28263194599903</v>
      </c>
      <c r="Q47" s="22"/>
      <c r="R47" s="22"/>
      <c r="S47" s="22">
        <f t="shared" si="20"/>
        <v>606.90873516401325</v>
      </c>
      <c r="T47" s="22">
        <f t="shared" si="21"/>
        <v>933.77641334240684</v>
      </c>
    </row>
    <row r="48" spans="1:20" x14ac:dyDescent="0.2">
      <c r="A48" s="5">
        <v>57</v>
      </c>
      <c r="B48" s="1">
        <f t="shared" si="13"/>
        <v>2.7521904343497163</v>
      </c>
      <c r="C48" s="5">
        <f t="shared" si="14"/>
        <v>46431.966301485489</v>
      </c>
      <c r="D48" s="5">
        <f t="shared" si="15"/>
        <v>43996.24096366814</v>
      </c>
      <c r="E48" s="5">
        <f t="shared" si="1"/>
        <v>34496.24096366814</v>
      </c>
      <c r="F48" s="5">
        <f t="shared" si="2"/>
        <v>11564.772674637648</v>
      </c>
      <c r="G48" s="5">
        <f t="shared" si="3"/>
        <v>32431.46828903049</v>
      </c>
      <c r="H48" s="22">
        <f t="shared" si="16"/>
        <v>21359.015052071165</v>
      </c>
      <c r="I48" s="5">
        <f t="shared" si="17"/>
        <v>52103.121151988031</v>
      </c>
      <c r="J48" s="26">
        <f t="shared" si="19"/>
        <v>0.16548876354416528</v>
      </c>
      <c r="L48" s="22">
        <f t="shared" si="18"/>
        <v>72667.085966556086</v>
      </c>
      <c r="M48" s="5">
        <f>scrimecost*Meta!O45</f>
        <v>925.9799999999999</v>
      </c>
      <c r="N48" s="5">
        <f>L48-Grade9!L48</f>
        <v>790.7396287550655</v>
      </c>
      <c r="O48" s="5">
        <f>Grade9!M48-M48</f>
        <v>19.32000000000005</v>
      </c>
      <c r="P48" s="22">
        <f t="shared" si="22"/>
        <v>130.05710344874063</v>
      </c>
      <c r="Q48" s="22"/>
      <c r="R48" s="22"/>
      <c r="S48" s="22">
        <f t="shared" si="20"/>
        <v>621.24340431066673</v>
      </c>
      <c r="T48" s="22">
        <f t="shared" si="21"/>
        <v>965.92897284885578</v>
      </c>
    </row>
    <row r="49" spans="1:20" x14ac:dyDescent="0.2">
      <c r="A49" s="5">
        <v>58</v>
      </c>
      <c r="B49" s="1">
        <f t="shared" si="13"/>
        <v>2.8209951952084591</v>
      </c>
      <c r="C49" s="5">
        <f t="shared" si="14"/>
        <v>47592.765459022623</v>
      </c>
      <c r="D49" s="5">
        <f t="shared" si="15"/>
        <v>45065.336987759838</v>
      </c>
      <c r="E49" s="5">
        <f t="shared" si="1"/>
        <v>35565.336987759838</v>
      </c>
      <c r="F49" s="5">
        <f t="shared" si="2"/>
        <v>12020.366225279571</v>
      </c>
      <c r="G49" s="5">
        <f t="shared" si="3"/>
        <v>33044.970762480269</v>
      </c>
      <c r="H49" s="22">
        <f t="shared" si="16"/>
        <v>21892.990428372945</v>
      </c>
      <c r="I49" s="5">
        <f t="shared" si="17"/>
        <v>53208.414947011755</v>
      </c>
      <c r="J49" s="26">
        <f t="shared" si="19"/>
        <v>0.16857150400795576</v>
      </c>
      <c r="L49" s="22">
        <f t="shared" si="18"/>
        <v>74483.763115719979</v>
      </c>
      <c r="M49" s="5">
        <f>scrimecost*Meta!O46</f>
        <v>925.9799999999999</v>
      </c>
      <c r="N49" s="5">
        <f>L49-Grade9!L49</f>
        <v>810.50811947393231</v>
      </c>
      <c r="O49" s="5">
        <f>Grade9!M49-M49</f>
        <v>19.32000000000005</v>
      </c>
      <c r="P49" s="22">
        <f t="shared" si="22"/>
        <v>133.76887980812464</v>
      </c>
      <c r="Q49" s="22"/>
      <c r="R49" s="22"/>
      <c r="S49" s="22">
        <f t="shared" si="20"/>
        <v>636.75317461397606</v>
      </c>
      <c r="T49" s="22">
        <f t="shared" si="21"/>
        <v>1000.5030371678763</v>
      </c>
    </row>
    <row r="50" spans="1:20" x14ac:dyDescent="0.2">
      <c r="A50" s="5">
        <v>59</v>
      </c>
      <c r="B50" s="1">
        <f t="shared" si="13"/>
        <v>2.8915200750886707</v>
      </c>
      <c r="C50" s="5">
        <f t="shared" si="14"/>
        <v>48782.584595498192</v>
      </c>
      <c r="D50" s="5">
        <f t="shared" si="15"/>
        <v>46161.160412453835</v>
      </c>
      <c r="E50" s="5">
        <f t="shared" si="1"/>
        <v>36661.160412453835</v>
      </c>
      <c r="F50" s="5">
        <f t="shared" si="2"/>
        <v>12487.734915911562</v>
      </c>
      <c r="G50" s="5">
        <f t="shared" si="3"/>
        <v>33673.425496542273</v>
      </c>
      <c r="H50" s="22">
        <f t="shared" si="16"/>
        <v>22440.31518908227</v>
      </c>
      <c r="I50" s="5">
        <f t="shared" si="17"/>
        <v>54340.955785687045</v>
      </c>
      <c r="J50" s="26">
        <f t="shared" si="19"/>
        <v>0.1715849295063458</v>
      </c>
      <c r="L50" s="22">
        <f t="shared" si="18"/>
        <v>76345.857193612988</v>
      </c>
      <c r="M50" s="5">
        <f>scrimecost*Meta!O47</f>
        <v>925.9799999999999</v>
      </c>
      <c r="N50" s="5">
        <f>L50-Grade9!L50</f>
        <v>830.77082246080681</v>
      </c>
      <c r="O50" s="5">
        <f>Grade9!M50-M50</f>
        <v>19.32000000000005</v>
      </c>
      <c r="P50" s="22">
        <f t="shared" si="22"/>
        <v>137.57658967267349</v>
      </c>
      <c r="Q50" s="22"/>
      <c r="R50" s="22"/>
      <c r="S50" s="22">
        <f t="shared" si="20"/>
        <v>652.65364306439585</v>
      </c>
      <c r="T50" s="22">
        <f t="shared" si="21"/>
        <v>1036.3201666349555</v>
      </c>
    </row>
    <row r="51" spans="1:20" x14ac:dyDescent="0.2">
      <c r="A51" s="5">
        <v>60</v>
      </c>
      <c r="B51" s="1">
        <f t="shared" si="13"/>
        <v>2.9638080769658868</v>
      </c>
      <c r="C51" s="5">
        <f t="shared" si="14"/>
        <v>50002.149210385629</v>
      </c>
      <c r="D51" s="5">
        <f t="shared" si="15"/>
        <v>47284.379422765167</v>
      </c>
      <c r="E51" s="5">
        <f t="shared" si="1"/>
        <v>37784.379422765167</v>
      </c>
      <c r="F51" s="5">
        <f t="shared" si="2"/>
        <v>12966.787823809344</v>
      </c>
      <c r="G51" s="5">
        <f t="shared" si="3"/>
        <v>34317.591598955827</v>
      </c>
      <c r="H51" s="22">
        <f t="shared" si="16"/>
        <v>23001.323068809321</v>
      </c>
      <c r="I51" s="5">
        <f t="shared" si="17"/>
        <v>55501.810145329211</v>
      </c>
      <c r="J51" s="26">
        <f t="shared" si="19"/>
        <v>0.17452485682184818</v>
      </c>
      <c r="L51" s="22">
        <f t="shared" si="18"/>
        <v>78254.503623453274</v>
      </c>
      <c r="M51" s="5">
        <f>scrimecost*Meta!O48</f>
        <v>488.488</v>
      </c>
      <c r="N51" s="5">
        <f>L51-Grade9!L51</f>
        <v>851.54009302228224</v>
      </c>
      <c r="O51" s="5">
        <f>Grade9!M51-M51</f>
        <v>10.192000000000007</v>
      </c>
      <c r="P51" s="22">
        <f t="shared" si="22"/>
        <v>141.47949228383598</v>
      </c>
      <c r="Q51" s="22"/>
      <c r="R51" s="22"/>
      <c r="S51" s="22">
        <f t="shared" si="20"/>
        <v>660.36217522603272</v>
      </c>
      <c r="T51" s="22">
        <f t="shared" si="21"/>
        <v>1059.6373623588381</v>
      </c>
    </row>
    <row r="52" spans="1:20" x14ac:dyDescent="0.2">
      <c r="A52" s="5">
        <v>61</v>
      </c>
      <c r="B52" s="1">
        <f t="shared" si="13"/>
        <v>3.0379032788900342</v>
      </c>
      <c r="C52" s="5">
        <f t="shared" si="14"/>
        <v>51252.202940645278</v>
      </c>
      <c r="D52" s="5">
        <f t="shared" si="15"/>
        <v>48435.678908334303</v>
      </c>
      <c r="E52" s="5">
        <f t="shared" si="1"/>
        <v>38935.678908334303</v>
      </c>
      <c r="F52" s="5">
        <f t="shared" si="2"/>
        <v>13457.817054404581</v>
      </c>
      <c r="G52" s="5">
        <f t="shared" si="3"/>
        <v>34977.861853929724</v>
      </c>
      <c r="H52" s="22">
        <f t="shared" si="16"/>
        <v>23576.356145529557</v>
      </c>
      <c r="I52" s="5">
        <f t="shared" si="17"/>
        <v>56691.685863962448</v>
      </c>
      <c r="J52" s="26">
        <f t="shared" si="19"/>
        <v>0.17739307859307005</v>
      </c>
      <c r="L52" s="22">
        <f t="shared" si="18"/>
        <v>80210.866214039619</v>
      </c>
      <c r="M52" s="5">
        <f>scrimecost*Meta!O49</f>
        <v>488.488</v>
      </c>
      <c r="N52" s="5">
        <f>L52-Grade9!L52</f>
        <v>872.82859534787713</v>
      </c>
      <c r="O52" s="5">
        <f>Grade9!M52-M52</f>
        <v>10.192000000000007</v>
      </c>
      <c r="P52" s="22">
        <f t="shared" si="22"/>
        <v>145.47996746027763</v>
      </c>
      <c r="Q52" s="22"/>
      <c r="R52" s="22"/>
      <c r="S52" s="22">
        <f t="shared" si="20"/>
        <v>677.06760489176088</v>
      </c>
      <c r="T52" s="22">
        <f t="shared" si="21"/>
        <v>1097.9207650207973</v>
      </c>
    </row>
    <row r="53" spans="1:20" x14ac:dyDescent="0.2">
      <c r="A53" s="5">
        <v>62</v>
      </c>
      <c r="B53" s="1">
        <f t="shared" si="13"/>
        <v>3.1138508608622844</v>
      </c>
      <c r="C53" s="5">
        <f t="shared" si="14"/>
        <v>52533.508014161394</v>
      </c>
      <c r="D53" s="5">
        <f t="shared" si="15"/>
        <v>49615.760881042646</v>
      </c>
      <c r="E53" s="5">
        <f t="shared" si="1"/>
        <v>40115.760881042646</v>
      </c>
      <c r="F53" s="5">
        <f t="shared" si="2"/>
        <v>13961.122015764688</v>
      </c>
      <c r="G53" s="5">
        <f t="shared" si="3"/>
        <v>35654.638865277957</v>
      </c>
      <c r="H53" s="22">
        <f t="shared" si="16"/>
        <v>24165.765049167789</v>
      </c>
      <c r="I53" s="5">
        <f t="shared" si="17"/>
        <v>57911.308475561491</v>
      </c>
      <c r="J53" s="26">
        <f t="shared" si="19"/>
        <v>0.18019134373572554</v>
      </c>
      <c r="L53" s="22">
        <f t="shared" si="18"/>
        <v>82216.137869390601</v>
      </c>
      <c r="M53" s="5">
        <f>scrimecost*Meta!O50</f>
        <v>488.488</v>
      </c>
      <c r="N53" s="5">
        <f>L53-Grade9!L53</f>
        <v>894.6493102315435</v>
      </c>
      <c r="O53" s="5">
        <f>Grade9!M53-M53</f>
        <v>10.192000000000007</v>
      </c>
      <c r="P53" s="22">
        <f t="shared" si="22"/>
        <v>149.58045451613026</v>
      </c>
      <c r="Q53" s="22"/>
      <c r="R53" s="22"/>
      <c r="S53" s="22">
        <f t="shared" si="20"/>
        <v>694.1906702990907</v>
      </c>
      <c r="T53" s="22">
        <f t="shared" si="21"/>
        <v>1137.5791594618163</v>
      </c>
    </row>
    <row r="54" spans="1:20" x14ac:dyDescent="0.2">
      <c r="A54" s="5">
        <v>63</v>
      </c>
      <c r="B54" s="1">
        <f t="shared" si="13"/>
        <v>3.1916971323838421</v>
      </c>
      <c r="C54" s="5">
        <f t="shared" si="14"/>
        <v>53846.845714515439</v>
      </c>
      <c r="D54" s="5">
        <f t="shared" si="15"/>
        <v>50825.344903068726</v>
      </c>
      <c r="E54" s="5">
        <f t="shared" si="1"/>
        <v>41325.344903068726</v>
      </c>
      <c r="F54" s="5">
        <f t="shared" si="2"/>
        <v>14477.009601158812</v>
      </c>
      <c r="G54" s="5">
        <f t="shared" si="3"/>
        <v>36348.335301909916</v>
      </c>
      <c r="H54" s="22">
        <f t="shared" si="16"/>
        <v>24769.909175396988</v>
      </c>
      <c r="I54" s="5">
        <f t="shared" si="17"/>
        <v>59161.421652450546</v>
      </c>
      <c r="J54" s="26">
        <f t="shared" si="19"/>
        <v>0.18292135850904806</v>
      </c>
      <c r="L54" s="22">
        <f t="shared" si="18"/>
        <v>84271.541316125382</v>
      </c>
      <c r="M54" s="5">
        <f>scrimecost*Meta!O51</f>
        <v>488.488</v>
      </c>
      <c r="N54" s="5">
        <f>L54-Grade9!L54</f>
        <v>917.01554298737028</v>
      </c>
      <c r="O54" s="5">
        <f>Grade9!M54-M54</f>
        <v>10.192000000000007</v>
      </c>
      <c r="P54" s="22">
        <f t="shared" si="22"/>
        <v>153.78345374837932</v>
      </c>
      <c r="Q54" s="22"/>
      <c r="R54" s="22"/>
      <c r="S54" s="22">
        <f t="shared" si="20"/>
        <v>711.74181234164541</v>
      </c>
      <c r="T54" s="22">
        <f t="shared" si="21"/>
        <v>1178.6618447845892</v>
      </c>
    </row>
    <row r="55" spans="1:20" x14ac:dyDescent="0.2">
      <c r="A55" s="5">
        <v>64</v>
      </c>
      <c r="B55" s="1">
        <f t="shared" si="13"/>
        <v>3.2714895606934378</v>
      </c>
      <c r="C55" s="5">
        <f t="shared" si="14"/>
        <v>55193.016857378316</v>
      </c>
      <c r="D55" s="5">
        <f t="shared" si="15"/>
        <v>52065.168525645429</v>
      </c>
      <c r="E55" s="5">
        <f t="shared" si="1"/>
        <v>42565.168525645429</v>
      </c>
      <c r="F55" s="5">
        <f t="shared" si="2"/>
        <v>15005.794376187776</v>
      </c>
      <c r="G55" s="5">
        <f t="shared" si="3"/>
        <v>37059.374149457653</v>
      </c>
      <c r="H55" s="22">
        <f t="shared" si="16"/>
        <v>25389.15690478191</v>
      </c>
      <c r="I55" s="5">
        <f t="shared" si="17"/>
        <v>60442.787658761794</v>
      </c>
      <c r="J55" s="26">
        <f t="shared" si="19"/>
        <v>0.18558478755619184</v>
      </c>
      <c r="L55" s="22">
        <f t="shared" si="18"/>
        <v>86378.329849028509</v>
      </c>
      <c r="M55" s="5">
        <f>scrimecost*Meta!O52</f>
        <v>488.488</v>
      </c>
      <c r="N55" s="5">
        <f>L55-Grade9!L55</f>
        <v>939.94093156204326</v>
      </c>
      <c r="O55" s="5">
        <f>Grade9!M55-M55</f>
        <v>10.192000000000007</v>
      </c>
      <c r="P55" s="22">
        <f t="shared" si="22"/>
        <v>158.09152796143448</v>
      </c>
      <c r="Q55" s="22"/>
      <c r="R55" s="22"/>
      <c r="S55" s="22">
        <f t="shared" si="20"/>
        <v>729.73173293523405</v>
      </c>
      <c r="T55" s="22">
        <f t="shared" si="21"/>
        <v>1221.2198867681045</v>
      </c>
    </row>
    <row r="56" spans="1:20" x14ac:dyDescent="0.2">
      <c r="A56" s="5">
        <v>65</v>
      </c>
      <c r="B56" s="1">
        <f t="shared" si="13"/>
        <v>3.3532767997107733</v>
      </c>
      <c r="C56" s="5">
        <f t="shared" si="14"/>
        <v>56572.842278812779</v>
      </c>
      <c r="D56" s="5">
        <f t="shared" si="15"/>
        <v>53335.987738786571</v>
      </c>
      <c r="E56" s="5">
        <f t="shared" si="1"/>
        <v>43835.987738786571</v>
      </c>
      <c r="F56" s="5">
        <f t="shared" si="2"/>
        <v>15547.798770592472</v>
      </c>
      <c r="G56" s="5">
        <f t="shared" si="3"/>
        <v>37788.188968194096</v>
      </c>
      <c r="H56" s="22">
        <f t="shared" si="16"/>
        <v>26023.885827401456</v>
      </c>
      <c r="I56" s="5">
        <f t="shared" si="17"/>
        <v>61756.187815230835</v>
      </c>
      <c r="J56" s="26">
        <f t="shared" si="19"/>
        <v>0.18818325491925902</v>
      </c>
      <c r="L56" s="22">
        <f t="shared" si="18"/>
        <v>88537.788095254204</v>
      </c>
      <c r="M56" s="5">
        <f>scrimecost*Meta!O53</f>
        <v>147.62</v>
      </c>
      <c r="N56" s="5">
        <f>L56-Grade9!L56</f>
        <v>963.43945485107542</v>
      </c>
      <c r="O56" s="5">
        <f>Grade9!M56-M56</f>
        <v>3.0799999999999841</v>
      </c>
      <c r="P56" s="22">
        <f t="shared" si="22"/>
        <v>162.50730402981605</v>
      </c>
      <c r="Q56" s="22"/>
      <c r="R56" s="22"/>
      <c r="S56" s="22">
        <f t="shared" si="20"/>
        <v>741.47900954365764</v>
      </c>
      <c r="T56" s="22">
        <f t="shared" si="21"/>
        <v>1253.9880193855383</v>
      </c>
    </row>
    <row r="57" spans="1:20" x14ac:dyDescent="0.2">
      <c r="A57" s="5">
        <v>66</v>
      </c>
      <c r="C57" s="5"/>
      <c r="H57" s="21"/>
      <c r="I57" s="5"/>
      <c r="M57" s="5">
        <f>scrimecost*Meta!O54</f>
        <v>147.62</v>
      </c>
      <c r="N57" s="5">
        <f>L57-Grade9!L57</f>
        <v>0</v>
      </c>
      <c r="O57" s="5">
        <f>Grade9!M57-M57</f>
        <v>3.0799999999999841</v>
      </c>
      <c r="Q57" s="22"/>
      <c r="R57" s="22"/>
      <c r="S57" s="22">
        <f t="shared" si="20"/>
        <v>2.8982799999999846</v>
      </c>
      <c r="T57" s="22">
        <f t="shared" si="21"/>
        <v>4.9533470412138669</v>
      </c>
    </row>
    <row r="58" spans="1:20" x14ac:dyDescent="0.2">
      <c r="A58" s="5">
        <v>67</v>
      </c>
      <c r="C58" s="5"/>
      <c r="H58" s="21"/>
      <c r="I58" s="5"/>
      <c r="M58" s="5">
        <f>scrimecost*Meta!O55</f>
        <v>147.62</v>
      </c>
      <c r="N58" s="5">
        <f>L58-Grade9!L58</f>
        <v>0</v>
      </c>
      <c r="O58" s="5">
        <f>Grade9!M58-M58</f>
        <v>3.0799999999999841</v>
      </c>
      <c r="Q58" s="22"/>
      <c r="R58" s="22"/>
      <c r="S58" s="22">
        <f t="shared" si="20"/>
        <v>2.8982799999999846</v>
      </c>
      <c r="T58" s="22">
        <f t="shared" si="21"/>
        <v>5.0056749774612239</v>
      </c>
    </row>
    <row r="59" spans="1:20" x14ac:dyDescent="0.2">
      <c r="A59" s="5">
        <v>68</v>
      </c>
      <c r="H59" s="21"/>
      <c r="I59" s="5"/>
      <c r="M59" s="5">
        <f>scrimecost*Meta!O56</f>
        <v>147.62</v>
      </c>
      <c r="N59" s="5">
        <f>L59-Grade9!L59</f>
        <v>0</v>
      </c>
      <c r="O59" s="5">
        <f>Grade9!M59-M59</f>
        <v>3.0799999999999841</v>
      </c>
      <c r="Q59" s="22"/>
      <c r="R59" s="22"/>
      <c r="S59" s="22">
        <f t="shared" si="20"/>
        <v>2.8982799999999846</v>
      </c>
      <c r="T59" s="22">
        <f t="shared" si="21"/>
        <v>5.0585557142471096</v>
      </c>
    </row>
    <row r="60" spans="1:20" x14ac:dyDescent="0.2">
      <c r="A60" s="5">
        <v>69</v>
      </c>
      <c r="H60" s="21"/>
      <c r="I60" s="5"/>
      <c r="M60" s="5">
        <f>scrimecost*Meta!O57</f>
        <v>147.62</v>
      </c>
      <c r="N60" s="5">
        <f>L60-Grade9!L60</f>
        <v>0</v>
      </c>
      <c r="O60" s="5">
        <f>Grade9!M60-M60</f>
        <v>3.0799999999999841</v>
      </c>
      <c r="Q60" s="22"/>
      <c r="R60" s="22"/>
      <c r="S60" s="22">
        <f t="shared" si="20"/>
        <v>2.8982799999999846</v>
      </c>
      <c r="T60" s="22">
        <f t="shared" si="21"/>
        <v>5.1119950914432506</v>
      </c>
    </row>
    <row r="61" spans="1:20" x14ac:dyDescent="0.2">
      <c r="A61" s="5">
        <v>70</v>
      </c>
      <c r="H61" s="21"/>
      <c r="I61" s="5"/>
      <c r="M61" s="5">
        <f>scrimecost*Meta!O58</f>
        <v>147.62</v>
      </c>
      <c r="N61" s="5">
        <f>L61-Grade9!L61</f>
        <v>0</v>
      </c>
      <c r="O61" s="5">
        <f>Grade9!M61-M61</f>
        <v>3.0799999999999841</v>
      </c>
      <c r="Q61" s="22"/>
      <c r="R61" s="22"/>
      <c r="S61" s="22">
        <f t="shared" si="20"/>
        <v>2.8982799999999846</v>
      </c>
      <c r="T61" s="22">
        <f t="shared" si="21"/>
        <v>5.165999010614696</v>
      </c>
    </row>
    <row r="62" spans="1:20" x14ac:dyDescent="0.2">
      <c r="A62" s="5">
        <v>71</v>
      </c>
      <c r="H62" s="21"/>
      <c r="I62" s="5"/>
      <c r="M62" s="5">
        <f>scrimecost*Meta!O59</f>
        <v>147.62</v>
      </c>
      <c r="N62" s="5">
        <f>L62-Grade9!L62</f>
        <v>0</v>
      </c>
      <c r="O62" s="5">
        <f>Grade9!M62-M62</f>
        <v>3.0799999999999841</v>
      </c>
      <c r="Q62" s="22"/>
      <c r="R62" s="22"/>
      <c r="S62" s="22">
        <f t="shared" si="20"/>
        <v>2.8982799999999846</v>
      </c>
      <c r="T62" s="22">
        <f t="shared" si="21"/>
        <v>5.2205734356715583</v>
      </c>
    </row>
    <row r="63" spans="1:20" x14ac:dyDescent="0.2">
      <c r="A63" s="5">
        <v>72</v>
      </c>
      <c r="H63" s="21"/>
      <c r="M63" s="5">
        <f>scrimecost*Meta!O60</f>
        <v>147.62</v>
      </c>
      <c r="N63" s="5">
        <f>L63-Grade9!L63</f>
        <v>0</v>
      </c>
      <c r="O63" s="5">
        <f>Grade9!M63-M63</f>
        <v>3.0799999999999841</v>
      </c>
      <c r="Q63" s="22"/>
      <c r="R63" s="22"/>
      <c r="S63" s="22">
        <f t="shared" si="20"/>
        <v>2.8982799999999846</v>
      </c>
      <c r="T63" s="22">
        <f t="shared" si="21"/>
        <v>5.275724393527625</v>
      </c>
    </row>
    <row r="64" spans="1:20" x14ac:dyDescent="0.2">
      <c r="A64" s="5">
        <v>73</v>
      </c>
      <c r="H64" s="21"/>
      <c r="M64" s="5">
        <f>scrimecost*Meta!O61</f>
        <v>147.62</v>
      </c>
      <c r="N64" s="5">
        <f>L64-Grade9!L64</f>
        <v>0</v>
      </c>
      <c r="O64" s="5">
        <f>Grade9!M64-M64</f>
        <v>3.0799999999999841</v>
      </c>
      <c r="Q64" s="22"/>
      <c r="R64" s="22"/>
      <c r="S64" s="22">
        <f t="shared" si="20"/>
        <v>2.8982799999999846</v>
      </c>
      <c r="T64" s="22">
        <f t="shared" si="21"/>
        <v>5.3314579747659545</v>
      </c>
    </row>
    <row r="65" spans="1:20" x14ac:dyDescent="0.2">
      <c r="A65" s="5">
        <v>74</v>
      </c>
      <c r="H65" s="21"/>
      <c r="M65" s="5">
        <f>scrimecost*Meta!O62</f>
        <v>147.62</v>
      </c>
      <c r="N65" s="5">
        <f>L65-Grade9!L65</f>
        <v>0</v>
      </c>
      <c r="O65" s="5">
        <f>Grade9!M65-M65</f>
        <v>3.0799999999999841</v>
      </c>
      <c r="Q65" s="22"/>
      <c r="R65" s="22"/>
      <c r="S65" s="22">
        <f t="shared" si="20"/>
        <v>2.8982799999999846</v>
      </c>
      <c r="T65" s="22">
        <f t="shared" si="21"/>
        <v>5.3877803343114792</v>
      </c>
    </row>
    <row r="66" spans="1:20" x14ac:dyDescent="0.2">
      <c r="A66" s="5">
        <v>75</v>
      </c>
      <c r="H66" s="21"/>
      <c r="M66" s="5">
        <f>scrimecost*Meta!O63</f>
        <v>147.62</v>
      </c>
      <c r="N66" s="5">
        <f>L66-Grade9!L66</f>
        <v>0</v>
      </c>
      <c r="O66" s="5">
        <f>Grade9!M66-M66</f>
        <v>3.0799999999999841</v>
      </c>
      <c r="Q66" s="22"/>
      <c r="R66" s="22"/>
      <c r="S66" s="22">
        <f t="shared" si="20"/>
        <v>2.8982799999999846</v>
      </c>
      <c r="T66" s="22">
        <f t="shared" si="21"/>
        <v>5.4446976921107249</v>
      </c>
    </row>
    <row r="67" spans="1:20" x14ac:dyDescent="0.2">
      <c r="A67" s="5">
        <v>76</v>
      </c>
      <c r="H67" s="21"/>
      <c r="M67" s="5">
        <f>scrimecost*Meta!O64</f>
        <v>147.62</v>
      </c>
      <c r="N67" s="5">
        <f>L67-Grade9!L67</f>
        <v>0</v>
      </c>
      <c r="O67" s="5">
        <f>Grade9!M67-M67</f>
        <v>3.0799999999999841</v>
      </c>
      <c r="Q67" s="22"/>
      <c r="R67" s="22"/>
      <c r="S67" s="22">
        <f t="shared" si="20"/>
        <v>2.8982799999999846</v>
      </c>
      <c r="T67" s="22">
        <f t="shared" si="21"/>
        <v>5.5022163338187111</v>
      </c>
    </row>
    <row r="68" spans="1:20" x14ac:dyDescent="0.2">
      <c r="A68" s="5">
        <v>77</v>
      </c>
      <c r="H68" s="21"/>
      <c r="M68" s="5">
        <f>scrimecost*Meta!O65</f>
        <v>147.62</v>
      </c>
      <c r="N68" s="5">
        <f>L68-Grade9!L68</f>
        <v>0</v>
      </c>
      <c r="O68" s="5">
        <f>Grade9!M68-M68</f>
        <v>3.0799999999999841</v>
      </c>
      <c r="Q68" s="22"/>
      <c r="R68" s="22"/>
      <c r="S68" s="22">
        <f t="shared" si="20"/>
        <v>2.8982799999999846</v>
      </c>
      <c r="T68" s="22">
        <f t="shared" si="21"/>
        <v>5.5603426114931027</v>
      </c>
    </row>
    <row r="69" spans="1:20" x14ac:dyDescent="0.2">
      <c r="A69" s="5">
        <v>78</v>
      </c>
      <c r="H69" s="21"/>
      <c r="M69" s="5">
        <f>scrimecost*Meta!O66</f>
        <v>147.62</v>
      </c>
      <c r="N69" s="5">
        <f>L69-Grade9!L69</f>
        <v>0</v>
      </c>
      <c r="O69" s="5">
        <f>Grade9!M69-M69</f>
        <v>3.0799999999999841</v>
      </c>
      <c r="Q69" s="22"/>
      <c r="R69" s="22"/>
      <c r="S69" s="22">
        <f t="shared" si="20"/>
        <v>2.8982799999999846</v>
      </c>
      <c r="T69" s="22">
        <f t="shared" si="21"/>
        <v>5.6190829442957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2.3274449034715872E-10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8" sqref="P8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Meta!A5+6</f>
        <v>17</v>
      </c>
      <c r="C2" s="7">
        <f>Meta!B5</f>
        <v>34269</v>
      </c>
      <c r="D2" s="7">
        <f>Meta!C5</f>
        <v>15764</v>
      </c>
      <c r="E2" s="1">
        <f>Meta!D5</f>
        <v>7.4999999999999997E-2</v>
      </c>
      <c r="F2" s="1">
        <f>Meta!F5</f>
        <v>0.60699999999999998</v>
      </c>
      <c r="G2" s="1">
        <f>Meta!I5</f>
        <v>1.9210422854781857</v>
      </c>
      <c r="H2" s="1">
        <f>Meta!E5</f>
        <v>0.94099999999999995</v>
      </c>
      <c r="I2" s="13"/>
      <c r="J2" s="1">
        <f>Meta!X4</f>
        <v>0.64600000000000002</v>
      </c>
      <c r="K2" s="1">
        <f>Meta!D4</f>
        <v>7.9000000000000001E-2</v>
      </c>
      <c r="L2" s="29"/>
      <c r="N2" s="22">
        <f>Meta!T5</f>
        <v>38420</v>
      </c>
      <c r="O2" s="22">
        <f>Meta!U5</f>
        <v>17673</v>
      </c>
      <c r="P2" s="1">
        <f>Meta!V5</f>
        <v>6.4000000000000001E-2</v>
      </c>
      <c r="Q2" s="1">
        <f>Meta!X5</f>
        <v>0.65400000000000003</v>
      </c>
      <c r="R2" s="22">
        <f>Meta!W5</f>
        <v>2630</v>
      </c>
      <c r="T2" s="12">
        <f>IRR(S5:S69)+1</f>
        <v>0.98705875496926465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B7" s="1">
        <v>1</v>
      </c>
      <c r="C7" s="5">
        <f>0.1*Grade10!C7</f>
        <v>1687.0913335783164</v>
      </c>
      <c r="D7" s="5">
        <f t="shared" ref="D7:D36" si="0">IF(A7&lt;startage,1,0)*(C7*(1-initialunempprob))+IF(A7=startage,1,0)*(C7*(1-unempprob))+IF(A7&gt;startage,1,0)*(C7*(1-unempprob)+unempprob*300*52)</f>
        <v>1553.8111182256293</v>
      </c>
      <c r="E7" s="5">
        <f t="shared" ref="E7:E56" si="1">IF(D7-9500&gt;0,1,0)*(D7-9500)</f>
        <v>0</v>
      </c>
      <c r="F7" s="5">
        <f t="shared" ref="F7:F56" si="2">IF(E7&lt;=8500,1,0)*(0.1*E7+0.1*E7+0.0765*D7)+IF(AND(E7&gt;8500,E7&lt;=34500),1,0)*(850+0.15*(E7-8500)+0.1*E7+0.0765*D7)+IF(AND(E7&gt;34500,E7&lt;=83600),1,0)*(4750+0.25*(E7-34500)+0.1*E7+0.0765*D7)+IF(AND(E7&gt;83600,E7&lt;=174400,D7&lt;=106800),1,0)*(17025+0.28*(E7-83600)+0.1*E7+0.0765*D7)+IF(AND(E7&gt;83600,E7&lt;=174400,D7&gt;106800),1,0)*(17025+0.28*(E7-83600)+0.1*E7+8170.2+0.0145*(D7-106800))+IF(AND(E7&gt;174400,E7&lt;=379150),1,0)*(42449+0.33*(E7-174400)+0.1*E7+8170.2+0.0145*(D7-106800))+IF(E7&gt;379150,1,0)*(110016.5+0.35*(E7-379150)+0.1*E7+8170.2+0.0145*(D7-106800))</f>
        <v>118.86655054426065</v>
      </c>
      <c r="G7" s="5">
        <f t="shared" ref="G7:G56" si="3">D7-F7</f>
        <v>1434.9445676813687</v>
      </c>
      <c r="H7" s="22">
        <f>0.1*Grade10!H7</f>
        <v>776.0732973086524</v>
      </c>
      <c r="I7" s="5">
        <f t="shared" ref="I7:I36" si="4">G7+IF(A7&lt;startage,1,0)*(H7*(1-initialunempprob))+IF(A7&gt;=startage,1,0)*(H7*(1-unempprob))</f>
        <v>2149.7080745026378</v>
      </c>
      <c r="J7" s="26">
        <f t="shared" ref="J7:J38" si="5">(F7-(IF(A7&gt;startage,1,0)*(unempprob*300*52)))/(IF(A7&lt;startage,1,0)*((C7+H7)*(1-initialunempprob))+IF(A7&gt;=startage,1,0)*((C7+H7)*(1-unempprob)))</f>
        <v>5.2397020239880063E-2</v>
      </c>
      <c r="L7" s="22">
        <f>0.1*Grade10!L7</f>
        <v>2640.3364047635664</v>
      </c>
      <c r="M7" s="5">
        <f>scrimecost*Meta!O4</f>
        <v>6175.24</v>
      </c>
      <c r="N7" s="5">
        <f>L7-Grade10!L7</f>
        <v>-23763.027642872097</v>
      </c>
      <c r="O7" s="5"/>
      <c r="P7" s="22"/>
      <c r="Q7" s="22">
        <f>0.05*feel*Grade10!G7</f>
        <v>183.98552816507404</v>
      </c>
      <c r="R7" s="22">
        <f>hstuition</f>
        <v>11298</v>
      </c>
      <c r="S7" s="22">
        <f t="shared" ref="S7:S38" si="6">IF(A7&lt;startage,1,0)*(N7-Q7-R7)+IF(A7&gt;=startage,1,0)*completionprob*(N7*spart+O7+P7)</f>
        <v>-35245.013171037172</v>
      </c>
      <c r="T7" s="22">
        <f t="shared" ref="T7:T38" si="7">S7/sreturn^(A7-startage+1)</f>
        <v>-35245.013171037172</v>
      </c>
    </row>
    <row r="8" spans="1:20" x14ac:dyDescent="0.2">
      <c r="A8" s="5">
        <v>17</v>
      </c>
      <c r="B8" s="1">
        <f t="shared" ref="B8:B36" si="8">(1+experiencepremium)^(A8-startage)</f>
        <v>1</v>
      </c>
      <c r="C8" s="5">
        <f t="shared" ref="C8:C36" si="9">pretaxincome*B8/expnorm</f>
        <v>17838.753607378178</v>
      </c>
      <c r="D8" s="5">
        <f t="shared" si="0"/>
        <v>16500.847086824815</v>
      </c>
      <c r="E8" s="5">
        <f t="shared" si="1"/>
        <v>7000.8470868248151</v>
      </c>
      <c r="F8" s="5">
        <f t="shared" si="2"/>
        <v>2662.4842195070614</v>
      </c>
      <c r="G8" s="5">
        <f t="shared" si="3"/>
        <v>13838.362867317754</v>
      </c>
      <c r="H8" s="22">
        <f t="shared" ref="H8:H36" si="10">benefits*B8/expnorm</f>
        <v>8205.9620025886234</v>
      </c>
      <c r="I8" s="5">
        <f t="shared" si="4"/>
        <v>21428.877719712233</v>
      </c>
      <c r="J8" s="26">
        <f t="shared" si="5"/>
        <v>0.11051613546068133</v>
      </c>
      <c r="L8" s="22">
        <f t="shared" ref="L8:L36" si="11">(sincome+sbenefits)*(1-sunemp)*B8/expnorm</f>
        <v>27330.500945704556</v>
      </c>
      <c r="M8" s="5">
        <f>scrimecost*Meta!O5</f>
        <v>7132.56</v>
      </c>
      <c r="N8" s="5">
        <f>L8-Grade10!L8</f>
        <v>267.0527968780043</v>
      </c>
      <c r="O8" s="5">
        <f>Grade10!M8-M8</f>
        <v>146.44800000000032</v>
      </c>
      <c r="P8" s="22">
        <f t="shared" ref="P8:P39" si="12">(spart-initialspart)*(L8*J8+nptrans)</f>
        <v>76.59569075779018</v>
      </c>
      <c r="Q8" s="22"/>
      <c r="R8" s="22"/>
      <c r="S8" s="22">
        <f t="shared" si="6"/>
        <v>374.23214294096101</v>
      </c>
      <c r="T8" s="22">
        <f t="shared" si="7"/>
        <v>379.13866936179903</v>
      </c>
    </row>
    <row r="9" spans="1:20" x14ac:dyDescent="0.2">
      <c r="A9" s="5">
        <v>18</v>
      </c>
      <c r="B9" s="1">
        <f t="shared" si="8"/>
        <v>1.0249999999999999</v>
      </c>
      <c r="C9" s="5">
        <f t="shared" si="9"/>
        <v>18284.722447562628</v>
      </c>
      <c r="D9" s="5">
        <f t="shared" si="0"/>
        <v>18083.368263995431</v>
      </c>
      <c r="E9" s="5">
        <f t="shared" si="1"/>
        <v>8583.3682639954313</v>
      </c>
      <c r="F9" s="5">
        <f t="shared" si="2"/>
        <v>3104.2197381945084</v>
      </c>
      <c r="G9" s="5">
        <f t="shared" si="3"/>
        <v>14979.148525800923</v>
      </c>
      <c r="H9" s="22">
        <f t="shared" si="10"/>
        <v>8411.1110526533394</v>
      </c>
      <c r="I9" s="5">
        <f t="shared" si="4"/>
        <v>22759.426249505261</v>
      </c>
      <c r="J9" s="26">
        <f t="shared" si="5"/>
        <v>7.8328641269011831E-2</v>
      </c>
      <c r="L9" s="22">
        <f t="shared" si="11"/>
        <v>28013.763469347166</v>
      </c>
      <c r="M9" s="5">
        <f>scrimecost*Meta!O6</f>
        <v>8668.48</v>
      </c>
      <c r="N9" s="5">
        <f>L9-Grade10!L9</f>
        <v>273.72911679995013</v>
      </c>
      <c r="O9" s="5">
        <f>Grade10!M9-M9</f>
        <v>177.98400000000038</v>
      </c>
      <c r="P9" s="22">
        <f t="shared" si="12"/>
        <v>69.986240235083599</v>
      </c>
      <c r="Q9" s="22"/>
      <c r="R9" s="22"/>
      <c r="S9" s="22">
        <f t="shared" si="6"/>
        <v>401.79672674753851</v>
      </c>
      <c r="T9" s="22">
        <f t="shared" si="7"/>
        <v>412.40164081303692</v>
      </c>
    </row>
    <row r="10" spans="1:20" x14ac:dyDescent="0.2">
      <c r="A10" s="5">
        <v>19</v>
      </c>
      <c r="B10" s="1">
        <f t="shared" si="8"/>
        <v>1.0506249999999999</v>
      </c>
      <c r="C10" s="5">
        <f t="shared" si="9"/>
        <v>18741.840508751695</v>
      </c>
      <c r="D10" s="5">
        <f t="shared" si="0"/>
        <v>18506.202470595319</v>
      </c>
      <c r="E10" s="5">
        <f t="shared" si="1"/>
        <v>9006.202470595319</v>
      </c>
      <c r="F10" s="5">
        <f t="shared" si="2"/>
        <v>3242.2751066493715</v>
      </c>
      <c r="G10" s="5">
        <f t="shared" si="3"/>
        <v>15263.927363945948</v>
      </c>
      <c r="H10" s="22">
        <f t="shared" si="10"/>
        <v>8621.3888289696715</v>
      </c>
      <c r="I10" s="5">
        <f t="shared" si="4"/>
        <v>23238.712030742892</v>
      </c>
      <c r="J10" s="26">
        <f t="shared" si="5"/>
        <v>8.1872551844806213E-2</v>
      </c>
      <c r="L10" s="22">
        <f t="shared" si="11"/>
        <v>28714.107556080846</v>
      </c>
      <c r="M10" s="5">
        <f>scrimecost*Meta!O7</f>
        <v>9265.49</v>
      </c>
      <c r="N10" s="5">
        <f>L10-Grade10!L10</f>
        <v>280.57234471994889</v>
      </c>
      <c r="O10" s="5">
        <f>Grade10!M10-M10</f>
        <v>190.24200000000019</v>
      </c>
      <c r="P10" s="22">
        <f t="shared" si="12"/>
        <v>71.239178076500636</v>
      </c>
      <c r="Q10" s="22"/>
      <c r="R10" s="22"/>
      <c r="S10" s="22">
        <f t="shared" si="6"/>
        <v>418.72193752346993</v>
      </c>
      <c r="T10" s="22">
        <f t="shared" si="7"/>
        <v>435.40829647472754</v>
      </c>
    </row>
    <row r="11" spans="1:20" x14ac:dyDescent="0.2">
      <c r="A11" s="5">
        <v>20</v>
      </c>
      <c r="B11" s="1">
        <f t="shared" si="8"/>
        <v>1.0768906249999999</v>
      </c>
      <c r="C11" s="5">
        <f t="shared" si="9"/>
        <v>19210.386521470486</v>
      </c>
      <c r="D11" s="5">
        <f t="shared" si="0"/>
        <v>18939.607532360202</v>
      </c>
      <c r="E11" s="5">
        <f t="shared" si="1"/>
        <v>9439.6075323602017</v>
      </c>
      <c r="F11" s="5">
        <f t="shared" si="2"/>
        <v>3383.7818593156057</v>
      </c>
      <c r="G11" s="5">
        <f t="shared" si="3"/>
        <v>15555.825673044596</v>
      </c>
      <c r="H11" s="22">
        <f t="shared" si="10"/>
        <v>8836.9235496939145</v>
      </c>
      <c r="I11" s="5">
        <f t="shared" si="4"/>
        <v>23729.979956511466</v>
      </c>
      <c r="J11" s="26">
        <f t="shared" si="5"/>
        <v>8.533002557728854E-2</v>
      </c>
      <c r="L11" s="22">
        <f t="shared" si="11"/>
        <v>29431.960244982867</v>
      </c>
      <c r="M11" s="5">
        <f>scrimecost*Meta!O8</f>
        <v>8873.6200000000008</v>
      </c>
      <c r="N11" s="5">
        <f>L11-Grade10!L11</f>
        <v>287.58665333795579</v>
      </c>
      <c r="O11" s="5">
        <f>Grade10!M11-M11</f>
        <v>182.19599999999991</v>
      </c>
      <c r="P11" s="22">
        <f t="shared" si="12"/>
        <v>72.523439363953088</v>
      </c>
      <c r="Q11" s="22"/>
      <c r="R11" s="22"/>
      <c r="S11" s="22">
        <f t="shared" si="6"/>
        <v>416.67584511880449</v>
      </c>
      <c r="T11" s="22">
        <f t="shared" si="7"/>
        <v>438.96137255315</v>
      </c>
    </row>
    <row r="12" spans="1:20" x14ac:dyDescent="0.2">
      <c r="A12" s="5">
        <v>21</v>
      </c>
      <c r="B12" s="1">
        <f t="shared" si="8"/>
        <v>1.1038128906249998</v>
      </c>
      <c r="C12" s="5">
        <f t="shared" si="9"/>
        <v>19690.646184507244</v>
      </c>
      <c r="D12" s="5">
        <f t="shared" si="0"/>
        <v>19383.8477206692</v>
      </c>
      <c r="E12" s="5">
        <f t="shared" si="1"/>
        <v>9883.8477206692005</v>
      </c>
      <c r="F12" s="5">
        <f t="shared" si="2"/>
        <v>3528.8262807984938</v>
      </c>
      <c r="G12" s="5">
        <f t="shared" si="3"/>
        <v>15855.021439870707</v>
      </c>
      <c r="H12" s="22">
        <f t="shared" si="10"/>
        <v>9057.84663843626</v>
      </c>
      <c r="I12" s="5">
        <f t="shared" si="4"/>
        <v>24233.529580424249</v>
      </c>
      <c r="J12" s="26">
        <f t="shared" si="5"/>
        <v>8.8703170682149279E-2</v>
      </c>
      <c r="L12" s="22">
        <f t="shared" si="11"/>
        <v>30167.759251107436</v>
      </c>
      <c r="M12" s="5">
        <f>scrimecost*Meta!O9</f>
        <v>8058.32</v>
      </c>
      <c r="N12" s="5">
        <f>L12-Grade10!L12</f>
        <v>294.77631967140042</v>
      </c>
      <c r="O12" s="5">
        <f>Grade10!M12-M12</f>
        <v>165.45600000000013</v>
      </c>
      <c r="P12" s="22">
        <f t="shared" si="12"/>
        <v>73.83980718359183</v>
      </c>
      <c r="Q12" s="22"/>
      <c r="R12" s="22"/>
      <c r="S12" s="22">
        <f t="shared" si="6"/>
        <v>406.5868285540152</v>
      </c>
      <c r="T12" s="22">
        <f t="shared" si="7"/>
        <v>433.94858916493291</v>
      </c>
    </row>
    <row r="13" spans="1:20" x14ac:dyDescent="0.2">
      <c r="A13" s="5">
        <v>22</v>
      </c>
      <c r="B13" s="1">
        <f t="shared" si="8"/>
        <v>1.1314082128906247</v>
      </c>
      <c r="C13" s="5">
        <f t="shared" si="9"/>
        <v>20182.912339119925</v>
      </c>
      <c r="D13" s="5">
        <f t="shared" si="0"/>
        <v>19839.193913685933</v>
      </c>
      <c r="E13" s="5">
        <f t="shared" si="1"/>
        <v>10339.193913685933</v>
      </c>
      <c r="F13" s="5">
        <f t="shared" si="2"/>
        <v>3677.4968128184573</v>
      </c>
      <c r="G13" s="5">
        <f t="shared" si="3"/>
        <v>16161.697100867475</v>
      </c>
      <c r="H13" s="22">
        <f t="shared" si="10"/>
        <v>9284.2928043971679</v>
      </c>
      <c r="I13" s="5">
        <f t="shared" si="4"/>
        <v>24749.667944934856</v>
      </c>
      <c r="J13" s="26">
        <f t="shared" si="5"/>
        <v>9.1994043955184249E-2</v>
      </c>
      <c r="L13" s="22">
        <f t="shared" si="11"/>
        <v>30921.95323238512</v>
      </c>
      <c r="M13" s="5">
        <f>scrimecost*Meta!O10</f>
        <v>7385.04</v>
      </c>
      <c r="N13" s="5">
        <f>L13-Grade10!L13</f>
        <v>302.14572766318815</v>
      </c>
      <c r="O13" s="5">
        <f>Grade10!M13-M13</f>
        <v>151.63199999999961</v>
      </c>
      <c r="P13" s="22">
        <f t="shared" si="12"/>
        <v>75.189084198721574</v>
      </c>
      <c r="Q13" s="22"/>
      <c r="R13" s="22"/>
      <c r="S13" s="22">
        <f t="shared" si="6"/>
        <v>399.38335107510989</v>
      </c>
      <c r="T13" s="22">
        <f t="shared" si="7"/>
        <v>431.84900864810066</v>
      </c>
    </row>
    <row r="14" spans="1:20" x14ac:dyDescent="0.2">
      <c r="A14" s="5">
        <v>23</v>
      </c>
      <c r="B14" s="1">
        <f t="shared" si="8"/>
        <v>1.1596934182128902</v>
      </c>
      <c r="C14" s="5">
        <f t="shared" si="9"/>
        <v>20687.485147597923</v>
      </c>
      <c r="D14" s="5">
        <f t="shared" si="0"/>
        <v>20305.92376152808</v>
      </c>
      <c r="E14" s="5">
        <f t="shared" si="1"/>
        <v>10805.92376152808</v>
      </c>
      <c r="F14" s="5">
        <f t="shared" si="2"/>
        <v>3829.8841081389182</v>
      </c>
      <c r="G14" s="5">
        <f t="shared" si="3"/>
        <v>16476.039653389162</v>
      </c>
      <c r="H14" s="22">
        <f t="shared" si="10"/>
        <v>9516.4001245070958</v>
      </c>
      <c r="I14" s="5">
        <f t="shared" si="4"/>
        <v>25278.709768558227</v>
      </c>
      <c r="J14" s="26">
        <f t="shared" si="5"/>
        <v>9.5204652026437825E-2</v>
      </c>
      <c r="L14" s="22">
        <f t="shared" si="11"/>
        <v>31695.002063194741</v>
      </c>
      <c r="M14" s="5">
        <f>scrimecost*Meta!O11</f>
        <v>6901.12</v>
      </c>
      <c r="N14" s="5">
        <f>L14-Grade10!L14</f>
        <v>309.69937085475613</v>
      </c>
      <c r="O14" s="5">
        <f>Grade10!M14-M14</f>
        <v>141.69600000000082</v>
      </c>
      <c r="P14" s="22">
        <f t="shared" si="12"/>
        <v>76.572093139229537</v>
      </c>
      <c r="Q14" s="22"/>
      <c r="R14" s="22"/>
      <c r="S14" s="22">
        <f t="shared" si="6"/>
        <v>395.98360425922465</v>
      </c>
      <c r="T14" s="22">
        <f t="shared" si="7"/>
        <v>433.78663740982239</v>
      </c>
    </row>
    <row r="15" spans="1:20" x14ac:dyDescent="0.2">
      <c r="A15" s="5">
        <v>24</v>
      </c>
      <c r="B15" s="1">
        <f t="shared" si="8"/>
        <v>1.1886857536682125</v>
      </c>
      <c r="C15" s="5">
        <f t="shared" si="9"/>
        <v>21204.672276287871</v>
      </c>
      <c r="D15" s="5">
        <f t="shared" si="0"/>
        <v>20784.321855566282</v>
      </c>
      <c r="E15" s="5">
        <f t="shared" si="1"/>
        <v>11284.321855566282</v>
      </c>
      <c r="F15" s="5">
        <f t="shared" si="2"/>
        <v>3986.0810858423911</v>
      </c>
      <c r="G15" s="5">
        <f t="shared" si="3"/>
        <v>16798.240769723892</v>
      </c>
      <c r="H15" s="22">
        <f t="shared" si="10"/>
        <v>9754.310127619774</v>
      </c>
      <c r="I15" s="5">
        <f t="shared" si="4"/>
        <v>25820.977637772183</v>
      </c>
      <c r="J15" s="26">
        <f t="shared" si="5"/>
        <v>9.8336952583758394E-2</v>
      </c>
      <c r="L15" s="22">
        <f t="shared" si="11"/>
        <v>32487.377114774616</v>
      </c>
      <c r="M15" s="5">
        <f>scrimecost*Meta!O12</f>
        <v>6593.41</v>
      </c>
      <c r="N15" s="5">
        <f>L15-Grade10!L15</f>
        <v>317.44185512613331</v>
      </c>
      <c r="O15" s="5">
        <f>Grade10!M15-M15</f>
        <v>135.37800000000061</v>
      </c>
      <c r="P15" s="22">
        <f t="shared" si="12"/>
        <v>77.989677303250218</v>
      </c>
      <c r="Q15" s="22"/>
      <c r="R15" s="22"/>
      <c r="S15" s="22">
        <f t="shared" si="6"/>
        <v>396.13714617295329</v>
      </c>
      <c r="T15" s="22">
        <f t="shared" si="7"/>
        <v>439.64438306774343</v>
      </c>
    </row>
    <row r="16" spans="1:20" x14ac:dyDescent="0.2">
      <c r="A16" s="5">
        <v>25</v>
      </c>
      <c r="B16" s="1">
        <f t="shared" si="8"/>
        <v>1.2184028975099177</v>
      </c>
      <c r="C16" s="5">
        <f t="shared" si="9"/>
        <v>21734.789083195064</v>
      </c>
      <c r="D16" s="5">
        <f t="shared" si="0"/>
        <v>21274.679901955435</v>
      </c>
      <c r="E16" s="5">
        <f t="shared" si="1"/>
        <v>11774.679901955435</v>
      </c>
      <c r="F16" s="5">
        <f t="shared" si="2"/>
        <v>4146.1829879884499</v>
      </c>
      <c r="G16" s="5">
        <f t="shared" si="3"/>
        <v>17128.496913966985</v>
      </c>
      <c r="H16" s="22">
        <f t="shared" si="10"/>
        <v>9998.1678808102679</v>
      </c>
      <c r="I16" s="5">
        <f t="shared" si="4"/>
        <v>26376.802203716485</v>
      </c>
      <c r="J16" s="26">
        <f t="shared" si="5"/>
        <v>0.10139285556651018</v>
      </c>
      <c r="L16" s="22">
        <f t="shared" si="11"/>
        <v>33299.561542643976</v>
      </c>
      <c r="M16" s="5">
        <f>scrimecost*Meta!O13</f>
        <v>5536.15</v>
      </c>
      <c r="N16" s="5">
        <f>L16-Grade10!L16</f>
        <v>325.37790150428918</v>
      </c>
      <c r="O16" s="5">
        <f>Grade10!M16-M16</f>
        <v>113.67000000000007</v>
      </c>
      <c r="P16" s="22">
        <f t="shared" si="12"/>
        <v>79.442701071371403</v>
      </c>
      <c r="Q16" s="22"/>
      <c r="R16" s="22"/>
      <c r="S16" s="22">
        <f t="shared" si="6"/>
        <v>381.96116758452115</v>
      </c>
      <c r="T16" s="22">
        <f t="shared" si="7"/>
        <v>429.46934285279588</v>
      </c>
    </row>
    <row r="17" spans="1:20" x14ac:dyDescent="0.2">
      <c r="A17" s="5">
        <v>26</v>
      </c>
      <c r="B17" s="1">
        <f t="shared" si="8"/>
        <v>1.2488629699476654</v>
      </c>
      <c r="C17" s="5">
        <f t="shared" si="9"/>
        <v>22278.158810274941</v>
      </c>
      <c r="D17" s="5">
        <f t="shared" si="0"/>
        <v>21777.296899504323</v>
      </c>
      <c r="E17" s="5">
        <f t="shared" si="1"/>
        <v>12277.296899504323</v>
      </c>
      <c r="F17" s="5">
        <f t="shared" si="2"/>
        <v>4310.2874376881609</v>
      </c>
      <c r="G17" s="5">
        <f t="shared" si="3"/>
        <v>17467.00946181616</v>
      </c>
      <c r="H17" s="22">
        <f t="shared" si="10"/>
        <v>10248.122077830521</v>
      </c>
      <c r="I17" s="5">
        <f t="shared" si="4"/>
        <v>26946.522383809395</v>
      </c>
      <c r="J17" s="26">
        <f t="shared" si="5"/>
        <v>0.10437422433017043</v>
      </c>
      <c r="L17" s="22">
        <f t="shared" si="11"/>
        <v>34132.050581210067</v>
      </c>
      <c r="M17" s="5">
        <f>scrimecost*Meta!O14</f>
        <v>5536.15</v>
      </c>
      <c r="N17" s="5">
        <f>L17-Grade10!L17</f>
        <v>333.51234904188459</v>
      </c>
      <c r="O17" s="5">
        <f>Grade10!M17-M17</f>
        <v>113.67000000000007</v>
      </c>
      <c r="P17" s="22">
        <f t="shared" si="12"/>
        <v>80.932050433695622</v>
      </c>
      <c r="Q17" s="22"/>
      <c r="R17" s="22"/>
      <c r="S17" s="22">
        <f t="shared" si="6"/>
        <v>388.36869823136999</v>
      </c>
      <c r="T17" s="22">
        <f t="shared" si="7"/>
        <v>442.39903386401102</v>
      </c>
    </row>
    <row r="18" spans="1:20" x14ac:dyDescent="0.2">
      <c r="A18" s="5">
        <v>27</v>
      </c>
      <c r="B18" s="1">
        <f t="shared" si="8"/>
        <v>1.2800845441963571</v>
      </c>
      <c r="C18" s="5">
        <f t="shared" si="9"/>
        <v>22835.112780531814</v>
      </c>
      <c r="D18" s="5">
        <f t="shared" si="0"/>
        <v>22292.47932199193</v>
      </c>
      <c r="E18" s="5">
        <f t="shared" si="1"/>
        <v>12792.47932199193</v>
      </c>
      <c r="F18" s="5">
        <f t="shared" si="2"/>
        <v>4478.4944986303653</v>
      </c>
      <c r="G18" s="5">
        <f t="shared" si="3"/>
        <v>17813.984823361563</v>
      </c>
      <c r="H18" s="22">
        <f t="shared" si="10"/>
        <v>10504.325129776284</v>
      </c>
      <c r="I18" s="5">
        <f t="shared" si="4"/>
        <v>27530.485568404627</v>
      </c>
      <c r="J18" s="26">
        <f t="shared" si="5"/>
        <v>0.10728287678252194</v>
      </c>
      <c r="L18" s="22">
        <f t="shared" si="11"/>
        <v>34985.351845740319</v>
      </c>
      <c r="M18" s="5">
        <f>scrimecost*Meta!O15</f>
        <v>5536.15</v>
      </c>
      <c r="N18" s="5">
        <f>L18-Grade10!L18</f>
        <v>341.85015776793443</v>
      </c>
      <c r="O18" s="5">
        <f>Grade10!M18-M18</f>
        <v>113.67000000000007</v>
      </c>
      <c r="P18" s="22">
        <f t="shared" si="12"/>
        <v>82.458633530077947</v>
      </c>
      <c r="Q18" s="22"/>
      <c r="R18" s="22"/>
      <c r="S18" s="22">
        <f t="shared" si="6"/>
        <v>394.936417144399</v>
      </c>
      <c r="T18" s="22">
        <f t="shared" si="7"/>
        <v>455.77880721296151</v>
      </c>
    </row>
    <row r="19" spans="1:20" x14ac:dyDescent="0.2">
      <c r="A19" s="5">
        <v>28</v>
      </c>
      <c r="B19" s="1">
        <f t="shared" si="8"/>
        <v>1.312086657801266</v>
      </c>
      <c r="C19" s="5">
        <f t="shared" si="9"/>
        <v>23405.990600045108</v>
      </c>
      <c r="D19" s="5">
        <f t="shared" si="0"/>
        <v>22820.541305041726</v>
      </c>
      <c r="E19" s="5">
        <f t="shared" si="1"/>
        <v>13320.541305041726</v>
      </c>
      <c r="F19" s="5">
        <f t="shared" si="2"/>
        <v>4650.9067360961235</v>
      </c>
      <c r="G19" s="5">
        <f t="shared" si="3"/>
        <v>18169.634568945603</v>
      </c>
      <c r="H19" s="22">
        <f t="shared" si="10"/>
        <v>10766.933258020692</v>
      </c>
      <c r="I19" s="5">
        <f t="shared" si="4"/>
        <v>28129.047832614742</v>
      </c>
      <c r="J19" s="26">
        <f t="shared" si="5"/>
        <v>0.11012058649213312</v>
      </c>
      <c r="L19" s="22">
        <f t="shared" si="11"/>
        <v>35859.985641883832</v>
      </c>
      <c r="M19" s="5">
        <f>scrimecost*Meta!O16</f>
        <v>5536.15</v>
      </c>
      <c r="N19" s="5">
        <f>L19-Grade10!L19</f>
        <v>350.39641171214316</v>
      </c>
      <c r="O19" s="5">
        <f>Grade10!M19-M19</f>
        <v>113.67000000000007</v>
      </c>
      <c r="P19" s="22">
        <f t="shared" si="12"/>
        <v>84.023381203869846</v>
      </c>
      <c r="Q19" s="22"/>
      <c r="R19" s="22"/>
      <c r="S19" s="22">
        <f t="shared" si="6"/>
        <v>401.66832903025841</v>
      </c>
      <c r="T19" s="22">
        <f t="shared" si="7"/>
        <v>469.62534833636568</v>
      </c>
    </row>
    <row r="20" spans="1:20" x14ac:dyDescent="0.2">
      <c r="A20" s="5">
        <v>29</v>
      </c>
      <c r="B20" s="1">
        <f t="shared" si="8"/>
        <v>1.3448888242462975</v>
      </c>
      <c r="C20" s="5">
        <f t="shared" si="9"/>
        <v>23991.140365046234</v>
      </c>
      <c r="D20" s="5">
        <f t="shared" si="0"/>
        <v>23361.804837667769</v>
      </c>
      <c r="E20" s="5">
        <f t="shared" si="1"/>
        <v>13861.804837667769</v>
      </c>
      <c r="F20" s="5">
        <f t="shared" si="2"/>
        <v>4827.6292794985266</v>
      </c>
      <c r="G20" s="5">
        <f t="shared" si="3"/>
        <v>18534.175558169241</v>
      </c>
      <c r="H20" s="22">
        <f t="shared" si="10"/>
        <v>11036.106589471206</v>
      </c>
      <c r="I20" s="5">
        <f t="shared" si="4"/>
        <v>28742.574153430109</v>
      </c>
      <c r="J20" s="26">
        <f t="shared" si="5"/>
        <v>0.11288908376980261</v>
      </c>
      <c r="L20" s="22">
        <f t="shared" si="11"/>
        <v>36756.485282930924</v>
      </c>
      <c r="M20" s="5">
        <f>scrimecost*Meta!O17</f>
        <v>5536.15</v>
      </c>
      <c r="N20" s="5">
        <f>L20-Grade10!L20</f>
        <v>359.15632200494292</v>
      </c>
      <c r="O20" s="5">
        <f>Grade10!M20-M20</f>
        <v>113.67000000000007</v>
      </c>
      <c r="P20" s="22">
        <f t="shared" si="12"/>
        <v>85.627247569506522</v>
      </c>
      <c r="Q20" s="22"/>
      <c r="R20" s="22"/>
      <c r="S20" s="22">
        <f t="shared" si="6"/>
        <v>408.56853871325563</v>
      </c>
      <c r="T20" s="22">
        <f t="shared" si="7"/>
        <v>483.95597597222263</v>
      </c>
    </row>
    <row r="21" spans="1:20" x14ac:dyDescent="0.2">
      <c r="A21" s="5">
        <v>30</v>
      </c>
      <c r="B21" s="1">
        <f t="shared" si="8"/>
        <v>1.3785110448524549</v>
      </c>
      <c r="C21" s="5">
        <f t="shared" si="9"/>
        <v>24590.918874172388</v>
      </c>
      <c r="D21" s="5">
        <f t="shared" si="0"/>
        <v>23916.599958609459</v>
      </c>
      <c r="E21" s="5">
        <f t="shared" si="1"/>
        <v>14416.599958609459</v>
      </c>
      <c r="F21" s="5">
        <f t="shared" si="2"/>
        <v>5008.7698864859885</v>
      </c>
      <c r="G21" s="5">
        <f t="shared" si="3"/>
        <v>18907.83007212347</v>
      </c>
      <c r="H21" s="22">
        <f t="shared" si="10"/>
        <v>11312.009254207987</v>
      </c>
      <c r="I21" s="5">
        <f t="shared" si="4"/>
        <v>29371.438632265861</v>
      </c>
      <c r="J21" s="26">
        <f t="shared" si="5"/>
        <v>0.11559005672362646</v>
      </c>
      <c r="L21" s="22">
        <f t="shared" si="11"/>
        <v>37675.397415004198</v>
      </c>
      <c r="M21" s="5">
        <f>scrimecost*Meta!O18</f>
        <v>4463.1100000000006</v>
      </c>
      <c r="N21" s="5">
        <f>L21-Grade10!L21</f>
        <v>368.13523005507159</v>
      </c>
      <c r="O21" s="5">
        <f>Grade10!M21-M21</f>
        <v>91.63799999999992</v>
      </c>
      <c r="P21" s="22">
        <f t="shared" si="12"/>
        <v>87.271210594284113</v>
      </c>
      <c r="Q21" s="22"/>
      <c r="R21" s="22"/>
      <c r="S21" s="22">
        <f t="shared" si="6"/>
        <v>394.9091416383331</v>
      </c>
      <c r="T21" s="22">
        <f t="shared" si="7"/>
        <v>473.90917619866059</v>
      </c>
    </row>
    <row r="22" spans="1:20" x14ac:dyDescent="0.2">
      <c r="A22" s="5">
        <v>31</v>
      </c>
      <c r="B22" s="1">
        <f t="shared" si="8"/>
        <v>1.4129738209737661</v>
      </c>
      <c r="C22" s="5">
        <f t="shared" si="9"/>
        <v>25205.691846026693</v>
      </c>
      <c r="D22" s="5">
        <f t="shared" si="0"/>
        <v>24485.264957574691</v>
      </c>
      <c r="E22" s="5">
        <f t="shared" si="1"/>
        <v>14985.264957574691</v>
      </c>
      <c r="F22" s="5">
        <f t="shared" si="2"/>
        <v>5194.4390086481362</v>
      </c>
      <c r="G22" s="5">
        <f t="shared" si="3"/>
        <v>19290.825948926555</v>
      </c>
      <c r="H22" s="22">
        <f t="shared" si="10"/>
        <v>11594.809485563186</v>
      </c>
      <c r="I22" s="5">
        <f t="shared" si="4"/>
        <v>30016.0247230725</v>
      </c>
      <c r="J22" s="26">
        <f t="shared" si="5"/>
        <v>0.11822515228833262</v>
      </c>
      <c r="L22" s="22">
        <f t="shared" si="11"/>
        <v>38617.282350379297</v>
      </c>
      <c r="M22" s="5">
        <f>scrimecost*Meta!O19</f>
        <v>4463.1100000000006</v>
      </c>
      <c r="N22" s="5">
        <f>L22-Grade10!L22</f>
        <v>377.33861080643692</v>
      </c>
      <c r="O22" s="5">
        <f>Grade10!M22-M22</f>
        <v>91.63799999999992</v>
      </c>
      <c r="P22" s="22">
        <f t="shared" si="12"/>
        <v>88.956272694681132</v>
      </c>
      <c r="Q22" s="22"/>
      <c r="R22" s="22"/>
      <c r="S22" s="22">
        <f t="shared" si="6"/>
        <v>402.15867443652746</v>
      </c>
      <c r="T22" s="22">
        <f t="shared" si="7"/>
        <v>488.93639547515585</v>
      </c>
    </row>
    <row r="23" spans="1:20" x14ac:dyDescent="0.2">
      <c r="A23" s="5">
        <v>32</v>
      </c>
      <c r="B23" s="1">
        <f t="shared" si="8"/>
        <v>1.4482981664981105</v>
      </c>
      <c r="C23" s="5">
        <f t="shared" si="9"/>
        <v>25835.834142177366</v>
      </c>
      <c r="D23" s="5">
        <f t="shared" si="0"/>
        <v>25068.146581514065</v>
      </c>
      <c r="E23" s="5">
        <f t="shared" si="1"/>
        <v>15568.146581514065</v>
      </c>
      <c r="F23" s="5">
        <f t="shared" si="2"/>
        <v>5384.7498588643421</v>
      </c>
      <c r="G23" s="5">
        <f t="shared" si="3"/>
        <v>19683.396722649723</v>
      </c>
      <c r="H23" s="22">
        <f t="shared" si="10"/>
        <v>11884.679722702267</v>
      </c>
      <c r="I23" s="5">
        <f t="shared" si="4"/>
        <v>30676.725466149321</v>
      </c>
      <c r="J23" s="26">
        <f t="shared" si="5"/>
        <v>0.12079597722950947</v>
      </c>
      <c r="L23" s="22">
        <f t="shared" si="11"/>
        <v>39582.714409138782</v>
      </c>
      <c r="M23" s="5">
        <f>scrimecost*Meta!O20</f>
        <v>4463.1100000000006</v>
      </c>
      <c r="N23" s="5">
        <f>L23-Grade10!L23</f>
        <v>386.77207607660239</v>
      </c>
      <c r="O23" s="5">
        <f>Grade10!M23-M23</f>
        <v>91.63799999999992</v>
      </c>
      <c r="P23" s="22">
        <f t="shared" si="12"/>
        <v>90.683461347588121</v>
      </c>
      <c r="Q23" s="22"/>
      <c r="R23" s="22"/>
      <c r="S23" s="22">
        <f t="shared" si="6"/>
        <v>409.58944555468656</v>
      </c>
      <c r="T23" s="22">
        <f t="shared" si="7"/>
        <v>504.49942766014959</v>
      </c>
    </row>
    <row r="24" spans="1:20" x14ac:dyDescent="0.2">
      <c r="A24" s="5">
        <v>33</v>
      </c>
      <c r="B24" s="1">
        <f t="shared" si="8"/>
        <v>1.4845056206605631</v>
      </c>
      <c r="C24" s="5">
        <f t="shared" si="9"/>
        <v>26481.729995731795</v>
      </c>
      <c r="D24" s="5">
        <f t="shared" si="0"/>
        <v>25665.600246051912</v>
      </c>
      <c r="E24" s="5">
        <f t="shared" si="1"/>
        <v>16165.600246051912</v>
      </c>
      <c r="F24" s="5">
        <f t="shared" si="2"/>
        <v>5579.8184803359491</v>
      </c>
      <c r="G24" s="5">
        <f t="shared" si="3"/>
        <v>20085.781765715961</v>
      </c>
      <c r="H24" s="22">
        <f t="shared" si="10"/>
        <v>12181.796715769824</v>
      </c>
      <c r="I24" s="5">
        <f t="shared" si="4"/>
        <v>31353.943727803049</v>
      </c>
      <c r="J24" s="26">
        <f t="shared" si="5"/>
        <v>0.12330409912334046</v>
      </c>
      <c r="L24" s="22">
        <f t="shared" si="11"/>
        <v>40572.28226936725</v>
      </c>
      <c r="M24" s="5">
        <f>scrimecost*Meta!O21</f>
        <v>4463.1100000000006</v>
      </c>
      <c r="N24" s="5">
        <f>L24-Grade10!L24</f>
        <v>396.44137797852454</v>
      </c>
      <c r="O24" s="5">
        <f>Grade10!M24-M24</f>
        <v>91.63799999999992</v>
      </c>
      <c r="P24" s="22">
        <f t="shared" si="12"/>
        <v>92.453829716817751</v>
      </c>
      <c r="Q24" s="22"/>
      <c r="R24" s="22"/>
      <c r="S24" s="22">
        <f t="shared" si="6"/>
        <v>417.20598595080116</v>
      </c>
      <c r="T24" s="22">
        <f t="shared" si="7"/>
        <v>520.61832048363181</v>
      </c>
    </row>
    <row r="25" spans="1:20" x14ac:dyDescent="0.2">
      <c r="A25" s="5">
        <v>34</v>
      </c>
      <c r="B25" s="1">
        <f t="shared" si="8"/>
        <v>1.521618261177077</v>
      </c>
      <c r="C25" s="5">
        <f t="shared" si="9"/>
        <v>27143.773245625089</v>
      </c>
      <c r="D25" s="5">
        <f t="shared" si="0"/>
        <v>26277.99025220321</v>
      </c>
      <c r="E25" s="5">
        <f t="shared" si="1"/>
        <v>16777.99025220321</v>
      </c>
      <c r="F25" s="5">
        <f t="shared" si="2"/>
        <v>5779.7638173443484</v>
      </c>
      <c r="G25" s="5">
        <f t="shared" si="3"/>
        <v>20498.226434858861</v>
      </c>
      <c r="H25" s="22">
        <f t="shared" si="10"/>
        <v>12486.341633664066</v>
      </c>
      <c r="I25" s="5">
        <f t="shared" si="4"/>
        <v>32048.092445998125</v>
      </c>
      <c r="J25" s="26">
        <f t="shared" si="5"/>
        <v>0.12575104731244396</v>
      </c>
      <c r="L25" s="22">
        <f t="shared" si="11"/>
        <v>41586.589326101421</v>
      </c>
      <c r="M25" s="5">
        <f>scrimecost*Meta!O22</f>
        <v>4463.1100000000006</v>
      </c>
      <c r="N25" s="5">
        <f>L25-Grade10!L25</f>
        <v>406.35241242797929</v>
      </c>
      <c r="O25" s="5">
        <f>Grade10!M25-M25</f>
        <v>91.63799999999992</v>
      </c>
      <c r="P25" s="22">
        <f t="shared" si="12"/>
        <v>94.268457295278139</v>
      </c>
      <c r="Q25" s="22"/>
      <c r="R25" s="22"/>
      <c r="S25" s="22">
        <f t="shared" si="6"/>
        <v>425.01293985680911</v>
      </c>
      <c r="T25" s="22">
        <f t="shared" si="7"/>
        <v>537.31388509644285</v>
      </c>
    </row>
    <row r="26" spans="1:20" x14ac:dyDescent="0.2">
      <c r="A26" s="5">
        <v>35</v>
      </c>
      <c r="B26" s="1">
        <f t="shared" si="8"/>
        <v>1.559658717706504</v>
      </c>
      <c r="C26" s="5">
        <f t="shared" si="9"/>
        <v>27822.367576765719</v>
      </c>
      <c r="D26" s="5">
        <f t="shared" si="0"/>
        <v>26905.690008508293</v>
      </c>
      <c r="E26" s="5">
        <f t="shared" si="1"/>
        <v>17405.690008508293</v>
      </c>
      <c r="F26" s="5">
        <f t="shared" si="2"/>
        <v>5984.7077877779575</v>
      </c>
      <c r="G26" s="5">
        <f t="shared" si="3"/>
        <v>20920.982220730337</v>
      </c>
      <c r="H26" s="22">
        <f t="shared" si="10"/>
        <v>12798.500174505669</v>
      </c>
      <c r="I26" s="5">
        <f t="shared" si="4"/>
        <v>32759.594882148082</v>
      </c>
      <c r="J26" s="26">
        <f t="shared" si="5"/>
        <v>0.12813831383839849</v>
      </c>
      <c r="L26" s="22">
        <f t="shared" si="11"/>
        <v>42626.254059253959</v>
      </c>
      <c r="M26" s="5">
        <f>scrimecost*Meta!O23</f>
        <v>3463.71</v>
      </c>
      <c r="N26" s="5">
        <f>L26-Grade10!L26</f>
        <v>416.51122273867804</v>
      </c>
      <c r="O26" s="5">
        <f>Grade10!M26-M26</f>
        <v>71.117999999999938</v>
      </c>
      <c r="P26" s="22">
        <f t="shared" si="12"/>
        <v>96.128450563200019</v>
      </c>
      <c r="Q26" s="22"/>
      <c r="R26" s="22"/>
      <c r="S26" s="22">
        <f t="shared" si="6"/>
        <v>413.70574761047197</v>
      </c>
      <c r="T26" s="22">
        <f t="shared" si="7"/>
        <v>529.87625788776631</v>
      </c>
    </row>
    <row r="27" spans="1:20" x14ac:dyDescent="0.2">
      <c r="A27" s="5">
        <v>36</v>
      </c>
      <c r="B27" s="1">
        <f t="shared" si="8"/>
        <v>1.5986501856491666</v>
      </c>
      <c r="C27" s="5">
        <f t="shared" si="9"/>
        <v>28517.926766184861</v>
      </c>
      <c r="D27" s="5">
        <f t="shared" si="0"/>
        <v>27549.082258720999</v>
      </c>
      <c r="E27" s="5">
        <f t="shared" si="1"/>
        <v>18049.082258720999</v>
      </c>
      <c r="F27" s="5">
        <f t="shared" si="2"/>
        <v>6194.7753574724065</v>
      </c>
      <c r="G27" s="5">
        <f t="shared" si="3"/>
        <v>21354.306901248594</v>
      </c>
      <c r="H27" s="22">
        <f t="shared" si="10"/>
        <v>13118.462678868311</v>
      </c>
      <c r="I27" s="5">
        <f t="shared" si="4"/>
        <v>33488.884879201782</v>
      </c>
      <c r="J27" s="26">
        <f t="shared" si="5"/>
        <v>0.13046735435152493</v>
      </c>
      <c r="L27" s="22">
        <f t="shared" si="11"/>
        <v>43691.910410735312</v>
      </c>
      <c r="M27" s="5">
        <f>scrimecost*Meta!O24</f>
        <v>3463.71</v>
      </c>
      <c r="N27" s="5">
        <f>L27-Grade10!L27</f>
        <v>426.92400330715463</v>
      </c>
      <c r="O27" s="5">
        <f>Grade10!M27-M27</f>
        <v>71.117999999999938</v>
      </c>
      <c r="P27" s="22">
        <f t="shared" si="12"/>
        <v>98.03494366281997</v>
      </c>
      <c r="Q27" s="22"/>
      <c r="R27" s="22"/>
      <c r="S27" s="22">
        <f t="shared" si="6"/>
        <v>421.90792855798276</v>
      </c>
      <c r="T27" s="22">
        <f t="shared" si="7"/>
        <v>547.46654838439008</v>
      </c>
    </row>
    <row r="28" spans="1:20" x14ac:dyDescent="0.2">
      <c r="A28" s="5">
        <v>37</v>
      </c>
      <c r="B28" s="1">
        <f t="shared" si="8"/>
        <v>1.6386164402903955</v>
      </c>
      <c r="C28" s="5">
        <f t="shared" si="9"/>
        <v>29230.874935339478</v>
      </c>
      <c r="D28" s="5">
        <f t="shared" si="0"/>
        <v>28208.559315189017</v>
      </c>
      <c r="E28" s="5">
        <f t="shared" si="1"/>
        <v>18708.559315189017</v>
      </c>
      <c r="F28" s="5">
        <f t="shared" si="2"/>
        <v>6410.0946164092138</v>
      </c>
      <c r="G28" s="5">
        <f t="shared" si="3"/>
        <v>21798.464698779804</v>
      </c>
      <c r="H28" s="22">
        <f t="shared" si="10"/>
        <v>13446.424245840017</v>
      </c>
      <c r="I28" s="5">
        <f t="shared" si="4"/>
        <v>34236.407126181817</v>
      </c>
      <c r="J28" s="26">
        <f t="shared" si="5"/>
        <v>0.13273958899847749</v>
      </c>
      <c r="L28" s="22">
        <f t="shared" si="11"/>
        <v>44784.208171003687</v>
      </c>
      <c r="M28" s="5">
        <f>scrimecost*Meta!O25</f>
        <v>3463.71</v>
      </c>
      <c r="N28" s="5">
        <f>L28-Grade10!L28</f>
        <v>437.59710338983132</v>
      </c>
      <c r="O28" s="5">
        <f>Grade10!M28-M28</f>
        <v>71.117999999999938</v>
      </c>
      <c r="P28" s="22">
        <f t="shared" si="12"/>
        <v>99.989099089930392</v>
      </c>
      <c r="Q28" s="22"/>
      <c r="R28" s="22"/>
      <c r="S28" s="22">
        <f t="shared" si="6"/>
        <v>430.31516402917407</v>
      </c>
      <c r="T28" s="22">
        <f t="shared" si="7"/>
        <v>565.69657156975541</v>
      </c>
    </row>
    <row r="29" spans="1:20" x14ac:dyDescent="0.2">
      <c r="A29" s="5">
        <v>38</v>
      </c>
      <c r="B29" s="1">
        <f t="shared" si="8"/>
        <v>1.6795818512976552</v>
      </c>
      <c r="C29" s="5">
        <f t="shared" si="9"/>
        <v>29961.646808722962</v>
      </c>
      <c r="D29" s="5">
        <f t="shared" si="0"/>
        <v>28884.52329806874</v>
      </c>
      <c r="E29" s="5">
        <f t="shared" si="1"/>
        <v>19384.52329806874</v>
      </c>
      <c r="F29" s="5">
        <f t="shared" si="2"/>
        <v>6630.7968568194428</v>
      </c>
      <c r="G29" s="5">
        <f t="shared" si="3"/>
        <v>22253.726441249295</v>
      </c>
      <c r="H29" s="22">
        <f t="shared" si="10"/>
        <v>13782.584851986017</v>
      </c>
      <c r="I29" s="5">
        <f t="shared" si="4"/>
        <v>35002.617429336358</v>
      </c>
      <c r="J29" s="26">
        <f t="shared" si="5"/>
        <v>0.13495640328818731</v>
      </c>
      <c r="L29" s="22">
        <f t="shared" si="11"/>
        <v>45903.813375278776</v>
      </c>
      <c r="M29" s="5">
        <f>scrimecost*Meta!O26</f>
        <v>3463.71</v>
      </c>
      <c r="N29" s="5">
        <f>L29-Grade10!L29</f>
        <v>448.53703097457037</v>
      </c>
      <c r="O29" s="5">
        <f>Grade10!M29-M29</f>
        <v>71.117999999999938</v>
      </c>
      <c r="P29" s="22">
        <f t="shared" si="12"/>
        <v>101.99210840271856</v>
      </c>
      <c r="Q29" s="22"/>
      <c r="R29" s="22"/>
      <c r="S29" s="22">
        <f t="shared" si="6"/>
        <v>438.93258038714231</v>
      </c>
      <c r="T29" s="22">
        <f t="shared" si="7"/>
        <v>584.59044049569809</v>
      </c>
    </row>
    <row r="30" spans="1:20" x14ac:dyDescent="0.2">
      <c r="A30" s="5">
        <v>39</v>
      </c>
      <c r="B30" s="1">
        <f t="shared" si="8"/>
        <v>1.7215713975800966</v>
      </c>
      <c r="C30" s="5">
        <f t="shared" si="9"/>
        <v>30710.687978941034</v>
      </c>
      <c r="D30" s="5">
        <f t="shared" si="0"/>
        <v>29577.386380520456</v>
      </c>
      <c r="E30" s="5">
        <f t="shared" si="1"/>
        <v>20077.386380520456</v>
      </c>
      <c r="F30" s="5">
        <f t="shared" si="2"/>
        <v>6857.0166532399289</v>
      </c>
      <c r="G30" s="5">
        <f t="shared" si="3"/>
        <v>22720.369727280529</v>
      </c>
      <c r="H30" s="22">
        <f t="shared" si="10"/>
        <v>14127.149473285666</v>
      </c>
      <c r="I30" s="5">
        <f t="shared" si="4"/>
        <v>35787.982990069773</v>
      </c>
      <c r="J30" s="26">
        <f t="shared" si="5"/>
        <v>0.13711914893668475</v>
      </c>
      <c r="L30" s="22">
        <f t="shared" si="11"/>
        <v>47051.40870966074</v>
      </c>
      <c r="M30" s="5">
        <f>scrimecost*Meta!O27</f>
        <v>3463.71</v>
      </c>
      <c r="N30" s="5">
        <f>L30-Grade10!L30</f>
        <v>459.75045674893045</v>
      </c>
      <c r="O30" s="5">
        <f>Grade10!M30-M30</f>
        <v>71.117999999999938</v>
      </c>
      <c r="P30" s="22">
        <f t="shared" si="12"/>
        <v>104.04519294832647</v>
      </c>
      <c r="Q30" s="22"/>
      <c r="R30" s="22"/>
      <c r="S30" s="22">
        <f t="shared" si="6"/>
        <v>447.76543215406139</v>
      </c>
      <c r="T30" s="22">
        <f t="shared" si="7"/>
        <v>604.17318882856546</v>
      </c>
    </row>
    <row r="31" spans="1:20" x14ac:dyDescent="0.2">
      <c r="A31" s="5">
        <v>40</v>
      </c>
      <c r="B31" s="1">
        <f t="shared" si="8"/>
        <v>1.7646106825195991</v>
      </c>
      <c r="C31" s="5">
        <f t="shared" si="9"/>
        <v>31478.455178414562</v>
      </c>
      <c r="D31" s="5">
        <f t="shared" si="0"/>
        <v>30287.571040033472</v>
      </c>
      <c r="E31" s="5">
        <f t="shared" si="1"/>
        <v>20787.571040033472</v>
      </c>
      <c r="F31" s="5">
        <f t="shared" si="2"/>
        <v>7088.8919445709289</v>
      </c>
      <c r="G31" s="5">
        <f t="shared" si="3"/>
        <v>23198.679095462543</v>
      </c>
      <c r="H31" s="22">
        <f t="shared" si="10"/>
        <v>14480.328210117807</v>
      </c>
      <c r="I31" s="5">
        <f t="shared" si="4"/>
        <v>36592.982689821511</v>
      </c>
      <c r="J31" s="26">
        <f t="shared" si="5"/>
        <v>0.13922914469131639</v>
      </c>
      <c r="L31" s="22">
        <f t="shared" si="11"/>
        <v>48227.693927402266</v>
      </c>
      <c r="M31" s="5">
        <f>scrimecost*Meta!O28</f>
        <v>3029.7599999999998</v>
      </c>
      <c r="N31" s="5">
        <f>L31-Grade10!L31</f>
        <v>471.24421816765971</v>
      </c>
      <c r="O31" s="5">
        <f>Grade10!M31-M31</f>
        <v>62.208000000000084</v>
      </c>
      <c r="P31" s="22">
        <f t="shared" si="12"/>
        <v>106.14960460757459</v>
      </c>
      <c r="Q31" s="22"/>
      <c r="R31" s="22"/>
      <c r="S31" s="22">
        <f t="shared" si="6"/>
        <v>448.43479521515985</v>
      </c>
      <c r="T31" s="22">
        <f t="shared" si="7"/>
        <v>613.0094710985926</v>
      </c>
    </row>
    <row r="32" spans="1:20" x14ac:dyDescent="0.2">
      <c r="A32" s="5">
        <v>41</v>
      </c>
      <c r="B32" s="1">
        <f t="shared" si="8"/>
        <v>1.8087259495825889</v>
      </c>
      <c r="C32" s="5">
        <f t="shared" si="9"/>
        <v>32265.416557874923</v>
      </c>
      <c r="D32" s="5">
        <f t="shared" si="0"/>
        <v>31015.510316034306</v>
      </c>
      <c r="E32" s="5">
        <f t="shared" si="1"/>
        <v>21515.510316034306</v>
      </c>
      <c r="F32" s="5">
        <f t="shared" si="2"/>
        <v>7326.5641181852006</v>
      </c>
      <c r="G32" s="5">
        <f t="shared" si="3"/>
        <v>23688.946197849105</v>
      </c>
      <c r="H32" s="22">
        <f t="shared" si="10"/>
        <v>14842.336415370752</v>
      </c>
      <c r="I32" s="5">
        <f t="shared" si="4"/>
        <v>37418.10738206705</v>
      </c>
      <c r="J32" s="26">
        <f t="shared" si="5"/>
        <v>0.1412876771348594</v>
      </c>
      <c r="L32" s="22">
        <f t="shared" si="11"/>
        <v>49433.38627558732</v>
      </c>
      <c r="M32" s="5">
        <f>scrimecost*Meta!O29</f>
        <v>3029.7599999999998</v>
      </c>
      <c r="N32" s="5">
        <f>L32-Grade10!L32</f>
        <v>483.02532362185593</v>
      </c>
      <c r="O32" s="5">
        <f>Grade10!M32-M32</f>
        <v>62.208000000000084</v>
      </c>
      <c r="P32" s="22">
        <f t="shared" si="12"/>
        <v>108.30662655830388</v>
      </c>
      <c r="Q32" s="22"/>
      <c r="R32" s="22"/>
      <c r="S32" s="22">
        <f t="shared" si="6"/>
        <v>457.71481010278484</v>
      </c>
      <c r="T32" s="22">
        <f t="shared" si="7"/>
        <v>633.89867097590354</v>
      </c>
    </row>
    <row r="33" spans="1:20" x14ac:dyDescent="0.2">
      <c r="A33" s="5">
        <v>42</v>
      </c>
      <c r="B33" s="1">
        <f t="shared" si="8"/>
        <v>1.8539440983221533</v>
      </c>
      <c r="C33" s="5">
        <f t="shared" si="9"/>
        <v>33072.051971821791</v>
      </c>
      <c r="D33" s="5">
        <f t="shared" si="0"/>
        <v>31761.648073935157</v>
      </c>
      <c r="E33" s="5">
        <f t="shared" si="1"/>
        <v>22261.648073935157</v>
      </c>
      <c r="F33" s="5">
        <f t="shared" si="2"/>
        <v>7570.178096139829</v>
      </c>
      <c r="G33" s="5">
        <f t="shared" si="3"/>
        <v>24191.469977795328</v>
      </c>
      <c r="H33" s="22">
        <f t="shared" si="10"/>
        <v>15213.39482575502</v>
      </c>
      <c r="I33" s="5">
        <f t="shared" si="4"/>
        <v>38263.860191618718</v>
      </c>
      <c r="J33" s="26">
        <f t="shared" si="5"/>
        <v>0.14329600147002336</v>
      </c>
      <c r="L33" s="22">
        <f t="shared" si="11"/>
        <v>50669.220932476994</v>
      </c>
      <c r="M33" s="5">
        <f>scrimecost*Meta!O30</f>
        <v>3029.7599999999998</v>
      </c>
      <c r="N33" s="5">
        <f>L33-Grade10!L33</f>
        <v>495.10095671239833</v>
      </c>
      <c r="O33" s="5">
        <f>Grade10!M33-M33</f>
        <v>62.208000000000084</v>
      </c>
      <c r="P33" s="22">
        <f t="shared" si="12"/>
        <v>110.51757405780138</v>
      </c>
      <c r="Q33" s="22"/>
      <c r="R33" s="22"/>
      <c r="S33" s="22">
        <f t="shared" si="6"/>
        <v>467.22682536259504</v>
      </c>
      <c r="T33" s="22">
        <f t="shared" si="7"/>
        <v>655.55576467063531</v>
      </c>
    </row>
    <row r="34" spans="1:20" x14ac:dyDescent="0.2">
      <c r="A34" s="5">
        <v>43</v>
      </c>
      <c r="B34" s="1">
        <f t="shared" si="8"/>
        <v>1.9002927007802071</v>
      </c>
      <c r="C34" s="5">
        <f t="shared" si="9"/>
        <v>33898.853271117332</v>
      </c>
      <c r="D34" s="5">
        <f t="shared" si="0"/>
        <v>32526.439275783534</v>
      </c>
      <c r="E34" s="5">
        <f t="shared" si="1"/>
        <v>23026.439275783534</v>
      </c>
      <c r="F34" s="5">
        <f t="shared" si="2"/>
        <v>7819.882423543324</v>
      </c>
      <c r="G34" s="5">
        <f t="shared" si="3"/>
        <v>24706.55685224021</v>
      </c>
      <c r="H34" s="22">
        <f t="shared" si="10"/>
        <v>15593.729696398894</v>
      </c>
      <c r="I34" s="5">
        <f t="shared" si="4"/>
        <v>39130.756821409188</v>
      </c>
      <c r="J34" s="26">
        <f t="shared" si="5"/>
        <v>0.14525534228481746</v>
      </c>
      <c r="L34" s="22">
        <f t="shared" si="11"/>
        <v>51935.95145578892</v>
      </c>
      <c r="M34" s="5">
        <f>scrimecost*Meta!O31</f>
        <v>3029.7599999999998</v>
      </c>
      <c r="N34" s="5">
        <f>L34-Grade10!L34</f>
        <v>507.47848063021229</v>
      </c>
      <c r="O34" s="5">
        <f>Grade10!M34-M34</f>
        <v>62.208000000000084</v>
      </c>
      <c r="P34" s="22">
        <f t="shared" si="12"/>
        <v>112.78379524478636</v>
      </c>
      <c r="Q34" s="22"/>
      <c r="R34" s="22"/>
      <c r="S34" s="22">
        <f t="shared" si="6"/>
        <v>476.97664100390551</v>
      </c>
      <c r="T34" s="22">
        <f t="shared" si="7"/>
        <v>678.00980935067946</v>
      </c>
    </row>
    <row r="35" spans="1:20" x14ac:dyDescent="0.2">
      <c r="A35" s="5">
        <v>44</v>
      </c>
      <c r="B35" s="1">
        <f t="shared" si="8"/>
        <v>1.9478000182997122</v>
      </c>
      <c r="C35" s="5">
        <f t="shared" si="9"/>
        <v>34746.324602895271</v>
      </c>
      <c r="D35" s="5">
        <f t="shared" si="0"/>
        <v>33310.350257678132</v>
      </c>
      <c r="E35" s="5">
        <f t="shared" si="1"/>
        <v>23810.350257678132</v>
      </c>
      <c r="F35" s="5">
        <f t="shared" si="2"/>
        <v>8075.8293591319107</v>
      </c>
      <c r="G35" s="5">
        <f t="shared" si="3"/>
        <v>25234.520898546223</v>
      </c>
      <c r="H35" s="22">
        <f t="shared" si="10"/>
        <v>15983.572938808866</v>
      </c>
      <c r="I35" s="5">
        <f t="shared" si="4"/>
        <v>40019.325866944426</v>
      </c>
      <c r="J35" s="26">
        <f t="shared" si="5"/>
        <v>0.14716689429925078</v>
      </c>
      <c r="L35" s="22">
        <f t="shared" si="11"/>
        <v>53234.350242183631</v>
      </c>
      <c r="M35" s="5">
        <f>scrimecost*Meta!O32</f>
        <v>3029.7599999999998</v>
      </c>
      <c r="N35" s="5">
        <f>L35-Grade10!L35</f>
        <v>520.1654426459645</v>
      </c>
      <c r="O35" s="5">
        <f>Grade10!M35-M35</f>
        <v>62.208000000000084</v>
      </c>
      <c r="P35" s="22">
        <f t="shared" si="12"/>
        <v>115.10667196144597</v>
      </c>
      <c r="Q35" s="22"/>
      <c r="R35" s="22"/>
      <c r="S35" s="22">
        <f t="shared" si="6"/>
        <v>486.97020203624436</v>
      </c>
      <c r="T35" s="22">
        <f t="shared" si="7"/>
        <v>701.29097307673612</v>
      </c>
    </row>
    <row r="36" spans="1:20" x14ac:dyDescent="0.2">
      <c r="A36" s="5">
        <v>45</v>
      </c>
      <c r="B36" s="1">
        <f t="shared" si="8"/>
        <v>1.9964950187572048</v>
      </c>
      <c r="C36" s="5">
        <f t="shared" si="9"/>
        <v>35614.982717967643</v>
      </c>
      <c r="D36" s="5">
        <f t="shared" si="0"/>
        <v>34113.859014120069</v>
      </c>
      <c r="E36" s="5">
        <f t="shared" si="1"/>
        <v>24613.859014120069</v>
      </c>
      <c r="F36" s="5">
        <f t="shared" si="2"/>
        <v>8338.1749681102028</v>
      </c>
      <c r="G36" s="5">
        <f t="shared" si="3"/>
        <v>25775.684046009868</v>
      </c>
      <c r="H36" s="22">
        <f t="shared" si="10"/>
        <v>16383.162262279084</v>
      </c>
      <c r="I36" s="5">
        <f t="shared" si="4"/>
        <v>40930.10913861802</v>
      </c>
      <c r="J36" s="26">
        <f t="shared" si="5"/>
        <v>0.14903182309381977</v>
      </c>
      <c r="L36" s="22">
        <f t="shared" si="11"/>
        <v>54565.208998238217</v>
      </c>
      <c r="M36" s="5">
        <f>scrimecost*Meta!O33</f>
        <v>2448.5300000000002</v>
      </c>
      <c r="N36" s="5">
        <f>L36-Grade10!L36</f>
        <v>533.16957871209888</v>
      </c>
      <c r="O36" s="5">
        <f>Grade10!M36-M36</f>
        <v>50.273999999999887</v>
      </c>
      <c r="P36" s="22">
        <f t="shared" si="12"/>
        <v>117.48762059602203</v>
      </c>
      <c r="Q36" s="22"/>
      <c r="R36" s="22"/>
      <c r="S36" s="22">
        <f t="shared" si="6"/>
        <v>485.98370809438416</v>
      </c>
      <c r="T36" s="22">
        <f t="shared" si="7"/>
        <v>709.04625395774008</v>
      </c>
    </row>
    <row r="37" spans="1:20" x14ac:dyDescent="0.2">
      <c r="A37" s="5">
        <v>46</v>
      </c>
      <c r="B37" s="1">
        <f t="shared" ref="B37:B56" si="13">(1+experiencepremium)^(A37-startage)</f>
        <v>2.0464073942261352</v>
      </c>
      <c r="C37" s="5">
        <f t="shared" ref="C37:C56" si="14">pretaxincome*B37/expnorm</f>
        <v>36505.357285916842</v>
      </c>
      <c r="D37" s="5">
        <f t="shared" ref="D37:D56" si="15">IF(A37&lt;startage,1,0)*(C37*(1-initialunempprob))+IF(A37=startage,1,0)*(C37*(1-unempprob))+IF(A37&gt;startage,1,0)*(C37*(1-unempprob)+unempprob*300*52)</f>
        <v>34937.455489473083</v>
      </c>
      <c r="E37" s="5">
        <f t="shared" si="1"/>
        <v>25437.455489473083</v>
      </c>
      <c r="F37" s="5">
        <f t="shared" si="2"/>
        <v>8607.0792173129612</v>
      </c>
      <c r="G37" s="5">
        <f t="shared" si="3"/>
        <v>26330.376272160123</v>
      </c>
      <c r="H37" s="22">
        <f t="shared" ref="H37:H56" si="16">benefits*B37/expnorm</f>
        <v>16792.741318836066</v>
      </c>
      <c r="I37" s="5">
        <f t="shared" ref="I37:I56" si="17">G37+IF(A37&lt;startage,1,0)*(H37*(1-initialunempprob))+IF(A37&gt;=startage,1,0)*(H37*(1-unempprob))</f>
        <v>41863.661992083486</v>
      </c>
      <c r="J37" s="26">
        <f t="shared" si="5"/>
        <v>0.15085126582022859</v>
      </c>
      <c r="L37" s="22">
        <f t="shared" ref="L37:L56" si="18">(sincome+sbenefits)*(1-sunemp)*B37/expnorm</f>
        <v>55929.339223194183</v>
      </c>
      <c r="M37" s="5">
        <f>scrimecost*Meta!O34</f>
        <v>2448.5300000000002</v>
      </c>
      <c r="N37" s="5">
        <f>L37-Grade10!L37</f>
        <v>546.49881817992718</v>
      </c>
      <c r="O37" s="5">
        <f>Grade10!M37-M37</f>
        <v>50.273999999999887</v>
      </c>
      <c r="P37" s="22">
        <f t="shared" si="12"/>
        <v>119.92809294646253</v>
      </c>
      <c r="Q37" s="22"/>
      <c r="R37" s="22"/>
      <c r="S37" s="22">
        <f t="shared" si="6"/>
        <v>496.48319315400289</v>
      </c>
      <c r="T37" s="22">
        <f t="shared" si="7"/>
        <v>733.86200477913269</v>
      </c>
    </row>
    <row r="38" spans="1:20" x14ac:dyDescent="0.2">
      <c r="A38" s="5">
        <v>47</v>
      </c>
      <c r="B38" s="1">
        <f t="shared" si="13"/>
        <v>2.097567579081788</v>
      </c>
      <c r="C38" s="5">
        <f t="shared" si="14"/>
        <v>37417.991218064752</v>
      </c>
      <c r="D38" s="5">
        <f t="shared" si="15"/>
        <v>35781.641876709895</v>
      </c>
      <c r="E38" s="5">
        <f t="shared" si="1"/>
        <v>26281.641876709895</v>
      </c>
      <c r="F38" s="5">
        <f t="shared" si="2"/>
        <v>8882.7060727457811</v>
      </c>
      <c r="G38" s="5">
        <f t="shared" si="3"/>
        <v>26898.935803964116</v>
      </c>
      <c r="H38" s="22">
        <f t="shared" si="16"/>
        <v>17212.559851806964</v>
      </c>
      <c r="I38" s="5">
        <f t="shared" si="17"/>
        <v>42820.553666885557</v>
      </c>
      <c r="J38" s="26">
        <f t="shared" si="5"/>
        <v>0.15262633189477376</v>
      </c>
      <c r="L38" s="22">
        <f t="shared" si="18"/>
        <v>57327.572703774022</v>
      </c>
      <c r="M38" s="5">
        <f>scrimecost*Meta!O35</f>
        <v>2448.5300000000002</v>
      </c>
      <c r="N38" s="5">
        <f>L38-Grade10!L38</f>
        <v>560.16128863439371</v>
      </c>
      <c r="O38" s="5">
        <f>Grade10!M38-M38</f>
        <v>50.273999999999887</v>
      </c>
      <c r="P38" s="22">
        <f t="shared" si="12"/>
        <v>122.42957710566399</v>
      </c>
      <c r="Q38" s="22"/>
      <c r="R38" s="22"/>
      <c r="S38" s="22">
        <f t="shared" si="6"/>
        <v>507.24516534007643</v>
      </c>
      <c r="T38" s="22">
        <f t="shared" si="7"/>
        <v>759.59966225574158</v>
      </c>
    </row>
    <row r="39" spans="1:20" x14ac:dyDescent="0.2">
      <c r="A39" s="5">
        <v>48</v>
      </c>
      <c r="B39" s="1">
        <f t="shared" si="13"/>
        <v>2.1500067685588333</v>
      </c>
      <c r="C39" s="5">
        <f t="shared" si="14"/>
        <v>38353.44099851638</v>
      </c>
      <c r="D39" s="5">
        <f t="shared" si="15"/>
        <v>36646.932923627654</v>
      </c>
      <c r="E39" s="5">
        <f t="shared" si="1"/>
        <v>27146.932923627654</v>
      </c>
      <c r="F39" s="5">
        <f t="shared" si="2"/>
        <v>9165.2235995644296</v>
      </c>
      <c r="G39" s="5">
        <f t="shared" si="3"/>
        <v>27481.709324063224</v>
      </c>
      <c r="H39" s="22">
        <f t="shared" si="16"/>
        <v>17642.873848102143</v>
      </c>
      <c r="I39" s="5">
        <f t="shared" si="17"/>
        <v>43801.367633557704</v>
      </c>
      <c r="J39" s="26">
        <f t="shared" ref="J39:J56" si="19">(F39-(IF(A39&gt;startage,1,0)*(unempprob*300*52)))/(IF(A39&lt;startage,1,0)*((C39+H39)*(1-initialunempprob))+IF(A39&gt;=startage,1,0)*((C39+H39)*(1-unempprob)))</f>
        <v>0.15435810367481789</v>
      </c>
      <c r="L39" s="22">
        <f t="shared" si="18"/>
        <v>58760.762021368391</v>
      </c>
      <c r="M39" s="5">
        <f>scrimecost*Meta!O36</f>
        <v>2448.5300000000002</v>
      </c>
      <c r="N39" s="5">
        <f>L39-Grade10!L39</f>
        <v>574.1653208502903</v>
      </c>
      <c r="O39" s="5">
        <f>Grade10!M39-M39</f>
        <v>50.273999999999887</v>
      </c>
      <c r="P39" s="22">
        <f t="shared" si="12"/>
        <v>124.99359836884558</v>
      </c>
      <c r="Q39" s="22"/>
      <c r="R39" s="22"/>
      <c r="S39" s="22">
        <f t="shared" ref="S39:S69" si="20">IF(A39&lt;startage,1,0)*(N39-Q39-R39)+IF(A39&gt;=startage,1,0)*completionprob*(N39*spart+O39+P39)</f>
        <v>518.27618683084415</v>
      </c>
      <c r="T39" s="22">
        <f t="shared" ref="T39:T69" si="21">S39/sreturn^(A39-startage+1)</f>
        <v>786.29424400673861</v>
      </c>
    </row>
    <row r="40" spans="1:20" x14ac:dyDescent="0.2">
      <c r="A40" s="5">
        <v>49</v>
      </c>
      <c r="B40" s="1">
        <f t="shared" si="13"/>
        <v>2.2037569377728037</v>
      </c>
      <c r="C40" s="5">
        <f t="shared" si="14"/>
        <v>39312.277023479284</v>
      </c>
      <c r="D40" s="5">
        <f t="shared" si="15"/>
        <v>37533.856246718336</v>
      </c>
      <c r="E40" s="5">
        <f t="shared" si="1"/>
        <v>28033.856246718336</v>
      </c>
      <c r="F40" s="5">
        <f t="shared" si="2"/>
        <v>9454.8040645535366</v>
      </c>
      <c r="G40" s="5">
        <f t="shared" si="3"/>
        <v>28079.0521821648</v>
      </c>
      <c r="H40" s="22">
        <f t="shared" si="16"/>
        <v>18083.94569430469</v>
      </c>
      <c r="I40" s="5">
        <f t="shared" si="17"/>
        <v>44806.701949396636</v>
      </c>
      <c r="J40" s="26">
        <f t="shared" si="19"/>
        <v>0.15604763711876329</v>
      </c>
      <c r="L40" s="22">
        <f t="shared" si="18"/>
        <v>60229.781071902587</v>
      </c>
      <c r="M40" s="5">
        <f>scrimecost*Meta!O37</f>
        <v>2448.5300000000002</v>
      </c>
      <c r="N40" s="5">
        <f>L40-Grade10!L40</f>
        <v>588.51945387152955</v>
      </c>
      <c r="O40" s="5">
        <f>Grade10!M40-M40</f>
        <v>50.273999999999887</v>
      </c>
      <c r="P40" s="22">
        <f t="shared" ref="P40:P56" si="22">(spart-initialspart)*(L40*J40+nptrans)</f>
        <v>127.62172016360661</v>
      </c>
      <c r="Q40" s="22"/>
      <c r="R40" s="22"/>
      <c r="S40" s="22">
        <f t="shared" si="20"/>
        <v>529.58298385884723</v>
      </c>
      <c r="T40" s="22">
        <f t="shared" si="21"/>
        <v>813.98210818551013</v>
      </c>
    </row>
    <row r="41" spans="1:20" x14ac:dyDescent="0.2">
      <c r="A41" s="5">
        <v>50</v>
      </c>
      <c r="B41" s="1">
        <f t="shared" si="13"/>
        <v>2.2588508612171236</v>
      </c>
      <c r="C41" s="5">
        <f t="shared" si="14"/>
        <v>40295.083949066262</v>
      </c>
      <c r="D41" s="5">
        <f t="shared" si="15"/>
        <v>38442.952652886292</v>
      </c>
      <c r="E41" s="5">
        <f t="shared" si="1"/>
        <v>28942.952652886292</v>
      </c>
      <c r="F41" s="5">
        <f t="shared" si="2"/>
        <v>9751.6240411673753</v>
      </c>
      <c r="G41" s="5">
        <f t="shared" si="3"/>
        <v>28691.328611718916</v>
      </c>
      <c r="H41" s="22">
        <f t="shared" si="16"/>
        <v>18536.044336662304</v>
      </c>
      <c r="I41" s="5">
        <f t="shared" si="17"/>
        <v>45837.169623131544</v>
      </c>
      <c r="J41" s="26">
        <f t="shared" si="19"/>
        <v>0.15769596242992961</v>
      </c>
      <c r="L41" s="22">
        <f t="shared" si="18"/>
        <v>61735.525598700151</v>
      </c>
      <c r="M41" s="5">
        <f>scrimecost*Meta!O38</f>
        <v>1635.86</v>
      </c>
      <c r="N41" s="5">
        <f>L41-Grade10!L41</f>
        <v>603.23244021832215</v>
      </c>
      <c r="O41" s="5">
        <f>Grade10!M41-M41</f>
        <v>33.588000000000193</v>
      </c>
      <c r="P41" s="22">
        <f t="shared" si="22"/>
        <v>130.31554500323674</v>
      </c>
      <c r="Q41" s="22"/>
      <c r="R41" s="22"/>
      <c r="S41" s="22">
        <f t="shared" si="20"/>
        <v>525.47092481256448</v>
      </c>
      <c r="T41" s="22">
        <f t="shared" si="21"/>
        <v>818.25095815487191</v>
      </c>
    </row>
    <row r="42" spans="1:20" x14ac:dyDescent="0.2">
      <c r="A42" s="5">
        <v>51</v>
      </c>
      <c r="B42" s="1">
        <f t="shared" si="13"/>
        <v>2.3153221327475517</v>
      </c>
      <c r="C42" s="5">
        <f t="shared" si="14"/>
        <v>41302.461047792924</v>
      </c>
      <c r="D42" s="5">
        <f t="shared" si="15"/>
        <v>39374.776469208453</v>
      </c>
      <c r="E42" s="5">
        <f t="shared" si="1"/>
        <v>29874.776469208453</v>
      </c>
      <c r="F42" s="5">
        <f t="shared" si="2"/>
        <v>10055.86451719656</v>
      </c>
      <c r="G42" s="5">
        <f t="shared" si="3"/>
        <v>29318.911952011891</v>
      </c>
      <c r="H42" s="22">
        <f t="shared" si="16"/>
        <v>18999.445445078865</v>
      </c>
      <c r="I42" s="5">
        <f t="shared" si="17"/>
        <v>46893.398988709843</v>
      </c>
      <c r="J42" s="26">
        <f t="shared" si="19"/>
        <v>0.15930408468472598</v>
      </c>
      <c r="L42" s="22">
        <f t="shared" si="18"/>
        <v>63278.913738667652</v>
      </c>
      <c r="M42" s="5">
        <f>scrimecost*Meta!O39</f>
        <v>1635.86</v>
      </c>
      <c r="N42" s="5">
        <f>L42-Grade10!L42</f>
        <v>618.31325122377893</v>
      </c>
      <c r="O42" s="5">
        <f>Grade10!M42-M42</f>
        <v>33.588000000000193</v>
      </c>
      <c r="P42" s="22">
        <f t="shared" si="22"/>
        <v>133.07671546385757</v>
      </c>
      <c r="Q42" s="22"/>
      <c r="R42" s="22"/>
      <c r="S42" s="22">
        <f t="shared" si="20"/>
        <v>537.3501284401209</v>
      </c>
      <c r="T42" s="22">
        <f t="shared" si="21"/>
        <v>847.71952052154506</v>
      </c>
    </row>
    <row r="43" spans="1:20" x14ac:dyDescent="0.2">
      <c r="A43" s="5">
        <v>52</v>
      </c>
      <c r="B43" s="1">
        <f t="shared" si="13"/>
        <v>2.3732051860662402</v>
      </c>
      <c r="C43" s="5">
        <f t="shared" si="14"/>
        <v>42335.022573987735</v>
      </c>
      <c r="D43" s="5">
        <f t="shared" si="15"/>
        <v>40329.89588093866</v>
      </c>
      <c r="E43" s="5">
        <f t="shared" si="1"/>
        <v>30829.89588093866</v>
      </c>
      <c r="F43" s="5">
        <f t="shared" si="2"/>
        <v>10367.711005126472</v>
      </c>
      <c r="G43" s="5">
        <f t="shared" si="3"/>
        <v>29962.184875812189</v>
      </c>
      <c r="H43" s="22">
        <f t="shared" si="16"/>
        <v>19474.43158120583</v>
      </c>
      <c r="I43" s="5">
        <f t="shared" si="17"/>
        <v>47976.034088427579</v>
      </c>
      <c r="J43" s="26">
        <f t="shared" si="19"/>
        <v>0.16087298444550294</v>
      </c>
      <c r="L43" s="22">
        <f t="shared" si="18"/>
        <v>64860.886582134335</v>
      </c>
      <c r="M43" s="5">
        <f>scrimecost*Meta!O40</f>
        <v>1635.86</v>
      </c>
      <c r="N43" s="5">
        <f>L43-Grade10!L43</f>
        <v>633.7710825043614</v>
      </c>
      <c r="O43" s="5">
        <f>Grade10!M43-M43</f>
        <v>33.588000000000193</v>
      </c>
      <c r="P43" s="22">
        <f t="shared" si="22"/>
        <v>135.90691518599394</v>
      </c>
      <c r="Q43" s="22"/>
      <c r="R43" s="22"/>
      <c r="S43" s="22">
        <f t="shared" si="20"/>
        <v>549.52631215835959</v>
      </c>
      <c r="T43" s="22">
        <f t="shared" si="21"/>
        <v>878.29480463865673</v>
      </c>
    </row>
    <row r="44" spans="1:20" x14ac:dyDescent="0.2">
      <c r="A44" s="5">
        <v>53</v>
      </c>
      <c r="B44" s="1">
        <f t="shared" si="13"/>
        <v>2.4325353157178964</v>
      </c>
      <c r="C44" s="5">
        <f t="shared" si="14"/>
        <v>43393.398138337434</v>
      </c>
      <c r="D44" s="5">
        <f t="shared" si="15"/>
        <v>41308.893277962132</v>
      </c>
      <c r="E44" s="5">
        <f t="shared" si="1"/>
        <v>31808.893277962132</v>
      </c>
      <c r="F44" s="5">
        <f t="shared" si="2"/>
        <v>10687.353655254636</v>
      </c>
      <c r="G44" s="5">
        <f t="shared" si="3"/>
        <v>30621.539622707496</v>
      </c>
      <c r="H44" s="22">
        <f t="shared" si="16"/>
        <v>19961.292370735981</v>
      </c>
      <c r="I44" s="5">
        <f t="shared" si="17"/>
        <v>49085.735065638277</v>
      </c>
      <c r="J44" s="26">
        <f t="shared" si="19"/>
        <v>0.1624036183584561</v>
      </c>
      <c r="L44" s="22">
        <f t="shared" si="18"/>
        <v>66482.408746687695</v>
      </c>
      <c r="M44" s="5">
        <f>scrimecost*Meta!O41</f>
        <v>1635.86</v>
      </c>
      <c r="N44" s="5">
        <f>L44-Grade10!L44</f>
        <v>649.61535956698935</v>
      </c>
      <c r="O44" s="5">
        <f>Grade10!M44-M44</f>
        <v>33.588000000000193</v>
      </c>
      <c r="P44" s="22">
        <f t="shared" si="22"/>
        <v>138.80786990118375</v>
      </c>
      <c r="Q44" s="22"/>
      <c r="R44" s="22"/>
      <c r="S44" s="22">
        <f t="shared" si="20"/>
        <v>562.00690046957322</v>
      </c>
      <c r="T44" s="22">
        <f t="shared" si="21"/>
        <v>910.0190104097386</v>
      </c>
    </row>
    <row r="45" spans="1:20" x14ac:dyDescent="0.2">
      <c r="A45" s="5">
        <v>54</v>
      </c>
      <c r="B45" s="1">
        <f t="shared" si="13"/>
        <v>2.4933486986108435</v>
      </c>
      <c r="C45" s="5">
        <f t="shared" si="14"/>
        <v>44478.233091795868</v>
      </c>
      <c r="D45" s="5">
        <f t="shared" si="15"/>
        <v>42312.365609911183</v>
      </c>
      <c r="E45" s="5">
        <f t="shared" si="1"/>
        <v>32812.365609911183</v>
      </c>
      <c r="F45" s="5">
        <f t="shared" si="2"/>
        <v>11014.987371636002</v>
      </c>
      <c r="G45" s="5">
        <f t="shared" si="3"/>
        <v>31297.378238275182</v>
      </c>
      <c r="H45" s="22">
        <f t="shared" si="16"/>
        <v>20460.324680004378</v>
      </c>
      <c r="I45" s="5">
        <f t="shared" si="17"/>
        <v>50223.178567279232</v>
      </c>
      <c r="J45" s="26">
        <f t="shared" si="19"/>
        <v>0.16389691973694698</v>
      </c>
      <c r="L45" s="22">
        <f t="shared" si="18"/>
        <v>68144.468965354885</v>
      </c>
      <c r="M45" s="5">
        <f>scrimecost*Meta!O42</f>
        <v>1635.86</v>
      </c>
      <c r="N45" s="5">
        <f>L45-Grade10!L45</f>
        <v>665.855743556167</v>
      </c>
      <c r="O45" s="5">
        <f>Grade10!M45-M45</f>
        <v>33.588000000000193</v>
      </c>
      <c r="P45" s="22">
        <f t="shared" si="22"/>
        <v>141.7813484842533</v>
      </c>
      <c r="Q45" s="22"/>
      <c r="R45" s="22"/>
      <c r="S45" s="22">
        <f t="shared" si="20"/>
        <v>574.79950348855743</v>
      </c>
      <c r="T45" s="22">
        <f t="shared" si="21"/>
        <v>942.93595537600504</v>
      </c>
    </row>
    <row r="46" spans="1:20" x14ac:dyDescent="0.2">
      <c r="A46" s="5">
        <v>55</v>
      </c>
      <c r="B46" s="1">
        <f t="shared" si="13"/>
        <v>2.555682416076114</v>
      </c>
      <c r="C46" s="5">
        <f t="shared" si="14"/>
        <v>45590.188919090746</v>
      </c>
      <c r="D46" s="5">
        <f t="shared" si="15"/>
        <v>43340.924750158942</v>
      </c>
      <c r="E46" s="5">
        <f t="shared" si="1"/>
        <v>33840.924750158942</v>
      </c>
      <c r="F46" s="5">
        <f t="shared" si="2"/>
        <v>11350.811930926895</v>
      </c>
      <c r="G46" s="5">
        <f t="shared" si="3"/>
        <v>31990.112819232047</v>
      </c>
      <c r="H46" s="22">
        <f t="shared" si="16"/>
        <v>20971.832797004481</v>
      </c>
      <c r="I46" s="5">
        <f t="shared" si="17"/>
        <v>51389.058156461193</v>
      </c>
      <c r="J46" s="26">
        <f t="shared" si="19"/>
        <v>0.16535379913059656</v>
      </c>
      <c r="L46" s="22">
        <f t="shared" si="18"/>
        <v>69848.080689488736</v>
      </c>
      <c r="M46" s="5">
        <f>scrimecost*Meta!O43</f>
        <v>907.34999999999991</v>
      </c>
      <c r="N46" s="5">
        <f>L46-Grade10!L46</f>
        <v>682.50213714504207</v>
      </c>
      <c r="O46" s="5">
        <f>Grade10!M46-M46</f>
        <v>18.629999999999995</v>
      </c>
      <c r="P46" s="22">
        <f t="shared" si="22"/>
        <v>144.8291640318995</v>
      </c>
      <c r="Q46" s="22"/>
      <c r="R46" s="22"/>
      <c r="S46" s="22">
        <f t="shared" si="20"/>
        <v>573.83644358299625</v>
      </c>
      <c r="T46" s="22">
        <f t="shared" si="21"/>
        <v>953.69813476434388</v>
      </c>
    </row>
    <row r="47" spans="1:20" x14ac:dyDescent="0.2">
      <c r="A47" s="5">
        <v>56</v>
      </c>
      <c r="B47" s="1">
        <f t="shared" si="13"/>
        <v>2.6195744764780171</v>
      </c>
      <c r="C47" s="5">
        <f t="shared" si="14"/>
        <v>46729.943642068021</v>
      </c>
      <c r="D47" s="5">
        <f t="shared" si="15"/>
        <v>44395.197868912925</v>
      </c>
      <c r="E47" s="5">
        <f t="shared" si="1"/>
        <v>34895.197868912925</v>
      </c>
      <c r="F47" s="5">
        <f t="shared" si="2"/>
        <v>11734.551891091363</v>
      </c>
      <c r="G47" s="5">
        <f t="shared" si="3"/>
        <v>32660.645977821561</v>
      </c>
      <c r="H47" s="22">
        <f t="shared" si="16"/>
        <v>21496.128616929596</v>
      </c>
      <c r="I47" s="5">
        <f t="shared" si="17"/>
        <v>52544.564948481435</v>
      </c>
      <c r="J47" s="26">
        <f t="shared" si="19"/>
        <v>0.16740135847483167</v>
      </c>
      <c r="L47" s="22">
        <f t="shared" si="18"/>
        <v>71594.282706725964</v>
      </c>
      <c r="M47" s="5">
        <f>scrimecost*Meta!O44</f>
        <v>907.34999999999991</v>
      </c>
      <c r="N47" s="5">
        <f>L47-Grade10!L47</f>
        <v>699.56469057369395</v>
      </c>
      <c r="O47" s="5">
        <f>Grade10!M47-M47</f>
        <v>18.629999999999995</v>
      </c>
      <c r="P47" s="22">
        <f t="shared" si="22"/>
        <v>148.31184147309673</v>
      </c>
      <c r="Q47" s="22"/>
      <c r="R47" s="22"/>
      <c r="S47" s="22">
        <f t="shared" si="20"/>
        <v>587.6141773109033</v>
      </c>
      <c r="T47" s="22">
        <f t="shared" si="21"/>
        <v>989.40036780828507</v>
      </c>
    </row>
    <row r="48" spans="1:20" x14ac:dyDescent="0.2">
      <c r="A48" s="5">
        <v>57</v>
      </c>
      <c r="B48" s="1">
        <f t="shared" si="13"/>
        <v>2.6850638383899672</v>
      </c>
      <c r="C48" s="5">
        <f t="shared" si="14"/>
        <v>47898.19223311972</v>
      </c>
      <c r="D48" s="5">
        <f t="shared" si="15"/>
        <v>45475.827815635741</v>
      </c>
      <c r="E48" s="5">
        <f t="shared" si="1"/>
        <v>35975.827815635741</v>
      </c>
      <c r="F48" s="5">
        <f t="shared" si="2"/>
        <v>12195.440563368644</v>
      </c>
      <c r="G48" s="5">
        <f t="shared" si="3"/>
        <v>33280.387252267101</v>
      </c>
      <c r="H48" s="22">
        <f t="shared" si="16"/>
        <v>22033.531832352834</v>
      </c>
      <c r="I48" s="5">
        <f t="shared" si="17"/>
        <v>53661.404197193471</v>
      </c>
      <c r="J48" s="26">
        <f t="shared" si="19"/>
        <v>0.17044331972256851</v>
      </c>
      <c r="L48" s="22">
        <f t="shared" si="18"/>
        <v>73384.139774394105</v>
      </c>
      <c r="M48" s="5">
        <f>scrimecost*Meta!O45</f>
        <v>907.34999999999991</v>
      </c>
      <c r="N48" s="5">
        <f>L48-Grade10!L48</f>
        <v>717.05380783801957</v>
      </c>
      <c r="O48" s="5">
        <f>Grade10!M48-M48</f>
        <v>18.629999999999995</v>
      </c>
      <c r="P48" s="22">
        <f t="shared" si="22"/>
        <v>152.49469118506184</v>
      </c>
      <c r="Q48" s="22"/>
      <c r="R48" s="22"/>
      <c r="S48" s="22">
        <f t="shared" si="20"/>
        <v>602.31328650197008</v>
      </c>
      <c r="T48" s="22">
        <f t="shared" si="21"/>
        <v>1027.4465555333579</v>
      </c>
    </row>
    <row r="49" spans="1:20" x14ac:dyDescent="0.2">
      <c r="A49" s="5">
        <v>58</v>
      </c>
      <c r="B49" s="1">
        <f t="shared" si="13"/>
        <v>2.7521904343497163</v>
      </c>
      <c r="C49" s="5">
        <f t="shared" si="14"/>
        <v>49095.647038947711</v>
      </c>
      <c r="D49" s="5">
        <f t="shared" si="15"/>
        <v>46583.473511026634</v>
      </c>
      <c r="E49" s="5">
        <f t="shared" si="1"/>
        <v>37083.473511026634</v>
      </c>
      <c r="F49" s="5">
        <f t="shared" si="2"/>
        <v>12667.85145245286</v>
      </c>
      <c r="G49" s="5">
        <f t="shared" si="3"/>
        <v>33915.622058573776</v>
      </c>
      <c r="H49" s="22">
        <f t="shared" si="16"/>
        <v>22584.370128161652</v>
      </c>
      <c r="I49" s="5">
        <f t="shared" si="17"/>
        <v>54806.164427123309</v>
      </c>
      <c r="J49" s="26">
        <f t="shared" si="19"/>
        <v>0.17341108679353134</v>
      </c>
      <c r="L49" s="22">
        <f t="shared" si="18"/>
        <v>75218.743268753955</v>
      </c>
      <c r="M49" s="5">
        <f>scrimecost*Meta!O46</f>
        <v>907.34999999999991</v>
      </c>
      <c r="N49" s="5">
        <f>L49-Grade10!L49</f>
        <v>734.98015303397551</v>
      </c>
      <c r="O49" s="5">
        <f>Grade10!M49-M49</f>
        <v>18.629999999999995</v>
      </c>
      <c r="P49" s="22">
        <f t="shared" si="22"/>
        <v>156.78211213982607</v>
      </c>
      <c r="Q49" s="22"/>
      <c r="R49" s="22"/>
      <c r="S49" s="22">
        <f t="shared" si="20"/>
        <v>617.37987342282725</v>
      </c>
      <c r="T49" s="22">
        <f t="shared" si="21"/>
        <v>1066.9553846568397</v>
      </c>
    </row>
    <row r="50" spans="1:20" x14ac:dyDescent="0.2">
      <c r="A50" s="5">
        <v>59</v>
      </c>
      <c r="B50" s="1">
        <f t="shared" si="13"/>
        <v>2.8209951952084591</v>
      </c>
      <c r="C50" s="5">
        <f t="shared" si="14"/>
        <v>50323.038214921406</v>
      </c>
      <c r="D50" s="5">
        <f t="shared" si="15"/>
        <v>47718.810348802304</v>
      </c>
      <c r="E50" s="5">
        <f t="shared" si="1"/>
        <v>38218.810348802304</v>
      </c>
      <c r="F50" s="5">
        <f t="shared" si="2"/>
        <v>13152.072613764183</v>
      </c>
      <c r="G50" s="5">
        <f t="shared" si="3"/>
        <v>34566.737735038121</v>
      </c>
      <c r="H50" s="22">
        <f t="shared" si="16"/>
        <v>23148.979381365694</v>
      </c>
      <c r="I50" s="5">
        <f t="shared" si="17"/>
        <v>55979.543662801385</v>
      </c>
      <c r="J50" s="26">
        <f t="shared" si="19"/>
        <v>0.1763064693017877</v>
      </c>
      <c r="L50" s="22">
        <f t="shared" si="18"/>
        <v>77099.211850472799</v>
      </c>
      <c r="M50" s="5">
        <f>scrimecost*Meta!O47</f>
        <v>907.34999999999991</v>
      </c>
      <c r="N50" s="5">
        <f>L50-Grade10!L50</f>
        <v>753.35465685981035</v>
      </c>
      <c r="O50" s="5">
        <f>Grade10!M50-M50</f>
        <v>18.629999999999995</v>
      </c>
      <c r="P50" s="22">
        <f t="shared" si="22"/>
        <v>161.1767186184594</v>
      </c>
      <c r="Q50" s="22"/>
      <c r="R50" s="22"/>
      <c r="S50" s="22">
        <f t="shared" si="20"/>
        <v>632.82312501669355</v>
      </c>
      <c r="T50" s="22">
        <f t="shared" si="21"/>
        <v>1107.9830797644186</v>
      </c>
    </row>
    <row r="51" spans="1:20" x14ac:dyDescent="0.2">
      <c r="A51" s="5">
        <v>60</v>
      </c>
      <c r="B51" s="1">
        <f t="shared" si="13"/>
        <v>2.8915200750886707</v>
      </c>
      <c r="C51" s="5">
        <f t="shared" si="14"/>
        <v>51581.114170294437</v>
      </c>
      <c r="D51" s="5">
        <f t="shared" si="15"/>
        <v>48882.530607522356</v>
      </c>
      <c r="E51" s="5">
        <f t="shared" si="1"/>
        <v>39382.530607522356</v>
      </c>
      <c r="F51" s="5">
        <f t="shared" si="2"/>
        <v>13648.399304108287</v>
      </c>
      <c r="G51" s="5">
        <f t="shared" si="3"/>
        <v>35234.131303414069</v>
      </c>
      <c r="H51" s="22">
        <f t="shared" si="16"/>
        <v>23727.703865899835</v>
      </c>
      <c r="I51" s="5">
        <f t="shared" si="17"/>
        <v>57182.257379371418</v>
      </c>
      <c r="J51" s="26">
        <f t="shared" si="19"/>
        <v>0.17913123272447684</v>
      </c>
      <c r="L51" s="22">
        <f t="shared" si="18"/>
        <v>79026.692146734626</v>
      </c>
      <c r="M51" s="5">
        <f>scrimecost*Meta!O48</f>
        <v>478.65999999999997</v>
      </c>
      <c r="N51" s="5">
        <f>L51-Grade10!L51</f>
        <v>772.18852328135108</v>
      </c>
      <c r="O51" s="5">
        <f>Grade10!M51-M51</f>
        <v>9.8280000000000314</v>
      </c>
      <c r="P51" s="22">
        <f t="shared" si="22"/>
        <v>165.68119025905858</v>
      </c>
      <c r="Q51" s="22"/>
      <c r="R51" s="22"/>
      <c r="S51" s="22">
        <f t="shared" si="20"/>
        <v>640.36977590044353</v>
      </c>
      <c r="T51" s="22">
        <f t="shared" si="21"/>
        <v>1135.8960994003771</v>
      </c>
    </row>
    <row r="52" spans="1:20" x14ac:dyDescent="0.2">
      <c r="A52" s="5">
        <v>61</v>
      </c>
      <c r="B52" s="1">
        <f t="shared" si="13"/>
        <v>2.9638080769658868</v>
      </c>
      <c r="C52" s="5">
        <f t="shared" si="14"/>
        <v>52870.642024551787</v>
      </c>
      <c r="D52" s="5">
        <f t="shared" si="15"/>
        <v>50075.343872710408</v>
      </c>
      <c r="E52" s="5">
        <f t="shared" si="1"/>
        <v>40575.343872710408</v>
      </c>
      <c r="F52" s="5">
        <f t="shared" si="2"/>
        <v>14157.134161710988</v>
      </c>
      <c r="G52" s="5">
        <f t="shared" si="3"/>
        <v>35918.209710999421</v>
      </c>
      <c r="H52" s="22">
        <f t="shared" si="16"/>
        <v>24320.896462547331</v>
      </c>
      <c r="I52" s="5">
        <f t="shared" si="17"/>
        <v>58415.038938855701</v>
      </c>
      <c r="J52" s="26">
        <f t="shared" si="19"/>
        <v>0.18188709947831988</v>
      </c>
      <c r="L52" s="22">
        <f t="shared" si="18"/>
        <v>81002.359450402961</v>
      </c>
      <c r="M52" s="5">
        <f>scrimecost*Meta!O49</f>
        <v>478.65999999999997</v>
      </c>
      <c r="N52" s="5">
        <f>L52-Grade10!L52</f>
        <v>791.49323636334157</v>
      </c>
      <c r="O52" s="5">
        <f>Grade10!M52-M52</f>
        <v>9.8280000000000314</v>
      </c>
      <c r="P52" s="22">
        <f t="shared" si="22"/>
        <v>170.29827369067269</v>
      </c>
      <c r="Q52" s="22"/>
      <c r="R52" s="22"/>
      <c r="S52" s="22">
        <f t="shared" si="20"/>
        <v>656.59484210623236</v>
      </c>
      <c r="T52" s="22">
        <f t="shared" si="21"/>
        <v>1179.9463036075613</v>
      </c>
    </row>
    <row r="53" spans="1:20" x14ac:dyDescent="0.2">
      <c r="A53" s="5">
        <v>62</v>
      </c>
      <c r="B53" s="1">
        <f t="shared" si="13"/>
        <v>3.0379032788900342</v>
      </c>
      <c r="C53" s="5">
        <f t="shared" si="14"/>
        <v>54192.408075165586</v>
      </c>
      <c r="D53" s="5">
        <f t="shared" si="15"/>
        <v>51297.977469528167</v>
      </c>
      <c r="E53" s="5">
        <f t="shared" si="1"/>
        <v>41797.977469528167</v>
      </c>
      <c r="F53" s="5">
        <f t="shared" si="2"/>
        <v>14678.587390753763</v>
      </c>
      <c r="G53" s="5">
        <f t="shared" si="3"/>
        <v>36619.390078774406</v>
      </c>
      <c r="H53" s="22">
        <f t="shared" si="16"/>
        <v>24928.918874111012</v>
      </c>
      <c r="I53" s="5">
        <f t="shared" si="17"/>
        <v>59678.640037327088</v>
      </c>
      <c r="J53" s="26">
        <f t="shared" si="19"/>
        <v>0.18457574996987405</v>
      </c>
      <c r="L53" s="22">
        <f t="shared" si="18"/>
        <v>83027.418436663051</v>
      </c>
      <c r="M53" s="5">
        <f>scrimecost*Meta!O50</f>
        <v>478.65999999999997</v>
      </c>
      <c r="N53" s="5">
        <f>L53-Grade10!L53</f>
        <v>811.28056727244984</v>
      </c>
      <c r="O53" s="5">
        <f>Grade10!M53-M53</f>
        <v>9.8280000000000314</v>
      </c>
      <c r="P53" s="22">
        <f t="shared" si="22"/>
        <v>175.03078420807722</v>
      </c>
      <c r="Q53" s="22"/>
      <c r="R53" s="22"/>
      <c r="S53" s="22">
        <f t="shared" si="20"/>
        <v>673.22553496720798</v>
      </c>
      <c r="T53" s="22">
        <f t="shared" si="21"/>
        <v>1225.6948249638888</v>
      </c>
    </row>
    <row r="54" spans="1:20" x14ac:dyDescent="0.2">
      <c r="A54" s="5">
        <v>63</v>
      </c>
      <c r="B54" s="1">
        <f t="shared" si="13"/>
        <v>3.1138508608622844</v>
      </c>
      <c r="C54" s="5">
        <f t="shared" si="14"/>
        <v>55547.218277044711</v>
      </c>
      <c r="D54" s="5">
        <f t="shared" si="15"/>
        <v>52551.176906266359</v>
      </c>
      <c r="E54" s="5">
        <f t="shared" si="1"/>
        <v>43051.176906266359</v>
      </c>
      <c r="F54" s="5">
        <f t="shared" si="2"/>
        <v>15213.076950522602</v>
      </c>
      <c r="G54" s="5">
        <f t="shared" si="3"/>
        <v>37338.099955743761</v>
      </c>
      <c r="H54" s="22">
        <f t="shared" si="16"/>
        <v>25552.141845963783</v>
      </c>
      <c r="I54" s="5">
        <f t="shared" si="17"/>
        <v>60973.831163260256</v>
      </c>
      <c r="J54" s="26">
        <f t="shared" si="19"/>
        <v>0.18719882362017085</v>
      </c>
      <c r="L54" s="22">
        <f t="shared" si="18"/>
        <v>85103.103897579596</v>
      </c>
      <c r="M54" s="5">
        <f>scrimecost*Meta!O51</f>
        <v>478.65999999999997</v>
      </c>
      <c r="N54" s="5">
        <f>L54-Grade10!L54</f>
        <v>831.56258145421452</v>
      </c>
      <c r="O54" s="5">
        <f>Grade10!M54-M54</f>
        <v>9.8280000000000314</v>
      </c>
      <c r="P54" s="22">
        <f t="shared" si="22"/>
        <v>179.88160748841676</v>
      </c>
      <c r="Q54" s="22"/>
      <c r="R54" s="22"/>
      <c r="S54" s="22">
        <f t="shared" si="20"/>
        <v>690.27199514966412</v>
      </c>
      <c r="T54" s="22">
        <f t="shared" si="21"/>
        <v>1273.2070112241722</v>
      </c>
    </row>
    <row r="55" spans="1:20" x14ac:dyDescent="0.2">
      <c r="A55" s="5">
        <v>64</v>
      </c>
      <c r="B55" s="1">
        <f t="shared" si="13"/>
        <v>3.1916971323838421</v>
      </c>
      <c r="C55" s="5">
        <f t="shared" si="14"/>
        <v>56935.89873397084</v>
      </c>
      <c r="D55" s="5">
        <f t="shared" si="15"/>
        <v>53835.706328923028</v>
      </c>
      <c r="E55" s="5">
        <f t="shared" si="1"/>
        <v>44335.706328923028</v>
      </c>
      <c r="F55" s="5">
        <f t="shared" si="2"/>
        <v>15760.928749285673</v>
      </c>
      <c r="G55" s="5">
        <f t="shared" si="3"/>
        <v>38074.777579637353</v>
      </c>
      <c r="H55" s="22">
        <f t="shared" si="16"/>
        <v>26190.945392112881</v>
      </c>
      <c r="I55" s="5">
        <f t="shared" si="17"/>
        <v>62301.402067341769</v>
      </c>
      <c r="J55" s="26">
        <f t="shared" si="19"/>
        <v>0.18975791986436291</v>
      </c>
      <c r="L55" s="22">
        <f t="shared" si="18"/>
        <v>87230.681495019118</v>
      </c>
      <c r="M55" s="5">
        <f>scrimecost*Meta!O52</f>
        <v>478.65999999999997</v>
      </c>
      <c r="N55" s="5">
        <f>L55-Grade10!L55</f>
        <v>852.35164599060954</v>
      </c>
      <c r="O55" s="5">
        <f>Grade10!M55-M55</f>
        <v>9.8280000000000314</v>
      </c>
      <c r="P55" s="22">
        <f t="shared" si="22"/>
        <v>184.85370135076496</v>
      </c>
      <c r="Q55" s="22"/>
      <c r="R55" s="22"/>
      <c r="S55" s="22">
        <f t="shared" si="20"/>
        <v>707.74461683673474</v>
      </c>
      <c r="T55" s="22">
        <f t="shared" si="21"/>
        <v>1322.5507228997153</v>
      </c>
    </row>
    <row r="56" spans="1:20" x14ac:dyDescent="0.2">
      <c r="A56" s="5">
        <v>65</v>
      </c>
      <c r="B56" s="1">
        <f t="shared" si="13"/>
        <v>3.2714895606934378</v>
      </c>
      <c r="C56" s="5">
        <f t="shared" si="14"/>
        <v>58359.296202320103</v>
      </c>
      <c r="D56" s="5">
        <f t="shared" si="15"/>
        <v>55152.348987146099</v>
      </c>
      <c r="E56" s="5">
        <f t="shared" si="1"/>
        <v>45652.348987146099</v>
      </c>
      <c r="F56" s="5">
        <f t="shared" si="2"/>
        <v>16322.47684301781</v>
      </c>
      <c r="G56" s="5">
        <f t="shared" si="3"/>
        <v>38829.872144128291</v>
      </c>
      <c r="H56" s="22">
        <f t="shared" si="16"/>
        <v>26845.7190269157</v>
      </c>
      <c r="I56" s="5">
        <f t="shared" si="17"/>
        <v>63662.162244025312</v>
      </c>
      <c r="J56" s="26">
        <f t="shared" si="19"/>
        <v>0.19225459912698917</v>
      </c>
      <c r="L56" s="22">
        <f t="shared" si="18"/>
        <v>89411.448532394585</v>
      </c>
      <c r="M56" s="5">
        <f>scrimecost*Meta!O53</f>
        <v>144.65</v>
      </c>
      <c r="N56" s="5">
        <f>L56-Grade10!L56</f>
        <v>873.66043714038096</v>
      </c>
      <c r="O56" s="5">
        <f>Grade10!M56-M56</f>
        <v>2.9699999999999989</v>
      </c>
      <c r="P56" s="22">
        <f t="shared" si="22"/>
        <v>189.95009755967172</v>
      </c>
      <c r="Q56" s="22"/>
      <c r="R56" s="22"/>
      <c r="S56" s="22">
        <f t="shared" si="20"/>
        <v>719.20067606596149</v>
      </c>
      <c r="T56" s="22">
        <f t="shared" si="21"/>
        <v>1361.5789997912179</v>
      </c>
    </row>
    <row r="57" spans="1:20" x14ac:dyDescent="0.2">
      <c r="A57" s="5">
        <v>66</v>
      </c>
      <c r="C57" s="5"/>
      <c r="H57" s="21"/>
      <c r="I57" s="5"/>
      <c r="M57" s="5">
        <f>scrimecost*Meta!O54</f>
        <v>144.65</v>
      </c>
      <c r="N57" s="5">
        <f>L57-Grade10!L57</f>
        <v>0</v>
      </c>
      <c r="O57" s="5">
        <f>Grade10!M57-M57</f>
        <v>2.9699999999999989</v>
      </c>
      <c r="Q57" s="22"/>
      <c r="R57" s="22"/>
      <c r="S57" s="22">
        <f t="shared" si="20"/>
        <v>2.7947699999999989</v>
      </c>
      <c r="T57" s="22">
        <f t="shared" si="21"/>
        <v>5.3603830507811292</v>
      </c>
    </row>
    <row r="58" spans="1:20" x14ac:dyDescent="0.2">
      <c r="A58" s="5">
        <v>67</v>
      </c>
      <c r="C58" s="5"/>
      <c r="H58" s="21"/>
      <c r="I58" s="5"/>
      <c r="M58" s="5">
        <f>scrimecost*Meta!O55</f>
        <v>144.65</v>
      </c>
      <c r="N58" s="5">
        <f>L58-Grade10!L58</f>
        <v>0</v>
      </c>
      <c r="O58" s="5">
        <f>Grade10!M58-M58</f>
        <v>2.9699999999999989</v>
      </c>
      <c r="Q58" s="22"/>
      <c r="R58" s="22"/>
      <c r="S58" s="22">
        <f t="shared" si="20"/>
        <v>2.7947699999999989</v>
      </c>
      <c r="T58" s="22">
        <f t="shared" si="21"/>
        <v>5.4306625859856155</v>
      </c>
    </row>
    <row r="59" spans="1:20" x14ac:dyDescent="0.2">
      <c r="A59" s="5">
        <v>68</v>
      </c>
      <c r="H59" s="21"/>
      <c r="I59" s="5"/>
      <c r="M59" s="5">
        <f>scrimecost*Meta!O56</f>
        <v>144.65</v>
      </c>
      <c r="N59" s="5">
        <f>L59-Grade10!L59</f>
        <v>0</v>
      </c>
      <c r="O59" s="5">
        <f>Grade10!M59-M59</f>
        <v>2.9699999999999989</v>
      </c>
      <c r="Q59" s="22"/>
      <c r="R59" s="22"/>
      <c r="S59" s="22">
        <f t="shared" si="20"/>
        <v>2.7947699999999989</v>
      </c>
      <c r="T59" s="22">
        <f t="shared" si="21"/>
        <v>5.5018635503159254</v>
      </c>
    </row>
    <row r="60" spans="1:20" x14ac:dyDescent="0.2">
      <c r="A60" s="5">
        <v>69</v>
      </c>
      <c r="H60" s="21"/>
      <c r="I60" s="5"/>
      <c r="M60" s="5">
        <f>scrimecost*Meta!O57</f>
        <v>144.65</v>
      </c>
      <c r="N60" s="5">
        <f>L60-Grade10!L60</f>
        <v>0</v>
      </c>
      <c r="O60" s="5">
        <f>Grade10!M60-M60</f>
        <v>2.9699999999999989</v>
      </c>
      <c r="Q60" s="22"/>
      <c r="R60" s="22"/>
      <c r="S60" s="22">
        <f t="shared" si="20"/>
        <v>2.7947699999999989</v>
      </c>
      <c r="T60" s="22">
        <f t="shared" si="21"/>
        <v>5.5739980245524947</v>
      </c>
    </row>
    <row r="61" spans="1:20" x14ac:dyDescent="0.2">
      <c r="A61" s="5">
        <v>70</v>
      </c>
      <c r="H61" s="21"/>
      <c r="I61" s="5"/>
      <c r="M61" s="5">
        <f>scrimecost*Meta!O58</f>
        <v>144.65</v>
      </c>
      <c r="N61" s="5">
        <f>L61-Grade10!L61</f>
        <v>0</v>
      </c>
      <c r="O61" s="5">
        <f>Grade10!M61-M61</f>
        <v>2.9699999999999989</v>
      </c>
      <c r="Q61" s="22"/>
      <c r="R61" s="22"/>
      <c r="S61" s="22">
        <f t="shared" si="20"/>
        <v>2.7947699999999989</v>
      </c>
      <c r="T61" s="22">
        <f t="shared" si="21"/>
        <v>5.6470782478658617</v>
      </c>
    </row>
    <row r="62" spans="1:20" x14ac:dyDescent="0.2">
      <c r="A62" s="5">
        <v>71</v>
      </c>
      <c r="H62" s="21"/>
      <c r="I62" s="5"/>
      <c r="M62" s="5">
        <f>scrimecost*Meta!O59</f>
        <v>144.65</v>
      </c>
      <c r="N62" s="5">
        <f>L62-Grade10!L62</f>
        <v>0</v>
      </c>
      <c r="O62" s="5">
        <f>Grade10!M62-M62</f>
        <v>2.9699999999999989</v>
      </c>
      <c r="Q62" s="22"/>
      <c r="R62" s="22"/>
      <c r="S62" s="22">
        <f t="shared" si="20"/>
        <v>2.7947699999999989</v>
      </c>
      <c r="T62" s="22">
        <f t="shared" si="21"/>
        <v>5.721116619893313</v>
      </c>
    </row>
    <row r="63" spans="1:20" x14ac:dyDescent="0.2">
      <c r="A63" s="5">
        <v>72</v>
      </c>
      <c r="H63" s="21"/>
      <c r="M63" s="5">
        <f>scrimecost*Meta!O60</f>
        <v>144.65</v>
      </c>
      <c r="N63" s="5">
        <f>L63-Grade10!L63</f>
        <v>0</v>
      </c>
      <c r="O63" s="5">
        <f>Grade10!M63-M63</f>
        <v>2.9699999999999989</v>
      </c>
      <c r="Q63" s="22"/>
      <c r="R63" s="22"/>
      <c r="S63" s="22">
        <f t="shared" si="20"/>
        <v>2.7947699999999989</v>
      </c>
      <c r="T63" s="22">
        <f t="shared" si="21"/>
        <v>5.7961257028427449</v>
      </c>
    </row>
    <row r="64" spans="1:20" x14ac:dyDescent="0.2">
      <c r="A64" s="5">
        <v>73</v>
      </c>
      <c r="H64" s="21"/>
      <c r="M64" s="5">
        <f>scrimecost*Meta!O61</f>
        <v>144.65</v>
      </c>
      <c r="N64" s="5">
        <f>L64-Grade10!L64</f>
        <v>0</v>
      </c>
      <c r="O64" s="5">
        <f>Grade10!M64-M64</f>
        <v>2.9699999999999989</v>
      </c>
      <c r="Q64" s="22"/>
      <c r="R64" s="22"/>
      <c r="S64" s="22">
        <f t="shared" si="20"/>
        <v>2.7947699999999989</v>
      </c>
      <c r="T64" s="22">
        <f t="shared" si="21"/>
        <v>5.8721182236241107</v>
      </c>
    </row>
    <row r="65" spans="1:20" x14ac:dyDescent="0.2">
      <c r="A65" s="5">
        <v>74</v>
      </c>
      <c r="H65" s="21"/>
      <c r="M65" s="5">
        <f>scrimecost*Meta!O62</f>
        <v>144.65</v>
      </c>
      <c r="N65" s="5">
        <f>L65-Grade10!L65</f>
        <v>0</v>
      </c>
      <c r="O65" s="5">
        <f>Grade10!M65-M65</f>
        <v>2.9699999999999989</v>
      </c>
      <c r="Q65" s="22"/>
      <c r="R65" s="22"/>
      <c r="S65" s="22">
        <f t="shared" si="20"/>
        <v>2.7947699999999989</v>
      </c>
      <c r="T65" s="22">
        <f t="shared" si="21"/>
        <v>5.9491070760088229</v>
      </c>
    </row>
    <row r="66" spans="1:20" x14ac:dyDescent="0.2">
      <c r="A66" s="5">
        <v>75</v>
      </c>
      <c r="H66" s="21"/>
      <c r="M66" s="5">
        <f>scrimecost*Meta!O63</f>
        <v>144.65</v>
      </c>
      <c r="N66" s="5">
        <f>L66-Grade10!L66</f>
        <v>0</v>
      </c>
      <c r="O66" s="5">
        <f>Grade10!M66-M66</f>
        <v>2.9699999999999989</v>
      </c>
      <c r="Q66" s="22"/>
      <c r="R66" s="22"/>
      <c r="S66" s="22">
        <f t="shared" si="20"/>
        <v>2.7947699999999989</v>
      </c>
      <c r="T66" s="22">
        <f t="shared" si="21"/>
        <v>6.0271053228174525</v>
      </c>
    </row>
    <row r="67" spans="1:20" x14ac:dyDescent="0.2">
      <c r="A67" s="5">
        <v>76</v>
      </c>
      <c r="H67" s="21"/>
      <c r="M67" s="5">
        <f>scrimecost*Meta!O64</f>
        <v>144.65</v>
      </c>
      <c r="N67" s="5">
        <f>L67-Grade10!L67</f>
        <v>0</v>
      </c>
      <c r="O67" s="5">
        <f>Grade10!M67-M67</f>
        <v>2.9699999999999989</v>
      </c>
      <c r="Q67" s="22"/>
      <c r="R67" s="22"/>
      <c r="S67" s="22">
        <f t="shared" si="20"/>
        <v>2.7947699999999989</v>
      </c>
      <c r="T67" s="22">
        <f t="shared" si="21"/>
        <v>6.1061261981361259</v>
      </c>
    </row>
    <row r="68" spans="1:20" x14ac:dyDescent="0.2">
      <c r="A68" s="5">
        <v>77</v>
      </c>
      <c r="H68" s="21"/>
      <c r="M68" s="5">
        <f>scrimecost*Meta!O65</f>
        <v>144.65</v>
      </c>
      <c r="N68" s="5">
        <f>L68-Grade10!L68</f>
        <v>0</v>
      </c>
      <c r="O68" s="5">
        <f>Grade10!M68-M68</f>
        <v>2.9699999999999989</v>
      </c>
      <c r="Q68" s="22"/>
      <c r="R68" s="22"/>
      <c r="S68" s="22">
        <f t="shared" si="20"/>
        <v>2.7947699999999989</v>
      </c>
      <c r="T68" s="22">
        <f t="shared" si="21"/>
        <v>6.1861831095619628</v>
      </c>
    </row>
    <row r="69" spans="1:20" x14ac:dyDescent="0.2">
      <c r="A69" s="5">
        <v>78</v>
      </c>
      <c r="H69" s="21"/>
      <c r="M69" s="5">
        <f>scrimecost*Meta!O66</f>
        <v>144.65</v>
      </c>
      <c r="N69" s="5">
        <f>L69-Grade10!L69</f>
        <v>0</v>
      </c>
      <c r="O69" s="5">
        <f>Grade10!M69-M69</f>
        <v>2.9699999999999989</v>
      </c>
      <c r="Q69" s="22"/>
      <c r="R69" s="22"/>
      <c r="S69" s="22">
        <f t="shared" si="20"/>
        <v>2.7947699999999989</v>
      </c>
      <c r="T69" s="22">
        <f t="shared" si="21"/>
        <v>6.2672896404779772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-2.4756197092301591E-11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9" sqref="P9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Meta!A6+6</f>
        <v>18</v>
      </c>
      <c r="C2" s="7">
        <f>Meta!B6</f>
        <v>39144</v>
      </c>
      <c r="D2" s="7">
        <f>Meta!C6</f>
        <v>18006</v>
      </c>
      <c r="E2" s="1">
        <f>Meta!D6</f>
        <v>6.3E-2</v>
      </c>
      <c r="F2" s="1">
        <f>Meta!F6</f>
        <v>0.66200000000000003</v>
      </c>
      <c r="G2" s="1">
        <f>Meta!I6</f>
        <v>1.8929079672445346</v>
      </c>
      <c r="H2" s="1">
        <f>Meta!E6</f>
        <v>0.94099999999999995</v>
      </c>
      <c r="I2" s="13"/>
      <c r="J2" s="1">
        <f>Meta!X5</f>
        <v>0.65400000000000003</v>
      </c>
      <c r="K2" s="1">
        <f>Meta!D5</f>
        <v>7.4999999999999997E-2</v>
      </c>
      <c r="L2" s="29"/>
      <c r="N2" s="22">
        <f>Meta!T6</f>
        <v>39144</v>
      </c>
      <c r="O2" s="22">
        <f>Meta!U6</f>
        <v>18006</v>
      </c>
      <c r="P2" s="1">
        <f>Meta!V6</f>
        <v>6.3E-2</v>
      </c>
      <c r="Q2" s="1">
        <f>Meta!X6</f>
        <v>0.66200000000000003</v>
      </c>
      <c r="R2" s="22">
        <f>Meta!W6</f>
        <v>2576</v>
      </c>
      <c r="T2" s="12">
        <f>IRR(S5:S69)+1</f>
        <v>0.98636371205736328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B8" s="1">
        <v>1</v>
      </c>
      <c r="C8" s="5">
        <f>0.1*Grade11!C8</f>
        <v>1783.8753607378178</v>
      </c>
      <c r="D8" s="5">
        <f t="shared" ref="D8:D36" si="0">IF(A8&lt;startage,1,0)*(C8*(1-initialunempprob))+IF(A8=startage,1,0)*(C8*(1-unempprob))+IF(A8&gt;startage,1,0)*(C8*(1-unempprob)+unempprob*300*52)</f>
        <v>1650.0847086824815</v>
      </c>
      <c r="E8" s="5">
        <f t="shared" ref="E8:E56" si="1">IF(D8-9500&gt;0,1,0)*(D8-9500)</f>
        <v>0</v>
      </c>
      <c r="F8" s="5">
        <f t="shared" ref="F8:F56" si="2">IF(E8&lt;=8500,1,0)*(0.1*E8+0.1*E8+0.0765*D8)+IF(AND(E8&gt;8500,E8&lt;=34500),1,0)*(850+0.15*(E8-8500)+0.1*E8+0.0765*D8)+IF(AND(E8&gt;34500,E8&lt;=83600),1,0)*(4750+0.25*(E8-34500)+0.1*E8+0.0765*D8)+IF(AND(E8&gt;83600,E8&lt;=174400,D8&lt;=106800),1,0)*(17025+0.28*(E8-83600)+0.1*E8+0.0765*D8)+IF(AND(E8&gt;83600,E8&lt;=174400,D8&gt;106800),1,0)*(17025+0.28*(E8-83600)+0.1*E8+8170.2+0.0145*(D8-106800))+IF(AND(E8&gt;174400,E8&lt;=379150),1,0)*(42449+0.33*(E8-174400)+0.1*E8+8170.2+0.0145*(D8-106800))+IF(E8&gt;379150,1,0)*(110016.5+0.35*(E8-379150)+0.1*E8+8170.2+0.0145*(D8-106800))</f>
        <v>126.23148021420984</v>
      </c>
      <c r="G8" s="5">
        <f t="shared" ref="G8:G56" si="3">D8-F8</f>
        <v>1523.8532284682717</v>
      </c>
      <c r="H8" s="22">
        <f>0.1*Grade11!H8</f>
        <v>820.59620025886238</v>
      </c>
      <c r="I8" s="5">
        <f t="shared" ref="I8:I36" si="4">G8+IF(A8&lt;startage,1,0)*(H8*(1-initialunempprob))+IF(A8&gt;=startage,1,0)*(H8*(1-unempprob))</f>
        <v>2282.9047137077196</v>
      </c>
      <c r="J8" s="26">
        <f t="shared" ref="J8:J39" si="5">(F8-(IF(A8&gt;startage,1,0)*(unempprob*300*52)))/(IF(A8&lt;startage,1,0)*((C8+H8)*(1-initialunempprob))+IF(A8&gt;=startage,1,0)*((C8+H8)*(1-unempprob)))</f>
        <v>5.2396987987927975E-2</v>
      </c>
      <c r="L8" s="22">
        <f>0.1*Grade11!L8</f>
        <v>2733.0500945704557</v>
      </c>
      <c r="M8" s="5">
        <f>scrimecost*Meta!O5</f>
        <v>6986.1120000000001</v>
      </c>
      <c r="N8" s="5">
        <f>L8-Grade11!L8</f>
        <v>-24597.450851134101</v>
      </c>
      <c r="O8" s="5"/>
      <c r="P8" s="22"/>
      <c r="Q8" s="22">
        <f>0.05*feel*Grade11!G8</f>
        <v>193.73708014244858</v>
      </c>
      <c r="R8" s="22">
        <f>hstuition</f>
        <v>11298</v>
      </c>
      <c r="S8" s="22">
        <f t="shared" ref="S8:S39" si="6">IF(A8&lt;startage,1,0)*(N8-Q8-R8)+IF(A8&gt;=startage,1,0)*completionprob*(N8*spart+O8+P8)</f>
        <v>-36089.187931276552</v>
      </c>
      <c r="T8" s="22">
        <f t="shared" ref="T8:T39" si="7">S8/sreturn^(A8-startage+1)</f>
        <v>-36089.187931276552</v>
      </c>
    </row>
    <row r="9" spans="1:20" x14ac:dyDescent="0.2">
      <c r="A9" s="5">
        <v>18</v>
      </c>
      <c r="B9" s="1">
        <f t="shared" ref="B9:B36" si="8">(1+experiencepremium)^(A9-startage)</f>
        <v>1</v>
      </c>
      <c r="C9" s="5">
        <f t="shared" ref="C9:C36" si="9">pretaxincome*B9/expnorm</f>
        <v>20679.293804749039</v>
      </c>
      <c r="D9" s="5">
        <f t="shared" si="0"/>
        <v>19376.498295049849</v>
      </c>
      <c r="E9" s="5">
        <f t="shared" si="1"/>
        <v>9876.4982950498488</v>
      </c>
      <c r="F9" s="5">
        <f t="shared" si="2"/>
        <v>3526.4266933337758</v>
      </c>
      <c r="G9" s="5">
        <f t="shared" si="3"/>
        <v>15850.071601716074</v>
      </c>
      <c r="H9" s="22">
        <f t="shared" ref="H9:H36" si="10">benefits*B9/expnorm</f>
        <v>9512.3483611360916</v>
      </c>
      <c r="I9" s="5">
        <f t="shared" si="4"/>
        <v>24763.142016100592</v>
      </c>
      <c r="J9" s="26">
        <f t="shared" si="5"/>
        <v>0.12465466439429095</v>
      </c>
      <c r="L9" s="22">
        <f t="shared" ref="L9:L36" si="11">(sincome+sbenefits)*(1-sunemp)*B9/expnorm</f>
        <v>28289.56870943437</v>
      </c>
      <c r="M9" s="5">
        <f>scrimecost*Meta!O6</f>
        <v>8490.4959999999992</v>
      </c>
      <c r="N9" s="5">
        <f>L9-Grade11!L9</f>
        <v>275.80524008720386</v>
      </c>
      <c r="O9" s="5">
        <f>Grade11!M9-M9</f>
        <v>177.98400000000038</v>
      </c>
      <c r="P9" s="22">
        <f t="shared" ref="P9:P56" si="12">(spart-initialspart)*(L9*J9+nptrans)</f>
        <v>80.643413546670274</v>
      </c>
      <c r="Q9" s="22"/>
      <c r="R9" s="22"/>
      <c r="S9" s="22">
        <f t="shared" si="6"/>
        <v>415.17906401782</v>
      </c>
      <c r="T9" s="22">
        <f t="shared" si="7"/>
        <v>420.91883444478816</v>
      </c>
    </row>
    <row r="10" spans="1:20" x14ac:dyDescent="0.2">
      <c r="A10" s="5">
        <v>19</v>
      </c>
      <c r="B10" s="1">
        <f t="shared" si="8"/>
        <v>1.0249999999999999</v>
      </c>
      <c r="C10" s="5">
        <f t="shared" si="9"/>
        <v>21196.276149867765</v>
      </c>
      <c r="D10" s="5">
        <f t="shared" si="0"/>
        <v>20843.710752426097</v>
      </c>
      <c r="E10" s="5">
        <f t="shared" si="1"/>
        <v>11343.710752426097</v>
      </c>
      <c r="F10" s="5">
        <f t="shared" si="2"/>
        <v>4005.4715606671207</v>
      </c>
      <c r="G10" s="5">
        <f t="shared" si="3"/>
        <v>16838.239191758978</v>
      </c>
      <c r="H10" s="22">
        <f t="shared" si="10"/>
        <v>9750.1570701644923</v>
      </c>
      <c r="I10" s="5">
        <f t="shared" si="4"/>
        <v>25974.136366503109</v>
      </c>
      <c r="J10" s="26">
        <f t="shared" si="5"/>
        <v>0.10424152783502955</v>
      </c>
      <c r="L10" s="22">
        <f t="shared" si="11"/>
        <v>28996.807927170226</v>
      </c>
      <c r="M10" s="5">
        <f>scrimecost*Meta!O7</f>
        <v>9075.2479999999996</v>
      </c>
      <c r="N10" s="5">
        <f>L10-Grade11!L10</f>
        <v>282.7003710893805</v>
      </c>
      <c r="O10" s="5">
        <f>Grade11!M10-M10</f>
        <v>190.24200000000019</v>
      </c>
      <c r="P10" s="22">
        <f t="shared" si="12"/>
        <v>76.613372485337038</v>
      </c>
      <c r="Q10" s="22"/>
      <c r="R10" s="22"/>
      <c r="S10" s="22">
        <f t="shared" si="6"/>
        <v>427.21684007586322</v>
      </c>
      <c r="T10" s="22">
        <f t="shared" si="7"/>
        <v>439.11087273276752</v>
      </c>
    </row>
    <row r="11" spans="1:20" x14ac:dyDescent="0.2">
      <c r="A11" s="5">
        <v>20</v>
      </c>
      <c r="B11" s="1">
        <f t="shared" si="8"/>
        <v>1.0506249999999999</v>
      </c>
      <c r="C11" s="5">
        <f t="shared" si="9"/>
        <v>21726.183053614455</v>
      </c>
      <c r="D11" s="5">
        <f t="shared" si="0"/>
        <v>21340.233521236743</v>
      </c>
      <c r="E11" s="5">
        <f t="shared" si="1"/>
        <v>11840.233521236743</v>
      </c>
      <c r="F11" s="5">
        <f t="shared" si="2"/>
        <v>4167.5862446837964</v>
      </c>
      <c r="G11" s="5">
        <f t="shared" si="3"/>
        <v>17172.647276552947</v>
      </c>
      <c r="H11" s="22">
        <f t="shared" si="10"/>
        <v>9993.9109969186065</v>
      </c>
      <c r="I11" s="5">
        <f t="shared" si="4"/>
        <v>26536.941880665683</v>
      </c>
      <c r="J11" s="26">
        <f t="shared" si="5"/>
        <v>0.10715346803699181</v>
      </c>
      <c r="L11" s="22">
        <f t="shared" si="11"/>
        <v>29721.728125349484</v>
      </c>
      <c r="M11" s="5">
        <f>scrimecost*Meta!O8</f>
        <v>8691.4240000000009</v>
      </c>
      <c r="N11" s="5">
        <f>L11-Grade11!L11</f>
        <v>289.76788036661674</v>
      </c>
      <c r="O11" s="5">
        <f>Grade11!M11-M11</f>
        <v>182.19599999999991</v>
      </c>
      <c r="P11" s="22">
        <f t="shared" si="12"/>
        <v>77.91028995747044</v>
      </c>
      <c r="Q11" s="22"/>
      <c r="R11" s="22"/>
      <c r="S11" s="22">
        <f t="shared" si="6"/>
        <v>425.26860178132063</v>
      </c>
      <c r="T11" s="22">
        <f t="shared" si="7"/>
        <v>443.15133322585922</v>
      </c>
    </row>
    <row r="12" spans="1:20" x14ac:dyDescent="0.2">
      <c r="A12" s="5">
        <v>21</v>
      </c>
      <c r="B12" s="1">
        <f t="shared" si="8"/>
        <v>1.0768906249999999</v>
      </c>
      <c r="C12" s="5">
        <f t="shared" si="9"/>
        <v>22269.337629954818</v>
      </c>
      <c r="D12" s="5">
        <f t="shared" si="0"/>
        <v>21849.169359267664</v>
      </c>
      <c r="E12" s="5">
        <f t="shared" si="1"/>
        <v>12349.169359267664</v>
      </c>
      <c r="F12" s="5">
        <f t="shared" si="2"/>
        <v>4333.7537958008925</v>
      </c>
      <c r="G12" s="5">
        <f t="shared" si="3"/>
        <v>17515.41556346677</v>
      </c>
      <c r="H12" s="22">
        <f t="shared" si="10"/>
        <v>10243.758771841571</v>
      </c>
      <c r="I12" s="5">
        <f t="shared" si="4"/>
        <v>27113.817532682322</v>
      </c>
      <c r="J12" s="26">
        <f t="shared" si="5"/>
        <v>0.10999438530719902</v>
      </c>
      <c r="L12" s="22">
        <f t="shared" si="11"/>
        <v>30464.771328483217</v>
      </c>
      <c r="M12" s="5">
        <f>scrimecost*Meta!O9</f>
        <v>7892.8640000000005</v>
      </c>
      <c r="N12" s="5">
        <f>L12-Grade11!L12</f>
        <v>297.01207737578079</v>
      </c>
      <c r="O12" s="5">
        <f>Grade11!M12-M12</f>
        <v>165.45599999999922</v>
      </c>
      <c r="P12" s="22">
        <f t="shared" si="12"/>
        <v>79.239630366407198</v>
      </c>
      <c r="Q12" s="22"/>
      <c r="R12" s="22"/>
      <c r="S12" s="22">
        <f t="shared" si="6"/>
        <v>415.27988567941208</v>
      </c>
      <c r="T12" s="22">
        <f t="shared" si="7"/>
        <v>438.72516997113024</v>
      </c>
    </row>
    <row r="13" spans="1:20" x14ac:dyDescent="0.2">
      <c r="A13" s="5">
        <v>22</v>
      </c>
      <c r="B13" s="1">
        <f t="shared" si="8"/>
        <v>1.1038128906249998</v>
      </c>
      <c r="C13" s="5">
        <f t="shared" si="9"/>
        <v>22826.071070703689</v>
      </c>
      <c r="D13" s="5">
        <f t="shared" si="0"/>
        <v>22370.828593249356</v>
      </c>
      <c r="E13" s="5">
        <f t="shared" si="1"/>
        <v>12870.828593249356</v>
      </c>
      <c r="F13" s="5">
        <f t="shared" si="2"/>
        <v>4504.0755356959144</v>
      </c>
      <c r="G13" s="5">
        <f t="shared" si="3"/>
        <v>17866.75305755344</v>
      </c>
      <c r="H13" s="22">
        <f t="shared" si="10"/>
        <v>10499.852741137609</v>
      </c>
      <c r="I13" s="5">
        <f t="shared" si="4"/>
        <v>27705.11507599938</v>
      </c>
      <c r="J13" s="26">
        <f t="shared" si="5"/>
        <v>0.11276601191227917</v>
      </c>
      <c r="L13" s="22">
        <f t="shared" si="11"/>
        <v>31226.390611695297</v>
      </c>
      <c r="M13" s="5">
        <f>scrimecost*Meta!O10</f>
        <v>7233.4079999999994</v>
      </c>
      <c r="N13" s="5">
        <f>L13-Grade11!L13</f>
        <v>304.43737931017677</v>
      </c>
      <c r="O13" s="5">
        <f>Grade11!M13-M13</f>
        <v>151.63200000000052</v>
      </c>
      <c r="P13" s="22">
        <f t="shared" si="12"/>
        <v>80.602204285567382</v>
      </c>
      <c r="Q13" s="22"/>
      <c r="R13" s="22"/>
      <c r="S13" s="22">
        <f t="shared" si="6"/>
        <v>408.17921617495955</v>
      </c>
      <c r="T13" s="22">
        <f t="shared" si="7"/>
        <v>437.18520424237948</v>
      </c>
    </row>
    <row r="14" spans="1:20" x14ac:dyDescent="0.2">
      <c r="A14" s="5">
        <v>23</v>
      </c>
      <c r="B14" s="1">
        <f t="shared" si="8"/>
        <v>1.1314082128906247</v>
      </c>
      <c r="C14" s="5">
        <f t="shared" si="9"/>
        <v>23396.722847471276</v>
      </c>
      <c r="D14" s="5">
        <f t="shared" si="0"/>
        <v>22905.529308080586</v>
      </c>
      <c r="E14" s="5">
        <f t="shared" si="1"/>
        <v>13405.529308080586</v>
      </c>
      <c r="F14" s="5">
        <f t="shared" si="2"/>
        <v>4678.6553190883114</v>
      </c>
      <c r="G14" s="5">
        <f t="shared" si="3"/>
        <v>18226.873988992273</v>
      </c>
      <c r="H14" s="22">
        <f t="shared" si="10"/>
        <v>10762.349059666049</v>
      </c>
      <c r="I14" s="5">
        <f t="shared" si="4"/>
        <v>28311.19505789936</v>
      </c>
      <c r="J14" s="26">
        <f t="shared" si="5"/>
        <v>0.11547003786845493</v>
      </c>
      <c r="L14" s="22">
        <f t="shared" si="11"/>
        <v>32007.050376987674</v>
      </c>
      <c r="M14" s="5">
        <f>scrimecost*Meta!O11</f>
        <v>6759.424</v>
      </c>
      <c r="N14" s="5">
        <f>L14-Grade11!L14</f>
        <v>312.04831379293319</v>
      </c>
      <c r="O14" s="5">
        <f>Grade11!M14-M14</f>
        <v>141.69599999999991</v>
      </c>
      <c r="P14" s="22">
        <f t="shared" si="12"/>
        <v>81.998842552706549</v>
      </c>
      <c r="Q14" s="22"/>
      <c r="R14" s="22"/>
      <c r="S14" s="22">
        <f t="shared" si="6"/>
        <v>404.88484753289418</v>
      </c>
      <c r="T14" s="22">
        <f t="shared" si="7"/>
        <v>439.65195214001045</v>
      </c>
    </row>
    <row r="15" spans="1:20" x14ac:dyDescent="0.2">
      <c r="A15" s="5">
        <v>24</v>
      </c>
      <c r="B15" s="1">
        <f t="shared" si="8"/>
        <v>1.1596934182128902</v>
      </c>
      <c r="C15" s="5">
        <f t="shared" si="9"/>
        <v>23981.640918658057</v>
      </c>
      <c r="D15" s="5">
        <f t="shared" si="0"/>
        <v>23453.597540782601</v>
      </c>
      <c r="E15" s="5">
        <f t="shared" si="1"/>
        <v>13953.597540782601</v>
      </c>
      <c r="F15" s="5">
        <f t="shared" si="2"/>
        <v>4857.5995970655194</v>
      </c>
      <c r="G15" s="5">
        <f t="shared" si="3"/>
        <v>18595.99794371708</v>
      </c>
      <c r="H15" s="22">
        <f t="shared" si="10"/>
        <v>11031.407786157697</v>
      </c>
      <c r="I15" s="5">
        <f t="shared" si="4"/>
        <v>28932.427039346843</v>
      </c>
      <c r="J15" s="26">
        <f t="shared" si="5"/>
        <v>0.11810811197204105</v>
      </c>
      <c r="L15" s="22">
        <f t="shared" si="11"/>
        <v>32807.226636412364</v>
      </c>
      <c r="M15" s="5">
        <f>scrimecost*Meta!O12</f>
        <v>6458.0320000000002</v>
      </c>
      <c r="N15" s="5">
        <f>L15-Grade11!L15</f>
        <v>319.84952163774869</v>
      </c>
      <c r="O15" s="5">
        <f>Grade11!M15-M15</f>
        <v>135.3779999999997</v>
      </c>
      <c r="P15" s="22">
        <f t="shared" si="12"/>
        <v>83.430396776524233</v>
      </c>
      <c r="Q15" s="22"/>
      <c r="R15" s="22"/>
      <c r="S15" s="22">
        <f t="shared" si="6"/>
        <v>405.14640207477146</v>
      </c>
      <c r="T15" s="22">
        <f t="shared" si="7"/>
        <v>446.01799596012586</v>
      </c>
    </row>
    <row r="16" spans="1:20" x14ac:dyDescent="0.2">
      <c r="A16" s="5">
        <v>25</v>
      </c>
      <c r="B16" s="1">
        <f t="shared" si="8"/>
        <v>1.1886857536682125</v>
      </c>
      <c r="C16" s="5">
        <f t="shared" si="9"/>
        <v>24581.181941624509</v>
      </c>
      <c r="D16" s="5">
        <f t="shared" si="0"/>
        <v>24015.367479302164</v>
      </c>
      <c r="E16" s="5">
        <f t="shared" si="1"/>
        <v>14515.367479302164</v>
      </c>
      <c r="F16" s="5">
        <f t="shared" si="2"/>
        <v>5041.0174819921567</v>
      </c>
      <c r="G16" s="5">
        <f t="shared" si="3"/>
        <v>18974.349997310008</v>
      </c>
      <c r="H16" s="22">
        <f t="shared" si="10"/>
        <v>11307.19298081164</v>
      </c>
      <c r="I16" s="5">
        <f t="shared" si="4"/>
        <v>29569.189820330517</v>
      </c>
      <c r="J16" s="26">
        <f t="shared" si="5"/>
        <v>0.12068184280480797</v>
      </c>
      <c r="L16" s="22">
        <f t="shared" si="11"/>
        <v>33627.407302322674</v>
      </c>
      <c r="M16" s="5">
        <f>scrimecost*Meta!O13</f>
        <v>5422.48</v>
      </c>
      <c r="N16" s="5">
        <f>L16-Grade11!L16</f>
        <v>327.8457596786975</v>
      </c>
      <c r="O16" s="5">
        <f>Grade11!M16-M16</f>
        <v>113.67000000000007</v>
      </c>
      <c r="P16" s="22">
        <f t="shared" si="12"/>
        <v>84.897739855937331</v>
      </c>
      <c r="Q16" s="22"/>
      <c r="R16" s="22"/>
      <c r="S16" s="22">
        <f t="shared" si="6"/>
        <v>391.08113643020425</v>
      </c>
      <c r="T16" s="22">
        <f t="shared" si="7"/>
        <v>436.48585841649185</v>
      </c>
    </row>
    <row r="17" spans="1:20" x14ac:dyDescent="0.2">
      <c r="A17" s="5">
        <v>26</v>
      </c>
      <c r="B17" s="1">
        <f t="shared" si="8"/>
        <v>1.2184028975099177</v>
      </c>
      <c r="C17" s="5">
        <f t="shared" si="9"/>
        <v>25195.711490165118</v>
      </c>
      <c r="D17" s="5">
        <f t="shared" si="0"/>
        <v>24591.181666284716</v>
      </c>
      <c r="E17" s="5">
        <f t="shared" si="1"/>
        <v>15091.181666284716</v>
      </c>
      <c r="F17" s="5">
        <f t="shared" si="2"/>
        <v>5229.02081404196</v>
      </c>
      <c r="G17" s="5">
        <f t="shared" si="3"/>
        <v>19362.160852242756</v>
      </c>
      <c r="H17" s="22">
        <f t="shared" si="10"/>
        <v>11589.87280533193</v>
      </c>
      <c r="I17" s="5">
        <f t="shared" si="4"/>
        <v>30221.871670838773</v>
      </c>
      <c r="J17" s="26">
        <f t="shared" si="5"/>
        <v>0.12319279971482447</v>
      </c>
      <c r="L17" s="22">
        <f t="shared" si="11"/>
        <v>34468.092484880734</v>
      </c>
      <c r="M17" s="5">
        <f>scrimecost*Meta!O14</f>
        <v>5422.48</v>
      </c>
      <c r="N17" s="5">
        <f>L17-Grade11!L17</f>
        <v>336.04190367066622</v>
      </c>
      <c r="O17" s="5">
        <f>Grade11!M17-M17</f>
        <v>113.67000000000007</v>
      </c>
      <c r="P17" s="22">
        <f t="shared" si="12"/>
        <v>86.401766512335755</v>
      </c>
      <c r="Q17" s="22"/>
      <c r="R17" s="22"/>
      <c r="S17" s="22">
        <f t="shared" si="6"/>
        <v>397.60214784452018</v>
      </c>
      <c r="T17" s="22">
        <f t="shared" si="7"/>
        <v>449.89891375808622</v>
      </c>
    </row>
    <row r="18" spans="1:20" x14ac:dyDescent="0.2">
      <c r="A18" s="5">
        <v>27</v>
      </c>
      <c r="B18" s="1">
        <f t="shared" si="8"/>
        <v>1.2488629699476654</v>
      </c>
      <c r="C18" s="5">
        <f t="shared" si="9"/>
        <v>25825.604277419243</v>
      </c>
      <c r="D18" s="5">
        <f t="shared" si="0"/>
        <v>25181.39120794183</v>
      </c>
      <c r="E18" s="5">
        <f t="shared" si="1"/>
        <v>15681.39120794183</v>
      </c>
      <c r="F18" s="5">
        <f t="shared" si="2"/>
        <v>5421.7242293930076</v>
      </c>
      <c r="G18" s="5">
        <f t="shared" si="3"/>
        <v>19759.666978548823</v>
      </c>
      <c r="H18" s="22">
        <f t="shared" si="10"/>
        <v>11879.619625465228</v>
      </c>
      <c r="I18" s="5">
        <f t="shared" si="4"/>
        <v>30890.870567609742</v>
      </c>
      <c r="J18" s="26">
        <f t="shared" si="5"/>
        <v>0.12564251377337718</v>
      </c>
      <c r="L18" s="22">
        <f t="shared" si="11"/>
        <v>35329.794797002753</v>
      </c>
      <c r="M18" s="5">
        <f>scrimecost*Meta!O15</f>
        <v>5422.48</v>
      </c>
      <c r="N18" s="5">
        <f>L18-Grade11!L18</f>
        <v>344.44295126243378</v>
      </c>
      <c r="O18" s="5">
        <f>Grade11!M18-M18</f>
        <v>113.67000000000007</v>
      </c>
      <c r="P18" s="22">
        <f t="shared" si="12"/>
        <v>87.943393835144136</v>
      </c>
      <c r="Q18" s="22"/>
      <c r="R18" s="22"/>
      <c r="S18" s="22">
        <f t="shared" si="6"/>
        <v>404.28618454419376</v>
      </c>
      <c r="T18" s="22">
        <f t="shared" si="7"/>
        <v>463.78642971691119</v>
      </c>
    </row>
    <row r="19" spans="1:20" x14ac:dyDescent="0.2">
      <c r="A19" s="5">
        <v>28</v>
      </c>
      <c r="B19" s="1">
        <f t="shared" si="8"/>
        <v>1.2800845441963571</v>
      </c>
      <c r="C19" s="5">
        <f t="shared" si="9"/>
        <v>26471.244384354726</v>
      </c>
      <c r="D19" s="5">
        <f t="shared" si="0"/>
        <v>25786.355988140378</v>
      </c>
      <c r="E19" s="5">
        <f t="shared" si="1"/>
        <v>16286.355988140378</v>
      </c>
      <c r="F19" s="5">
        <f t="shared" si="2"/>
        <v>5619.2452301278336</v>
      </c>
      <c r="G19" s="5">
        <f t="shared" si="3"/>
        <v>20167.110758012546</v>
      </c>
      <c r="H19" s="22">
        <f t="shared" si="10"/>
        <v>12176.61011610186</v>
      </c>
      <c r="I19" s="5">
        <f t="shared" si="4"/>
        <v>31576.594436799991</v>
      </c>
      <c r="J19" s="26">
        <f t="shared" si="5"/>
        <v>0.12803247870855058</v>
      </c>
      <c r="L19" s="22">
        <f t="shared" si="11"/>
        <v>36213.03966692782</v>
      </c>
      <c r="M19" s="5">
        <f>scrimecost*Meta!O16</f>
        <v>5422.48</v>
      </c>
      <c r="N19" s="5">
        <f>L19-Grade11!L19</f>
        <v>353.05402504398808</v>
      </c>
      <c r="O19" s="5">
        <f>Grade11!M19-M19</f>
        <v>113.67000000000007</v>
      </c>
      <c r="P19" s="22">
        <f t="shared" si="12"/>
        <v>89.52356184102274</v>
      </c>
      <c r="Q19" s="22"/>
      <c r="R19" s="22"/>
      <c r="S19" s="22">
        <f t="shared" si="6"/>
        <v>411.13732216135446</v>
      </c>
      <c r="T19" s="22">
        <f t="shared" si="7"/>
        <v>478.16628695851705</v>
      </c>
    </row>
    <row r="20" spans="1:20" x14ac:dyDescent="0.2">
      <c r="A20" s="5">
        <v>29</v>
      </c>
      <c r="B20" s="1">
        <f t="shared" si="8"/>
        <v>1.312086657801266</v>
      </c>
      <c r="C20" s="5">
        <f t="shared" si="9"/>
        <v>27133.025493963589</v>
      </c>
      <c r="D20" s="5">
        <f t="shared" si="0"/>
        <v>26406.444887843885</v>
      </c>
      <c r="E20" s="5">
        <f t="shared" si="1"/>
        <v>16906.444887843885</v>
      </c>
      <c r="F20" s="5">
        <f t="shared" si="2"/>
        <v>5821.7042558810281</v>
      </c>
      <c r="G20" s="5">
        <f t="shared" si="3"/>
        <v>20584.740631962857</v>
      </c>
      <c r="H20" s="22">
        <f t="shared" si="10"/>
        <v>12481.025369004405</v>
      </c>
      <c r="I20" s="5">
        <f t="shared" si="4"/>
        <v>32279.461402719986</v>
      </c>
      <c r="J20" s="26">
        <f t="shared" si="5"/>
        <v>0.13036415181603675</v>
      </c>
      <c r="L20" s="22">
        <f t="shared" si="11"/>
        <v>37118.365658601011</v>
      </c>
      <c r="M20" s="5">
        <f>scrimecost*Meta!O17</f>
        <v>5422.48</v>
      </c>
      <c r="N20" s="5">
        <f>L20-Grade11!L20</f>
        <v>361.88037567008723</v>
      </c>
      <c r="O20" s="5">
        <f>Grade11!M20-M20</f>
        <v>113.67000000000007</v>
      </c>
      <c r="P20" s="22">
        <f t="shared" si="12"/>
        <v>91.143234047048296</v>
      </c>
      <c r="Q20" s="22"/>
      <c r="R20" s="22"/>
      <c r="S20" s="22">
        <f t="shared" si="6"/>
        <v>418.15973821894801</v>
      </c>
      <c r="T20" s="22">
        <f t="shared" si="7"/>
        <v>493.05705680690767</v>
      </c>
    </row>
    <row r="21" spans="1:20" x14ac:dyDescent="0.2">
      <c r="A21" s="5">
        <v>30</v>
      </c>
      <c r="B21" s="1">
        <f t="shared" si="8"/>
        <v>1.3448888242462975</v>
      </c>
      <c r="C21" s="5">
        <f t="shared" si="9"/>
        <v>27811.351131312676</v>
      </c>
      <c r="D21" s="5">
        <f t="shared" si="0"/>
        <v>27042.036010039978</v>
      </c>
      <c r="E21" s="5">
        <f t="shared" si="1"/>
        <v>17542.036010039978</v>
      </c>
      <c r="F21" s="5">
        <f t="shared" si="2"/>
        <v>6029.2247572780525</v>
      </c>
      <c r="G21" s="5">
        <f t="shared" si="3"/>
        <v>21012.811252761923</v>
      </c>
      <c r="H21" s="22">
        <f t="shared" si="10"/>
        <v>12793.051003229513</v>
      </c>
      <c r="I21" s="5">
        <f t="shared" si="4"/>
        <v>32999.90004278798</v>
      </c>
      <c r="J21" s="26">
        <f t="shared" si="5"/>
        <v>0.13263895484773061</v>
      </c>
      <c r="L21" s="22">
        <f t="shared" si="11"/>
        <v>38046.324800066039</v>
      </c>
      <c r="M21" s="5">
        <f>scrimecost*Meta!O18</f>
        <v>4371.4719999999998</v>
      </c>
      <c r="N21" s="5">
        <f>L21-Grade11!L21</f>
        <v>370.92738506184105</v>
      </c>
      <c r="O21" s="5">
        <f>Grade11!M21-M21</f>
        <v>91.638000000000829</v>
      </c>
      <c r="P21" s="22">
        <f t="shared" si="12"/>
        <v>92.803398058224488</v>
      </c>
      <c r="Q21" s="22"/>
      <c r="R21" s="22"/>
      <c r="S21" s="22">
        <f t="shared" si="6"/>
        <v>404.62560267798341</v>
      </c>
      <c r="T21" s="22">
        <f t="shared" si="7"/>
        <v>483.69459749860846</v>
      </c>
    </row>
    <row r="22" spans="1:20" x14ac:dyDescent="0.2">
      <c r="A22" s="5">
        <v>31</v>
      </c>
      <c r="B22" s="1">
        <f t="shared" si="8"/>
        <v>1.3785110448524549</v>
      </c>
      <c r="C22" s="5">
        <f t="shared" si="9"/>
        <v>28506.634909595494</v>
      </c>
      <c r="D22" s="5">
        <f t="shared" si="0"/>
        <v>27693.516910290979</v>
      </c>
      <c r="E22" s="5">
        <f t="shared" si="1"/>
        <v>18193.516910290979</v>
      </c>
      <c r="F22" s="5">
        <f t="shared" si="2"/>
        <v>6241.933271210004</v>
      </c>
      <c r="G22" s="5">
        <f t="shared" si="3"/>
        <v>21451.583639080975</v>
      </c>
      <c r="H22" s="22">
        <f t="shared" si="10"/>
        <v>13112.877278310252</v>
      </c>
      <c r="I22" s="5">
        <f t="shared" si="4"/>
        <v>33738.349648857678</v>
      </c>
      <c r="J22" s="26">
        <f t="shared" si="5"/>
        <v>0.13485827487865146</v>
      </c>
      <c r="L22" s="22">
        <f t="shared" si="11"/>
        <v>38997.482920067683</v>
      </c>
      <c r="M22" s="5">
        <f>scrimecost*Meta!O19</f>
        <v>4371.4719999999998</v>
      </c>
      <c r="N22" s="5">
        <f>L22-Grade11!L22</f>
        <v>380.20056968838617</v>
      </c>
      <c r="O22" s="5">
        <f>Grade11!M22-M22</f>
        <v>91.638000000000829</v>
      </c>
      <c r="P22" s="22">
        <f t="shared" si="12"/>
        <v>94.505066169680106</v>
      </c>
      <c r="Q22" s="22"/>
      <c r="R22" s="22"/>
      <c r="S22" s="22">
        <f t="shared" si="6"/>
        <v>412.00352854849234</v>
      </c>
      <c r="T22" s="22">
        <f t="shared" si="7"/>
        <v>499.32317866734792</v>
      </c>
    </row>
    <row r="23" spans="1:20" x14ac:dyDescent="0.2">
      <c r="A23" s="5">
        <v>32</v>
      </c>
      <c r="B23" s="1">
        <f t="shared" si="8"/>
        <v>1.4129738209737661</v>
      </c>
      <c r="C23" s="5">
        <f t="shared" si="9"/>
        <v>29219.30078233538</v>
      </c>
      <c r="D23" s="5">
        <f t="shared" si="0"/>
        <v>28361.284833048252</v>
      </c>
      <c r="E23" s="5">
        <f t="shared" si="1"/>
        <v>18861.284833048252</v>
      </c>
      <c r="F23" s="5">
        <f t="shared" si="2"/>
        <v>6459.959497990254</v>
      </c>
      <c r="G23" s="5">
        <f t="shared" si="3"/>
        <v>21901.325335057998</v>
      </c>
      <c r="H23" s="22">
        <f t="shared" si="10"/>
        <v>13440.699210268007</v>
      </c>
      <c r="I23" s="5">
        <f t="shared" si="4"/>
        <v>34495.260495079121</v>
      </c>
      <c r="J23" s="26">
        <f t="shared" si="5"/>
        <v>0.13702346515272062</v>
      </c>
      <c r="L23" s="22">
        <f t="shared" si="11"/>
        <v>39972.419993069379</v>
      </c>
      <c r="M23" s="5">
        <f>scrimecost*Meta!O20</f>
        <v>4371.4719999999998</v>
      </c>
      <c r="N23" s="5">
        <f>L23-Grade11!L23</f>
        <v>389.70558393059764</v>
      </c>
      <c r="O23" s="5">
        <f>Grade11!M23-M23</f>
        <v>91.638000000000829</v>
      </c>
      <c r="P23" s="22">
        <f t="shared" si="12"/>
        <v>96.249275983922118</v>
      </c>
      <c r="Q23" s="22"/>
      <c r="R23" s="22"/>
      <c r="S23" s="22">
        <f t="shared" si="6"/>
        <v>419.5659025657659</v>
      </c>
      <c r="T23" s="22">
        <f t="shared" si="7"/>
        <v>515.51806811719314</v>
      </c>
    </row>
    <row r="24" spans="1:20" x14ac:dyDescent="0.2">
      <c r="A24" s="5">
        <v>33</v>
      </c>
      <c r="B24" s="1">
        <f t="shared" si="8"/>
        <v>1.4482981664981105</v>
      </c>
      <c r="C24" s="5">
        <f t="shared" si="9"/>
        <v>29949.783301893767</v>
      </c>
      <c r="D24" s="5">
        <f t="shared" si="0"/>
        <v>29045.746953874459</v>
      </c>
      <c r="E24" s="5">
        <f t="shared" si="1"/>
        <v>19545.746953874459</v>
      </c>
      <c r="F24" s="5">
        <f t="shared" si="2"/>
        <v>6683.4363804400109</v>
      </c>
      <c r="G24" s="5">
        <f t="shared" si="3"/>
        <v>22362.31057343445</v>
      </c>
      <c r="H24" s="22">
        <f t="shared" si="10"/>
        <v>13776.716690524709</v>
      </c>
      <c r="I24" s="5">
        <f t="shared" si="4"/>
        <v>35271.094112456107</v>
      </c>
      <c r="J24" s="26">
        <f t="shared" si="5"/>
        <v>0.13913584590791001</v>
      </c>
      <c r="L24" s="22">
        <f t="shared" si="11"/>
        <v>40971.730492896117</v>
      </c>
      <c r="M24" s="5">
        <f>scrimecost*Meta!O21</f>
        <v>4371.4719999999998</v>
      </c>
      <c r="N24" s="5">
        <f>L24-Grade11!L24</f>
        <v>399.44822352886695</v>
      </c>
      <c r="O24" s="5">
        <f>Grade11!M24-M24</f>
        <v>91.638000000000829</v>
      </c>
      <c r="P24" s="22">
        <f t="shared" si="12"/>
        <v>98.037091043520178</v>
      </c>
      <c r="Q24" s="22"/>
      <c r="R24" s="22"/>
      <c r="S24" s="22">
        <f t="shared" si="6"/>
        <v>427.31733593347263</v>
      </c>
      <c r="T24" s="22">
        <f t="shared" si="7"/>
        <v>532.30081424264131</v>
      </c>
    </row>
    <row r="25" spans="1:20" x14ac:dyDescent="0.2">
      <c r="A25" s="5">
        <v>34</v>
      </c>
      <c r="B25" s="1">
        <f t="shared" si="8"/>
        <v>1.4845056206605631</v>
      </c>
      <c r="C25" s="5">
        <f t="shared" si="9"/>
        <v>30698.527884441108</v>
      </c>
      <c r="D25" s="5">
        <f t="shared" si="0"/>
        <v>29747.320627721318</v>
      </c>
      <c r="E25" s="5">
        <f t="shared" si="1"/>
        <v>20247.320627721318</v>
      </c>
      <c r="F25" s="5">
        <f t="shared" si="2"/>
        <v>6912.5001849510099</v>
      </c>
      <c r="G25" s="5">
        <f t="shared" si="3"/>
        <v>22834.820442770309</v>
      </c>
      <c r="H25" s="22">
        <f t="shared" si="10"/>
        <v>14121.134607787824</v>
      </c>
      <c r="I25" s="5">
        <f t="shared" si="4"/>
        <v>36066.323570267501</v>
      </c>
      <c r="J25" s="26">
        <f t="shared" si="5"/>
        <v>0.14119670518126548</v>
      </c>
      <c r="L25" s="22">
        <f t="shared" si="11"/>
        <v>41996.023755218514</v>
      </c>
      <c r="M25" s="5">
        <f>scrimecost*Meta!O22</f>
        <v>4371.4719999999998</v>
      </c>
      <c r="N25" s="5">
        <f>L25-Grade11!L25</f>
        <v>409.4344291170928</v>
      </c>
      <c r="O25" s="5">
        <f>Grade11!M25-M25</f>
        <v>91.638000000000829</v>
      </c>
      <c r="P25" s="22">
        <f t="shared" si="12"/>
        <v>99.869601479608164</v>
      </c>
      <c r="Q25" s="22"/>
      <c r="R25" s="22"/>
      <c r="S25" s="22">
        <f t="shared" si="6"/>
        <v>435.26255513537205</v>
      </c>
      <c r="T25" s="22">
        <f t="shared" si="7"/>
        <v>549.6938007311046</v>
      </c>
    </row>
    <row r="26" spans="1:20" x14ac:dyDescent="0.2">
      <c r="A26" s="5">
        <v>35</v>
      </c>
      <c r="B26" s="1">
        <f t="shared" si="8"/>
        <v>1.521618261177077</v>
      </c>
      <c r="C26" s="5">
        <f t="shared" si="9"/>
        <v>31465.991081552133</v>
      </c>
      <c r="D26" s="5">
        <f t="shared" si="0"/>
        <v>30466.433643414348</v>
      </c>
      <c r="E26" s="5">
        <f t="shared" si="1"/>
        <v>20966.433643414348</v>
      </c>
      <c r="F26" s="5">
        <f t="shared" si="2"/>
        <v>7147.2905845747846</v>
      </c>
      <c r="G26" s="5">
        <f t="shared" si="3"/>
        <v>23319.143058839563</v>
      </c>
      <c r="H26" s="22">
        <f t="shared" si="10"/>
        <v>14474.16297298252</v>
      </c>
      <c r="I26" s="5">
        <f t="shared" si="4"/>
        <v>36881.433764524183</v>
      </c>
      <c r="J26" s="26">
        <f t="shared" si="5"/>
        <v>0.14320729959429523</v>
      </c>
      <c r="L26" s="22">
        <f t="shared" si="11"/>
        <v>43045.924349098976</v>
      </c>
      <c r="M26" s="5">
        <f>scrimecost*Meta!O23</f>
        <v>3392.5919999999996</v>
      </c>
      <c r="N26" s="5">
        <f>L26-Grade11!L26</f>
        <v>419.67028984501667</v>
      </c>
      <c r="O26" s="5">
        <f>Grade11!M26-M26</f>
        <v>71.118000000000393</v>
      </c>
      <c r="P26" s="22">
        <f t="shared" si="12"/>
        <v>101.74792467659837</v>
      </c>
      <c r="Q26" s="22"/>
      <c r="R26" s="22"/>
      <c r="S26" s="22">
        <f t="shared" si="6"/>
        <v>424.09708481731377</v>
      </c>
      <c r="T26" s="22">
        <f t="shared" si="7"/>
        <v>542.99737840465218</v>
      </c>
    </row>
    <row r="27" spans="1:20" x14ac:dyDescent="0.2">
      <c r="A27" s="5">
        <v>36</v>
      </c>
      <c r="B27" s="1">
        <f t="shared" si="8"/>
        <v>1.559658717706504</v>
      </c>
      <c r="C27" s="5">
        <f t="shared" si="9"/>
        <v>32252.640858590938</v>
      </c>
      <c r="D27" s="5">
        <f t="shared" si="0"/>
        <v>31203.524484499711</v>
      </c>
      <c r="E27" s="5">
        <f t="shared" si="1"/>
        <v>21703.524484499711</v>
      </c>
      <c r="F27" s="5">
        <f t="shared" si="2"/>
        <v>7387.9507441891556</v>
      </c>
      <c r="G27" s="5">
        <f t="shared" si="3"/>
        <v>23815.573740310556</v>
      </c>
      <c r="H27" s="22">
        <f t="shared" si="10"/>
        <v>14836.017047307083</v>
      </c>
      <c r="I27" s="5">
        <f t="shared" si="4"/>
        <v>37716.92171363729</v>
      </c>
      <c r="J27" s="26">
        <f t="shared" si="5"/>
        <v>0.14516885511920233</v>
      </c>
      <c r="L27" s="22">
        <f t="shared" si="11"/>
        <v>44122.072457826449</v>
      </c>
      <c r="M27" s="5">
        <f>scrimecost*Meta!O24</f>
        <v>3392.5919999999996</v>
      </c>
      <c r="N27" s="5">
        <f>L27-Grade11!L27</f>
        <v>430.16204709113663</v>
      </c>
      <c r="O27" s="5">
        <f>Grade11!M27-M27</f>
        <v>71.118000000000393</v>
      </c>
      <c r="P27" s="22">
        <f t="shared" si="12"/>
        <v>103.67320595351333</v>
      </c>
      <c r="Q27" s="22"/>
      <c r="R27" s="22"/>
      <c r="S27" s="22">
        <f t="shared" si="6"/>
        <v>432.4445307413032</v>
      </c>
      <c r="T27" s="22">
        <f t="shared" si="7"/>
        <v>561.33971278490435</v>
      </c>
    </row>
    <row r="28" spans="1:20" x14ac:dyDescent="0.2">
      <c r="A28" s="5">
        <v>37</v>
      </c>
      <c r="B28" s="1">
        <f t="shared" si="8"/>
        <v>1.5986501856491666</v>
      </c>
      <c r="C28" s="5">
        <f t="shared" si="9"/>
        <v>33058.95688005571</v>
      </c>
      <c r="D28" s="5">
        <f t="shared" si="0"/>
        <v>31959.042596612202</v>
      </c>
      <c r="E28" s="5">
        <f t="shared" si="1"/>
        <v>22459.042596612202</v>
      </c>
      <c r="F28" s="5">
        <f t="shared" si="2"/>
        <v>7634.6274077938833</v>
      </c>
      <c r="G28" s="5">
        <f t="shared" si="3"/>
        <v>24324.415188818319</v>
      </c>
      <c r="H28" s="22">
        <f t="shared" si="10"/>
        <v>15206.917473489759</v>
      </c>
      <c r="I28" s="5">
        <f t="shared" si="4"/>
        <v>38573.296861478222</v>
      </c>
      <c r="J28" s="26">
        <f t="shared" si="5"/>
        <v>0.14708256782642873</v>
      </c>
      <c r="L28" s="22">
        <f t="shared" si="11"/>
        <v>45225.124269272113</v>
      </c>
      <c r="M28" s="5">
        <f>scrimecost*Meta!O25</f>
        <v>3392.5919999999996</v>
      </c>
      <c r="N28" s="5">
        <f>L28-Grade11!L28</f>
        <v>440.91609826842614</v>
      </c>
      <c r="O28" s="5">
        <f>Grade11!M28-M28</f>
        <v>71.118000000000393</v>
      </c>
      <c r="P28" s="22">
        <f t="shared" si="12"/>
        <v>105.64661926235117</v>
      </c>
      <c r="Q28" s="22"/>
      <c r="R28" s="22"/>
      <c r="S28" s="22">
        <f t="shared" si="6"/>
        <v>441.0006628134027</v>
      </c>
      <c r="T28" s="22">
        <f t="shared" si="7"/>
        <v>580.36005757803389</v>
      </c>
    </row>
    <row r="29" spans="1:20" x14ac:dyDescent="0.2">
      <c r="A29" s="5">
        <v>38</v>
      </c>
      <c r="B29" s="1">
        <f t="shared" si="8"/>
        <v>1.6386164402903955</v>
      </c>
      <c r="C29" s="5">
        <f t="shared" si="9"/>
        <v>33885.430802057097</v>
      </c>
      <c r="D29" s="5">
        <f t="shared" si="0"/>
        <v>32733.448661527502</v>
      </c>
      <c r="E29" s="5">
        <f t="shared" si="1"/>
        <v>23233.448661527502</v>
      </c>
      <c r="F29" s="5">
        <f t="shared" si="2"/>
        <v>7887.4709879887287</v>
      </c>
      <c r="G29" s="5">
        <f t="shared" si="3"/>
        <v>24845.977673538771</v>
      </c>
      <c r="H29" s="22">
        <f t="shared" si="10"/>
        <v>15587.090410327</v>
      </c>
      <c r="I29" s="5">
        <f t="shared" si="4"/>
        <v>39451.081388015169</v>
      </c>
      <c r="J29" s="26">
        <f t="shared" si="5"/>
        <v>0.1489496046139667</v>
      </c>
      <c r="L29" s="22">
        <f t="shared" si="11"/>
        <v>46355.752376003904</v>
      </c>
      <c r="M29" s="5">
        <f>scrimecost*Meta!O26</f>
        <v>3392.5919999999996</v>
      </c>
      <c r="N29" s="5">
        <f>L29-Grade11!L29</f>
        <v>451.9390007251277</v>
      </c>
      <c r="O29" s="5">
        <f>Grade11!M29-M29</f>
        <v>71.118000000000393</v>
      </c>
      <c r="P29" s="22">
        <f t="shared" si="12"/>
        <v>107.66936790390992</v>
      </c>
      <c r="Q29" s="22"/>
      <c r="R29" s="22"/>
      <c r="S29" s="22">
        <f t="shared" si="6"/>
        <v>449.77069818729211</v>
      </c>
      <c r="T29" s="22">
        <f t="shared" si="7"/>
        <v>600.08441129774121</v>
      </c>
    </row>
    <row r="30" spans="1:20" x14ac:dyDescent="0.2">
      <c r="A30" s="5">
        <v>39</v>
      </c>
      <c r="B30" s="1">
        <f t="shared" si="8"/>
        <v>1.6795818512976552</v>
      </c>
      <c r="C30" s="5">
        <f t="shared" si="9"/>
        <v>34732.566572108524</v>
      </c>
      <c r="D30" s="5">
        <f t="shared" si="0"/>
        <v>33527.214878065693</v>
      </c>
      <c r="E30" s="5">
        <f t="shared" si="1"/>
        <v>24027.214878065693</v>
      </c>
      <c r="F30" s="5">
        <f t="shared" si="2"/>
        <v>8146.6356576884491</v>
      </c>
      <c r="G30" s="5">
        <f t="shared" si="3"/>
        <v>25380.579220377243</v>
      </c>
      <c r="H30" s="22">
        <f t="shared" si="10"/>
        <v>15976.767670585174</v>
      </c>
      <c r="I30" s="5">
        <f t="shared" si="4"/>
        <v>40350.810527715556</v>
      </c>
      <c r="J30" s="26">
        <f t="shared" si="5"/>
        <v>0.15077110391888182</v>
      </c>
      <c r="L30" s="22">
        <f t="shared" si="11"/>
        <v>47514.646185403995</v>
      </c>
      <c r="M30" s="5">
        <f>scrimecost*Meta!O27</f>
        <v>3392.5919999999996</v>
      </c>
      <c r="N30" s="5">
        <f>L30-Grade11!L30</f>
        <v>463.23747574325535</v>
      </c>
      <c r="O30" s="5">
        <f>Grade11!M30-M30</f>
        <v>71.118000000000393</v>
      </c>
      <c r="P30" s="22">
        <f t="shared" si="12"/>
        <v>109.74268526150767</v>
      </c>
      <c r="Q30" s="22"/>
      <c r="R30" s="22"/>
      <c r="S30" s="22">
        <f t="shared" si="6"/>
        <v>458.75998444553409</v>
      </c>
      <c r="T30" s="22">
        <f t="shared" si="7"/>
        <v>620.53978309646664</v>
      </c>
    </row>
    <row r="31" spans="1:20" x14ac:dyDescent="0.2">
      <c r="A31" s="5">
        <v>40</v>
      </c>
      <c r="B31" s="1">
        <f t="shared" si="8"/>
        <v>1.7215713975800966</v>
      </c>
      <c r="C31" s="5">
        <f t="shared" si="9"/>
        <v>35600.880736411236</v>
      </c>
      <c r="D31" s="5">
        <f t="shared" si="0"/>
        <v>34340.825250017333</v>
      </c>
      <c r="E31" s="5">
        <f t="shared" si="1"/>
        <v>24840.825250017333</v>
      </c>
      <c r="F31" s="5">
        <f t="shared" si="2"/>
        <v>8412.2794441306596</v>
      </c>
      <c r="G31" s="5">
        <f t="shared" si="3"/>
        <v>25928.545805886672</v>
      </c>
      <c r="H31" s="22">
        <f t="shared" si="10"/>
        <v>16376.186862349805</v>
      </c>
      <c r="I31" s="5">
        <f t="shared" si="4"/>
        <v>41273.032895908444</v>
      </c>
      <c r="J31" s="26">
        <f t="shared" si="5"/>
        <v>0.15254817641148191</v>
      </c>
      <c r="L31" s="22">
        <f t="shared" si="11"/>
        <v>48702.512340039102</v>
      </c>
      <c r="M31" s="5">
        <f>scrimecost*Meta!O28</f>
        <v>2967.5519999999997</v>
      </c>
      <c r="N31" s="5">
        <f>L31-Grade11!L31</f>
        <v>474.818412636836</v>
      </c>
      <c r="O31" s="5">
        <f>Grade11!M31-M31</f>
        <v>62.208000000000084</v>
      </c>
      <c r="P31" s="22">
        <f t="shared" si="12"/>
        <v>111.86783555304537</v>
      </c>
      <c r="Q31" s="22"/>
      <c r="R31" s="22"/>
      <c r="S31" s="22">
        <f t="shared" si="6"/>
        <v>459.58969286023165</v>
      </c>
      <c r="T31" s="22">
        <f t="shared" si="7"/>
        <v>630.25644306478137</v>
      </c>
    </row>
    <row r="32" spans="1:20" x14ac:dyDescent="0.2">
      <c r="A32" s="5">
        <v>41</v>
      </c>
      <c r="B32" s="1">
        <f t="shared" si="8"/>
        <v>1.7646106825195991</v>
      </c>
      <c r="C32" s="5">
        <f t="shared" si="9"/>
        <v>36490.902754821524</v>
      </c>
      <c r="D32" s="5">
        <f t="shared" si="0"/>
        <v>35174.775881267771</v>
      </c>
      <c r="E32" s="5">
        <f t="shared" si="1"/>
        <v>25674.775881267771</v>
      </c>
      <c r="F32" s="5">
        <f t="shared" si="2"/>
        <v>8684.5643252339269</v>
      </c>
      <c r="G32" s="5">
        <f t="shared" si="3"/>
        <v>26490.211556033842</v>
      </c>
      <c r="H32" s="22">
        <f t="shared" si="10"/>
        <v>16785.591533908548</v>
      </c>
      <c r="I32" s="5">
        <f t="shared" si="4"/>
        <v>42218.31082330615</v>
      </c>
      <c r="J32" s="26">
        <f t="shared" si="5"/>
        <v>0.15428190567255518</v>
      </c>
      <c r="L32" s="22">
        <f t="shared" si="11"/>
        <v>49920.075148540076</v>
      </c>
      <c r="M32" s="5">
        <f>scrimecost*Meta!O29</f>
        <v>2967.5519999999997</v>
      </c>
      <c r="N32" s="5">
        <f>L32-Grade11!L32</f>
        <v>486.68887295275636</v>
      </c>
      <c r="O32" s="5">
        <f>Grade11!M32-M32</f>
        <v>62.208000000000084</v>
      </c>
      <c r="P32" s="22">
        <f t="shared" si="12"/>
        <v>114.04611460187151</v>
      </c>
      <c r="Q32" s="22"/>
      <c r="R32" s="22"/>
      <c r="S32" s="22">
        <f t="shared" si="6"/>
        <v>469.03406173529709</v>
      </c>
      <c r="T32" s="22">
        <f t="shared" si="7"/>
        <v>652.10016526337756</v>
      </c>
    </row>
    <row r="33" spans="1:20" x14ac:dyDescent="0.2">
      <c r="A33" s="5">
        <v>42</v>
      </c>
      <c r="B33" s="1">
        <f t="shared" si="8"/>
        <v>1.8087259495825889</v>
      </c>
      <c r="C33" s="5">
        <f t="shared" si="9"/>
        <v>37403.175323692049</v>
      </c>
      <c r="D33" s="5">
        <f t="shared" si="0"/>
        <v>36029.575278299453</v>
      </c>
      <c r="E33" s="5">
        <f t="shared" si="1"/>
        <v>26529.575278299453</v>
      </c>
      <c r="F33" s="5">
        <f t="shared" si="2"/>
        <v>8963.656328364772</v>
      </c>
      <c r="G33" s="5">
        <f t="shared" si="3"/>
        <v>27065.918949934683</v>
      </c>
      <c r="H33" s="22">
        <f t="shared" si="10"/>
        <v>17205.231322256263</v>
      </c>
      <c r="I33" s="5">
        <f t="shared" si="4"/>
        <v>43187.220698888799</v>
      </c>
      <c r="J33" s="26">
        <f t="shared" si="5"/>
        <v>0.15597334885409003</v>
      </c>
      <c r="L33" s="22">
        <f t="shared" si="11"/>
        <v>51168.077027253574</v>
      </c>
      <c r="M33" s="5">
        <f>scrimecost*Meta!O30</f>
        <v>2967.5519999999997</v>
      </c>
      <c r="N33" s="5">
        <f>L33-Grade11!L33</f>
        <v>498.85609477657999</v>
      </c>
      <c r="O33" s="5">
        <f>Grade11!M33-M33</f>
        <v>62.208000000000084</v>
      </c>
      <c r="P33" s="22">
        <f t="shared" si="12"/>
        <v>116.27885062691827</v>
      </c>
      <c r="Q33" s="22"/>
      <c r="R33" s="22"/>
      <c r="S33" s="22">
        <f t="shared" si="6"/>
        <v>478.71453983224245</v>
      </c>
      <c r="T33" s="22">
        <f t="shared" si="7"/>
        <v>674.76020189973099</v>
      </c>
    </row>
    <row r="34" spans="1:20" x14ac:dyDescent="0.2">
      <c r="A34" s="5">
        <v>43</v>
      </c>
      <c r="B34" s="1">
        <f t="shared" si="8"/>
        <v>1.8539440983221533</v>
      </c>
      <c r="C34" s="5">
        <f t="shared" si="9"/>
        <v>38338.254706784348</v>
      </c>
      <c r="D34" s="5">
        <f t="shared" si="0"/>
        <v>36905.74466025694</v>
      </c>
      <c r="E34" s="5">
        <f t="shared" si="1"/>
        <v>27405.74466025694</v>
      </c>
      <c r="F34" s="5">
        <f t="shared" si="2"/>
        <v>9249.7256315738905</v>
      </c>
      <c r="G34" s="5">
        <f t="shared" si="3"/>
        <v>27656.019028683048</v>
      </c>
      <c r="H34" s="22">
        <f t="shared" si="10"/>
        <v>17635.362105312666</v>
      </c>
      <c r="I34" s="5">
        <f t="shared" si="4"/>
        <v>44180.353321361021</v>
      </c>
      <c r="J34" s="26">
        <f t="shared" si="5"/>
        <v>0.15762353732388021</v>
      </c>
      <c r="L34" s="22">
        <f t="shared" si="11"/>
        <v>52447.278952934903</v>
      </c>
      <c r="M34" s="5">
        <f>scrimecost*Meta!O31</f>
        <v>2967.5519999999997</v>
      </c>
      <c r="N34" s="5">
        <f>L34-Grade11!L34</f>
        <v>511.32749714598322</v>
      </c>
      <c r="O34" s="5">
        <f>Grade11!M34-M34</f>
        <v>62.208000000000084</v>
      </c>
      <c r="P34" s="22">
        <f t="shared" si="12"/>
        <v>118.56740505259124</v>
      </c>
      <c r="Q34" s="22"/>
      <c r="R34" s="22"/>
      <c r="S34" s="22">
        <f t="shared" si="6"/>
        <v>488.63702988160145</v>
      </c>
      <c r="T34" s="22">
        <f t="shared" si="7"/>
        <v>698.26798485761708</v>
      </c>
    </row>
    <row r="35" spans="1:20" x14ac:dyDescent="0.2">
      <c r="A35" s="5">
        <v>44</v>
      </c>
      <c r="B35" s="1">
        <f t="shared" si="8"/>
        <v>1.9002927007802071</v>
      </c>
      <c r="C35" s="5">
        <f t="shared" si="9"/>
        <v>39296.711074453953</v>
      </c>
      <c r="D35" s="5">
        <f t="shared" si="0"/>
        <v>37803.818276763363</v>
      </c>
      <c r="E35" s="5">
        <f t="shared" si="1"/>
        <v>28303.818276763363</v>
      </c>
      <c r="F35" s="5">
        <f t="shared" si="2"/>
        <v>9542.9466673632378</v>
      </c>
      <c r="G35" s="5">
        <f t="shared" si="3"/>
        <v>28260.871609400125</v>
      </c>
      <c r="H35" s="22">
        <f t="shared" si="10"/>
        <v>18076.246157945479</v>
      </c>
      <c r="I35" s="5">
        <f t="shared" si="4"/>
        <v>45198.31425939504</v>
      </c>
      <c r="J35" s="26">
        <f t="shared" si="5"/>
        <v>0.15923347729440715</v>
      </c>
      <c r="L35" s="22">
        <f t="shared" si="11"/>
        <v>53758.460926758271</v>
      </c>
      <c r="M35" s="5">
        <f>scrimecost*Meta!O32</f>
        <v>2967.5519999999997</v>
      </c>
      <c r="N35" s="5">
        <f>L35-Grade11!L35</f>
        <v>524.11068457463989</v>
      </c>
      <c r="O35" s="5">
        <f>Grade11!M35-M35</f>
        <v>62.208000000000084</v>
      </c>
      <c r="P35" s="22">
        <f t="shared" si="12"/>
        <v>120.91317333890601</v>
      </c>
      <c r="Q35" s="22"/>
      <c r="R35" s="22"/>
      <c r="S35" s="22">
        <f t="shared" si="6"/>
        <v>498.80758218220586</v>
      </c>
      <c r="T35" s="22">
        <f t="shared" si="7"/>
        <v>722.65616970737301</v>
      </c>
    </row>
    <row r="36" spans="1:20" x14ac:dyDescent="0.2">
      <c r="A36" s="5">
        <v>45</v>
      </c>
      <c r="B36" s="1">
        <f t="shared" si="8"/>
        <v>1.9478000182997122</v>
      </c>
      <c r="C36" s="5">
        <f t="shared" si="9"/>
        <v>40279.128851315305</v>
      </c>
      <c r="D36" s="5">
        <f t="shared" si="0"/>
        <v>38724.343733682443</v>
      </c>
      <c r="E36" s="5">
        <f t="shared" si="1"/>
        <v>29224.343733682443</v>
      </c>
      <c r="F36" s="5">
        <f t="shared" si="2"/>
        <v>9843.4982290473181</v>
      </c>
      <c r="G36" s="5">
        <f t="shared" si="3"/>
        <v>28880.845504635123</v>
      </c>
      <c r="H36" s="22">
        <f t="shared" si="10"/>
        <v>18528.152311894115</v>
      </c>
      <c r="I36" s="5">
        <f t="shared" si="4"/>
        <v>46241.724220879914</v>
      </c>
      <c r="J36" s="26">
        <f t="shared" si="5"/>
        <v>0.16080415043638469</v>
      </c>
      <c r="L36" s="22">
        <f t="shared" si="11"/>
        <v>55102.422449927224</v>
      </c>
      <c r="M36" s="5">
        <f>scrimecost*Meta!O33</f>
        <v>2398.2560000000003</v>
      </c>
      <c r="N36" s="5">
        <f>L36-Grade11!L36</f>
        <v>537.21345168900734</v>
      </c>
      <c r="O36" s="5">
        <f>Grade11!M36-M36</f>
        <v>50.273999999999887</v>
      </c>
      <c r="P36" s="22">
        <f t="shared" si="12"/>
        <v>123.31758583237865</v>
      </c>
      <c r="Q36" s="22"/>
      <c r="R36" s="22"/>
      <c r="S36" s="22">
        <f t="shared" si="6"/>
        <v>498.00250429032178</v>
      </c>
      <c r="T36" s="22">
        <f t="shared" si="7"/>
        <v>731.46425631266538</v>
      </c>
    </row>
    <row r="37" spans="1:20" x14ac:dyDescent="0.2">
      <c r="A37" s="5">
        <v>46</v>
      </c>
      <c r="B37" s="1">
        <f t="shared" ref="B37:B56" si="13">(1+experiencepremium)^(A37-startage)</f>
        <v>1.9964950187572048</v>
      </c>
      <c r="C37" s="5">
        <f t="shared" ref="C37:C56" si="14">pretaxincome*B37/expnorm</f>
        <v>41286.107072598184</v>
      </c>
      <c r="D37" s="5">
        <f t="shared" ref="D37:D56" si="15">IF(A37&lt;startage,1,0)*(C37*(1-initialunempprob))+IF(A37=startage,1,0)*(C37*(1-unempprob))+IF(A37&gt;startage,1,0)*(C37*(1-unempprob)+unempprob*300*52)</f>
        <v>39667.882327024505</v>
      </c>
      <c r="E37" s="5">
        <f t="shared" si="1"/>
        <v>30167.882327024505</v>
      </c>
      <c r="F37" s="5">
        <f t="shared" si="2"/>
        <v>10151.563579773501</v>
      </c>
      <c r="G37" s="5">
        <f t="shared" si="3"/>
        <v>29516.318747251004</v>
      </c>
      <c r="H37" s="22">
        <f t="shared" ref="H37:H56" si="16">benefits*B37/expnorm</f>
        <v>18991.356119691471</v>
      </c>
      <c r="I37" s="5">
        <f t="shared" ref="I37:I56" si="17">G37+IF(A37&lt;startage,1,0)*(H37*(1-initialunempprob))+IF(A37&gt;=startage,1,0)*(H37*(1-unempprob))</f>
        <v>47311.219431401914</v>
      </c>
      <c r="J37" s="26">
        <f t="shared" si="5"/>
        <v>0.16233651447733838</v>
      </c>
      <c r="L37" s="22">
        <f t="shared" ref="L37:L56" si="18">(sincome+sbenefits)*(1-sunemp)*B37/expnorm</f>
        <v>56479.983011175405</v>
      </c>
      <c r="M37" s="5">
        <f>scrimecost*Meta!O34</f>
        <v>2398.2560000000003</v>
      </c>
      <c r="N37" s="5">
        <f>L37-Grade11!L37</f>
        <v>550.64378798122198</v>
      </c>
      <c r="O37" s="5">
        <f>Grade11!M37-M37</f>
        <v>50.273999999999887</v>
      </c>
      <c r="P37" s="22">
        <f t="shared" si="12"/>
        <v>125.78210863818813</v>
      </c>
      <c r="Q37" s="22"/>
      <c r="R37" s="22"/>
      <c r="S37" s="22">
        <f t="shared" si="6"/>
        <v>508.68794080113327</v>
      </c>
      <c r="T37" s="22">
        <f t="shared" si="7"/>
        <v>757.48831514456572</v>
      </c>
    </row>
    <row r="38" spans="1:20" x14ac:dyDescent="0.2">
      <c r="A38" s="5">
        <v>47</v>
      </c>
      <c r="B38" s="1">
        <f t="shared" si="13"/>
        <v>2.0464073942261352</v>
      </c>
      <c r="C38" s="5">
        <f t="shared" si="14"/>
        <v>42318.259749413141</v>
      </c>
      <c r="D38" s="5">
        <f t="shared" si="15"/>
        <v>40635.009385200116</v>
      </c>
      <c r="E38" s="5">
        <f t="shared" si="1"/>
        <v>31135.009385200116</v>
      </c>
      <c r="F38" s="5">
        <f t="shared" si="2"/>
        <v>10467.330564267839</v>
      </c>
      <c r="G38" s="5">
        <f t="shared" si="3"/>
        <v>30167.678820932277</v>
      </c>
      <c r="H38" s="22">
        <f t="shared" si="16"/>
        <v>19466.140022683758</v>
      </c>
      <c r="I38" s="5">
        <f t="shared" si="17"/>
        <v>48407.452022186961</v>
      </c>
      <c r="J38" s="26">
        <f t="shared" si="5"/>
        <v>0.16383150378558586</v>
      </c>
      <c r="L38" s="22">
        <f t="shared" si="18"/>
        <v>57891.982586454797</v>
      </c>
      <c r="M38" s="5">
        <f>scrimecost*Meta!O35</f>
        <v>2398.2560000000003</v>
      </c>
      <c r="N38" s="5">
        <f>L38-Grade11!L38</f>
        <v>564.4098826807749</v>
      </c>
      <c r="O38" s="5">
        <f>Grade11!M38-M38</f>
        <v>50.273999999999887</v>
      </c>
      <c r="P38" s="22">
        <f t="shared" si="12"/>
        <v>128.30824451414284</v>
      </c>
      <c r="Q38" s="22"/>
      <c r="R38" s="22"/>
      <c r="S38" s="22">
        <f t="shared" si="6"/>
        <v>519.64051322473551</v>
      </c>
      <c r="T38" s="22">
        <f t="shared" si="7"/>
        <v>784.49541991408262</v>
      </c>
    </row>
    <row r="39" spans="1:20" x14ac:dyDescent="0.2">
      <c r="A39" s="5">
        <v>48</v>
      </c>
      <c r="B39" s="1">
        <f t="shared" si="13"/>
        <v>2.097567579081788</v>
      </c>
      <c r="C39" s="5">
        <f t="shared" si="14"/>
        <v>43376.216243148461</v>
      </c>
      <c r="D39" s="5">
        <f t="shared" si="15"/>
        <v>41626.314619830111</v>
      </c>
      <c r="E39" s="5">
        <f t="shared" si="1"/>
        <v>32126.314619830111</v>
      </c>
      <c r="F39" s="5">
        <f t="shared" si="2"/>
        <v>10790.991723374531</v>
      </c>
      <c r="G39" s="5">
        <f t="shared" si="3"/>
        <v>30835.322896455582</v>
      </c>
      <c r="H39" s="22">
        <f t="shared" si="16"/>
        <v>19952.79352325085</v>
      </c>
      <c r="I39" s="5">
        <f t="shared" si="17"/>
        <v>49531.090427741627</v>
      </c>
      <c r="J39" s="26">
        <f t="shared" si="5"/>
        <v>0.16529002993997363</v>
      </c>
      <c r="L39" s="22">
        <f t="shared" si="18"/>
        <v>59339.282151116153</v>
      </c>
      <c r="M39" s="5">
        <f>scrimecost*Meta!O36</f>
        <v>2398.2560000000003</v>
      </c>
      <c r="N39" s="5">
        <f>L39-Grade11!L39</f>
        <v>578.52012974776153</v>
      </c>
      <c r="O39" s="5">
        <f>Grade11!M39-M39</f>
        <v>50.273999999999887</v>
      </c>
      <c r="P39" s="22">
        <f t="shared" si="12"/>
        <v>130.89753378699638</v>
      </c>
      <c r="Q39" s="22"/>
      <c r="R39" s="22"/>
      <c r="S39" s="22">
        <f t="shared" si="6"/>
        <v>530.86689995889355</v>
      </c>
      <c r="T39" s="22">
        <f t="shared" si="7"/>
        <v>812.52357472888013</v>
      </c>
    </row>
    <row r="40" spans="1:20" x14ac:dyDescent="0.2">
      <c r="A40" s="5">
        <v>49</v>
      </c>
      <c r="B40" s="1">
        <f t="shared" si="13"/>
        <v>2.1500067685588333</v>
      </c>
      <c r="C40" s="5">
        <f t="shared" si="14"/>
        <v>44460.621649227185</v>
      </c>
      <c r="D40" s="5">
        <f t="shared" si="15"/>
        <v>42642.402485325874</v>
      </c>
      <c r="E40" s="5">
        <f t="shared" si="1"/>
        <v>33142.402485325874</v>
      </c>
      <c r="F40" s="5">
        <f t="shared" si="2"/>
        <v>11122.744411458898</v>
      </c>
      <c r="G40" s="5">
        <f t="shared" si="3"/>
        <v>31519.658073866976</v>
      </c>
      <c r="H40" s="22">
        <f t="shared" si="16"/>
        <v>20451.613361332125</v>
      </c>
      <c r="I40" s="5">
        <f t="shared" si="17"/>
        <v>50682.819793435177</v>
      </c>
      <c r="J40" s="26">
        <f t="shared" ref="J40:J56" si="19">(F40-(IF(A40&gt;startage,1,0)*(unempprob*300*52)))/(IF(A40&lt;startage,1,0)*((C40+H40)*(1-initialunempprob))+IF(A40&gt;=startage,1,0)*((C40+H40)*(1-unempprob)))</f>
        <v>0.16671298228571782</v>
      </c>
      <c r="L40" s="22">
        <f t="shared" si="18"/>
        <v>60822.764204894076</v>
      </c>
      <c r="M40" s="5">
        <f>scrimecost*Meta!O37</f>
        <v>2398.2560000000003</v>
      </c>
      <c r="N40" s="5">
        <f>L40-Grade11!L40</f>
        <v>592.98313299148867</v>
      </c>
      <c r="O40" s="5">
        <f>Grade11!M40-M40</f>
        <v>50.273999999999887</v>
      </c>
      <c r="P40" s="22">
        <f t="shared" si="12"/>
        <v>133.55155529167132</v>
      </c>
      <c r="Q40" s="22"/>
      <c r="R40" s="22"/>
      <c r="S40" s="22">
        <f t="shared" ref="S40:S69" si="20">IF(A40&lt;startage,1,0)*(N40-Q40-R40)+IF(A40&gt;=startage,1,0)*completionprob*(N40*spart+O40+P40)</f>
        <v>542.37394636144643</v>
      </c>
      <c r="T40" s="22">
        <f t="shared" ref="T40:T69" si="21">S40/sreturn^(A40-startage+1)</f>
        <v>841.61226539083611</v>
      </c>
    </row>
    <row r="41" spans="1:20" x14ac:dyDescent="0.2">
      <c r="A41" s="5">
        <v>50</v>
      </c>
      <c r="B41" s="1">
        <f t="shared" si="13"/>
        <v>2.2037569377728037</v>
      </c>
      <c r="C41" s="5">
        <f t="shared" si="14"/>
        <v>45572.137190457855</v>
      </c>
      <c r="D41" s="5">
        <f t="shared" si="15"/>
        <v>43683.892547459014</v>
      </c>
      <c r="E41" s="5">
        <f t="shared" si="1"/>
        <v>34183.892547459014</v>
      </c>
      <c r="F41" s="5">
        <f t="shared" si="2"/>
        <v>11462.790916745369</v>
      </c>
      <c r="G41" s="5">
        <f t="shared" si="3"/>
        <v>32221.101630713645</v>
      </c>
      <c r="H41" s="22">
        <f t="shared" si="16"/>
        <v>20962.903695365421</v>
      </c>
      <c r="I41" s="5">
        <f t="shared" si="17"/>
        <v>51863.342393271043</v>
      </c>
      <c r="J41" s="26">
        <f t="shared" si="19"/>
        <v>0.16810122847668776</v>
      </c>
      <c r="L41" s="22">
        <f t="shared" si="18"/>
        <v>62343.333310016409</v>
      </c>
      <c r="M41" s="5">
        <f>scrimecost*Meta!O38</f>
        <v>1602.2719999999999</v>
      </c>
      <c r="N41" s="5">
        <f>L41-Grade11!L41</f>
        <v>607.80771131625806</v>
      </c>
      <c r="O41" s="5">
        <f>Grade11!M41-M41</f>
        <v>33.587999999999965</v>
      </c>
      <c r="P41" s="22">
        <f t="shared" si="12"/>
        <v>136.27192733396305</v>
      </c>
      <c r="Q41" s="22"/>
      <c r="R41" s="22"/>
      <c r="S41" s="22">
        <f t="shared" si="20"/>
        <v>538.46714292403169</v>
      </c>
      <c r="T41" s="22">
        <f t="shared" si="21"/>
        <v>847.10131956132841</v>
      </c>
    </row>
    <row r="42" spans="1:20" x14ac:dyDescent="0.2">
      <c r="A42" s="5">
        <v>51</v>
      </c>
      <c r="B42" s="1">
        <f t="shared" si="13"/>
        <v>2.2588508612171236</v>
      </c>
      <c r="C42" s="5">
        <f t="shared" si="14"/>
        <v>46711.440620219299</v>
      </c>
      <c r="D42" s="5">
        <f t="shared" si="15"/>
        <v>44751.419861145485</v>
      </c>
      <c r="E42" s="5">
        <f t="shared" si="1"/>
        <v>35251.419861145485</v>
      </c>
      <c r="F42" s="5">
        <f t="shared" si="2"/>
        <v>11886.480570778551</v>
      </c>
      <c r="G42" s="5">
        <f t="shared" si="3"/>
        <v>32864.939290366936</v>
      </c>
      <c r="H42" s="22">
        <f t="shared" si="16"/>
        <v>21486.976287749556</v>
      </c>
      <c r="I42" s="5">
        <f t="shared" si="17"/>
        <v>52998.236071988271</v>
      </c>
      <c r="J42" s="26">
        <f t="shared" si="19"/>
        <v>0.17063151065927784</v>
      </c>
      <c r="L42" s="22">
        <f t="shared" si="18"/>
        <v>63901.916642766817</v>
      </c>
      <c r="M42" s="5">
        <f>scrimecost*Meta!O39</f>
        <v>1602.2719999999999</v>
      </c>
      <c r="N42" s="5">
        <f>L42-Grade11!L42</f>
        <v>623.00290409916488</v>
      </c>
      <c r="O42" s="5">
        <f>Grade11!M42-M42</f>
        <v>33.587999999999965</v>
      </c>
      <c r="P42" s="22">
        <f t="shared" si="12"/>
        <v>139.66144456622851</v>
      </c>
      <c r="Q42" s="22"/>
      <c r="R42" s="22"/>
      <c r="S42" s="22">
        <f t="shared" si="20"/>
        <v>551.12240242216296</v>
      </c>
      <c r="T42" s="22">
        <f t="shared" si="21"/>
        <v>878.99646571707387</v>
      </c>
    </row>
    <row r="43" spans="1:20" x14ac:dyDescent="0.2">
      <c r="A43" s="5">
        <v>52</v>
      </c>
      <c r="B43" s="1">
        <f t="shared" si="13"/>
        <v>2.3153221327475517</v>
      </c>
      <c r="C43" s="5">
        <f t="shared" si="14"/>
        <v>47879.226635724779</v>
      </c>
      <c r="D43" s="5">
        <f t="shared" si="15"/>
        <v>45845.635357674124</v>
      </c>
      <c r="E43" s="5">
        <f t="shared" si="1"/>
        <v>36345.635357674124</v>
      </c>
      <c r="F43" s="5">
        <f t="shared" si="2"/>
        <v>12353.163480048013</v>
      </c>
      <c r="G43" s="5">
        <f t="shared" si="3"/>
        <v>33492.471877626114</v>
      </c>
      <c r="H43" s="22">
        <f t="shared" si="16"/>
        <v>22024.150694943295</v>
      </c>
      <c r="I43" s="5">
        <f t="shared" si="17"/>
        <v>54129.101078787979</v>
      </c>
      <c r="J43" s="26">
        <f t="shared" si="19"/>
        <v>0.17359475465382462</v>
      </c>
      <c r="L43" s="22">
        <f t="shared" si="18"/>
        <v>65499.464558835993</v>
      </c>
      <c r="M43" s="5">
        <f>scrimecost*Meta!O40</f>
        <v>1602.2719999999999</v>
      </c>
      <c r="N43" s="5">
        <f>L43-Grade11!L43</f>
        <v>638.57797670165746</v>
      </c>
      <c r="O43" s="5">
        <f>Grade11!M43-M43</f>
        <v>33.587999999999965</v>
      </c>
      <c r="P43" s="22">
        <f t="shared" si="12"/>
        <v>143.39490784038423</v>
      </c>
      <c r="Q43" s="22"/>
      <c r="R43" s="22"/>
      <c r="S43" s="22">
        <f t="shared" si="20"/>
        <v>564.33795824028539</v>
      </c>
      <c r="T43" s="22">
        <f t="shared" si="21"/>
        <v>912.51758024020523</v>
      </c>
    </row>
    <row r="44" spans="1:20" x14ac:dyDescent="0.2">
      <c r="A44" s="5">
        <v>53</v>
      </c>
      <c r="B44" s="1">
        <f t="shared" si="13"/>
        <v>2.3732051860662402</v>
      </c>
      <c r="C44" s="5">
        <f t="shared" si="14"/>
        <v>49076.207301617884</v>
      </c>
      <c r="D44" s="5">
        <f t="shared" si="15"/>
        <v>46967.206241615961</v>
      </c>
      <c r="E44" s="5">
        <f t="shared" si="1"/>
        <v>37467.206241615961</v>
      </c>
      <c r="F44" s="5">
        <f t="shared" si="2"/>
        <v>12831.513462049208</v>
      </c>
      <c r="G44" s="5">
        <f t="shared" si="3"/>
        <v>34135.692779566751</v>
      </c>
      <c r="H44" s="22">
        <f t="shared" si="16"/>
        <v>22574.754462316872</v>
      </c>
      <c r="I44" s="5">
        <f t="shared" si="17"/>
        <v>55288.237710757661</v>
      </c>
      <c r="J44" s="26">
        <f t="shared" si="19"/>
        <v>0.17648572440460192</v>
      </c>
      <c r="L44" s="22">
        <f t="shared" si="18"/>
        <v>67136.951172806876</v>
      </c>
      <c r="M44" s="5">
        <f>scrimecost*Meta!O41</f>
        <v>1602.2719999999999</v>
      </c>
      <c r="N44" s="5">
        <f>L44-Grade11!L44</f>
        <v>654.54242611918016</v>
      </c>
      <c r="O44" s="5">
        <f>Grade11!M44-M44</f>
        <v>33.587999999999965</v>
      </c>
      <c r="P44" s="22">
        <f t="shared" si="12"/>
        <v>147.22170769639382</v>
      </c>
      <c r="Q44" s="22"/>
      <c r="R44" s="22"/>
      <c r="S44" s="22">
        <f t="shared" si="20"/>
        <v>577.88390295384079</v>
      </c>
      <c r="T44" s="22">
        <f t="shared" si="21"/>
        <v>947.33915675027367</v>
      </c>
    </row>
    <row r="45" spans="1:20" x14ac:dyDescent="0.2">
      <c r="A45" s="5">
        <v>54</v>
      </c>
      <c r="B45" s="1">
        <f t="shared" si="13"/>
        <v>2.4325353157178964</v>
      </c>
      <c r="C45" s="5">
        <f t="shared" si="14"/>
        <v>50303.112484158344</v>
      </c>
      <c r="D45" s="5">
        <f t="shared" si="15"/>
        <v>48116.816397656374</v>
      </c>
      <c r="E45" s="5">
        <f t="shared" si="1"/>
        <v>38616.816397656374</v>
      </c>
      <c r="F45" s="5">
        <f t="shared" si="2"/>
        <v>13321.822193600445</v>
      </c>
      <c r="G45" s="5">
        <f t="shared" si="3"/>
        <v>34794.994204055925</v>
      </c>
      <c r="H45" s="22">
        <f t="shared" si="16"/>
        <v>23139.123323874799</v>
      </c>
      <c r="I45" s="5">
        <f t="shared" si="17"/>
        <v>56476.352758526613</v>
      </c>
      <c r="J45" s="26">
        <f t="shared" si="19"/>
        <v>0.17930618269804327</v>
      </c>
      <c r="L45" s="22">
        <f t="shared" si="18"/>
        <v>68815.374952127051</v>
      </c>
      <c r="M45" s="5">
        <f>scrimecost*Meta!O42</f>
        <v>1602.2719999999999</v>
      </c>
      <c r="N45" s="5">
        <f>L45-Grade11!L45</f>
        <v>670.90598677216622</v>
      </c>
      <c r="O45" s="5">
        <f>Grade11!M45-M45</f>
        <v>33.587999999999965</v>
      </c>
      <c r="P45" s="22">
        <f t="shared" si="12"/>
        <v>151.1441775488037</v>
      </c>
      <c r="Q45" s="22"/>
      <c r="R45" s="22"/>
      <c r="S45" s="22">
        <f t="shared" si="20"/>
        <v>591.76849628525099</v>
      </c>
      <c r="T45" s="22">
        <f t="shared" si="21"/>
        <v>983.51196106039333</v>
      </c>
    </row>
    <row r="46" spans="1:20" x14ac:dyDescent="0.2">
      <c r="A46" s="5">
        <v>55</v>
      </c>
      <c r="B46" s="1">
        <f t="shared" si="13"/>
        <v>2.4933486986108435</v>
      </c>
      <c r="C46" s="5">
        <f t="shared" si="14"/>
        <v>51560.690296262299</v>
      </c>
      <c r="D46" s="5">
        <f t="shared" si="15"/>
        <v>49295.16680759778</v>
      </c>
      <c r="E46" s="5">
        <f t="shared" si="1"/>
        <v>39795.16680759778</v>
      </c>
      <c r="F46" s="5">
        <f t="shared" si="2"/>
        <v>13824.388643440452</v>
      </c>
      <c r="G46" s="5">
        <f t="shared" si="3"/>
        <v>35470.778164157324</v>
      </c>
      <c r="H46" s="22">
        <f t="shared" si="16"/>
        <v>23717.601406971666</v>
      </c>
      <c r="I46" s="5">
        <f t="shared" si="17"/>
        <v>57694.170682489777</v>
      </c>
      <c r="J46" s="26">
        <f t="shared" si="19"/>
        <v>0.18205784932579086</v>
      </c>
      <c r="L46" s="22">
        <f t="shared" si="18"/>
        <v>70535.759325930223</v>
      </c>
      <c r="M46" s="5">
        <f>scrimecost*Meta!O43</f>
        <v>888.71999999999991</v>
      </c>
      <c r="N46" s="5">
        <f>L46-Grade11!L46</f>
        <v>687.67863644148747</v>
      </c>
      <c r="O46" s="5">
        <f>Grade11!M46-M46</f>
        <v>18.629999999999995</v>
      </c>
      <c r="P46" s="22">
        <f t="shared" si="12"/>
        <v>155.16470914752375</v>
      </c>
      <c r="Q46" s="22"/>
      <c r="R46" s="22"/>
      <c r="S46" s="22">
        <f t="shared" si="20"/>
        <v>591.92472644995291</v>
      </c>
      <c r="T46" s="22">
        <f t="shared" si="21"/>
        <v>997.37206635498842</v>
      </c>
    </row>
    <row r="47" spans="1:20" x14ac:dyDescent="0.2">
      <c r="A47" s="5">
        <v>56</v>
      </c>
      <c r="B47" s="1">
        <f t="shared" si="13"/>
        <v>2.555682416076114</v>
      </c>
      <c r="C47" s="5">
        <f t="shared" si="14"/>
        <v>52849.707553668843</v>
      </c>
      <c r="D47" s="5">
        <f t="shared" si="15"/>
        <v>50502.975977787712</v>
      </c>
      <c r="E47" s="5">
        <f t="shared" si="1"/>
        <v>41002.975977787712</v>
      </c>
      <c r="F47" s="5">
        <f t="shared" si="2"/>
        <v>14339.519254526458</v>
      </c>
      <c r="G47" s="5">
        <f t="shared" si="3"/>
        <v>36163.456723261254</v>
      </c>
      <c r="H47" s="22">
        <f t="shared" si="16"/>
        <v>24310.54144214595</v>
      </c>
      <c r="I47" s="5">
        <f t="shared" si="17"/>
        <v>58942.43405455201</v>
      </c>
      <c r="J47" s="26">
        <f t="shared" si="19"/>
        <v>0.18474240213334947</v>
      </c>
      <c r="L47" s="22">
        <f t="shared" si="18"/>
        <v>72299.153309078465</v>
      </c>
      <c r="M47" s="5">
        <f>scrimecost*Meta!O44</f>
        <v>888.71999999999991</v>
      </c>
      <c r="N47" s="5">
        <f>L47-Grade11!L47</f>
        <v>704.87060235250101</v>
      </c>
      <c r="O47" s="5">
        <f>Grade11!M47-M47</f>
        <v>18.629999999999995</v>
      </c>
      <c r="P47" s="22">
        <f t="shared" si="12"/>
        <v>159.28575403621178</v>
      </c>
      <c r="Q47" s="22"/>
      <c r="R47" s="22"/>
      <c r="S47" s="22">
        <f t="shared" si="20"/>
        <v>606.51222731874702</v>
      </c>
      <c r="T47" s="22">
        <f t="shared" si="21"/>
        <v>1036.0797674231387</v>
      </c>
    </row>
    <row r="48" spans="1:20" x14ac:dyDescent="0.2">
      <c r="A48" s="5">
        <v>57</v>
      </c>
      <c r="B48" s="1">
        <f t="shared" si="13"/>
        <v>2.6195744764780171</v>
      </c>
      <c r="C48" s="5">
        <f t="shared" si="14"/>
        <v>54170.950242510567</v>
      </c>
      <c r="D48" s="5">
        <f t="shared" si="15"/>
        <v>51740.980377232409</v>
      </c>
      <c r="E48" s="5">
        <f t="shared" si="1"/>
        <v>42240.980377232409</v>
      </c>
      <c r="F48" s="5">
        <f t="shared" si="2"/>
        <v>14867.528130889623</v>
      </c>
      <c r="G48" s="5">
        <f t="shared" si="3"/>
        <v>36873.452246342786</v>
      </c>
      <c r="H48" s="22">
        <f t="shared" si="16"/>
        <v>24918.304978199605</v>
      </c>
      <c r="I48" s="5">
        <f t="shared" si="17"/>
        <v>60221.904010915816</v>
      </c>
      <c r="J48" s="26">
        <f t="shared" si="19"/>
        <v>0.18736147804316283</v>
      </c>
      <c r="L48" s="22">
        <f t="shared" si="18"/>
        <v>74106.632141805429</v>
      </c>
      <c r="M48" s="5">
        <f>scrimecost*Meta!O45</f>
        <v>888.71999999999991</v>
      </c>
      <c r="N48" s="5">
        <f>L48-Grade11!L48</f>
        <v>722.49236741132336</v>
      </c>
      <c r="O48" s="5">
        <f>Grade11!M48-M48</f>
        <v>18.629999999999995</v>
      </c>
      <c r="P48" s="22">
        <f t="shared" si="12"/>
        <v>163.50982504711715</v>
      </c>
      <c r="Q48" s="22"/>
      <c r="R48" s="22"/>
      <c r="S48" s="22">
        <f t="shared" si="20"/>
        <v>621.46441570928175</v>
      </c>
      <c r="T48" s="22">
        <f t="shared" si="21"/>
        <v>1076.298691665869</v>
      </c>
    </row>
    <row r="49" spans="1:20" x14ac:dyDescent="0.2">
      <c r="A49" s="5">
        <v>58</v>
      </c>
      <c r="B49" s="1">
        <f t="shared" si="13"/>
        <v>2.6850638383899672</v>
      </c>
      <c r="C49" s="5">
        <f t="shared" si="14"/>
        <v>55525.223998573325</v>
      </c>
      <c r="D49" s="5">
        <f t="shared" si="15"/>
        <v>53009.934886663214</v>
      </c>
      <c r="E49" s="5">
        <f t="shared" si="1"/>
        <v>43509.934886663214</v>
      </c>
      <c r="F49" s="5">
        <f t="shared" si="2"/>
        <v>15408.737229161859</v>
      </c>
      <c r="G49" s="5">
        <f t="shared" si="3"/>
        <v>37601.197657501354</v>
      </c>
      <c r="H49" s="22">
        <f t="shared" si="16"/>
        <v>25541.262602654591</v>
      </c>
      <c r="I49" s="5">
        <f t="shared" si="17"/>
        <v>61533.360716188705</v>
      </c>
      <c r="J49" s="26">
        <f t="shared" si="19"/>
        <v>0.18991667405273674</v>
      </c>
      <c r="L49" s="22">
        <f t="shared" si="18"/>
        <v>75959.297945350569</v>
      </c>
      <c r="M49" s="5">
        <f>scrimecost*Meta!O46</f>
        <v>888.71999999999991</v>
      </c>
      <c r="N49" s="5">
        <f>L49-Grade11!L49</f>
        <v>740.55467659661372</v>
      </c>
      <c r="O49" s="5">
        <f>Grade11!M49-M49</f>
        <v>18.629999999999995</v>
      </c>
      <c r="P49" s="22">
        <f t="shared" si="12"/>
        <v>167.83949783329504</v>
      </c>
      <c r="Q49" s="22"/>
      <c r="R49" s="22"/>
      <c r="S49" s="22">
        <f t="shared" si="20"/>
        <v>636.79040880957837</v>
      </c>
      <c r="T49" s="22">
        <f t="shared" si="21"/>
        <v>1118.0879655756921</v>
      </c>
    </row>
    <row r="50" spans="1:20" x14ac:dyDescent="0.2">
      <c r="A50" s="5">
        <v>59</v>
      </c>
      <c r="B50" s="1">
        <f t="shared" si="13"/>
        <v>2.7521904343497163</v>
      </c>
      <c r="C50" s="5">
        <f t="shared" si="14"/>
        <v>56913.354598537655</v>
      </c>
      <c r="D50" s="5">
        <f t="shared" si="15"/>
        <v>54310.613258829791</v>
      </c>
      <c r="E50" s="5">
        <f t="shared" si="1"/>
        <v>44810.613258829791</v>
      </c>
      <c r="F50" s="5">
        <f t="shared" si="2"/>
        <v>15963.476554890905</v>
      </c>
      <c r="G50" s="5">
        <f t="shared" si="3"/>
        <v>38347.136703938886</v>
      </c>
      <c r="H50" s="22">
        <f t="shared" si="16"/>
        <v>26179.794167720953</v>
      </c>
      <c r="I50" s="5">
        <f t="shared" si="17"/>
        <v>62877.603839093419</v>
      </c>
      <c r="J50" s="26">
        <f t="shared" si="19"/>
        <v>0.19240954820841868</v>
      </c>
      <c r="L50" s="22">
        <f t="shared" si="18"/>
        <v>77858.280393984329</v>
      </c>
      <c r="M50" s="5">
        <f>scrimecost*Meta!O47</f>
        <v>888.71999999999991</v>
      </c>
      <c r="N50" s="5">
        <f>L50-Grade11!L50</f>
        <v>759.06854351153015</v>
      </c>
      <c r="O50" s="5">
        <f>Grade11!M50-M50</f>
        <v>18.629999999999995</v>
      </c>
      <c r="P50" s="22">
        <f t="shared" si="12"/>
        <v>172.27741243912743</v>
      </c>
      <c r="Q50" s="22"/>
      <c r="R50" s="22"/>
      <c r="S50" s="22">
        <f t="shared" si="20"/>
        <v>652.49955173737851</v>
      </c>
      <c r="T50" s="22">
        <f t="shared" si="21"/>
        <v>1161.5090307044643</v>
      </c>
    </row>
    <row r="51" spans="1:20" x14ac:dyDescent="0.2">
      <c r="A51" s="5">
        <v>60</v>
      </c>
      <c r="B51" s="1">
        <f t="shared" si="13"/>
        <v>2.8209951952084591</v>
      </c>
      <c r="C51" s="5">
        <f t="shared" si="14"/>
        <v>58336.188463501094</v>
      </c>
      <c r="D51" s="5">
        <f t="shared" si="15"/>
        <v>55643.808590300534</v>
      </c>
      <c r="E51" s="5">
        <f t="shared" si="1"/>
        <v>46143.808590300534</v>
      </c>
      <c r="F51" s="5">
        <f t="shared" si="2"/>
        <v>16532.084363763177</v>
      </c>
      <c r="G51" s="5">
        <f t="shared" si="3"/>
        <v>39111.724226537357</v>
      </c>
      <c r="H51" s="22">
        <f t="shared" si="16"/>
        <v>26834.289021913974</v>
      </c>
      <c r="I51" s="5">
        <f t="shared" si="17"/>
        <v>64255.453040070752</v>
      </c>
      <c r="J51" s="26">
        <f t="shared" si="19"/>
        <v>0.19484162055542545</v>
      </c>
      <c r="L51" s="22">
        <f t="shared" si="18"/>
        <v>79804.737403833933</v>
      </c>
      <c r="M51" s="5">
        <f>scrimecost*Meta!O48</f>
        <v>468.83199999999999</v>
      </c>
      <c r="N51" s="5">
        <f>L51-Grade11!L51</f>
        <v>778.04525709930749</v>
      </c>
      <c r="O51" s="5">
        <f>Grade11!M51-M51</f>
        <v>9.8279999999999745</v>
      </c>
      <c r="P51" s="22">
        <f t="shared" si="12"/>
        <v>176.82627491010561</v>
      </c>
      <c r="Q51" s="22"/>
      <c r="R51" s="22"/>
      <c r="S51" s="22">
        <f t="shared" si="20"/>
        <v>660.31874123836621</v>
      </c>
      <c r="T51" s="22">
        <f t="shared" si="21"/>
        <v>1191.6779688874751</v>
      </c>
    </row>
    <row r="52" spans="1:20" x14ac:dyDescent="0.2">
      <c r="A52" s="5">
        <v>61</v>
      </c>
      <c r="B52" s="1">
        <f t="shared" si="13"/>
        <v>2.8915200750886707</v>
      </c>
      <c r="C52" s="5">
        <f t="shared" si="14"/>
        <v>59794.593175088623</v>
      </c>
      <c r="D52" s="5">
        <f t="shared" si="15"/>
        <v>57010.333805058042</v>
      </c>
      <c r="E52" s="5">
        <f t="shared" si="1"/>
        <v>47510.333805058042</v>
      </c>
      <c r="F52" s="5">
        <f t="shared" si="2"/>
        <v>17114.907367857257</v>
      </c>
      <c r="G52" s="5">
        <f t="shared" si="3"/>
        <v>39895.426437200789</v>
      </c>
      <c r="H52" s="22">
        <f t="shared" si="16"/>
        <v>27505.146247461824</v>
      </c>
      <c r="I52" s="5">
        <f t="shared" si="17"/>
        <v>65667.748471072526</v>
      </c>
      <c r="J52" s="26">
        <f t="shared" si="19"/>
        <v>0.1972143740647003</v>
      </c>
      <c r="L52" s="22">
        <f t="shared" si="18"/>
        <v>81799.855838929783</v>
      </c>
      <c r="M52" s="5">
        <f>scrimecost*Meta!O49</f>
        <v>468.83199999999999</v>
      </c>
      <c r="N52" s="5">
        <f>L52-Grade11!L52</f>
        <v>797.49638852682256</v>
      </c>
      <c r="O52" s="5">
        <f>Grade11!M52-M52</f>
        <v>9.8279999999999745</v>
      </c>
      <c r="P52" s="22">
        <f t="shared" si="12"/>
        <v>181.48885894285823</v>
      </c>
      <c r="Q52" s="22"/>
      <c r="R52" s="22"/>
      <c r="S52" s="22">
        <f t="shared" si="20"/>
        <v>676.82315952690544</v>
      </c>
      <c r="T52" s="22">
        <f t="shared" si="21"/>
        <v>1238.350008269739</v>
      </c>
    </row>
    <row r="53" spans="1:20" x14ac:dyDescent="0.2">
      <c r="A53" s="5">
        <v>62</v>
      </c>
      <c r="B53" s="1">
        <f t="shared" si="13"/>
        <v>2.9638080769658868</v>
      </c>
      <c r="C53" s="5">
        <f t="shared" si="14"/>
        <v>61289.458004465829</v>
      </c>
      <c r="D53" s="5">
        <f t="shared" si="15"/>
        <v>58411.022150184486</v>
      </c>
      <c r="E53" s="5">
        <f t="shared" si="1"/>
        <v>48911.022150184486</v>
      </c>
      <c r="F53" s="5">
        <f t="shared" si="2"/>
        <v>17712.300947053685</v>
      </c>
      <c r="G53" s="5">
        <f t="shared" si="3"/>
        <v>40698.721203130801</v>
      </c>
      <c r="H53" s="22">
        <f t="shared" si="16"/>
        <v>28192.774903648366</v>
      </c>
      <c r="I53" s="5">
        <f t="shared" si="17"/>
        <v>67115.35128784932</v>
      </c>
      <c r="J53" s="26">
        <f t="shared" si="19"/>
        <v>0.19952925553716361</v>
      </c>
      <c r="L53" s="22">
        <f t="shared" si="18"/>
        <v>83844.85223490301</v>
      </c>
      <c r="M53" s="5">
        <f>scrimecost*Meta!O50</f>
        <v>468.83199999999999</v>
      </c>
      <c r="N53" s="5">
        <f>L53-Grade11!L53</f>
        <v>817.43379823995929</v>
      </c>
      <c r="O53" s="5">
        <f>Grade11!M53-M53</f>
        <v>9.8279999999999745</v>
      </c>
      <c r="P53" s="22">
        <f t="shared" si="12"/>
        <v>186.26800757642965</v>
      </c>
      <c r="Q53" s="22"/>
      <c r="R53" s="22"/>
      <c r="S53" s="22">
        <f t="shared" si="20"/>
        <v>693.74018827261693</v>
      </c>
      <c r="T53" s="22">
        <f t="shared" si="21"/>
        <v>1286.8501215694025</v>
      </c>
    </row>
    <row r="54" spans="1:20" x14ac:dyDescent="0.2">
      <c r="A54" s="5">
        <v>63</v>
      </c>
      <c r="B54" s="1">
        <f t="shared" si="13"/>
        <v>3.0379032788900342</v>
      </c>
      <c r="C54" s="5">
        <f t="shared" si="14"/>
        <v>62821.694454577475</v>
      </c>
      <c r="D54" s="5">
        <f t="shared" si="15"/>
        <v>59846.727703939097</v>
      </c>
      <c r="E54" s="5">
        <f t="shared" si="1"/>
        <v>50346.727703939097</v>
      </c>
      <c r="F54" s="5">
        <f t="shared" si="2"/>
        <v>18324.629365730027</v>
      </c>
      <c r="G54" s="5">
        <f t="shared" si="3"/>
        <v>41522.098338209071</v>
      </c>
      <c r="H54" s="22">
        <f t="shared" si="16"/>
        <v>28897.594276239579</v>
      </c>
      <c r="I54" s="5">
        <f t="shared" si="17"/>
        <v>68599.144175045556</v>
      </c>
      <c r="J54" s="26">
        <f t="shared" si="19"/>
        <v>0.20178767648590826</v>
      </c>
      <c r="L54" s="22">
        <f t="shared" si="18"/>
        <v>85940.97354077558</v>
      </c>
      <c r="M54" s="5">
        <f>scrimecost*Meta!O51</f>
        <v>468.83199999999999</v>
      </c>
      <c r="N54" s="5">
        <f>L54-Grade11!L54</f>
        <v>837.86964319598337</v>
      </c>
      <c r="O54" s="5">
        <f>Grade11!M54-M54</f>
        <v>9.8279999999999745</v>
      </c>
      <c r="P54" s="22">
        <f t="shared" si="12"/>
        <v>191.16663492584036</v>
      </c>
      <c r="Q54" s="22"/>
      <c r="R54" s="22"/>
      <c r="S54" s="22">
        <f t="shared" si="20"/>
        <v>711.08014273700803</v>
      </c>
      <c r="T54" s="22">
        <f t="shared" si="21"/>
        <v>1337.2499139813526</v>
      </c>
    </row>
    <row r="55" spans="1:20" x14ac:dyDescent="0.2">
      <c r="A55" s="5">
        <v>64</v>
      </c>
      <c r="B55" s="1">
        <f t="shared" si="13"/>
        <v>3.1138508608622844</v>
      </c>
      <c r="C55" s="5">
        <f t="shared" si="14"/>
        <v>64392.236815941898</v>
      </c>
      <c r="D55" s="5">
        <f t="shared" si="15"/>
        <v>61318.325896537564</v>
      </c>
      <c r="E55" s="5">
        <f t="shared" si="1"/>
        <v>51818.325896537564</v>
      </c>
      <c r="F55" s="5">
        <f t="shared" si="2"/>
        <v>18952.265994873273</v>
      </c>
      <c r="G55" s="5">
        <f t="shared" si="3"/>
        <v>42366.059901664295</v>
      </c>
      <c r="H55" s="22">
        <f t="shared" si="16"/>
        <v>29620.03413314556</v>
      </c>
      <c r="I55" s="5">
        <f t="shared" si="17"/>
        <v>70120.031884421682</v>
      </c>
      <c r="J55" s="26">
        <f t="shared" si="19"/>
        <v>0.20399101399687869</v>
      </c>
      <c r="L55" s="22">
        <f t="shared" si="18"/>
        <v>88089.497879294955</v>
      </c>
      <c r="M55" s="5">
        <f>scrimecost*Meta!O52</f>
        <v>468.83199999999999</v>
      </c>
      <c r="N55" s="5">
        <f>L55-Grade11!L55</f>
        <v>858.81638427583675</v>
      </c>
      <c r="O55" s="5">
        <f>Grade11!M55-M55</f>
        <v>9.8279999999999745</v>
      </c>
      <c r="P55" s="22">
        <f t="shared" si="12"/>
        <v>196.18772795898636</v>
      </c>
      <c r="Q55" s="22"/>
      <c r="R55" s="22"/>
      <c r="S55" s="22">
        <f t="shared" si="20"/>
        <v>728.85359606296436</v>
      </c>
      <c r="T55" s="22">
        <f t="shared" si="21"/>
        <v>1389.6237954890869</v>
      </c>
    </row>
    <row r="56" spans="1:20" x14ac:dyDescent="0.2">
      <c r="A56" s="5">
        <v>65</v>
      </c>
      <c r="B56" s="1">
        <f t="shared" si="13"/>
        <v>3.1916971323838421</v>
      </c>
      <c r="C56" s="5">
        <f t="shared" si="14"/>
        <v>66002.04273634046</v>
      </c>
      <c r="D56" s="5">
        <f t="shared" si="15"/>
        <v>62826.714043951019</v>
      </c>
      <c r="E56" s="5">
        <f t="shared" si="1"/>
        <v>53326.714043951019</v>
      </c>
      <c r="F56" s="5">
        <f t="shared" si="2"/>
        <v>19595.59353974511</v>
      </c>
      <c r="G56" s="5">
        <f t="shared" si="3"/>
        <v>43231.120504205908</v>
      </c>
      <c r="H56" s="22">
        <f t="shared" si="16"/>
        <v>30360.534986474206</v>
      </c>
      <c r="I56" s="5">
        <f t="shared" si="17"/>
        <v>71678.941786532232</v>
      </c>
      <c r="J56" s="26">
        <f t="shared" si="19"/>
        <v>0.2061406115685572</v>
      </c>
      <c r="L56" s="22">
        <f t="shared" si="18"/>
        <v>90291.735326277339</v>
      </c>
      <c r="M56" s="5">
        <f>scrimecost*Meta!O53</f>
        <v>141.68</v>
      </c>
      <c r="N56" s="5">
        <f>L56-Grade11!L56</f>
        <v>880.28679388275486</v>
      </c>
      <c r="O56" s="5">
        <f>Grade11!M56-M56</f>
        <v>2.9699999999999989</v>
      </c>
      <c r="P56" s="22">
        <f t="shared" si="12"/>
        <v>201.33434831796106</v>
      </c>
      <c r="Q56" s="22"/>
      <c r="R56" s="22"/>
      <c r="S56" s="22">
        <f t="shared" si="20"/>
        <v>740.61800772211234</v>
      </c>
      <c r="T56" s="22">
        <f t="shared" si="21"/>
        <v>1431.5750557030358</v>
      </c>
    </row>
    <row r="57" spans="1:20" x14ac:dyDescent="0.2">
      <c r="A57" s="5">
        <v>66</v>
      </c>
      <c r="C57" s="5"/>
      <c r="H57" s="21"/>
      <c r="I57" s="5"/>
      <c r="M57" s="5">
        <f>scrimecost*Meta!O54</f>
        <v>141.68</v>
      </c>
      <c r="N57" s="5">
        <f>L57-Grade11!L57</f>
        <v>0</v>
      </c>
      <c r="O57" s="5">
        <f>Grade11!M57-M57</f>
        <v>2.9699999999999989</v>
      </c>
      <c r="Q57" s="22"/>
      <c r="R57" s="22"/>
      <c r="S57" s="22">
        <f t="shared" si="20"/>
        <v>2.7947699999999989</v>
      </c>
      <c r="T57" s="22">
        <f t="shared" si="21"/>
        <v>5.4768247121352962</v>
      </c>
    </row>
    <row r="58" spans="1:20" x14ac:dyDescent="0.2">
      <c r="A58" s="5">
        <v>67</v>
      </c>
      <c r="C58" s="5"/>
      <c r="H58" s="21"/>
      <c r="I58" s="5"/>
      <c r="M58" s="5">
        <f>scrimecost*Meta!O55</f>
        <v>141.68</v>
      </c>
      <c r="N58" s="5">
        <f>L58-Grade11!L58</f>
        <v>0</v>
      </c>
      <c r="O58" s="5">
        <f>Grade11!M58-M58</f>
        <v>2.9699999999999989</v>
      </c>
      <c r="Q58" s="22"/>
      <c r="R58" s="22"/>
      <c r="S58" s="22">
        <f t="shared" si="20"/>
        <v>2.7947699999999989</v>
      </c>
      <c r="T58" s="22">
        <f t="shared" si="21"/>
        <v>5.5525407567069784</v>
      </c>
    </row>
    <row r="59" spans="1:20" x14ac:dyDescent="0.2">
      <c r="A59" s="5">
        <v>68</v>
      </c>
      <c r="H59" s="21"/>
      <c r="I59" s="5"/>
      <c r="M59" s="5">
        <f>scrimecost*Meta!O56</f>
        <v>141.68</v>
      </c>
      <c r="N59" s="5">
        <f>L59-Grade11!L59</f>
        <v>0</v>
      </c>
      <c r="O59" s="5">
        <f>Grade11!M59-M59</f>
        <v>2.9699999999999989</v>
      </c>
      <c r="Q59" s="22"/>
      <c r="R59" s="22"/>
      <c r="S59" s="22">
        <f t="shared" si="20"/>
        <v>2.7947699999999989</v>
      </c>
      <c r="T59" s="22">
        <f t="shared" si="21"/>
        <v>5.6293035609810262</v>
      </c>
    </row>
    <row r="60" spans="1:20" x14ac:dyDescent="0.2">
      <c r="A60" s="5">
        <v>69</v>
      </c>
      <c r="H60" s="21"/>
      <c r="I60" s="5"/>
      <c r="M60" s="5">
        <f>scrimecost*Meta!O57</f>
        <v>141.68</v>
      </c>
      <c r="N60" s="5">
        <f>L60-Grade11!L60</f>
        <v>0</v>
      </c>
      <c r="O60" s="5">
        <f>Grade11!M60-M60</f>
        <v>2.9699999999999989</v>
      </c>
      <c r="Q60" s="22"/>
      <c r="R60" s="22"/>
      <c r="S60" s="22">
        <f t="shared" si="20"/>
        <v>2.7947699999999989</v>
      </c>
      <c r="T60" s="22">
        <f t="shared" si="21"/>
        <v>5.7071275962082906</v>
      </c>
    </row>
    <row r="61" spans="1:20" x14ac:dyDescent="0.2">
      <c r="A61" s="5">
        <v>70</v>
      </c>
      <c r="H61" s="21"/>
      <c r="I61" s="5"/>
      <c r="M61" s="5">
        <f>scrimecost*Meta!O58</f>
        <v>141.68</v>
      </c>
      <c r="N61" s="5">
        <f>L61-Grade11!L61</f>
        <v>0</v>
      </c>
      <c r="O61" s="5">
        <f>Grade11!M61-M61</f>
        <v>2.9699999999999989</v>
      </c>
      <c r="Q61" s="22"/>
      <c r="R61" s="22"/>
      <c r="S61" s="22">
        <f t="shared" si="20"/>
        <v>2.7947699999999989</v>
      </c>
      <c r="T61" s="22">
        <f t="shared" si="21"/>
        <v>5.7860275337018727</v>
      </c>
    </row>
    <row r="62" spans="1:20" x14ac:dyDescent="0.2">
      <c r="A62" s="5">
        <v>71</v>
      </c>
      <c r="H62" s="21"/>
      <c r="I62" s="5"/>
      <c r="M62" s="5">
        <f>scrimecost*Meta!O59</f>
        <v>141.68</v>
      </c>
      <c r="N62" s="5">
        <f>L62-Grade11!L62</f>
        <v>0</v>
      </c>
      <c r="O62" s="5">
        <f>Grade11!M62-M62</f>
        <v>2.9699999999999989</v>
      </c>
      <c r="Q62" s="22"/>
      <c r="R62" s="22"/>
      <c r="S62" s="22">
        <f t="shared" si="20"/>
        <v>2.7947699999999989</v>
      </c>
      <c r="T62" s="22">
        <f t="shared" si="21"/>
        <v>5.8660182476029474</v>
      </c>
    </row>
    <row r="63" spans="1:20" x14ac:dyDescent="0.2">
      <c r="A63" s="5">
        <v>72</v>
      </c>
      <c r="H63" s="21"/>
      <c r="M63" s="5">
        <f>scrimecost*Meta!O60</f>
        <v>141.68</v>
      </c>
      <c r="N63" s="5">
        <f>L63-Grade11!L63</f>
        <v>0</v>
      </c>
      <c r="O63" s="5">
        <f>Grade11!M63-M63</f>
        <v>2.9699999999999989</v>
      </c>
      <c r="Q63" s="22"/>
      <c r="R63" s="22"/>
      <c r="S63" s="22">
        <f t="shared" si="20"/>
        <v>2.7947699999999989</v>
      </c>
      <c r="T63" s="22">
        <f t="shared" si="21"/>
        <v>5.9471148176848194</v>
      </c>
    </row>
    <row r="64" spans="1:20" x14ac:dyDescent="0.2">
      <c r="A64" s="5">
        <v>73</v>
      </c>
      <c r="H64" s="21"/>
      <c r="M64" s="5">
        <f>scrimecost*Meta!O61</f>
        <v>141.68</v>
      </c>
      <c r="N64" s="5">
        <f>L64-Grade11!L64</f>
        <v>0</v>
      </c>
      <c r="O64" s="5">
        <f>Grade11!M64-M64</f>
        <v>2.9699999999999989</v>
      </c>
      <c r="Q64" s="22"/>
      <c r="R64" s="22"/>
      <c r="S64" s="22">
        <f t="shared" si="20"/>
        <v>2.7947699999999989</v>
      </c>
      <c r="T64" s="22">
        <f t="shared" si="21"/>
        <v>6.0293325321957472</v>
      </c>
    </row>
    <row r="65" spans="1:20" x14ac:dyDescent="0.2">
      <c r="A65" s="5">
        <v>74</v>
      </c>
      <c r="H65" s="21"/>
      <c r="M65" s="5">
        <f>scrimecost*Meta!O62</f>
        <v>141.68</v>
      </c>
      <c r="N65" s="5">
        <f>L65-Grade11!L65</f>
        <v>0</v>
      </c>
      <c r="O65" s="5">
        <f>Grade11!M65-M65</f>
        <v>2.9699999999999989</v>
      </c>
      <c r="Q65" s="22"/>
      <c r="R65" s="22"/>
      <c r="S65" s="22">
        <f t="shared" si="20"/>
        <v>2.7947699999999989</v>
      </c>
      <c r="T65" s="22">
        <f t="shared" si="21"/>
        <v>6.112686890741073</v>
      </c>
    </row>
    <row r="66" spans="1:20" x14ac:dyDescent="0.2">
      <c r="A66" s="5">
        <v>75</v>
      </c>
      <c r="H66" s="21"/>
      <c r="M66" s="5">
        <f>scrimecost*Meta!O63</f>
        <v>141.68</v>
      </c>
      <c r="N66" s="5">
        <f>L66-Grade11!L66</f>
        <v>0</v>
      </c>
      <c r="O66" s="5">
        <f>Grade11!M66-M66</f>
        <v>2.9699999999999989</v>
      </c>
      <c r="Q66" s="22"/>
      <c r="R66" s="22"/>
      <c r="S66" s="22">
        <f t="shared" si="20"/>
        <v>2.7947699999999989</v>
      </c>
      <c r="T66" s="22">
        <f t="shared" si="21"/>
        <v>6.1971936072051905</v>
      </c>
    </row>
    <row r="67" spans="1:20" x14ac:dyDescent="0.2">
      <c r="A67" s="5">
        <v>76</v>
      </c>
      <c r="H67" s="21"/>
      <c r="M67" s="5">
        <f>scrimecost*Meta!O64</f>
        <v>141.68</v>
      </c>
      <c r="N67" s="5">
        <f>L67-Grade11!L67</f>
        <v>0</v>
      </c>
      <c r="O67" s="5">
        <f>Grade11!M67-M67</f>
        <v>2.9699999999999989</v>
      </c>
      <c r="Q67" s="22"/>
      <c r="R67" s="22"/>
      <c r="S67" s="22">
        <f t="shared" si="20"/>
        <v>2.7947699999999989</v>
      </c>
      <c r="T67" s="22">
        <f t="shared" si="21"/>
        <v>6.2828686127139131</v>
      </c>
    </row>
    <row r="68" spans="1:20" x14ac:dyDescent="0.2">
      <c r="A68" s="5">
        <v>77</v>
      </c>
      <c r="H68" s="21"/>
      <c r="M68" s="5">
        <f>scrimecost*Meta!O65</f>
        <v>141.68</v>
      </c>
      <c r="N68" s="5">
        <f>L68-Grade11!L68</f>
        <v>0</v>
      </c>
      <c r="O68" s="5">
        <f>Grade11!M68-M68</f>
        <v>2.9699999999999989</v>
      </c>
      <c r="Q68" s="22"/>
      <c r="R68" s="22"/>
      <c r="S68" s="22">
        <f t="shared" si="20"/>
        <v>2.7947699999999989</v>
      </c>
      <c r="T68" s="22">
        <f t="shared" si="21"/>
        <v>6.3697280586377891</v>
      </c>
    </row>
    <row r="69" spans="1:20" x14ac:dyDescent="0.2">
      <c r="A69" s="5">
        <v>78</v>
      </c>
      <c r="H69" s="21"/>
      <c r="M69" s="5">
        <f>scrimecost*Meta!O66</f>
        <v>141.68</v>
      </c>
      <c r="N69" s="5">
        <f>L69-Grade11!L69</f>
        <v>0</v>
      </c>
      <c r="O69" s="5">
        <f>Grade11!M69-M69</f>
        <v>2.9699999999999989</v>
      </c>
      <c r="Q69" s="22"/>
      <c r="R69" s="22"/>
      <c r="S69" s="22">
        <f t="shared" si="20"/>
        <v>2.7947699999999989</v>
      </c>
      <c r="T69" s="22">
        <f t="shared" si="21"/>
        <v>6.4577883196369541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-3.1964209057377957E-10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N10" sqref="N10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Meta!A7+6</f>
        <v>19</v>
      </c>
      <c r="C2" s="7">
        <f>Meta!B7</f>
        <v>40704</v>
      </c>
      <c r="D2" s="7">
        <f>Meta!C7</f>
        <v>18624</v>
      </c>
      <c r="E2" s="1">
        <f>Meta!D7</f>
        <v>6.0999999999999999E-2</v>
      </c>
      <c r="F2" s="1">
        <f>Meta!F7</f>
        <v>0.66800000000000004</v>
      </c>
      <c r="G2" s="1">
        <f>Meta!I7</f>
        <v>1.8652741552202943</v>
      </c>
      <c r="H2" s="1">
        <f>Meta!E7</f>
        <v>0.61399999999999999</v>
      </c>
      <c r="I2" s="13"/>
      <c r="J2" s="1">
        <f>Meta!X6</f>
        <v>0.66200000000000003</v>
      </c>
      <c r="K2" s="1">
        <f>Meta!D6</f>
        <v>6.3E-2</v>
      </c>
      <c r="L2" s="29"/>
      <c r="N2" s="22">
        <f>Meta!T7</f>
        <v>39949</v>
      </c>
      <c r="O2" s="22">
        <f>Meta!U7</f>
        <v>18323</v>
      </c>
      <c r="P2" s="1">
        <f>Meta!V7</f>
        <v>6.2E-2</v>
      </c>
      <c r="Q2" s="1">
        <f>Meta!X7</f>
        <v>0.66500000000000004</v>
      </c>
      <c r="R2" s="22">
        <f>Meta!W7</f>
        <v>2556</v>
      </c>
      <c r="T2" s="12">
        <f>IRR(S5:S69)+1</f>
        <v>0.96902342369880279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B9" s="1">
        <v>1</v>
      </c>
      <c r="C9" s="5">
        <f>0.1*Grade12!C9</f>
        <v>2067.9293804749041</v>
      </c>
      <c r="D9" s="5">
        <f t="shared" ref="D9:D36" si="0">IF(A9&lt;startage,1,0)*(C9*(1-initialunempprob))+IF(A9=startage,1,0)*(C9*(1-unempprob))+IF(A9&gt;startage,1,0)*(C9*(1-unempprob)+unempprob*300*52)</f>
        <v>1937.6498295049853</v>
      </c>
      <c r="E9" s="5">
        <f t="shared" ref="E9:E56" si="1">IF(D9-9500&gt;0,1,0)*(D9-9500)</f>
        <v>0</v>
      </c>
      <c r="F9" s="5">
        <f t="shared" ref="F9:F56" si="2">IF(E9&lt;=8500,1,0)*(0.1*E9+0.1*E9+0.0765*D9)+IF(AND(E9&gt;8500,E9&lt;=34500),1,0)*(850+0.15*(E9-8500)+0.1*E9+0.0765*D9)+IF(AND(E9&gt;34500,E9&lt;=83600),1,0)*(4750+0.25*(E9-34500)+0.1*E9+0.0765*D9)+IF(AND(E9&gt;83600,E9&lt;=174400,D9&lt;=106800),1,0)*(17025+0.28*(E9-83600)+0.1*E9+0.0765*D9)+IF(AND(E9&gt;83600,E9&lt;=174400,D9&gt;106800),1,0)*(17025+0.28*(E9-83600)+0.1*E9+8170.2+0.0145*(D9-106800))+IF(AND(E9&gt;174400,E9&lt;=379150),1,0)*(42449+0.33*(E9-174400)+0.1*E9+8170.2+0.0145*(D9-106800))+IF(E9&gt;379150,1,0)*(110016.5+0.35*(E9-379150)+0.1*E9+8170.2+0.0145*(D9-106800))</f>
        <v>148.23021195713136</v>
      </c>
      <c r="G9" s="5">
        <f t="shared" ref="G9:G56" si="3">D9-F9</f>
        <v>1789.4196175478539</v>
      </c>
      <c r="H9" s="22">
        <f>0.1*Grade12!H9</f>
        <v>951.23483611360916</v>
      </c>
      <c r="I9" s="5">
        <f t="shared" ref="I9:I36" si="4">G9+IF(A9&lt;startage,1,0)*(H9*(1-initialunempprob))+IF(A9&gt;=startage,1,0)*(H9*(1-unempprob))</f>
        <v>2680.7266589863057</v>
      </c>
      <c r="J9" s="26">
        <f t="shared" ref="J9:J56" si="5">(F9-(IF(A9&gt;startage,1,0)*(unempprob*300*52)))/(IF(A9&lt;startage,1,0)*((C9+H9)*(1-initialunempprob))+IF(A9&gt;=startage,1,0)*((C9+H9)*(1-unempprob)))</f>
        <v>5.239748031496063E-2</v>
      </c>
      <c r="L9" s="22">
        <f>0.1*Grade12!L9</f>
        <v>2828.956870943437</v>
      </c>
      <c r="M9" s="5">
        <f>scrimecost*Meta!O6</f>
        <v>8424.5759999999991</v>
      </c>
      <c r="N9" s="5">
        <f>L9-Grade12!L9</f>
        <v>-25460.611838490935</v>
      </c>
      <c r="O9" s="5"/>
      <c r="P9" s="22"/>
      <c r="Q9" s="22">
        <f>0.05*feel*Grade12!G9</f>
        <v>221.90100242402508</v>
      </c>
      <c r="R9" s="22">
        <f>coltuition</f>
        <v>8279</v>
      </c>
      <c r="S9" s="22">
        <f t="shared" ref="S9:S40" si="6">IF(A9&lt;startage,1,0)*(N9-Q9-R9)+IF(A9&gt;=startage,1,0)*completionprob*(N9*spart+O9+P9)</f>
        <v>-33961.512840914962</v>
      </c>
      <c r="T9" s="22">
        <f t="shared" ref="T9:T40" si="7">S9/sreturn^(A9-startage+1)</f>
        <v>-33961.512840914962</v>
      </c>
    </row>
    <row r="10" spans="1:20" x14ac:dyDescent="0.2">
      <c r="A10" s="5">
        <v>19</v>
      </c>
      <c r="B10" s="1">
        <f t="shared" ref="B10:B36" si="8">(1+experiencepremium)^(A10-startage)</f>
        <v>1</v>
      </c>
      <c r="C10" s="5">
        <f t="shared" ref="C10:C36" si="9">pretaxincome*B10/expnorm</f>
        <v>21821.993236802631</v>
      </c>
      <c r="D10" s="5">
        <f t="shared" si="0"/>
        <v>20490.851649357672</v>
      </c>
      <c r="E10" s="5">
        <f t="shared" si="1"/>
        <v>10990.851649357672</v>
      </c>
      <c r="F10" s="5">
        <f t="shared" si="2"/>
        <v>3890.26306351528</v>
      </c>
      <c r="G10" s="5">
        <f t="shared" si="3"/>
        <v>16600.588585842394</v>
      </c>
      <c r="H10" s="22">
        <f t="shared" ref="H10:H36" si="10">benefits*B10/expnorm</f>
        <v>9984.5912451408258</v>
      </c>
      <c r="I10" s="5">
        <f t="shared" si="4"/>
        <v>25976.119765029631</v>
      </c>
      <c r="J10" s="26">
        <f t="shared" si="5"/>
        <v>0.13025558152951641</v>
      </c>
      <c r="L10" s="22">
        <f t="shared" ref="L10:L36" si="11">(sincome+sbenefits)*(1-sunemp)*B10/expnorm</f>
        <v>29303.540097323978</v>
      </c>
      <c r="M10" s="5">
        <f>scrimecost*Meta!O7</f>
        <v>9004.7880000000005</v>
      </c>
      <c r="N10" s="5">
        <f>L10-Grade12!L10</f>
        <v>306.73217015375121</v>
      </c>
      <c r="O10" s="5">
        <f>Grade12!M10-M10</f>
        <v>70.459999999999127</v>
      </c>
      <c r="P10" s="22">
        <f t="shared" ref="P10:P56" si="12">(spart-initialspart)*(L10*J10+nptrans)</f>
        <v>31.11284896875134</v>
      </c>
      <c r="Q10" s="22"/>
      <c r="R10" s="22"/>
      <c r="S10" s="22">
        <f t="shared" si="6"/>
        <v>187.60754166229094</v>
      </c>
      <c r="T10" s="22">
        <f t="shared" si="7"/>
        <v>193.60475409994234</v>
      </c>
    </row>
    <row r="11" spans="1:20" x14ac:dyDescent="0.2">
      <c r="A11" s="5">
        <v>20</v>
      </c>
      <c r="B11" s="1">
        <f t="shared" si="8"/>
        <v>1.0249999999999999</v>
      </c>
      <c r="C11" s="5">
        <f t="shared" si="9"/>
        <v>22367.543067722694</v>
      </c>
      <c r="D11" s="5">
        <f t="shared" si="0"/>
        <v>21954.722940591608</v>
      </c>
      <c r="E11" s="5">
        <f t="shared" si="1"/>
        <v>12454.722940591608</v>
      </c>
      <c r="F11" s="5">
        <f t="shared" si="2"/>
        <v>4368.2170401031599</v>
      </c>
      <c r="G11" s="5">
        <f t="shared" si="3"/>
        <v>17586.505900488446</v>
      </c>
      <c r="H11" s="22">
        <f t="shared" si="10"/>
        <v>10234.206026269345</v>
      </c>
      <c r="I11" s="5">
        <f t="shared" si="4"/>
        <v>27196.425359155361</v>
      </c>
      <c r="J11" s="26">
        <f t="shared" si="5"/>
        <v>0.11160658243448267</v>
      </c>
      <c r="L11" s="22">
        <f t="shared" si="11"/>
        <v>30036.12859975707</v>
      </c>
      <c r="M11" s="5">
        <f>scrimecost*Meta!O8</f>
        <v>8623.9439999999995</v>
      </c>
      <c r="N11" s="5">
        <f>L11-Grade12!L11</f>
        <v>314.40047440758644</v>
      </c>
      <c r="O11" s="5">
        <f>Grade12!M11-M11</f>
        <v>67.480000000001382</v>
      </c>
      <c r="P11" s="22">
        <f t="shared" si="12"/>
        <v>29.718688987744557</v>
      </c>
      <c r="Q11" s="22"/>
      <c r="R11" s="22"/>
      <c r="S11" s="22">
        <f t="shared" si="6"/>
        <v>188.0528527438376</v>
      </c>
      <c r="T11" s="22">
        <f t="shared" si="7"/>
        <v>200.26791469110958</v>
      </c>
    </row>
    <row r="12" spans="1:20" x14ac:dyDescent="0.2">
      <c r="A12" s="5">
        <v>21</v>
      </c>
      <c r="B12" s="1">
        <f t="shared" si="8"/>
        <v>1.0506249999999999</v>
      </c>
      <c r="C12" s="5">
        <f t="shared" si="9"/>
        <v>22926.731644415762</v>
      </c>
      <c r="D12" s="5">
        <f t="shared" si="0"/>
        <v>22479.801014106401</v>
      </c>
      <c r="E12" s="5">
        <f t="shared" si="1"/>
        <v>12979.801014106401</v>
      </c>
      <c r="F12" s="5">
        <f t="shared" si="2"/>
        <v>4539.6550311057399</v>
      </c>
      <c r="G12" s="5">
        <f t="shared" si="3"/>
        <v>17940.145983000661</v>
      </c>
      <c r="H12" s="22">
        <f t="shared" si="10"/>
        <v>10490.061176926079</v>
      </c>
      <c r="I12" s="5">
        <f t="shared" si="4"/>
        <v>27790.31342813425</v>
      </c>
      <c r="J12" s="26">
        <f t="shared" si="5"/>
        <v>0.11434804316759067</v>
      </c>
      <c r="L12" s="22">
        <f t="shared" si="11"/>
        <v>30787.031814751001</v>
      </c>
      <c r="M12" s="5">
        <f>scrimecost*Meta!O9</f>
        <v>7831.5839999999998</v>
      </c>
      <c r="N12" s="5">
        <f>L12-Grade12!L12</f>
        <v>322.26048626778356</v>
      </c>
      <c r="O12" s="5">
        <f>Grade12!M12-M12</f>
        <v>61.280000000000655</v>
      </c>
      <c r="P12" s="22">
        <f t="shared" si="12"/>
        <v>30.223310528865433</v>
      </c>
      <c r="Q12" s="22"/>
      <c r="R12" s="22"/>
      <c r="S12" s="22">
        <f t="shared" si="6"/>
        <v>187.7652118127225</v>
      </c>
      <c r="T12" s="22">
        <f t="shared" si="7"/>
        <v>206.35372171301813</v>
      </c>
    </row>
    <row r="13" spans="1:20" x14ac:dyDescent="0.2">
      <c r="A13" s="5">
        <v>22</v>
      </c>
      <c r="B13" s="1">
        <f t="shared" si="8"/>
        <v>1.0768906249999999</v>
      </c>
      <c r="C13" s="5">
        <f t="shared" si="9"/>
        <v>23499.899935526155</v>
      </c>
      <c r="D13" s="5">
        <f t="shared" si="0"/>
        <v>23018.006039459058</v>
      </c>
      <c r="E13" s="5">
        <f t="shared" si="1"/>
        <v>13518.006039459058</v>
      </c>
      <c r="F13" s="5">
        <f t="shared" si="2"/>
        <v>4715.3789718833823</v>
      </c>
      <c r="G13" s="5">
        <f t="shared" si="3"/>
        <v>18302.627067575675</v>
      </c>
      <c r="H13" s="22">
        <f t="shared" si="10"/>
        <v>10752.312706349232</v>
      </c>
      <c r="I13" s="5">
        <f t="shared" si="4"/>
        <v>28399.048698837607</v>
      </c>
      <c r="J13" s="26">
        <f t="shared" si="5"/>
        <v>0.11702263900476913</v>
      </c>
      <c r="L13" s="22">
        <f t="shared" si="11"/>
        <v>31556.707610119774</v>
      </c>
      <c r="M13" s="5">
        <f>scrimecost*Meta!O10</f>
        <v>7177.2479999999996</v>
      </c>
      <c r="N13" s="5">
        <f>L13-Grade12!L13</f>
        <v>330.31699842447779</v>
      </c>
      <c r="O13" s="5">
        <f>Grade12!M13-M13</f>
        <v>56.159999999999854</v>
      </c>
      <c r="P13" s="22">
        <f t="shared" si="12"/>
        <v>30.740547608514319</v>
      </c>
      <c r="Q13" s="22"/>
      <c r="R13" s="22"/>
      <c r="S13" s="22">
        <f t="shared" si="6"/>
        <v>188.22866985832624</v>
      </c>
      <c r="T13" s="22">
        <f t="shared" si="7"/>
        <v>213.47581125352258</v>
      </c>
    </row>
    <row r="14" spans="1:20" x14ac:dyDescent="0.2">
      <c r="A14" s="5">
        <v>23</v>
      </c>
      <c r="B14" s="1">
        <f t="shared" si="8"/>
        <v>1.1038128906249998</v>
      </c>
      <c r="C14" s="5">
        <f t="shared" si="9"/>
        <v>24087.397433914306</v>
      </c>
      <c r="D14" s="5">
        <f t="shared" si="0"/>
        <v>23569.666190445532</v>
      </c>
      <c r="E14" s="5">
        <f t="shared" si="1"/>
        <v>14069.666190445532</v>
      </c>
      <c r="F14" s="5">
        <f t="shared" si="2"/>
        <v>4895.4960111804667</v>
      </c>
      <c r="G14" s="5">
        <f t="shared" si="3"/>
        <v>18674.170179265064</v>
      </c>
      <c r="H14" s="22">
        <f t="shared" si="10"/>
        <v>11021.12052400796</v>
      </c>
      <c r="I14" s="5">
        <f t="shared" si="4"/>
        <v>29023.00235130854</v>
      </c>
      <c r="J14" s="26">
        <f t="shared" si="5"/>
        <v>0.11963200079713843</v>
      </c>
      <c r="L14" s="22">
        <f t="shared" si="11"/>
        <v>32345.625300372765</v>
      </c>
      <c r="M14" s="5">
        <f>scrimecost*Meta!O11</f>
        <v>6706.9440000000004</v>
      </c>
      <c r="N14" s="5">
        <f>L14-Grade12!L14</f>
        <v>338.5749233850911</v>
      </c>
      <c r="O14" s="5">
        <f>Grade12!M14-M14</f>
        <v>52.479999999999563</v>
      </c>
      <c r="P14" s="22">
        <f t="shared" si="12"/>
        <v>31.270715615154433</v>
      </c>
      <c r="Q14" s="22"/>
      <c r="R14" s="22"/>
      <c r="S14" s="22">
        <f t="shared" si="6"/>
        <v>189.66646635507109</v>
      </c>
      <c r="T14" s="22">
        <f t="shared" si="7"/>
        <v>221.98272442347445</v>
      </c>
    </row>
    <row r="15" spans="1:20" x14ac:dyDescent="0.2">
      <c r="A15" s="5">
        <v>24</v>
      </c>
      <c r="B15" s="1">
        <f t="shared" si="8"/>
        <v>1.1314082128906247</v>
      </c>
      <c r="C15" s="5">
        <f t="shared" si="9"/>
        <v>24689.58236976216</v>
      </c>
      <c r="D15" s="5">
        <f t="shared" si="0"/>
        <v>24135.117845206667</v>
      </c>
      <c r="E15" s="5">
        <f t="shared" si="1"/>
        <v>14635.117845206667</v>
      </c>
      <c r="F15" s="5">
        <f t="shared" si="2"/>
        <v>5080.115976459977</v>
      </c>
      <c r="G15" s="5">
        <f t="shared" si="3"/>
        <v>19055.001868746691</v>
      </c>
      <c r="H15" s="22">
        <f t="shared" si="10"/>
        <v>11296.648537108158</v>
      </c>
      <c r="I15" s="5">
        <f t="shared" si="4"/>
        <v>29662.554845091254</v>
      </c>
      <c r="J15" s="26">
        <f t="shared" si="5"/>
        <v>0.12217771961896208</v>
      </c>
      <c r="L15" s="22">
        <f t="shared" si="11"/>
        <v>33154.265932882081</v>
      </c>
      <c r="M15" s="5">
        <f>scrimecost*Meta!O12</f>
        <v>6407.8920000000007</v>
      </c>
      <c r="N15" s="5">
        <f>L15-Grade12!L15</f>
        <v>347.03929646971665</v>
      </c>
      <c r="O15" s="5">
        <f>Grade12!M15-M15</f>
        <v>50.139999999999418</v>
      </c>
      <c r="P15" s="22">
        <f t="shared" si="12"/>
        <v>31.814137821960546</v>
      </c>
      <c r="Q15" s="22"/>
      <c r="R15" s="22"/>
      <c r="S15" s="22">
        <f t="shared" si="6"/>
        <v>192.01945576423344</v>
      </c>
      <c r="T15" s="22">
        <f t="shared" si="7"/>
        <v>231.92073757740204</v>
      </c>
    </row>
    <row r="16" spans="1:20" x14ac:dyDescent="0.2">
      <c r="A16" s="5">
        <v>25</v>
      </c>
      <c r="B16" s="1">
        <f t="shared" si="8"/>
        <v>1.1596934182128902</v>
      </c>
      <c r="C16" s="5">
        <f t="shared" si="9"/>
        <v>25306.821929006212</v>
      </c>
      <c r="D16" s="5">
        <f t="shared" si="0"/>
        <v>24714.705791336833</v>
      </c>
      <c r="E16" s="5">
        <f t="shared" si="1"/>
        <v>15214.705791336833</v>
      </c>
      <c r="F16" s="5">
        <f t="shared" si="2"/>
        <v>5269.3514408714764</v>
      </c>
      <c r="G16" s="5">
        <f t="shared" si="3"/>
        <v>19445.354350465357</v>
      </c>
      <c r="H16" s="22">
        <f t="shared" si="10"/>
        <v>11579.064750535861</v>
      </c>
      <c r="I16" s="5">
        <f t="shared" si="4"/>
        <v>30318.096151218531</v>
      </c>
      <c r="J16" s="26">
        <f t="shared" si="5"/>
        <v>0.12466134773781445</v>
      </c>
      <c r="L16" s="22">
        <f t="shared" si="11"/>
        <v>33983.12258120413</v>
      </c>
      <c r="M16" s="5">
        <f>scrimecost*Meta!O13</f>
        <v>5380.38</v>
      </c>
      <c r="N16" s="5">
        <f>L16-Grade12!L16</f>
        <v>355.71527888145647</v>
      </c>
      <c r="O16" s="5">
        <f>Grade12!M16-M16</f>
        <v>42.099999999999454</v>
      </c>
      <c r="P16" s="22">
        <f t="shared" si="12"/>
        <v>32.371145583936823</v>
      </c>
      <c r="Q16" s="22"/>
      <c r="R16" s="22"/>
      <c r="S16" s="22">
        <f t="shared" si="6"/>
        <v>190.96738890862434</v>
      </c>
      <c r="T16" s="22">
        <f t="shared" si="7"/>
        <v>238.02319692873826</v>
      </c>
    </row>
    <row r="17" spans="1:20" x14ac:dyDescent="0.2">
      <c r="A17" s="5">
        <v>26</v>
      </c>
      <c r="B17" s="1">
        <f t="shared" si="8"/>
        <v>1.1886857536682125</v>
      </c>
      <c r="C17" s="5">
        <f t="shared" si="9"/>
        <v>25939.492477231372</v>
      </c>
      <c r="D17" s="5">
        <f t="shared" si="0"/>
        <v>25308.783436120259</v>
      </c>
      <c r="E17" s="5">
        <f t="shared" si="1"/>
        <v>15808.783436120259</v>
      </c>
      <c r="F17" s="5">
        <f t="shared" si="2"/>
        <v>5463.3177918932643</v>
      </c>
      <c r="G17" s="5">
        <f t="shared" si="3"/>
        <v>19845.465644226995</v>
      </c>
      <c r="H17" s="22">
        <f t="shared" si="10"/>
        <v>11868.541369299261</v>
      </c>
      <c r="I17" s="5">
        <f t="shared" si="4"/>
        <v>30990.025989999001</v>
      </c>
      <c r="J17" s="26">
        <f t="shared" si="5"/>
        <v>0.12708439956108505</v>
      </c>
      <c r="L17" s="22">
        <f t="shared" si="11"/>
        <v>34832.700645734236</v>
      </c>
      <c r="M17" s="5">
        <f>scrimecost*Meta!O14</f>
        <v>5380.38</v>
      </c>
      <c r="N17" s="5">
        <f>L17-Grade12!L17</f>
        <v>364.60816085350234</v>
      </c>
      <c r="O17" s="5">
        <f>Grade12!M17-M17</f>
        <v>42.099999999999454</v>
      </c>
      <c r="P17" s="22">
        <f t="shared" si="12"/>
        <v>32.942078539962495</v>
      </c>
      <c r="Q17" s="22"/>
      <c r="R17" s="22"/>
      <c r="S17" s="22">
        <f t="shared" si="6"/>
        <v>194.94899438163017</v>
      </c>
      <c r="T17" s="22">
        <f t="shared" si="7"/>
        <v>250.7533813342323</v>
      </c>
    </row>
    <row r="18" spans="1:20" x14ac:dyDescent="0.2">
      <c r="A18" s="5">
        <v>27</v>
      </c>
      <c r="B18" s="1">
        <f t="shared" si="8"/>
        <v>1.2184028975099177</v>
      </c>
      <c r="C18" s="5">
        <f t="shared" si="9"/>
        <v>26587.979789162153</v>
      </c>
      <c r="D18" s="5">
        <f t="shared" si="0"/>
        <v>25917.713022023261</v>
      </c>
      <c r="E18" s="5">
        <f t="shared" si="1"/>
        <v>16417.713022023261</v>
      </c>
      <c r="F18" s="5">
        <f t="shared" si="2"/>
        <v>5662.1333016905946</v>
      </c>
      <c r="G18" s="5">
        <f t="shared" si="3"/>
        <v>20255.579720332666</v>
      </c>
      <c r="H18" s="22">
        <f t="shared" si="10"/>
        <v>12165.254903531741</v>
      </c>
      <c r="I18" s="5">
        <f t="shared" si="4"/>
        <v>31678.754074748969</v>
      </c>
      <c r="J18" s="26">
        <f t="shared" si="5"/>
        <v>0.12944835255939782</v>
      </c>
      <c r="L18" s="22">
        <f t="shared" si="11"/>
        <v>35703.518161877582</v>
      </c>
      <c r="M18" s="5">
        <f>scrimecost*Meta!O15</f>
        <v>5380.38</v>
      </c>
      <c r="N18" s="5">
        <f>L18-Grade12!L18</f>
        <v>373.72336487482971</v>
      </c>
      <c r="O18" s="5">
        <f>Grade12!M18-M18</f>
        <v>42.099999999999454</v>
      </c>
      <c r="P18" s="22">
        <f t="shared" si="12"/>
        <v>33.527284819888806</v>
      </c>
      <c r="Q18" s="22"/>
      <c r="R18" s="22"/>
      <c r="S18" s="22">
        <f t="shared" si="6"/>
        <v>199.0301399914531</v>
      </c>
      <c r="T18" s="22">
        <f t="shared" si="7"/>
        <v>264.18634842247758</v>
      </c>
    </row>
    <row r="19" spans="1:20" x14ac:dyDescent="0.2">
      <c r="A19" s="5">
        <v>28</v>
      </c>
      <c r="B19" s="1">
        <f t="shared" si="8"/>
        <v>1.2488629699476654</v>
      </c>
      <c r="C19" s="5">
        <f t="shared" si="9"/>
        <v>27252.679283891201</v>
      </c>
      <c r="D19" s="5">
        <f t="shared" si="0"/>
        <v>26541.865847573838</v>
      </c>
      <c r="E19" s="5">
        <f t="shared" si="1"/>
        <v>17041.865847573838</v>
      </c>
      <c r="F19" s="5">
        <f t="shared" si="2"/>
        <v>5865.9191992328579</v>
      </c>
      <c r="G19" s="5">
        <f t="shared" si="3"/>
        <v>20675.946648340978</v>
      </c>
      <c r="H19" s="22">
        <f t="shared" si="10"/>
        <v>12469.386276120031</v>
      </c>
      <c r="I19" s="5">
        <f t="shared" si="4"/>
        <v>32384.700361617688</v>
      </c>
      <c r="J19" s="26">
        <f t="shared" si="5"/>
        <v>0.13175464816750787</v>
      </c>
      <c r="L19" s="22">
        <f t="shared" si="11"/>
        <v>36596.106115924522</v>
      </c>
      <c r="M19" s="5">
        <f>scrimecost*Meta!O16</f>
        <v>5380.38</v>
      </c>
      <c r="N19" s="5">
        <f>L19-Grade12!L19</f>
        <v>383.06644899670209</v>
      </c>
      <c r="O19" s="5">
        <f>Grade12!M19-M19</f>
        <v>42.099999999999454</v>
      </c>
      <c r="P19" s="22">
        <f t="shared" si="12"/>
        <v>34.12712125681329</v>
      </c>
      <c r="Q19" s="22"/>
      <c r="R19" s="22"/>
      <c r="S19" s="22">
        <f t="shared" si="6"/>
        <v>203.21331424152646</v>
      </c>
      <c r="T19" s="22">
        <f t="shared" si="7"/>
        <v>278.36165335777122</v>
      </c>
    </row>
    <row r="20" spans="1:20" x14ac:dyDescent="0.2">
      <c r="A20" s="5">
        <v>29</v>
      </c>
      <c r="B20" s="1">
        <f t="shared" si="8"/>
        <v>1.2800845441963571</v>
      </c>
      <c r="C20" s="5">
        <f t="shared" si="9"/>
        <v>27933.996265988484</v>
      </c>
      <c r="D20" s="5">
        <f t="shared" si="0"/>
        <v>27181.622493763185</v>
      </c>
      <c r="E20" s="5">
        <f t="shared" si="1"/>
        <v>17681.622493763185</v>
      </c>
      <c r="F20" s="5">
        <f t="shared" si="2"/>
        <v>6074.7997442136802</v>
      </c>
      <c r="G20" s="5">
        <f t="shared" si="3"/>
        <v>21106.822749549505</v>
      </c>
      <c r="H20" s="22">
        <f t="shared" si="10"/>
        <v>12781.120933023032</v>
      </c>
      <c r="I20" s="5">
        <f t="shared" si="4"/>
        <v>33108.295305658132</v>
      </c>
      <c r="J20" s="26">
        <f t="shared" si="5"/>
        <v>0.13400469266322498</v>
      </c>
      <c r="L20" s="22">
        <f t="shared" si="11"/>
        <v>37511.008768822634</v>
      </c>
      <c r="M20" s="5">
        <f>scrimecost*Meta!O17</f>
        <v>5380.38</v>
      </c>
      <c r="N20" s="5">
        <f>L20-Grade12!L20</f>
        <v>392.64311022162292</v>
      </c>
      <c r="O20" s="5">
        <f>Grade12!M20-M20</f>
        <v>42.099999999999454</v>
      </c>
      <c r="P20" s="22">
        <f t="shared" si="12"/>
        <v>34.741953604660871</v>
      </c>
      <c r="Q20" s="22"/>
      <c r="R20" s="22"/>
      <c r="S20" s="22">
        <f t="shared" si="6"/>
        <v>207.50106784785228</v>
      </c>
      <c r="T20" s="22">
        <f t="shared" si="7"/>
        <v>293.32110294508846</v>
      </c>
    </row>
    <row r="21" spans="1:20" x14ac:dyDescent="0.2">
      <c r="A21" s="5">
        <v>30</v>
      </c>
      <c r="B21" s="1">
        <f t="shared" si="8"/>
        <v>1.312086657801266</v>
      </c>
      <c r="C21" s="5">
        <f t="shared" si="9"/>
        <v>28632.346172638194</v>
      </c>
      <c r="D21" s="5">
        <f t="shared" si="0"/>
        <v>27837.373056107263</v>
      </c>
      <c r="E21" s="5">
        <f t="shared" si="1"/>
        <v>18337.373056107263</v>
      </c>
      <c r="F21" s="5">
        <f t="shared" si="2"/>
        <v>6288.9023028190213</v>
      </c>
      <c r="G21" s="5">
        <f t="shared" si="3"/>
        <v>21548.470753288242</v>
      </c>
      <c r="H21" s="22">
        <f t="shared" si="10"/>
        <v>13100.648956348607</v>
      </c>
      <c r="I21" s="5">
        <f t="shared" si="4"/>
        <v>33849.980123299581</v>
      </c>
      <c r="J21" s="26">
        <f t="shared" si="5"/>
        <v>0.1361998580249002</v>
      </c>
      <c r="L21" s="22">
        <f t="shared" si="11"/>
        <v>38448.7839880432</v>
      </c>
      <c r="M21" s="5">
        <f>scrimecost*Meta!O18</f>
        <v>4337.5320000000002</v>
      </c>
      <c r="N21" s="5">
        <f>L21-Grade12!L21</f>
        <v>402.45918797716149</v>
      </c>
      <c r="O21" s="5">
        <f>Grade12!M21-M21</f>
        <v>33.9399999999996</v>
      </c>
      <c r="P21" s="22">
        <f t="shared" si="12"/>
        <v>35.372156761204657</v>
      </c>
      <c r="Q21" s="22"/>
      <c r="R21" s="22"/>
      <c r="S21" s="22">
        <f t="shared" si="6"/>
        <v>206.88577529433425</v>
      </c>
      <c r="T21" s="22">
        <f t="shared" si="7"/>
        <v>301.80006527726897</v>
      </c>
    </row>
    <row r="22" spans="1:20" x14ac:dyDescent="0.2">
      <c r="A22" s="5">
        <v>31</v>
      </c>
      <c r="B22" s="1">
        <f t="shared" si="8"/>
        <v>1.3448888242462975</v>
      </c>
      <c r="C22" s="5">
        <f t="shared" si="9"/>
        <v>29348.154826954145</v>
      </c>
      <c r="D22" s="5">
        <f t="shared" si="0"/>
        <v>28509.517382509941</v>
      </c>
      <c r="E22" s="5">
        <f t="shared" si="1"/>
        <v>19009.517382509941</v>
      </c>
      <c r="F22" s="5">
        <f t="shared" si="2"/>
        <v>6508.3574253894958</v>
      </c>
      <c r="G22" s="5">
        <f t="shared" si="3"/>
        <v>22001.159957120446</v>
      </c>
      <c r="H22" s="22">
        <f t="shared" si="10"/>
        <v>13428.165180257321</v>
      </c>
      <c r="I22" s="5">
        <f t="shared" si="4"/>
        <v>34610.207061382069</v>
      </c>
      <c r="J22" s="26">
        <f t="shared" si="5"/>
        <v>0.13834148276799796</v>
      </c>
      <c r="L22" s="22">
        <f t="shared" si="11"/>
        <v>39410.003587744271</v>
      </c>
      <c r="M22" s="5">
        <f>scrimecost*Meta!O19</f>
        <v>4337.5320000000002</v>
      </c>
      <c r="N22" s="5">
        <f>L22-Grade12!L22</f>
        <v>412.52066767658835</v>
      </c>
      <c r="O22" s="5">
        <f>Grade12!M22-M22</f>
        <v>33.9399999999996</v>
      </c>
      <c r="P22" s="22">
        <f t="shared" si="12"/>
        <v>36.018114996662014</v>
      </c>
      <c r="Q22" s="22"/>
      <c r="R22" s="22"/>
      <c r="S22" s="22">
        <f t="shared" si="6"/>
        <v>211.39059642697802</v>
      </c>
      <c r="T22" s="22">
        <f t="shared" si="7"/>
        <v>318.22924402871286</v>
      </c>
    </row>
    <row r="23" spans="1:20" x14ac:dyDescent="0.2">
      <c r="A23" s="5">
        <v>32</v>
      </c>
      <c r="B23" s="1">
        <f t="shared" si="8"/>
        <v>1.3785110448524549</v>
      </c>
      <c r="C23" s="5">
        <f t="shared" si="9"/>
        <v>30081.858697627998</v>
      </c>
      <c r="D23" s="5">
        <f t="shared" si="0"/>
        <v>29198.465317072692</v>
      </c>
      <c r="E23" s="5">
        <f t="shared" si="1"/>
        <v>19698.465317072692</v>
      </c>
      <c r="F23" s="5">
        <f t="shared" si="2"/>
        <v>6733.2989260242339</v>
      </c>
      <c r="G23" s="5">
        <f t="shared" si="3"/>
        <v>22465.166391048457</v>
      </c>
      <c r="H23" s="22">
        <f t="shared" si="10"/>
        <v>13763.869309763753</v>
      </c>
      <c r="I23" s="5">
        <f t="shared" si="4"/>
        <v>35389.439672916618</v>
      </c>
      <c r="J23" s="26">
        <f t="shared" si="5"/>
        <v>0.14043087276126412</v>
      </c>
      <c r="L23" s="22">
        <f t="shared" si="11"/>
        <v>40395.253677437882</v>
      </c>
      <c r="M23" s="5">
        <f>scrimecost*Meta!O20</f>
        <v>4337.5320000000002</v>
      </c>
      <c r="N23" s="5">
        <f>L23-Grade12!L23</f>
        <v>422.83368436850287</v>
      </c>
      <c r="O23" s="5">
        <f>Grade12!M23-M23</f>
        <v>33.9399999999996</v>
      </c>
      <c r="P23" s="22">
        <f t="shared" si="12"/>
        <v>36.680222188005828</v>
      </c>
      <c r="Q23" s="22"/>
      <c r="R23" s="22"/>
      <c r="S23" s="22">
        <f t="shared" si="6"/>
        <v>216.00803808793873</v>
      </c>
      <c r="T23" s="22">
        <f t="shared" si="7"/>
        <v>335.57535653678684</v>
      </c>
    </row>
    <row r="24" spans="1:20" x14ac:dyDescent="0.2">
      <c r="A24" s="5">
        <v>33</v>
      </c>
      <c r="B24" s="1">
        <f t="shared" si="8"/>
        <v>1.4129738209737661</v>
      </c>
      <c r="C24" s="5">
        <f t="shared" si="9"/>
        <v>30833.905165068692</v>
      </c>
      <c r="D24" s="5">
        <f t="shared" si="0"/>
        <v>29904.636949999502</v>
      </c>
      <c r="E24" s="5">
        <f t="shared" si="1"/>
        <v>20404.636949999502</v>
      </c>
      <c r="F24" s="5">
        <f t="shared" si="2"/>
        <v>6963.8639641748377</v>
      </c>
      <c r="G24" s="5">
        <f t="shared" si="3"/>
        <v>22940.772985824664</v>
      </c>
      <c r="H24" s="22">
        <f t="shared" si="10"/>
        <v>14107.966042507845</v>
      </c>
      <c r="I24" s="5">
        <f t="shared" si="4"/>
        <v>36188.153099739531</v>
      </c>
      <c r="J24" s="26">
        <f t="shared" si="5"/>
        <v>0.14246930202298716</v>
      </c>
      <c r="L24" s="22">
        <f t="shared" si="11"/>
        <v>41405.135019373825</v>
      </c>
      <c r="M24" s="5">
        <f>scrimecost*Meta!O21</f>
        <v>4337.5320000000002</v>
      </c>
      <c r="N24" s="5">
        <f>L24-Grade12!L24</f>
        <v>433.40452647770871</v>
      </c>
      <c r="O24" s="5">
        <f>Grade12!M24-M24</f>
        <v>33.9399999999996</v>
      </c>
      <c r="P24" s="22">
        <f t="shared" si="12"/>
        <v>37.358882059133229</v>
      </c>
      <c r="Q24" s="22"/>
      <c r="R24" s="22"/>
      <c r="S24" s="22">
        <f t="shared" si="6"/>
        <v>220.74091579042081</v>
      </c>
      <c r="T24" s="22">
        <f t="shared" si="7"/>
        <v>353.89034379680896</v>
      </c>
    </row>
    <row r="25" spans="1:20" x14ac:dyDescent="0.2">
      <c r="A25" s="5">
        <v>34</v>
      </c>
      <c r="B25" s="1">
        <f t="shared" si="8"/>
        <v>1.4482981664981105</v>
      </c>
      <c r="C25" s="5">
        <f t="shared" si="9"/>
        <v>31604.752794195414</v>
      </c>
      <c r="D25" s="5">
        <f t="shared" si="0"/>
        <v>30628.462873749493</v>
      </c>
      <c r="E25" s="5">
        <f t="shared" si="1"/>
        <v>21128.462873749493</v>
      </c>
      <c r="F25" s="5">
        <f t="shared" si="2"/>
        <v>7200.1931282792093</v>
      </c>
      <c r="G25" s="5">
        <f t="shared" si="3"/>
        <v>23428.269745470283</v>
      </c>
      <c r="H25" s="22">
        <f t="shared" si="10"/>
        <v>14460.665193570545</v>
      </c>
      <c r="I25" s="5">
        <f t="shared" si="4"/>
        <v>37006.834362233029</v>
      </c>
      <c r="J25" s="26">
        <f t="shared" si="5"/>
        <v>0.14445801349783888</v>
      </c>
      <c r="L25" s="22">
        <f t="shared" si="11"/>
        <v>42440.263394858179</v>
      </c>
      <c r="M25" s="5">
        <f>scrimecost*Meta!O22</f>
        <v>4337.5320000000002</v>
      </c>
      <c r="N25" s="5">
        <f>L25-Grade12!L25</f>
        <v>444.23963963966526</v>
      </c>
      <c r="O25" s="5">
        <f>Grade12!M25-M25</f>
        <v>33.9399999999996</v>
      </c>
      <c r="P25" s="22">
        <f t="shared" si="12"/>
        <v>38.054508427038812</v>
      </c>
      <c r="Q25" s="22"/>
      <c r="R25" s="22"/>
      <c r="S25" s="22">
        <f t="shared" si="6"/>
        <v>225.59211543547332</v>
      </c>
      <c r="T25" s="22">
        <f t="shared" si="7"/>
        <v>373.2291144098204</v>
      </c>
    </row>
    <row r="26" spans="1:20" x14ac:dyDescent="0.2">
      <c r="A26" s="5">
        <v>35</v>
      </c>
      <c r="B26" s="1">
        <f t="shared" si="8"/>
        <v>1.4845056206605631</v>
      </c>
      <c r="C26" s="5">
        <f t="shared" si="9"/>
        <v>32394.871614050298</v>
      </c>
      <c r="D26" s="5">
        <f t="shared" si="0"/>
        <v>31370.38444559323</v>
      </c>
      <c r="E26" s="5">
        <f t="shared" si="1"/>
        <v>21870.38444559323</v>
      </c>
      <c r="F26" s="5">
        <f t="shared" si="2"/>
        <v>7442.4305214861897</v>
      </c>
      <c r="G26" s="5">
        <f t="shared" si="3"/>
        <v>23927.953924107042</v>
      </c>
      <c r="H26" s="22">
        <f t="shared" si="10"/>
        <v>14822.181823409806</v>
      </c>
      <c r="I26" s="5">
        <f t="shared" si="4"/>
        <v>37845.982656288848</v>
      </c>
      <c r="J26" s="26">
        <f t="shared" si="5"/>
        <v>0.14639821981476747</v>
      </c>
      <c r="L26" s="22">
        <f t="shared" si="11"/>
        <v>43501.26997972963</v>
      </c>
      <c r="M26" s="5">
        <f>scrimecost*Meta!O23</f>
        <v>3366.252</v>
      </c>
      <c r="N26" s="5">
        <f>L26-Grade12!L26</f>
        <v>455.34563063065434</v>
      </c>
      <c r="O26" s="5">
        <f>Grade12!M26-M26</f>
        <v>26.339999999999691</v>
      </c>
      <c r="P26" s="22">
        <f t="shared" si="12"/>
        <v>38.767525454142039</v>
      </c>
      <c r="Q26" s="22"/>
      <c r="R26" s="22"/>
      <c r="S26" s="22">
        <f t="shared" si="6"/>
        <v>225.89819507164552</v>
      </c>
      <c r="T26" s="22">
        <f t="shared" si="7"/>
        <v>385.6826329832806</v>
      </c>
    </row>
    <row r="27" spans="1:20" x14ac:dyDescent="0.2">
      <c r="A27" s="5">
        <v>36</v>
      </c>
      <c r="B27" s="1">
        <f t="shared" si="8"/>
        <v>1.521618261177077</v>
      </c>
      <c r="C27" s="5">
        <f t="shared" si="9"/>
        <v>33204.743404401554</v>
      </c>
      <c r="D27" s="5">
        <f t="shared" si="0"/>
        <v>32130.85405673306</v>
      </c>
      <c r="E27" s="5">
        <f t="shared" si="1"/>
        <v>22630.85405673306</v>
      </c>
      <c r="F27" s="5">
        <f t="shared" si="2"/>
        <v>7690.7238495233441</v>
      </c>
      <c r="G27" s="5">
        <f t="shared" si="3"/>
        <v>24440.130207209717</v>
      </c>
      <c r="H27" s="22">
        <f t="shared" si="10"/>
        <v>15192.736368995049</v>
      </c>
      <c r="I27" s="5">
        <f t="shared" si="4"/>
        <v>38706.10965769607</v>
      </c>
      <c r="J27" s="26">
        <f t="shared" si="5"/>
        <v>0.14829110402640508</v>
      </c>
      <c r="L27" s="22">
        <f t="shared" si="11"/>
        <v>44588.801729222861</v>
      </c>
      <c r="M27" s="5">
        <f>scrimecost*Meta!O24</f>
        <v>3366.252</v>
      </c>
      <c r="N27" s="5">
        <f>L27-Grade12!L27</f>
        <v>466.72927139641251</v>
      </c>
      <c r="O27" s="5">
        <f>Grade12!M27-M27</f>
        <v>26.339999999999691</v>
      </c>
      <c r="P27" s="22">
        <f t="shared" si="12"/>
        <v>39.498367906922851</v>
      </c>
      <c r="Q27" s="22"/>
      <c r="R27" s="22"/>
      <c r="S27" s="22">
        <f t="shared" si="6"/>
        <v>230.99498669871966</v>
      </c>
      <c r="T27" s="22">
        <f t="shared" si="7"/>
        <v>406.99174612220196</v>
      </c>
    </row>
    <row r="28" spans="1:20" x14ac:dyDescent="0.2">
      <c r="A28" s="5">
        <v>37</v>
      </c>
      <c r="B28" s="1">
        <f t="shared" si="8"/>
        <v>1.559658717706504</v>
      </c>
      <c r="C28" s="5">
        <f t="shared" si="9"/>
        <v>34034.861989511592</v>
      </c>
      <c r="D28" s="5">
        <f t="shared" si="0"/>
        <v>32910.33540815139</v>
      </c>
      <c r="E28" s="5">
        <f t="shared" si="1"/>
        <v>23410.33540815139</v>
      </c>
      <c r="F28" s="5">
        <f t="shared" si="2"/>
        <v>7945.224510761429</v>
      </c>
      <c r="G28" s="5">
        <f t="shared" si="3"/>
        <v>24965.110897389961</v>
      </c>
      <c r="H28" s="22">
        <f t="shared" si="10"/>
        <v>15572.554778219926</v>
      </c>
      <c r="I28" s="5">
        <f t="shared" si="4"/>
        <v>39587.739834138469</v>
      </c>
      <c r="J28" s="26">
        <f t="shared" si="5"/>
        <v>0.15013782033044179</v>
      </c>
      <c r="L28" s="22">
        <f t="shared" si="11"/>
        <v>45703.52177245343</v>
      </c>
      <c r="M28" s="5">
        <f>scrimecost*Meta!O25</f>
        <v>3366.252</v>
      </c>
      <c r="N28" s="5">
        <f>L28-Grade12!L28</f>
        <v>478.39750318131701</v>
      </c>
      <c r="O28" s="5">
        <f>Grade12!M28-M28</f>
        <v>26.339999999999691</v>
      </c>
      <c r="P28" s="22">
        <f t="shared" si="12"/>
        <v>40.247481421023174</v>
      </c>
      <c r="Q28" s="22"/>
      <c r="R28" s="22"/>
      <c r="S28" s="22">
        <f t="shared" si="6"/>
        <v>236.21919811647157</v>
      </c>
      <c r="T28" s="22">
        <f t="shared" si="7"/>
        <v>429.50078606384898</v>
      </c>
    </row>
    <row r="29" spans="1:20" x14ac:dyDescent="0.2">
      <c r="A29" s="5">
        <v>38</v>
      </c>
      <c r="B29" s="1">
        <f t="shared" si="8"/>
        <v>1.5986501856491666</v>
      </c>
      <c r="C29" s="5">
        <f t="shared" si="9"/>
        <v>34885.733539249384</v>
      </c>
      <c r="D29" s="5">
        <f t="shared" si="0"/>
        <v>33709.303793355175</v>
      </c>
      <c r="E29" s="5">
        <f t="shared" si="1"/>
        <v>24209.303793355175</v>
      </c>
      <c r="F29" s="5">
        <f t="shared" si="2"/>
        <v>8206.0876885304642</v>
      </c>
      <c r="G29" s="5">
        <f t="shared" si="3"/>
        <v>25503.216104824711</v>
      </c>
      <c r="H29" s="22">
        <f t="shared" si="10"/>
        <v>15961.868647675425</v>
      </c>
      <c r="I29" s="5">
        <f t="shared" si="4"/>
        <v>40491.410764991932</v>
      </c>
      <c r="J29" s="26">
        <f t="shared" si="5"/>
        <v>0.15193949477340443</v>
      </c>
      <c r="L29" s="22">
        <f t="shared" si="11"/>
        <v>46846.109816764765</v>
      </c>
      <c r="M29" s="5">
        <f>scrimecost*Meta!O26</f>
        <v>3366.252</v>
      </c>
      <c r="N29" s="5">
        <f>L29-Grade12!L29</f>
        <v>490.35744076086121</v>
      </c>
      <c r="O29" s="5">
        <f>Grade12!M29-M29</f>
        <v>26.339999999999691</v>
      </c>
      <c r="P29" s="22">
        <f t="shared" si="12"/>
        <v>41.01532277297602</v>
      </c>
      <c r="Q29" s="22"/>
      <c r="R29" s="22"/>
      <c r="S29" s="22">
        <f t="shared" si="6"/>
        <v>241.57401481967435</v>
      </c>
      <c r="T29" s="22">
        <f t="shared" si="7"/>
        <v>453.27807629954214</v>
      </c>
    </row>
    <row r="30" spans="1:20" x14ac:dyDescent="0.2">
      <c r="A30" s="5">
        <v>39</v>
      </c>
      <c r="B30" s="1">
        <f t="shared" si="8"/>
        <v>1.6386164402903955</v>
      </c>
      <c r="C30" s="5">
        <f t="shared" si="9"/>
        <v>35757.87687773061</v>
      </c>
      <c r="D30" s="5">
        <f t="shared" si="0"/>
        <v>34528.246388189044</v>
      </c>
      <c r="E30" s="5">
        <f t="shared" si="1"/>
        <v>25028.246388189044</v>
      </c>
      <c r="F30" s="5">
        <f t="shared" si="2"/>
        <v>8473.4724457437223</v>
      </c>
      <c r="G30" s="5">
        <f t="shared" si="3"/>
        <v>26054.773942445321</v>
      </c>
      <c r="H30" s="22">
        <f t="shared" si="10"/>
        <v>16360.915363867307</v>
      </c>
      <c r="I30" s="5">
        <f t="shared" si="4"/>
        <v>41417.673469116722</v>
      </c>
      <c r="J30" s="26">
        <f t="shared" si="5"/>
        <v>0.15369722593727034</v>
      </c>
      <c r="L30" s="22">
        <f t="shared" si="11"/>
        <v>48017.262562183882</v>
      </c>
      <c r="M30" s="5">
        <f>scrimecost*Meta!O27</f>
        <v>3366.252</v>
      </c>
      <c r="N30" s="5">
        <f>L30-Grade12!L30</f>
        <v>502.6163767798862</v>
      </c>
      <c r="O30" s="5">
        <f>Grade12!M30-M30</f>
        <v>26.339999999999691</v>
      </c>
      <c r="P30" s="22">
        <f t="shared" si="12"/>
        <v>41.802360158727666</v>
      </c>
      <c r="Q30" s="22"/>
      <c r="R30" s="22"/>
      <c r="S30" s="22">
        <f t="shared" si="6"/>
        <v>247.06270194045391</v>
      </c>
      <c r="T30" s="22">
        <f t="shared" si="7"/>
        <v>478.39585539996523</v>
      </c>
    </row>
    <row r="31" spans="1:20" x14ac:dyDescent="0.2">
      <c r="A31" s="5">
        <v>40</v>
      </c>
      <c r="B31" s="1">
        <f t="shared" si="8"/>
        <v>1.6795818512976552</v>
      </c>
      <c r="C31" s="5">
        <f t="shared" si="9"/>
        <v>36651.823799673875</v>
      </c>
      <c r="D31" s="5">
        <f t="shared" si="0"/>
        <v>35367.662547893771</v>
      </c>
      <c r="E31" s="5">
        <f t="shared" si="1"/>
        <v>25867.662547893771</v>
      </c>
      <c r="F31" s="5">
        <f t="shared" si="2"/>
        <v>8747.5418218873165</v>
      </c>
      <c r="G31" s="5">
        <f t="shared" si="3"/>
        <v>26620.120726006455</v>
      </c>
      <c r="H31" s="22">
        <f t="shared" si="10"/>
        <v>16769.93824796399</v>
      </c>
      <c r="I31" s="5">
        <f t="shared" si="4"/>
        <v>42367.092740844644</v>
      </c>
      <c r="J31" s="26">
        <f t="shared" si="5"/>
        <v>0.15541208560933473</v>
      </c>
      <c r="L31" s="22">
        <f t="shared" si="11"/>
        <v>49217.694126238479</v>
      </c>
      <c r="M31" s="5">
        <f>scrimecost*Meta!O28</f>
        <v>2944.5119999999997</v>
      </c>
      <c r="N31" s="5">
        <f>L31-Grade12!L31</f>
        <v>515.1817861993768</v>
      </c>
      <c r="O31" s="5">
        <f>Grade12!M31-M31</f>
        <v>23.039999999999964</v>
      </c>
      <c r="P31" s="22">
        <f t="shared" si="12"/>
        <v>42.609073479123118</v>
      </c>
      <c r="Q31" s="22"/>
      <c r="R31" s="22"/>
      <c r="S31" s="22">
        <f t="shared" si="6"/>
        <v>250.66240623924915</v>
      </c>
      <c r="T31" s="22">
        <f t="shared" si="7"/>
        <v>500.8816841361301</v>
      </c>
    </row>
    <row r="32" spans="1:20" x14ac:dyDescent="0.2">
      <c r="A32" s="5">
        <v>41</v>
      </c>
      <c r="B32" s="1">
        <f t="shared" si="8"/>
        <v>1.7215713975800966</v>
      </c>
      <c r="C32" s="5">
        <f t="shared" si="9"/>
        <v>37568.119394665722</v>
      </c>
      <c r="D32" s="5">
        <f t="shared" si="0"/>
        <v>36228.064111591113</v>
      </c>
      <c r="E32" s="5">
        <f t="shared" si="1"/>
        <v>26728.064111591113</v>
      </c>
      <c r="F32" s="5">
        <f t="shared" si="2"/>
        <v>9028.4629324344987</v>
      </c>
      <c r="G32" s="5">
        <f t="shared" si="3"/>
        <v>27199.601179156612</v>
      </c>
      <c r="H32" s="22">
        <f t="shared" si="10"/>
        <v>17189.186704163087</v>
      </c>
      <c r="I32" s="5">
        <f t="shared" si="4"/>
        <v>43340.247494365751</v>
      </c>
      <c r="J32" s="26">
        <f t="shared" si="5"/>
        <v>0.157085119435739</v>
      </c>
      <c r="L32" s="22">
        <f t="shared" si="11"/>
        <v>50448.13647939443</v>
      </c>
      <c r="M32" s="5">
        <f>scrimecost*Meta!O29</f>
        <v>2944.5119999999997</v>
      </c>
      <c r="N32" s="5">
        <f>L32-Grade12!L32</f>
        <v>528.06133085435431</v>
      </c>
      <c r="O32" s="5">
        <f>Grade12!M32-M32</f>
        <v>23.039999999999964</v>
      </c>
      <c r="P32" s="22">
        <f t="shared" si="12"/>
        <v>43.43595463252845</v>
      </c>
      <c r="Q32" s="22"/>
      <c r="R32" s="22"/>
      <c r="S32" s="22">
        <f t="shared" si="6"/>
        <v>256.42895814551383</v>
      </c>
      <c r="T32" s="22">
        <f t="shared" si="7"/>
        <v>528.78452794614304</v>
      </c>
    </row>
    <row r="33" spans="1:20" x14ac:dyDescent="0.2">
      <c r="A33" s="5">
        <v>42</v>
      </c>
      <c r="B33" s="1">
        <f t="shared" si="8"/>
        <v>1.7646106825195991</v>
      </c>
      <c r="C33" s="5">
        <f t="shared" si="9"/>
        <v>38507.322379532365</v>
      </c>
      <c r="D33" s="5">
        <f t="shared" si="0"/>
        <v>37109.975714380889</v>
      </c>
      <c r="E33" s="5">
        <f t="shared" si="1"/>
        <v>27609.975714380889</v>
      </c>
      <c r="F33" s="5">
        <f t="shared" si="2"/>
        <v>9316.4070707453611</v>
      </c>
      <c r="G33" s="5">
        <f t="shared" si="3"/>
        <v>27793.568643635528</v>
      </c>
      <c r="H33" s="22">
        <f t="shared" si="10"/>
        <v>17618.916371767165</v>
      </c>
      <c r="I33" s="5">
        <f t="shared" si="4"/>
        <v>44337.731116724899</v>
      </c>
      <c r="J33" s="26">
        <f t="shared" si="5"/>
        <v>0.1587173475590602</v>
      </c>
      <c r="L33" s="22">
        <f t="shared" si="11"/>
        <v>51709.339891379299</v>
      </c>
      <c r="M33" s="5">
        <f>scrimecost*Meta!O30</f>
        <v>2944.5119999999997</v>
      </c>
      <c r="N33" s="5">
        <f>L33-Grade12!L33</f>
        <v>541.26286412572517</v>
      </c>
      <c r="O33" s="5">
        <f>Grade12!M33-M33</f>
        <v>23.039999999999964</v>
      </c>
      <c r="P33" s="22">
        <f t="shared" si="12"/>
        <v>44.28350781476891</v>
      </c>
      <c r="Q33" s="22"/>
      <c r="R33" s="22"/>
      <c r="S33" s="22">
        <f t="shared" si="6"/>
        <v>262.33967384944293</v>
      </c>
      <c r="T33" s="22">
        <f t="shared" si="7"/>
        <v>558.26624648594748</v>
      </c>
    </row>
    <row r="34" spans="1:20" x14ac:dyDescent="0.2">
      <c r="A34" s="5">
        <v>43</v>
      </c>
      <c r="B34" s="1">
        <f t="shared" si="8"/>
        <v>1.8087259495825889</v>
      </c>
      <c r="C34" s="5">
        <f t="shared" si="9"/>
        <v>39470.005439020671</v>
      </c>
      <c r="D34" s="5">
        <f t="shared" si="0"/>
        <v>38013.93510724041</v>
      </c>
      <c r="E34" s="5">
        <f t="shared" si="1"/>
        <v>28513.93510724041</v>
      </c>
      <c r="F34" s="5">
        <f t="shared" si="2"/>
        <v>9611.5498125139929</v>
      </c>
      <c r="G34" s="5">
        <f t="shared" si="3"/>
        <v>28402.385294726417</v>
      </c>
      <c r="H34" s="22">
        <f t="shared" si="10"/>
        <v>18059.389281061343</v>
      </c>
      <c r="I34" s="5">
        <f t="shared" si="4"/>
        <v>45360.151829643015</v>
      </c>
      <c r="J34" s="26">
        <f t="shared" si="5"/>
        <v>0.16030976524034921</v>
      </c>
      <c r="L34" s="22">
        <f t="shared" si="11"/>
        <v>53002.073388663775</v>
      </c>
      <c r="M34" s="5">
        <f>scrimecost*Meta!O31</f>
        <v>2944.5119999999997</v>
      </c>
      <c r="N34" s="5">
        <f>L34-Grade12!L34</f>
        <v>554.79443572887249</v>
      </c>
      <c r="O34" s="5">
        <f>Grade12!M34-M34</f>
        <v>23.039999999999964</v>
      </c>
      <c r="P34" s="22">
        <f t="shared" si="12"/>
        <v>45.152249826565388</v>
      </c>
      <c r="Q34" s="22"/>
      <c r="R34" s="22"/>
      <c r="S34" s="22">
        <f t="shared" si="6"/>
        <v>268.39815744596706</v>
      </c>
      <c r="T34" s="22">
        <f t="shared" si="7"/>
        <v>589.41699135543024</v>
      </c>
    </row>
    <row r="35" spans="1:20" x14ac:dyDescent="0.2">
      <c r="A35" s="5">
        <v>44</v>
      </c>
      <c r="B35" s="1">
        <f t="shared" si="8"/>
        <v>1.8539440983221533</v>
      </c>
      <c r="C35" s="5">
        <f t="shared" si="9"/>
        <v>40456.755574996176</v>
      </c>
      <c r="D35" s="5">
        <f t="shared" si="0"/>
        <v>38940.493484921411</v>
      </c>
      <c r="E35" s="5">
        <f t="shared" si="1"/>
        <v>29440.493484921411</v>
      </c>
      <c r="F35" s="5">
        <f t="shared" si="2"/>
        <v>9914.071122826841</v>
      </c>
      <c r="G35" s="5">
        <f t="shared" si="3"/>
        <v>29026.42236209457</v>
      </c>
      <c r="H35" s="22">
        <f t="shared" si="10"/>
        <v>18510.874013087876</v>
      </c>
      <c r="I35" s="5">
        <f t="shared" si="4"/>
        <v>46408.133060384091</v>
      </c>
      <c r="J35" s="26">
        <f t="shared" si="5"/>
        <v>0.16186334346599701</v>
      </c>
      <c r="L35" s="22">
        <f t="shared" si="11"/>
        <v>54327.125223380361</v>
      </c>
      <c r="M35" s="5">
        <f>scrimecost*Meta!O32</f>
        <v>2944.5119999999997</v>
      </c>
      <c r="N35" s="5">
        <f>L35-Grade12!L35</f>
        <v>568.66429662208975</v>
      </c>
      <c r="O35" s="5">
        <f>Grade12!M35-M35</f>
        <v>23.039999999999964</v>
      </c>
      <c r="P35" s="22">
        <f t="shared" si="12"/>
        <v>46.042710388656772</v>
      </c>
      <c r="Q35" s="22"/>
      <c r="R35" s="22"/>
      <c r="S35" s="22">
        <f t="shared" si="6"/>
        <v>274.60810313240069</v>
      </c>
      <c r="T35" s="22">
        <f t="shared" si="7"/>
        <v>622.33208816785452</v>
      </c>
    </row>
    <row r="36" spans="1:20" x14ac:dyDescent="0.2">
      <c r="A36" s="5">
        <v>45</v>
      </c>
      <c r="B36" s="1">
        <f t="shared" si="8"/>
        <v>1.9002927007802071</v>
      </c>
      <c r="C36" s="5">
        <f t="shared" si="9"/>
        <v>41468.174464371084</v>
      </c>
      <c r="D36" s="5">
        <f t="shared" si="0"/>
        <v>39890.215822044447</v>
      </c>
      <c r="E36" s="5">
        <f t="shared" si="1"/>
        <v>30390.215822044447</v>
      </c>
      <c r="F36" s="5">
        <f t="shared" si="2"/>
        <v>10224.155465897511</v>
      </c>
      <c r="G36" s="5">
        <f t="shared" si="3"/>
        <v>29666.060356146936</v>
      </c>
      <c r="H36" s="22">
        <f t="shared" si="10"/>
        <v>18973.645863415069</v>
      </c>
      <c r="I36" s="5">
        <f t="shared" si="4"/>
        <v>47482.313821893687</v>
      </c>
      <c r="J36" s="26">
        <f t="shared" si="5"/>
        <v>0.16337902953979971</v>
      </c>
      <c r="L36" s="22">
        <f t="shared" si="11"/>
        <v>55685.303353964868</v>
      </c>
      <c r="M36" s="5">
        <f>scrimecost*Meta!O33</f>
        <v>2379.636</v>
      </c>
      <c r="N36" s="5">
        <f>L36-Grade12!L36</f>
        <v>582.88090403764363</v>
      </c>
      <c r="O36" s="5">
        <f>Grade12!M36-M36</f>
        <v>18.620000000000346</v>
      </c>
      <c r="P36" s="22">
        <f t="shared" si="12"/>
        <v>46.955432464800445</v>
      </c>
      <c r="Q36" s="22"/>
      <c r="R36" s="22"/>
      <c r="S36" s="22">
        <f t="shared" si="6"/>
        <v>278.25941746099795</v>
      </c>
      <c r="T36" s="22">
        <f t="shared" si="7"/>
        <v>650.76538239175318</v>
      </c>
    </row>
    <row r="37" spans="1:20" x14ac:dyDescent="0.2">
      <c r="A37" s="5">
        <v>46</v>
      </c>
      <c r="B37" s="1">
        <f t="shared" ref="B37:B56" si="13">(1+experiencepremium)^(A37-startage)</f>
        <v>1.9478000182997122</v>
      </c>
      <c r="C37" s="5">
        <f t="shared" ref="C37:C56" si="14">pretaxincome*B37/expnorm</f>
        <v>42504.878825980362</v>
      </c>
      <c r="D37" s="5">
        <f t="shared" ref="D37:D56" si="15">IF(A37&lt;startage,1,0)*(C37*(1-initialunempprob))+IF(A37=startage,1,0)*(C37*(1-unempprob))+IF(A37&gt;startage,1,0)*(C37*(1-unempprob)+unempprob*300*52)</f>
        <v>40863.681217595564</v>
      </c>
      <c r="E37" s="5">
        <f t="shared" si="1"/>
        <v>31363.681217595564</v>
      </c>
      <c r="F37" s="5">
        <f t="shared" si="2"/>
        <v>10541.99191754495</v>
      </c>
      <c r="G37" s="5">
        <f t="shared" si="3"/>
        <v>30321.689300050613</v>
      </c>
      <c r="H37" s="22">
        <f t="shared" ref="H37:H56" si="16">benefits*B37/expnorm</f>
        <v>19447.987010000445</v>
      </c>
      <c r="I37" s="5">
        <f t="shared" ref="I37:I56" si="17">G37+IF(A37&lt;startage,1,0)*(H37*(1-initialunempprob))+IF(A37&gt;=startage,1,0)*(H37*(1-unempprob))</f>
        <v>48583.349102441032</v>
      </c>
      <c r="J37" s="26">
        <f t="shared" si="5"/>
        <v>0.16485774766058292</v>
      </c>
      <c r="L37" s="22">
        <f t="shared" ref="L37:L56" si="18">(sincome+sbenefits)*(1-sunemp)*B37/expnorm</f>
        <v>57077.435937813992</v>
      </c>
      <c r="M37" s="5">
        <f>scrimecost*Meta!O34</f>
        <v>2379.636</v>
      </c>
      <c r="N37" s="5">
        <f>L37-Grade12!L37</f>
        <v>597.45292663858709</v>
      </c>
      <c r="O37" s="5">
        <f>Grade12!M37-M37</f>
        <v>18.620000000000346</v>
      </c>
      <c r="P37" s="22">
        <f t="shared" si="12"/>
        <v>47.890972592847717</v>
      </c>
      <c r="Q37" s="22"/>
      <c r="R37" s="22"/>
      <c r="S37" s="22">
        <f t="shared" si="6"/>
        <v>284.78374164781019</v>
      </c>
      <c r="T37" s="22">
        <f t="shared" si="7"/>
        <v>687.31447044494087</v>
      </c>
    </row>
    <row r="38" spans="1:20" x14ac:dyDescent="0.2">
      <c r="A38" s="5">
        <v>47</v>
      </c>
      <c r="B38" s="1">
        <f t="shared" si="13"/>
        <v>1.9964950187572048</v>
      </c>
      <c r="C38" s="5">
        <f t="shared" si="14"/>
        <v>43567.500796629865</v>
      </c>
      <c r="D38" s="5">
        <f t="shared" si="15"/>
        <v>41861.483248035445</v>
      </c>
      <c r="E38" s="5">
        <f t="shared" si="1"/>
        <v>32361.483248035445</v>
      </c>
      <c r="F38" s="5">
        <f t="shared" si="2"/>
        <v>10867.774280483573</v>
      </c>
      <c r="G38" s="5">
        <f t="shared" si="3"/>
        <v>30993.708967551873</v>
      </c>
      <c r="H38" s="22">
        <f t="shared" si="16"/>
        <v>19934.186685250454</v>
      </c>
      <c r="I38" s="5">
        <f t="shared" si="17"/>
        <v>49711.91026500205</v>
      </c>
      <c r="J38" s="26">
        <f t="shared" si="5"/>
        <v>0.16630039948573722</v>
      </c>
      <c r="L38" s="22">
        <f t="shared" si="18"/>
        <v>58504.371836259328</v>
      </c>
      <c r="M38" s="5">
        <f>scrimecost*Meta!O35</f>
        <v>2379.636</v>
      </c>
      <c r="N38" s="5">
        <f>L38-Grade12!L38</f>
        <v>612.38924980453157</v>
      </c>
      <c r="O38" s="5">
        <f>Grade12!M38-M38</f>
        <v>18.620000000000346</v>
      </c>
      <c r="P38" s="22">
        <f t="shared" si="12"/>
        <v>48.849901224096158</v>
      </c>
      <c r="Q38" s="22"/>
      <c r="R38" s="22"/>
      <c r="S38" s="22">
        <f t="shared" si="6"/>
        <v>291.47117393928357</v>
      </c>
      <c r="T38" s="22">
        <f t="shared" si="7"/>
        <v>725.94151044763112</v>
      </c>
    </row>
    <row r="39" spans="1:20" x14ac:dyDescent="0.2">
      <c r="A39" s="5">
        <v>48</v>
      </c>
      <c r="B39" s="1">
        <f t="shared" si="13"/>
        <v>2.0464073942261352</v>
      </c>
      <c r="C39" s="5">
        <f t="shared" si="14"/>
        <v>44656.688316545617</v>
      </c>
      <c r="D39" s="5">
        <f t="shared" si="15"/>
        <v>42884.230329236336</v>
      </c>
      <c r="E39" s="5">
        <f t="shared" si="1"/>
        <v>33384.230329236336</v>
      </c>
      <c r="F39" s="5">
        <f t="shared" si="2"/>
        <v>11201.701202495664</v>
      </c>
      <c r="G39" s="5">
        <f t="shared" si="3"/>
        <v>31682.529126740672</v>
      </c>
      <c r="H39" s="22">
        <f t="shared" si="16"/>
        <v>20432.541352381722</v>
      </c>
      <c r="I39" s="5">
        <f t="shared" si="17"/>
        <v>50868.685456627107</v>
      </c>
      <c r="J39" s="26">
        <f t="shared" si="5"/>
        <v>0.16770786468100971</v>
      </c>
      <c r="L39" s="22">
        <f t="shared" si="18"/>
        <v>59966.98113216582</v>
      </c>
      <c r="M39" s="5">
        <f>scrimecost*Meta!O36</f>
        <v>2379.636</v>
      </c>
      <c r="N39" s="5">
        <f>L39-Grade12!L39</f>
        <v>627.69898104966705</v>
      </c>
      <c r="O39" s="5">
        <f>Grade12!M39-M39</f>
        <v>18.620000000000346</v>
      </c>
      <c r="P39" s="22">
        <f t="shared" si="12"/>
        <v>49.832803071125831</v>
      </c>
      <c r="Q39" s="22"/>
      <c r="R39" s="22"/>
      <c r="S39" s="22">
        <f t="shared" si="6"/>
        <v>298.32579203806102</v>
      </c>
      <c r="T39" s="22">
        <f t="shared" si="7"/>
        <v>766.76547148486634</v>
      </c>
    </row>
    <row r="40" spans="1:20" x14ac:dyDescent="0.2">
      <c r="A40" s="5">
        <v>49</v>
      </c>
      <c r="B40" s="1">
        <f t="shared" si="13"/>
        <v>2.097567579081788</v>
      </c>
      <c r="C40" s="5">
        <f t="shared" si="14"/>
        <v>45773.105524459243</v>
      </c>
      <c r="D40" s="5">
        <f t="shared" si="15"/>
        <v>43932.546087467228</v>
      </c>
      <c r="E40" s="5">
        <f t="shared" si="1"/>
        <v>34432.546087467228</v>
      </c>
      <c r="F40" s="5">
        <f t="shared" si="2"/>
        <v>11543.976297558049</v>
      </c>
      <c r="G40" s="5">
        <f t="shared" si="3"/>
        <v>32388.569789909179</v>
      </c>
      <c r="H40" s="22">
        <f t="shared" si="16"/>
        <v>20943.35488619126</v>
      </c>
      <c r="I40" s="5">
        <f t="shared" si="17"/>
        <v>52054.380028042775</v>
      </c>
      <c r="J40" s="26">
        <f t="shared" si="5"/>
        <v>0.16908100145688526</v>
      </c>
      <c r="L40" s="22">
        <f t="shared" si="18"/>
        <v>61466.155660469951</v>
      </c>
      <c r="M40" s="5">
        <f>scrimecost*Meta!O37</f>
        <v>2379.636</v>
      </c>
      <c r="N40" s="5">
        <f>L40-Grade12!L40</f>
        <v>643.39145557587472</v>
      </c>
      <c r="O40" s="5">
        <f>Grade12!M40-M40</f>
        <v>18.620000000000346</v>
      </c>
      <c r="P40" s="22">
        <f t="shared" si="12"/>
        <v>50.840277464331216</v>
      </c>
      <c r="Q40" s="22"/>
      <c r="R40" s="22"/>
      <c r="S40" s="22">
        <f t="shared" si="6"/>
        <v>305.35177558928496</v>
      </c>
      <c r="T40" s="22">
        <f t="shared" si="7"/>
        <v>809.91216093500861</v>
      </c>
    </row>
    <row r="41" spans="1:20" x14ac:dyDescent="0.2">
      <c r="A41" s="5">
        <v>50</v>
      </c>
      <c r="B41" s="1">
        <f t="shared" si="13"/>
        <v>2.1500067685588333</v>
      </c>
      <c r="C41" s="5">
        <f t="shared" si="14"/>
        <v>46917.433162570735</v>
      </c>
      <c r="D41" s="5">
        <f t="shared" si="15"/>
        <v>45007.069739653918</v>
      </c>
      <c r="E41" s="5">
        <f t="shared" si="1"/>
        <v>35507.069739653918</v>
      </c>
      <c r="F41" s="5">
        <f t="shared" si="2"/>
        <v>11995.515243962396</v>
      </c>
      <c r="G41" s="5">
        <f t="shared" si="3"/>
        <v>33011.554495691526</v>
      </c>
      <c r="H41" s="22">
        <f t="shared" si="16"/>
        <v>21466.938758346045</v>
      </c>
      <c r="I41" s="5">
        <f t="shared" si="17"/>
        <v>53169.009989778468</v>
      </c>
      <c r="J41" s="26">
        <f t="shared" si="5"/>
        <v>0.17198897579827652</v>
      </c>
      <c r="L41" s="22">
        <f t="shared" si="18"/>
        <v>63002.809551981714</v>
      </c>
      <c r="M41" s="5">
        <f>scrimecost*Meta!O38</f>
        <v>1589.8319999999999</v>
      </c>
      <c r="N41" s="5">
        <f>L41-Grade12!L41</f>
        <v>659.47624196530523</v>
      </c>
      <c r="O41" s="5">
        <f>Grade12!M41-M41</f>
        <v>12.440000000000055</v>
      </c>
      <c r="P41" s="22">
        <f t="shared" si="12"/>
        <v>52.169366061777666</v>
      </c>
      <c r="Q41" s="22"/>
      <c r="R41" s="22"/>
      <c r="S41" s="22">
        <f t="shared" ref="S41:S69" si="19">IF(A41&lt;startage,1,0)*(N41-Q41-R41)+IF(A41&gt;=startage,1,0)*completionprob*(N41*spart+O41+P41)</f>
        <v>308.94089511878531</v>
      </c>
      <c r="T41" s="22">
        <f t="shared" ref="T41:T69" si="20">S41/sreturn^(A41-startage+1)</f>
        <v>845.62652210620342</v>
      </c>
    </row>
    <row r="42" spans="1:20" x14ac:dyDescent="0.2">
      <c r="A42" s="5">
        <v>51</v>
      </c>
      <c r="B42" s="1">
        <f t="shared" si="13"/>
        <v>2.2037569377728037</v>
      </c>
      <c r="C42" s="5">
        <f t="shared" si="14"/>
        <v>48090.36899163499</v>
      </c>
      <c r="D42" s="5">
        <f t="shared" si="15"/>
        <v>46108.456483145259</v>
      </c>
      <c r="E42" s="5">
        <f t="shared" si="1"/>
        <v>36608.456483145259</v>
      </c>
      <c r="F42" s="5">
        <f t="shared" si="2"/>
        <v>12465.256690061453</v>
      </c>
      <c r="G42" s="5">
        <f t="shared" si="3"/>
        <v>33643.199793083804</v>
      </c>
      <c r="H42" s="22">
        <f t="shared" si="16"/>
        <v>22003.612227304693</v>
      </c>
      <c r="I42" s="5">
        <f t="shared" si="17"/>
        <v>54304.591674522911</v>
      </c>
      <c r="J42" s="26">
        <f t="shared" si="5"/>
        <v>0.17493107118688908</v>
      </c>
      <c r="L42" s="22">
        <f t="shared" si="18"/>
        <v>64577.879790781255</v>
      </c>
      <c r="M42" s="5">
        <f>scrimecost*Meta!O39</f>
        <v>1589.8319999999999</v>
      </c>
      <c r="N42" s="5">
        <f>L42-Grade12!L42</f>
        <v>675.96314801443805</v>
      </c>
      <c r="O42" s="5">
        <f>Grade12!M42-M42</f>
        <v>12.440000000000055</v>
      </c>
      <c r="P42" s="22">
        <f t="shared" si="12"/>
        <v>53.552033060338609</v>
      </c>
      <c r="Q42" s="22"/>
      <c r="R42" s="22"/>
      <c r="S42" s="22">
        <f t="shared" si="19"/>
        <v>316.52162126482318</v>
      </c>
      <c r="T42" s="22">
        <f t="shared" si="20"/>
        <v>894.07160356181737</v>
      </c>
    </row>
    <row r="43" spans="1:20" x14ac:dyDescent="0.2">
      <c r="A43" s="5">
        <v>52</v>
      </c>
      <c r="B43" s="1">
        <f t="shared" si="13"/>
        <v>2.2588508612171236</v>
      </c>
      <c r="C43" s="5">
        <f t="shared" si="14"/>
        <v>49292.628216425866</v>
      </c>
      <c r="D43" s="5">
        <f t="shared" si="15"/>
        <v>47237.377895223886</v>
      </c>
      <c r="E43" s="5">
        <f t="shared" si="1"/>
        <v>37737.377895223886</v>
      </c>
      <c r="F43" s="5">
        <f t="shared" si="2"/>
        <v>12946.741672312988</v>
      </c>
      <c r="G43" s="5">
        <f t="shared" si="3"/>
        <v>34290.6362229109</v>
      </c>
      <c r="H43" s="22">
        <f t="shared" si="16"/>
        <v>22553.70253298731</v>
      </c>
      <c r="I43" s="5">
        <f t="shared" si="17"/>
        <v>55468.562901385987</v>
      </c>
      <c r="J43" s="26">
        <f t="shared" si="5"/>
        <v>0.17780140815138912</v>
      </c>
      <c r="L43" s="22">
        <f t="shared" si="18"/>
        <v>66192.326785550773</v>
      </c>
      <c r="M43" s="5">
        <f>scrimecost*Meta!O40</f>
        <v>1589.8319999999999</v>
      </c>
      <c r="N43" s="5">
        <f>L43-Grade12!L43</f>
        <v>692.86222671478026</v>
      </c>
      <c r="O43" s="5">
        <f>Grade12!M43-M43</f>
        <v>12.440000000000055</v>
      </c>
      <c r="P43" s="22">
        <f t="shared" si="12"/>
        <v>54.96926673386357</v>
      </c>
      <c r="Q43" s="22"/>
      <c r="R43" s="22"/>
      <c r="S43" s="22">
        <f t="shared" si="19"/>
        <v>324.29186556450423</v>
      </c>
      <c r="T43" s="22">
        <f t="shared" si="20"/>
        <v>945.30226813821014</v>
      </c>
    </row>
    <row r="44" spans="1:20" x14ac:dyDescent="0.2">
      <c r="A44" s="5">
        <v>53</v>
      </c>
      <c r="B44" s="1">
        <f t="shared" si="13"/>
        <v>2.3153221327475517</v>
      </c>
      <c r="C44" s="5">
        <f t="shared" si="14"/>
        <v>50524.943921836515</v>
      </c>
      <c r="D44" s="5">
        <f t="shared" si="15"/>
        <v>48394.52234260449</v>
      </c>
      <c r="E44" s="5">
        <f t="shared" si="1"/>
        <v>38894.52234260449</v>
      </c>
      <c r="F44" s="5">
        <f t="shared" si="2"/>
        <v>13440.263779120814</v>
      </c>
      <c r="G44" s="5">
        <f t="shared" si="3"/>
        <v>34954.258563483672</v>
      </c>
      <c r="H44" s="22">
        <f t="shared" si="16"/>
        <v>23117.545096311991</v>
      </c>
      <c r="I44" s="5">
        <f t="shared" si="17"/>
        <v>56661.633408920636</v>
      </c>
      <c r="J44" s="26">
        <f t="shared" si="5"/>
        <v>0.18060173689724285</v>
      </c>
      <c r="L44" s="22">
        <f t="shared" si="18"/>
        <v>67847.13495518954</v>
      </c>
      <c r="M44" s="5">
        <f>scrimecost*Meta!O41</f>
        <v>1589.8319999999999</v>
      </c>
      <c r="N44" s="5">
        <f>L44-Grade12!L44</f>
        <v>710.1837823826645</v>
      </c>
      <c r="O44" s="5">
        <f>Grade12!M44-M44</f>
        <v>12.440000000000055</v>
      </c>
      <c r="P44" s="22">
        <f t="shared" si="12"/>
        <v>56.42193124922666</v>
      </c>
      <c r="Q44" s="22"/>
      <c r="R44" s="22"/>
      <c r="S44" s="22">
        <f t="shared" si="19"/>
        <v>332.25636597169097</v>
      </c>
      <c r="T44" s="22">
        <f t="shared" si="20"/>
        <v>999.47901556429917</v>
      </c>
    </row>
    <row r="45" spans="1:20" x14ac:dyDescent="0.2">
      <c r="A45" s="5">
        <v>54</v>
      </c>
      <c r="B45" s="1">
        <f t="shared" si="13"/>
        <v>2.3732051860662402</v>
      </c>
      <c r="C45" s="5">
        <f t="shared" si="14"/>
        <v>51788.067519882425</v>
      </c>
      <c r="D45" s="5">
        <f t="shared" si="15"/>
        <v>49580.595401169601</v>
      </c>
      <c r="E45" s="5">
        <f t="shared" si="1"/>
        <v>40080.595401169601</v>
      </c>
      <c r="F45" s="5">
        <f t="shared" si="2"/>
        <v>13946.123938598834</v>
      </c>
      <c r="G45" s="5">
        <f t="shared" si="3"/>
        <v>35634.471462570771</v>
      </c>
      <c r="H45" s="22">
        <f t="shared" si="16"/>
        <v>23695.483723719786</v>
      </c>
      <c r="I45" s="5">
        <f t="shared" si="17"/>
        <v>57884.530679143652</v>
      </c>
      <c r="J45" s="26">
        <f t="shared" si="5"/>
        <v>0.18333376494197817</v>
      </c>
      <c r="L45" s="22">
        <f t="shared" si="18"/>
        <v>69543.313329069279</v>
      </c>
      <c r="M45" s="5">
        <f>scrimecost*Meta!O42</f>
        <v>1589.8319999999999</v>
      </c>
      <c r="N45" s="5">
        <f>L45-Grade12!L45</f>
        <v>727.93837694222748</v>
      </c>
      <c r="O45" s="5">
        <f>Grade12!M45-M45</f>
        <v>12.440000000000055</v>
      </c>
      <c r="P45" s="22">
        <f t="shared" si="12"/>
        <v>57.910912377473821</v>
      </c>
      <c r="Q45" s="22"/>
      <c r="R45" s="22"/>
      <c r="S45" s="22">
        <f t="shared" si="19"/>
        <v>340.41997888904984</v>
      </c>
      <c r="T45" s="22">
        <f t="shared" si="20"/>
        <v>1056.7716038151314</v>
      </c>
    </row>
    <row r="46" spans="1:20" x14ac:dyDescent="0.2">
      <c r="A46" s="5">
        <v>55</v>
      </c>
      <c r="B46" s="1">
        <f t="shared" si="13"/>
        <v>2.4325353157178964</v>
      </c>
      <c r="C46" s="5">
        <f t="shared" si="14"/>
        <v>53082.769207879486</v>
      </c>
      <c r="D46" s="5">
        <f t="shared" si="15"/>
        <v>50796.320286198839</v>
      </c>
      <c r="E46" s="5">
        <f t="shared" si="1"/>
        <v>41296.320286198839</v>
      </c>
      <c r="F46" s="5">
        <f t="shared" si="2"/>
        <v>14464.630602063806</v>
      </c>
      <c r="G46" s="5">
        <f t="shared" si="3"/>
        <v>36331.689684135032</v>
      </c>
      <c r="H46" s="22">
        <f t="shared" si="16"/>
        <v>24287.870816812781</v>
      </c>
      <c r="I46" s="5">
        <f t="shared" si="17"/>
        <v>59138.000381122234</v>
      </c>
      <c r="J46" s="26">
        <f t="shared" si="5"/>
        <v>0.18599915815635412</v>
      </c>
      <c r="L46" s="22">
        <f t="shared" si="18"/>
        <v>71281.89616229602</v>
      </c>
      <c r="M46" s="5">
        <f>scrimecost*Meta!O43</f>
        <v>881.81999999999994</v>
      </c>
      <c r="N46" s="5">
        <f>L46-Grade12!L46</f>
        <v>746.13683636579663</v>
      </c>
      <c r="O46" s="5">
        <f>Grade12!M46-M46</f>
        <v>6.8999999999999773</v>
      </c>
      <c r="P46" s="22">
        <f t="shared" si="12"/>
        <v>59.437118033927177</v>
      </c>
      <c r="Q46" s="22"/>
      <c r="R46" s="22"/>
      <c r="S46" s="22">
        <f t="shared" si="19"/>
        <v>345.3861221293497</v>
      </c>
      <c r="T46" s="22">
        <f t="shared" si="20"/>
        <v>1106.4625081193794</v>
      </c>
    </row>
    <row r="47" spans="1:20" x14ac:dyDescent="0.2">
      <c r="A47" s="5">
        <v>56</v>
      </c>
      <c r="B47" s="1">
        <f t="shared" si="13"/>
        <v>2.4933486986108435</v>
      </c>
      <c r="C47" s="5">
        <f t="shared" si="14"/>
        <v>54409.838438076469</v>
      </c>
      <c r="D47" s="5">
        <f t="shared" si="15"/>
        <v>52042.438293353807</v>
      </c>
      <c r="E47" s="5">
        <f t="shared" si="1"/>
        <v>42542.438293353807</v>
      </c>
      <c r="F47" s="5">
        <f t="shared" si="2"/>
        <v>14996.099932115398</v>
      </c>
      <c r="G47" s="5">
        <f t="shared" si="3"/>
        <v>37046.338361238406</v>
      </c>
      <c r="H47" s="22">
        <f t="shared" si="16"/>
        <v>24895.067587233098</v>
      </c>
      <c r="I47" s="5">
        <f t="shared" si="17"/>
        <v>60422.806825650288</v>
      </c>
      <c r="J47" s="26">
        <f t="shared" si="5"/>
        <v>0.18859954178013549</v>
      </c>
      <c r="L47" s="22">
        <f t="shared" si="18"/>
        <v>73063.94356635341</v>
      </c>
      <c r="M47" s="5">
        <f>scrimecost*Meta!O44</f>
        <v>881.81999999999994</v>
      </c>
      <c r="N47" s="5">
        <f>L47-Grade12!L47</f>
        <v>764.79025727494445</v>
      </c>
      <c r="O47" s="5">
        <f>Grade12!M47-M47</f>
        <v>6.8999999999999773</v>
      </c>
      <c r="P47" s="22">
        <f t="shared" si="12"/>
        <v>61.00147883179185</v>
      </c>
      <c r="Q47" s="22"/>
      <c r="R47" s="22"/>
      <c r="S47" s="22">
        <f t="shared" si="19"/>
        <v>353.96301795065273</v>
      </c>
      <c r="T47" s="22">
        <f t="shared" si="20"/>
        <v>1170.1874431275489</v>
      </c>
    </row>
    <row r="48" spans="1:20" x14ac:dyDescent="0.2">
      <c r="A48" s="5">
        <v>57</v>
      </c>
      <c r="B48" s="1">
        <f t="shared" si="13"/>
        <v>2.555682416076114</v>
      </c>
      <c r="C48" s="5">
        <f t="shared" si="14"/>
        <v>55770.084399028368</v>
      </c>
      <c r="D48" s="5">
        <f t="shared" si="15"/>
        <v>53319.709250687636</v>
      </c>
      <c r="E48" s="5">
        <f t="shared" si="1"/>
        <v>43819.709250687636</v>
      </c>
      <c r="F48" s="5">
        <f t="shared" si="2"/>
        <v>15540.855995418277</v>
      </c>
      <c r="G48" s="5">
        <f t="shared" si="3"/>
        <v>37778.853255269358</v>
      </c>
      <c r="H48" s="22">
        <f t="shared" si="16"/>
        <v>25517.444276913924</v>
      </c>
      <c r="I48" s="5">
        <f t="shared" si="17"/>
        <v>61739.733431291534</v>
      </c>
      <c r="J48" s="26">
        <f t="shared" si="5"/>
        <v>0.19113650141309294</v>
      </c>
      <c r="L48" s="22">
        <f t="shared" si="18"/>
        <v>74890.542155512216</v>
      </c>
      <c r="M48" s="5">
        <f>scrimecost*Meta!O45</f>
        <v>881.81999999999994</v>
      </c>
      <c r="N48" s="5">
        <f>L48-Grade12!L48</f>
        <v>783.91001370678714</v>
      </c>
      <c r="O48" s="5">
        <f>Grade12!M48-M48</f>
        <v>6.8999999999999773</v>
      </c>
      <c r="P48" s="22">
        <f t="shared" si="12"/>
        <v>62.604948649603124</v>
      </c>
      <c r="Q48" s="22"/>
      <c r="R48" s="22"/>
      <c r="S48" s="22">
        <f t="shared" si="19"/>
        <v>362.75433616747455</v>
      </c>
      <c r="T48" s="22">
        <f t="shared" si="20"/>
        <v>1237.5874068675953</v>
      </c>
    </row>
    <row r="49" spans="1:20" x14ac:dyDescent="0.2">
      <c r="A49" s="5">
        <v>58</v>
      </c>
      <c r="B49" s="1">
        <f t="shared" si="13"/>
        <v>2.6195744764780171</v>
      </c>
      <c r="C49" s="5">
        <f t="shared" si="14"/>
        <v>57164.336509004082</v>
      </c>
      <c r="D49" s="5">
        <f t="shared" si="15"/>
        <v>54628.911981954836</v>
      </c>
      <c r="E49" s="5">
        <f t="shared" si="1"/>
        <v>45128.911981954836</v>
      </c>
      <c r="F49" s="5">
        <f t="shared" si="2"/>
        <v>16099.230960303739</v>
      </c>
      <c r="G49" s="5">
        <f t="shared" si="3"/>
        <v>38529.681021651093</v>
      </c>
      <c r="H49" s="22">
        <f t="shared" si="16"/>
        <v>26155.380383836771</v>
      </c>
      <c r="I49" s="5">
        <f t="shared" si="17"/>
        <v>63089.583202073823</v>
      </c>
      <c r="J49" s="26">
        <f t="shared" si="5"/>
        <v>0.19361158398183198</v>
      </c>
      <c r="L49" s="22">
        <f t="shared" si="18"/>
        <v>76762.80570940004</v>
      </c>
      <c r="M49" s="5">
        <f>scrimecost*Meta!O46</f>
        <v>881.81999999999994</v>
      </c>
      <c r="N49" s="5">
        <f>L49-Grade12!L49</f>
        <v>803.50776404947101</v>
      </c>
      <c r="O49" s="5">
        <f>Grade12!M49-M49</f>
        <v>6.8999999999999773</v>
      </c>
      <c r="P49" s="22">
        <f t="shared" si="12"/>
        <v>64.248505212859726</v>
      </c>
      <c r="Q49" s="22"/>
      <c r="R49" s="22"/>
      <c r="S49" s="22">
        <f t="shared" si="19"/>
        <v>371.76543733973534</v>
      </c>
      <c r="T49" s="22">
        <f t="shared" si="20"/>
        <v>1308.8744958123916</v>
      </c>
    </row>
    <row r="50" spans="1:20" x14ac:dyDescent="0.2">
      <c r="A50" s="5">
        <v>59</v>
      </c>
      <c r="B50" s="1">
        <f t="shared" si="13"/>
        <v>2.6850638383899672</v>
      </c>
      <c r="C50" s="5">
        <f t="shared" si="14"/>
        <v>58593.444921729169</v>
      </c>
      <c r="D50" s="5">
        <f t="shared" si="15"/>
        <v>55970.844781503693</v>
      </c>
      <c r="E50" s="5">
        <f t="shared" si="1"/>
        <v>46470.844781503693</v>
      </c>
      <c r="F50" s="5">
        <f t="shared" si="2"/>
        <v>16671.565299311325</v>
      </c>
      <c r="G50" s="5">
        <f t="shared" si="3"/>
        <v>39299.279482192367</v>
      </c>
      <c r="H50" s="22">
        <f t="shared" si="16"/>
        <v>26809.26489343269</v>
      </c>
      <c r="I50" s="5">
        <f t="shared" si="17"/>
        <v>64473.179217125667</v>
      </c>
      <c r="J50" s="26">
        <f t="shared" si="5"/>
        <v>0.1960262986830407</v>
      </c>
      <c r="L50" s="22">
        <f t="shared" si="18"/>
        <v>78681.875852135025</v>
      </c>
      <c r="M50" s="5">
        <f>scrimecost*Meta!O47</f>
        <v>881.81999999999994</v>
      </c>
      <c r="N50" s="5">
        <f>L50-Grade12!L50</f>
        <v>823.59545815069578</v>
      </c>
      <c r="O50" s="5">
        <f>Grade12!M50-M50</f>
        <v>6.8999999999999773</v>
      </c>
      <c r="P50" s="22">
        <f t="shared" si="12"/>
        <v>65.933150690197706</v>
      </c>
      <c r="Q50" s="22"/>
      <c r="R50" s="22"/>
      <c r="S50" s="22">
        <f t="shared" si="19"/>
        <v>381.00181604129205</v>
      </c>
      <c r="T50" s="22">
        <f t="shared" si="20"/>
        <v>1384.2730521553431</v>
      </c>
    </row>
    <row r="51" spans="1:20" x14ac:dyDescent="0.2">
      <c r="A51" s="5">
        <v>60</v>
      </c>
      <c r="B51" s="1">
        <f t="shared" si="13"/>
        <v>2.7521904343497163</v>
      </c>
      <c r="C51" s="5">
        <f t="shared" si="14"/>
        <v>60058.281044772404</v>
      </c>
      <c r="D51" s="5">
        <f t="shared" si="15"/>
        <v>57346.325901041288</v>
      </c>
      <c r="E51" s="5">
        <f t="shared" si="1"/>
        <v>47846.325901041288</v>
      </c>
      <c r="F51" s="5">
        <f t="shared" si="2"/>
        <v>17258.20799679411</v>
      </c>
      <c r="G51" s="5">
        <f t="shared" si="3"/>
        <v>40088.117904247178</v>
      </c>
      <c r="H51" s="22">
        <f t="shared" si="16"/>
        <v>27479.496515768504</v>
      </c>
      <c r="I51" s="5">
        <f t="shared" si="17"/>
        <v>65891.365132553809</v>
      </c>
      <c r="J51" s="26">
        <f t="shared" si="5"/>
        <v>0.19838211790373217</v>
      </c>
      <c r="L51" s="22">
        <f t="shared" si="18"/>
        <v>80648.922748438403</v>
      </c>
      <c r="M51" s="5">
        <f>scrimecost*Meta!O48</f>
        <v>465.19200000000001</v>
      </c>
      <c r="N51" s="5">
        <f>L51-Grade12!L51</f>
        <v>844.18534460446972</v>
      </c>
      <c r="O51" s="5">
        <f>Grade12!M51-M51</f>
        <v>3.6399999999999864</v>
      </c>
      <c r="P51" s="22">
        <f t="shared" si="12"/>
        <v>67.659912304469145</v>
      </c>
      <c r="Q51" s="22"/>
      <c r="R51" s="22"/>
      <c r="S51" s="22">
        <f t="shared" si="19"/>
        <v>388.46746421039512</v>
      </c>
      <c r="T51" s="22">
        <f t="shared" si="20"/>
        <v>1456.5154449895535</v>
      </c>
    </row>
    <row r="52" spans="1:20" x14ac:dyDescent="0.2">
      <c r="A52" s="5">
        <v>61</v>
      </c>
      <c r="B52" s="1">
        <f t="shared" si="13"/>
        <v>2.8209951952084591</v>
      </c>
      <c r="C52" s="5">
        <f t="shared" si="14"/>
        <v>61559.738070891704</v>
      </c>
      <c r="D52" s="5">
        <f t="shared" si="15"/>
        <v>58756.194048567311</v>
      </c>
      <c r="E52" s="5">
        <f t="shared" si="1"/>
        <v>49256.194048567311</v>
      </c>
      <c r="F52" s="5">
        <f t="shared" si="2"/>
        <v>17859.51676171396</v>
      </c>
      <c r="G52" s="5">
        <f t="shared" si="3"/>
        <v>40896.677286853352</v>
      </c>
      <c r="H52" s="22">
        <f t="shared" si="16"/>
        <v>28166.483928662718</v>
      </c>
      <c r="I52" s="5">
        <f t="shared" si="17"/>
        <v>67345.005695867643</v>
      </c>
      <c r="J52" s="26">
        <f t="shared" si="5"/>
        <v>0.20068047811904094</v>
      </c>
      <c r="L52" s="22">
        <f t="shared" si="18"/>
        <v>82665.145817149358</v>
      </c>
      <c r="M52" s="5">
        <f>scrimecost*Meta!O49</f>
        <v>465.19200000000001</v>
      </c>
      <c r="N52" s="5">
        <f>L52-Grade12!L52</f>
        <v>865.28997821957455</v>
      </c>
      <c r="O52" s="5">
        <f>Grade12!M52-M52</f>
        <v>3.6399999999999864</v>
      </c>
      <c r="P52" s="22">
        <f t="shared" si="12"/>
        <v>69.429842959097371</v>
      </c>
      <c r="Q52" s="22"/>
      <c r="R52" s="22"/>
      <c r="S52" s="22">
        <f t="shared" si="19"/>
        <v>398.17143458372033</v>
      </c>
      <c r="T52" s="22">
        <f t="shared" si="20"/>
        <v>1540.6226139142366</v>
      </c>
    </row>
    <row r="53" spans="1:20" x14ac:dyDescent="0.2">
      <c r="A53" s="5">
        <v>62</v>
      </c>
      <c r="B53" s="1">
        <f t="shared" si="13"/>
        <v>2.8915200750886707</v>
      </c>
      <c r="C53" s="5">
        <f t="shared" si="14"/>
        <v>63098.731522664006</v>
      </c>
      <c r="D53" s="5">
        <f t="shared" si="15"/>
        <v>60201.308899781507</v>
      </c>
      <c r="E53" s="5">
        <f t="shared" si="1"/>
        <v>50701.308899781507</v>
      </c>
      <c r="F53" s="5">
        <f t="shared" si="2"/>
        <v>18475.858245756812</v>
      </c>
      <c r="G53" s="5">
        <f t="shared" si="3"/>
        <v>41725.450654024695</v>
      </c>
      <c r="H53" s="22">
        <f t="shared" si="16"/>
        <v>28870.646026879283</v>
      </c>
      <c r="I53" s="5">
        <f t="shared" si="17"/>
        <v>68834.987273264342</v>
      </c>
      <c r="J53" s="26">
        <f t="shared" si="5"/>
        <v>0.2029227807681227</v>
      </c>
      <c r="L53" s="22">
        <f t="shared" si="18"/>
        <v>84731.774462578105</v>
      </c>
      <c r="M53" s="5">
        <f>scrimecost*Meta!O50</f>
        <v>465.19200000000001</v>
      </c>
      <c r="N53" s="5">
        <f>L53-Grade12!L53</f>
        <v>886.9222276750952</v>
      </c>
      <c r="O53" s="5">
        <f>Grade12!M53-M53</f>
        <v>3.6399999999999864</v>
      </c>
      <c r="P53" s="22">
        <f t="shared" si="12"/>
        <v>71.244021880091324</v>
      </c>
      <c r="Q53" s="22"/>
      <c r="R53" s="22"/>
      <c r="S53" s="22">
        <f t="shared" si="19"/>
        <v>408.11800421639413</v>
      </c>
      <c r="T53" s="22">
        <f t="shared" si="20"/>
        <v>1629.5873604861197</v>
      </c>
    </row>
    <row r="54" spans="1:20" x14ac:dyDescent="0.2">
      <c r="A54" s="5">
        <v>63</v>
      </c>
      <c r="B54" s="1">
        <f t="shared" si="13"/>
        <v>2.9638080769658868</v>
      </c>
      <c r="C54" s="5">
        <f t="shared" si="14"/>
        <v>64676.199810730592</v>
      </c>
      <c r="D54" s="5">
        <f t="shared" si="15"/>
        <v>61682.551622276027</v>
      </c>
      <c r="E54" s="5">
        <f t="shared" si="1"/>
        <v>52182.551622276027</v>
      </c>
      <c r="F54" s="5">
        <f t="shared" si="2"/>
        <v>19107.608266900723</v>
      </c>
      <c r="G54" s="5">
        <f t="shared" si="3"/>
        <v>42574.943355375304</v>
      </c>
      <c r="H54" s="22">
        <f t="shared" si="16"/>
        <v>29592.412177551258</v>
      </c>
      <c r="I54" s="5">
        <f t="shared" si="17"/>
        <v>70362.218390095935</v>
      </c>
      <c r="J54" s="26">
        <f t="shared" si="5"/>
        <v>0.2051103931086902</v>
      </c>
      <c r="L54" s="22">
        <f t="shared" si="18"/>
        <v>86850.068824142523</v>
      </c>
      <c r="M54" s="5">
        <f>scrimecost*Meta!O51</f>
        <v>465.19200000000001</v>
      </c>
      <c r="N54" s="5">
        <f>L54-Grade12!L54</f>
        <v>909.09528336694348</v>
      </c>
      <c r="O54" s="5">
        <f>Grade12!M54-M54</f>
        <v>3.6399999999999864</v>
      </c>
      <c r="P54" s="22">
        <f t="shared" si="12"/>
        <v>73.103555274110079</v>
      </c>
      <c r="Q54" s="22"/>
      <c r="R54" s="22"/>
      <c r="S54" s="22">
        <f t="shared" si="19"/>
        <v>418.31323808986025</v>
      </c>
      <c r="T54" s="22">
        <f t="shared" si="20"/>
        <v>1723.690256871929</v>
      </c>
    </row>
    <row r="55" spans="1:20" x14ac:dyDescent="0.2">
      <c r="A55" s="5">
        <v>64</v>
      </c>
      <c r="B55" s="1">
        <f t="shared" si="13"/>
        <v>3.0379032788900342</v>
      </c>
      <c r="C55" s="5">
        <f t="shared" si="14"/>
        <v>66293.104805998853</v>
      </c>
      <c r="D55" s="5">
        <f t="shared" si="15"/>
        <v>63200.825412832928</v>
      </c>
      <c r="E55" s="5">
        <f t="shared" si="1"/>
        <v>53700.825412832928</v>
      </c>
      <c r="F55" s="5">
        <f t="shared" si="2"/>
        <v>19755.152038573244</v>
      </c>
      <c r="G55" s="5">
        <f t="shared" si="3"/>
        <v>43445.673374259684</v>
      </c>
      <c r="H55" s="22">
        <f t="shared" si="16"/>
        <v>30332.222481990044</v>
      </c>
      <c r="I55" s="5">
        <f t="shared" si="17"/>
        <v>71927.630284848332</v>
      </c>
      <c r="J55" s="26">
        <f t="shared" si="5"/>
        <v>0.2072446490507073</v>
      </c>
      <c r="L55" s="22">
        <f t="shared" si="18"/>
        <v>89021.320544746093</v>
      </c>
      <c r="M55" s="5">
        <f>scrimecost*Meta!O52</f>
        <v>465.19200000000001</v>
      </c>
      <c r="N55" s="5">
        <f>L55-Grade12!L55</f>
        <v>931.82266545113816</v>
      </c>
      <c r="O55" s="5">
        <f>Grade12!M55-M55</f>
        <v>3.6399999999999864</v>
      </c>
      <c r="P55" s="22">
        <f t="shared" si="12"/>
        <v>75.009577002979341</v>
      </c>
      <c r="Q55" s="22"/>
      <c r="R55" s="22"/>
      <c r="S55" s="22">
        <f t="shared" si="19"/>
        <v>428.76335281018351</v>
      </c>
      <c r="T55" s="22">
        <f t="shared" si="20"/>
        <v>1823.2280817863284</v>
      </c>
    </row>
    <row r="56" spans="1:20" x14ac:dyDescent="0.2">
      <c r="A56" s="5">
        <v>65</v>
      </c>
      <c r="B56" s="1">
        <f t="shared" si="13"/>
        <v>3.1138508608622844</v>
      </c>
      <c r="C56" s="5">
        <f t="shared" si="14"/>
        <v>67950.432426148822</v>
      </c>
      <c r="D56" s="5">
        <f t="shared" si="15"/>
        <v>64757.056048153747</v>
      </c>
      <c r="E56" s="5">
        <f t="shared" si="1"/>
        <v>55257.056048153747</v>
      </c>
      <c r="F56" s="5">
        <f t="shared" si="2"/>
        <v>20418.884404537574</v>
      </c>
      <c r="G56" s="5">
        <f t="shared" si="3"/>
        <v>44338.171643616173</v>
      </c>
      <c r="H56" s="22">
        <f t="shared" si="16"/>
        <v>31090.528044039787</v>
      </c>
      <c r="I56" s="5">
        <f t="shared" si="17"/>
        <v>73532.177476969533</v>
      </c>
      <c r="J56" s="26">
        <f t="shared" si="5"/>
        <v>0.2093268499697484</v>
      </c>
      <c r="L56" s="22">
        <f t="shared" si="18"/>
        <v>91246.853558364732</v>
      </c>
      <c r="M56" s="5">
        <f>scrimecost*Meta!O53</f>
        <v>140.58000000000001</v>
      </c>
      <c r="N56" s="5">
        <f>L56-Grade12!L56</f>
        <v>955.11823208739224</v>
      </c>
      <c r="O56" s="5">
        <f>Grade12!M56-M56</f>
        <v>1.0999999999999943</v>
      </c>
      <c r="P56" s="22">
        <f t="shared" si="12"/>
        <v>76.963249275070325</v>
      </c>
      <c r="Q56" s="22"/>
      <c r="R56" s="22"/>
      <c r="S56" s="22">
        <f t="shared" si="19"/>
        <v>437.91516039849631</v>
      </c>
      <c r="T56" s="22">
        <f t="shared" si="20"/>
        <v>1921.6710536208936</v>
      </c>
    </row>
    <row r="57" spans="1:20" x14ac:dyDescent="0.2">
      <c r="A57" s="5">
        <v>66</v>
      </c>
      <c r="C57" s="5"/>
      <c r="H57" s="21"/>
      <c r="I57" s="5"/>
      <c r="M57" s="5">
        <f>scrimecost*Meta!O54</f>
        <v>140.58000000000001</v>
      </c>
      <c r="N57" s="5">
        <f>L57-Grade12!L57</f>
        <v>0</v>
      </c>
      <c r="O57" s="5">
        <f>Grade12!M57-M57</f>
        <v>1.0999999999999943</v>
      </c>
      <c r="Q57" s="22"/>
      <c r="R57" s="22"/>
      <c r="S57" s="22">
        <f t="shared" si="19"/>
        <v>0.67539999999999645</v>
      </c>
      <c r="T57" s="22">
        <f t="shared" si="20"/>
        <v>3.0585518622530019</v>
      </c>
    </row>
    <row r="58" spans="1:20" x14ac:dyDescent="0.2">
      <c r="A58" s="5">
        <v>67</v>
      </c>
      <c r="C58" s="5"/>
      <c r="H58" s="21"/>
      <c r="I58" s="5"/>
      <c r="M58" s="5">
        <f>scrimecost*Meta!O55</f>
        <v>140.58000000000001</v>
      </c>
      <c r="N58" s="5">
        <f>L58-Grade12!L58</f>
        <v>0</v>
      </c>
      <c r="O58" s="5">
        <f>Grade12!M58-M58</f>
        <v>1.0999999999999943</v>
      </c>
      <c r="Q58" s="22"/>
      <c r="R58" s="22"/>
      <c r="S58" s="22">
        <f t="shared" si="19"/>
        <v>0.67539999999999645</v>
      </c>
      <c r="T58" s="22">
        <f t="shared" si="20"/>
        <v>3.1563239726222321</v>
      </c>
    </row>
    <row r="59" spans="1:20" x14ac:dyDescent="0.2">
      <c r="A59" s="5">
        <v>68</v>
      </c>
      <c r="H59" s="21"/>
      <c r="I59" s="5"/>
      <c r="M59" s="5">
        <f>scrimecost*Meta!O56</f>
        <v>140.58000000000001</v>
      </c>
      <c r="N59" s="5">
        <f>L59-Grade12!L59</f>
        <v>0</v>
      </c>
      <c r="O59" s="5">
        <f>Grade12!M59-M59</f>
        <v>1.0999999999999943</v>
      </c>
      <c r="Q59" s="22"/>
      <c r="R59" s="22"/>
      <c r="S59" s="22">
        <f t="shared" si="19"/>
        <v>0.67539999999999645</v>
      </c>
      <c r="T59" s="22">
        <f t="shared" si="20"/>
        <v>3.2572215443197567</v>
      </c>
    </row>
    <row r="60" spans="1:20" x14ac:dyDescent="0.2">
      <c r="A60" s="5">
        <v>69</v>
      </c>
      <c r="H60" s="21"/>
      <c r="I60" s="5"/>
      <c r="M60" s="5">
        <f>scrimecost*Meta!O57</f>
        <v>140.58000000000001</v>
      </c>
      <c r="N60" s="5">
        <f>L60-Grade12!L60</f>
        <v>0</v>
      </c>
      <c r="O60" s="5">
        <f>Grade12!M60-M60</f>
        <v>1.0999999999999943</v>
      </c>
      <c r="Q60" s="22"/>
      <c r="R60" s="22"/>
      <c r="S60" s="22">
        <f t="shared" si="19"/>
        <v>0.67539999999999645</v>
      </c>
      <c r="T60" s="22">
        <f t="shared" si="20"/>
        <v>3.3613444883373478</v>
      </c>
    </row>
    <row r="61" spans="1:20" x14ac:dyDescent="0.2">
      <c r="A61" s="5">
        <v>70</v>
      </c>
      <c r="H61" s="21"/>
      <c r="I61" s="5"/>
      <c r="M61" s="5">
        <f>scrimecost*Meta!O58</f>
        <v>140.58000000000001</v>
      </c>
      <c r="N61" s="5">
        <f>L61-Grade12!L61</f>
        <v>0</v>
      </c>
      <c r="O61" s="5">
        <f>Grade12!M61-M61</f>
        <v>1.0999999999999943</v>
      </c>
      <c r="Q61" s="22"/>
      <c r="R61" s="22"/>
      <c r="S61" s="22">
        <f t="shared" si="19"/>
        <v>0.67539999999999645</v>
      </c>
      <c r="T61" s="22">
        <f t="shared" si="20"/>
        <v>3.4687959095012957</v>
      </c>
    </row>
    <row r="62" spans="1:20" x14ac:dyDescent="0.2">
      <c r="A62" s="5">
        <v>71</v>
      </c>
      <c r="H62" s="21"/>
      <c r="I62" s="5"/>
      <c r="M62" s="5">
        <f>scrimecost*Meta!O59</f>
        <v>140.58000000000001</v>
      </c>
      <c r="N62" s="5">
        <f>L62-Grade12!L62</f>
        <v>0</v>
      </c>
      <c r="O62" s="5">
        <f>Grade12!M62-M62</f>
        <v>1.0999999999999943</v>
      </c>
      <c r="Q62" s="22"/>
      <c r="R62" s="22"/>
      <c r="S62" s="22">
        <f t="shared" si="19"/>
        <v>0.67539999999999645</v>
      </c>
      <c r="T62" s="22">
        <f t="shared" si="20"/>
        <v>3.5796822085690732</v>
      </c>
    </row>
    <row r="63" spans="1:20" x14ac:dyDescent="0.2">
      <c r="A63" s="5">
        <v>72</v>
      </c>
      <c r="H63" s="21"/>
      <c r="M63" s="5">
        <f>scrimecost*Meta!O60</f>
        <v>140.58000000000001</v>
      </c>
      <c r="N63" s="5">
        <f>L63-Grade12!L63</f>
        <v>0</v>
      </c>
      <c r="O63" s="5">
        <f>Grade12!M63-M63</f>
        <v>1.0999999999999943</v>
      </c>
      <c r="Q63" s="22"/>
      <c r="R63" s="22"/>
      <c r="S63" s="22">
        <f t="shared" si="19"/>
        <v>0.67539999999999645</v>
      </c>
      <c r="T63" s="22">
        <f t="shared" si="20"/>
        <v>3.6941131875897049</v>
      </c>
    </row>
    <row r="64" spans="1:20" x14ac:dyDescent="0.2">
      <c r="A64" s="5">
        <v>73</v>
      </c>
      <c r="H64" s="21"/>
      <c r="M64" s="5">
        <f>scrimecost*Meta!O61</f>
        <v>140.58000000000001</v>
      </c>
      <c r="N64" s="5">
        <f>L64-Grade12!L64</f>
        <v>0</v>
      </c>
      <c r="O64" s="5">
        <f>Grade12!M64-M64</f>
        <v>1.0999999999999943</v>
      </c>
      <c r="Q64" s="22"/>
      <c r="R64" s="22"/>
      <c r="S64" s="22">
        <f t="shared" si="19"/>
        <v>0.67539999999999645</v>
      </c>
      <c r="T64" s="22">
        <f t="shared" si="20"/>
        <v>3.8122021586321631</v>
      </c>
    </row>
    <row r="65" spans="1:20" x14ac:dyDescent="0.2">
      <c r="A65" s="5">
        <v>74</v>
      </c>
      <c r="H65" s="21"/>
      <c r="M65" s="5">
        <f>scrimecost*Meta!O62</f>
        <v>140.58000000000001</v>
      </c>
      <c r="N65" s="5">
        <f>L65-Grade12!L65</f>
        <v>0</v>
      </c>
      <c r="O65" s="5">
        <f>Grade12!M65-M65</f>
        <v>1.0999999999999943</v>
      </c>
      <c r="Q65" s="22"/>
      <c r="R65" s="22"/>
      <c r="S65" s="22">
        <f t="shared" si="19"/>
        <v>0.67539999999999645</v>
      </c>
      <c r="T65" s="22">
        <f t="shared" si="20"/>
        <v>3.9340660559894705</v>
      </c>
    </row>
    <row r="66" spans="1:20" x14ac:dyDescent="0.2">
      <c r="A66" s="5">
        <v>75</v>
      </c>
      <c r="H66" s="21"/>
      <c r="M66" s="5">
        <f>scrimecost*Meta!O63</f>
        <v>140.58000000000001</v>
      </c>
      <c r="N66" s="5">
        <f>L66-Grade12!L66</f>
        <v>0</v>
      </c>
      <c r="O66" s="5">
        <f>Grade12!M66-M66</f>
        <v>1.0999999999999943</v>
      </c>
      <c r="Q66" s="22"/>
      <c r="R66" s="22"/>
      <c r="S66" s="22">
        <f t="shared" si="19"/>
        <v>0.67539999999999645</v>
      </c>
      <c r="T66" s="22">
        <f t="shared" si="20"/>
        <v>4.0598255519696078</v>
      </c>
    </row>
    <row r="67" spans="1:20" x14ac:dyDescent="0.2">
      <c r="A67" s="5">
        <v>76</v>
      </c>
      <c r="H67" s="21"/>
      <c r="M67" s="5">
        <f>scrimecost*Meta!O64</f>
        <v>140.58000000000001</v>
      </c>
      <c r="N67" s="5">
        <f>L67-Grade12!L67</f>
        <v>0</v>
      </c>
      <c r="O67" s="5">
        <f>Grade12!M67-M67</f>
        <v>1.0999999999999943</v>
      </c>
      <c r="Q67" s="22"/>
      <c r="R67" s="22"/>
      <c r="S67" s="22">
        <f t="shared" si="19"/>
        <v>0.67539999999999645</v>
      </c>
      <c r="T67" s="22">
        <f t="shared" si="20"/>
        <v>4.1896051763878779</v>
      </c>
    </row>
    <row r="68" spans="1:20" x14ac:dyDescent="0.2">
      <c r="A68" s="5">
        <v>77</v>
      </c>
      <c r="H68" s="21"/>
      <c r="M68" s="5">
        <f>scrimecost*Meta!O65</f>
        <v>140.58000000000001</v>
      </c>
      <c r="N68" s="5">
        <f>L68-Grade12!L68</f>
        <v>0</v>
      </c>
      <c r="O68" s="5">
        <f>Grade12!M68-M68</f>
        <v>1.0999999999999943</v>
      </c>
      <c r="Q68" s="22"/>
      <c r="R68" s="22"/>
      <c r="S68" s="22">
        <f t="shared" si="19"/>
        <v>0.67539999999999645</v>
      </c>
      <c r="T68" s="22">
        <f t="shared" si="20"/>
        <v>4.3235334398790686</v>
      </c>
    </row>
    <row r="69" spans="1:20" x14ac:dyDescent="0.2">
      <c r="A69" s="5">
        <v>78</v>
      </c>
      <c r="H69" s="21"/>
      <c r="M69" s="5">
        <f>scrimecost*Meta!O66</f>
        <v>140.58000000000001</v>
      </c>
      <c r="N69" s="5">
        <f>L69-Grade12!L69</f>
        <v>0</v>
      </c>
      <c r="O69" s="5">
        <f>Grade12!M69-M69</f>
        <v>1.0999999999999943</v>
      </c>
      <c r="Q69" s="22"/>
      <c r="R69" s="22"/>
      <c r="S69" s="22">
        <f t="shared" si="19"/>
        <v>0.67539999999999645</v>
      </c>
      <c r="T69" s="22">
        <f t="shared" si="20"/>
        <v>4.4617429611515096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-6.7726269037393649E-11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O12" sqref="O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Meta!A8+6</f>
        <v>20</v>
      </c>
      <c r="C2" s="7">
        <f>Meta!B8</f>
        <v>42327</v>
      </c>
      <c r="D2" s="7">
        <f>Meta!C8</f>
        <v>19264</v>
      </c>
      <c r="E2" s="1">
        <f>Meta!D8</f>
        <v>5.8999999999999997E-2</v>
      </c>
      <c r="F2" s="1">
        <f>Meta!F8</f>
        <v>0.67400000000000004</v>
      </c>
      <c r="G2" s="1">
        <f>Meta!I8</f>
        <v>1.8381311833585117</v>
      </c>
      <c r="H2" s="1">
        <f>Meta!E8</f>
        <v>0.61399999999999999</v>
      </c>
      <c r="I2" s="13"/>
      <c r="J2" s="1">
        <f>Meta!X7</f>
        <v>0.66500000000000004</v>
      </c>
      <c r="K2" s="1">
        <f>Meta!D7</f>
        <v>6.0999999999999999E-2</v>
      </c>
      <c r="L2" s="29"/>
      <c r="N2" s="22">
        <f>Meta!T8</f>
        <v>40772</v>
      </c>
      <c r="O2" s="22">
        <f>Meta!U8</f>
        <v>18645</v>
      </c>
      <c r="P2" s="1">
        <f>Meta!V8</f>
        <v>6.0999999999999999E-2</v>
      </c>
      <c r="Q2" s="1">
        <f>Meta!X8</f>
        <v>0.66800000000000004</v>
      </c>
      <c r="R2" s="22">
        <f>Meta!W8</f>
        <v>2536</v>
      </c>
      <c r="T2" s="12">
        <f>IRR(S5:S69)+1</f>
        <v>0.96746009859764148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B10" s="1">
        <v>1</v>
      </c>
      <c r="C10" s="5">
        <f>0.1*Grade13!C10</f>
        <v>2182.1993236802632</v>
      </c>
      <c r="D10" s="5">
        <f t="shared" ref="D10:D36" si="0">IF(A10&lt;startage,1,0)*(C10*(1-initialunempprob))+IF(A10=startage,1,0)*(C10*(1-unempprob))+IF(A10&gt;startage,1,0)*(C10*(1-unempprob)+unempprob*300*52)</f>
        <v>2049.0851649357674</v>
      </c>
      <c r="E10" s="5">
        <f t="shared" ref="E10:E56" si="1">IF(D10-9500&gt;0,1,0)*(D10-9500)</f>
        <v>0</v>
      </c>
      <c r="F10" s="5">
        <f t="shared" ref="F10:F56" si="2">IF(E10&lt;=8500,1,0)*(0.1*E10+0.1*E10+0.0765*D10)+IF(AND(E10&gt;8500,E10&lt;=34500),1,0)*(850+0.15*(E10-8500)+0.1*E10+0.0765*D10)+IF(AND(E10&gt;34500,E10&lt;=83600),1,0)*(4750+0.25*(E10-34500)+0.1*E10+0.0765*D10)+IF(AND(E10&gt;83600,E10&lt;=174400,D10&lt;=106800),1,0)*(17025+0.28*(E10-83600)+0.1*E10+0.0765*D10)+IF(AND(E10&gt;83600,E10&lt;=174400,D10&gt;106800),1,0)*(17025+0.28*(E10-83600)+0.1*E10+8170.2+0.0145*(D10-106800))+IF(AND(E10&gt;174400,E10&lt;=379150),1,0)*(42449+0.33*(E10-174400)+0.1*E10+8170.2+0.0145*(D10-106800))+IF(E10&gt;379150,1,0)*(110016.5+0.35*(E10-379150)+0.1*E10+8170.2+0.0145*(D10-106800))</f>
        <v>156.7550151175862</v>
      </c>
      <c r="G10" s="5">
        <f t="shared" ref="G10:G56" si="3">D10-F10</f>
        <v>1892.3301498181811</v>
      </c>
      <c r="H10" s="22">
        <f>0.1*Grade13!H10</f>
        <v>998.45912451408265</v>
      </c>
      <c r="I10" s="5">
        <f t="shared" ref="I10:I36" si="4">G10+IF(A10&lt;startage,1,0)*(H10*(1-initialunempprob))+IF(A10&gt;=startage,1,0)*(H10*(1-unempprob))</f>
        <v>2829.8832677369046</v>
      </c>
      <c r="J10" s="26">
        <f t="shared" ref="J10:J56" si="5">(F10-(IF(A10&gt;startage,1,0)*(unempprob*300*52)))/(IF(A10&lt;startage,1,0)*((C10+H10)*(1-initialunempprob))+IF(A10&gt;=startage,1,0)*((C10+H10)*(1-unempprob)))</f>
        <v>5.2485436893203882E-2</v>
      </c>
      <c r="L10" s="22">
        <f>0.1*Grade13!L10</f>
        <v>2930.354009732398</v>
      </c>
      <c r="M10" s="5">
        <f>scrimecost*Meta!O7</f>
        <v>8934.3279999999995</v>
      </c>
      <c r="N10" s="5">
        <f>L10-Grade13!L10</f>
        <v>-26373.186087591581</v>
      </c>
      <c r="O10" s="5"/>
      <c r="P10" s="22"/>
      <c r="Q10" s="22">
        <f>0.05*feel*Grade13!G10</f>
        <v>232.40824020179355</v>
      </c>
      <c r="R10" s="22">
        <f>coltuition</f>
        <v>8279</v>
      </c>
      <c r="S10" s="22">
        <f t="shared" ref="S10:S41" si="6">IF(A10&lt;startage,1,0)*(N10-Q10-R10)+IF(A10&gt;=startage,1,0)*completionprob*(N10*spart+O10+P10)</f>
        <v>-34884.594327793369</v>
      </c>
      <c r="T10" s="22">
        <f t="shared" ref="T10:T41" si="7">S10/sreturn^(A10-startage+1)</f>
        <v>-34884.594327793369</v>
      </c>
    </row>
    <row r="11" spans="1:20" x14ac:dyDescent="0.2">
      <c r="A11" s="5">
        <v>20</v>
      </c>
      <c r="B11" s="1">
        <f t="shared" ref="B11:B36" si="8">(1+experiencepremium)^(A11-startage)</f>
        <v>1</v>
      </c>
      <c r="C11" s="5">
        <f t="shared" ref="C11:C36" si="9">pretaxincome*B11/expnorm</f>
        <v>23027.19217388114</v>
      </c>
      <c r="D11" s="5">
        <f t="shared" si="0"/>
        <v>21668.587835622155</v>
      </c>
      <c r="E11" s="5">
        <f t="shared" si="1"/>
        <v>12168.587835622155</v>
      </c>
      <c r="F11" s="5">
        <f t="shared" si="2"/>
        <v>4274.7939283306332</v>
      </c>
      <c r="G11" s="5">
        <f t="shared" si="3"/>
        <v>17393.793907291521</v>
      </c>
      <c r="H11" s="22">
        <f t="shared" ref="H11:H36" si="10">benefits*B11/expnorm</f>
        <v>10480.209559799803</v>
      </c>
      <c r="I11" s="5">
        <f t="shared" si="4"/>
        <v>27255.671103063138</v>
      </c>
      <c r="J11" s="26">
        <f t="shared" si="5"/>
        <v>0.13557662166017445</v>
      </c>
      <c r="L11" s="22">
        <f t="shared" ref="L11:L36" si="11">(sincome+sbenefits)*(1-sunemp)*B11/expnorm</f>
        <v>30352.873345013126</v>
      </c>
      <c r="M11" s="5">
        <f>scrimecost*Meta!O8</f>
        <v>8556.4639999999999</v>
      </c>
      <c r="N11" s="5">
        <f>L11-Grade13!L11</f>
        <v>316.74474525605547</v>
      </c>
      <c r="O11" s="5">
        <f>Grade13!M11-M11</f>
        <v>67.479999999999563</v>
      </c>
      <c r="P11" s="22">
        <f t="shared" ref="P11:P56" si="12">(spart-initialspart)*(L11*J11+nptrans)</f>
        <v>32.00742007738814</v>
      </c>
      <c r="Q11" s="22"/>
      <c r="R11" s="22"/>
      <c r="S11" s="22">
        <f t="shared" si="6"/>
        <v>190.99876668377769</v>
      </c>
      <c r="T11" s="22">
        <f t="shared" si="7"/>
        <v>197.42288799366025</v>
      </c>
    </row>
    <row r="12" spans="1:20" x14ac:dyDescent="0.2">
      <c r="A12" s="5">
        <v>21</v>
      </c>
      <c r="B12" s="1">
        <f t="shared" si="8"/>
        <v>1.0249999999999999</v>
      </c>
      <c r="C12" s="5">
        <f t="shared" si="9"/>
        <v>23602.871978228166</v>
      </c>
      <c r="D12" s="5">
        <f t="shared" si="0"/>
        <v>23130.702531512707</v>
      </c>
      <c r="E12" s="5">
        <f t="shared" si="1"/>
        <v>13630.702531512707</v>
      </c>
      <c r="F12" s="5">
        <f t="shared" si="2"/>
        <v>4752.1743765388983</v>
      </c>
      <c r="G12" s="5">
        <f t="shared" si="3"/>
        <v>18378.528154973807</v>
      </c>
      <c r="H12" s="22">
        <f t="shared" si="10"/>
        <v>10742.214798794797</v>
      </c>
      <c r="I12" s="5">
        <f t="shared" si="4"/>
        <v>28486.952280639711</v>
      </c>
      <c r="J12" s="26">
        <f t="shared" si="5"/>
        <v>0.11856204661726012</v>
      </c>
      <c r="L12" s="22">
        <f t="shared" si="11"/>
        <v>31111.695178638449</v>
      </c>
      <c r="M12" s="5">
        <f>scrimecost*Meta!O9</f>
        <v>7770.3040000000001</v>
      </c>
      <c r="N12" s="5">
        <f>L12-Grade13!L12</f>
        <v>324.66336388744821</v>
      </c>
      <c r="O12" s="5">
        <f>Grade13!M12-M12</f>
        <v>61.279999999999745</v>
      </c>
      <c r="P12" s="22">
        <f t="shared" si="12"/>
        <v>30.727998762335183</v>
      </c>
      <c r="Q12" s="22"/>
      <c r="R12" s="22"/>
      <c r="S12" s="22">
        <f t="shared" si="6"/>
        <v>189.65423926523832</v>
      </c>
      <c r="T12" s="22">
        <f t="shared" si="7"/>
        <v>202.62658743221343</v>
      </c>
    </row>
    <row r="13" spans="1:20" x14ac:dyDescent="0.2">
      <c r="A13" s="5">
        <v>22</v>
      </c>
      <c r="B13" s="1">
        <f t="shared" si="8"/>
        <v>1.0506249999999999</v>
      </c>
      <c r="C13" s="5">
        <f t="shared" si="9"/>
        <v>24192.943777683875</v>
      </c>
      <c r="D13" s="5">
        <f t="shared" si="0"/>
        <v>23685.960094800528</v>
      </c>
      <c r="E13" s="5">
        <f t="shared" si="1"/>
        <v>14185.960094800528</v>
      </c>
      <c r="F13" s="5">
        <f t="shared" si="2"/>
        <v>4933.4659709523721</v>
      </c>
      <c r="G13" s="5">
        <f t="shared" si="3"/>
        <v>18752.494123848155</v>
      </c>
      <c r="H13" s="22">
        <f t="shared" si="10"/>
        <v>11010.770168764668</v>
      </c>
      <c r="I13" s="5">
        <f t="shared" si="4"/>
        <v>29113.628852655707</v>
      </c>
      <c r="J13" s="26">
        <f t="shared" si="5"/>
        <v>0.12114296316976421</v>
      </c>
      <c r="L13" s="22">
        <f t="shared" si="11"/>
        <v>31889.487558104411</v>
      </c>
      <c r="M13" s="5">
        <f>scrimecost*Meta!O10</f>
        <v>7121.0879999999997</v>
      </c>
      <c r="N13" s="5">
        <f>L13-Grade13!L13</f>
        <v>332.77994798463624</v>
      </c>
      <c r="O13" s="5">
        <f>Grade13!M13-M13</f>
        <v>56.159999999999854</v>
      </c>
      <c r="P13" s="22">
        <f t="shared" si="12"/>
        <v>31.251561050262318</v>
      </c>
      <c r="Q13" s="22"/>
      <c r="R13" s="22"/>
      <c r="S13" s="22">
        <f t="shared" si="6"/>
        <v>190.16105971065548</v>
      </c>
      <c r="T13" s="22">
        <f t="shared" si="7"/>
        <v>210.00150257957677</v>
      </c>
    </row>
    <row r="14" spans="1:20" x14ac:dyDescent="0.2">
      <c r="A14" s="5">
        <v>23</v>
      </c>
      <c r="B14" s="1">
        <f t="shared" si="8"/>
        <v>1.0768906249999999</v>
      </c>
      <c r="C14" s="5">
        <f t="shared" si="9"/>
        <v>24797.767372125971</v>
      </c>
      <c r="D14" s="5">
        <f t="shared" si="0"/>
        <v>24255.09909717054</v>
      </c>
      <c r="E14" s="5">
        <f t="shared" si="1"/>
        <v>14755.09909717054</v>
      </c>
      <c r="F14" s="5">
        <f t="shared" si="2"/>
        <v>5119.2898552261813</v>
      </c>
      <c r="G14" s="5">
        <f t="shared" si="3"/>
        <v>19135.809241944356</v>
      </c>
      <c r="H14" s="22">
        <f t="shared" si="10"/>
        <v>11286.039422983784</v>
      </c>
      <c r="I14" s="5">
        <f t="shared" si="4"/>
        <v>29755.972338972097</v>
      </c>
      <c r="J14" s="26">
        <f t="shared" si="5"/>
        <v>0.12366093053806085</v>
      </c>
      <c r="L14" s="22">
        <f t="shared" si="11"/>
        <v>32686.724747057022</v>
      </c>
      <c r="M14" s="5">
        <f>scrimecost*Meta!O11</f>
        <v>6654.4639999999999</v>
      </c>
      <c r="N14" s="5">
        <f>L14-Grade13!L14</f>
        <v>341.09944668425669</v>
      </c>
      <c r="O14" s="5">
        <f>Grade13!M14-M14</f>
        <v>52.480000000000473</v>
      </c>
      <c r="P14" s="22">
        <f t="shared" si="12"/>
        <v>31.788212395387628</v>
      </c>
      <c r="Q14" s="22"/>
      <c r="R14" s="22"/>
      <c r="S14" s="22">
        <f t="shared" si="6"/>
        <v>191.64330266720953</v>
      </c>
      <c r="T14" s="22">
        <f t="shared" si="7"/>
        <v>218.75671727829362</v>
      </c>
    </row>
    <row r="15" spans="1:20" x14ac:dyDescent="0.2">
      <c r="A15" s="5">
        <v>24</v>
      </c>
      <c r="B15" s="1">
        <f t="shared" si="8"/>
        <v>1.1038128906249998</v>
      </c>
      <c r="C15" s="5">
        <f t="shared" si="9"/>
        <v>25417.711556429116</v>
      </c>
      <c r="D15" s="5">
        <f t="shared" si="0"/>
        <v>24838.466574599803</v>
      </c>
      <c r="E15" s="5">
        <f t="shared" si="1"/>
        <v>15338.466574599803</v>
      </c>
      <c r="F15" s="5">
        <f t="shared" si="2"/>
        <v>5309.7593366068359</v>
      </c>
      <c r="G15" s="5">
        <f t="shared" si="3"/>
        <v>19528.707237992967</v>
      </c>
      <c r="H15" s="22">
        <f t="shared" si="10"/>
        <v>11568.190408558377</v>
      </c>
      <c r="I15" s="5">
        <f t="shared" si="4"/>
        <v>30414.374412446399</v>
      </c>
      <c r="J15" s="26">
        <f t="shared" si="5"/>
        <v>0.12611748406810633</v>
      </c>
      <c r="L15" s="22">
        <f t="shared" si="11"/>
        <v>33503.892865733447</v>
      </c>
      <c r="M15" s="5">
        <f>scrimecost*Meta!O12</f>
        <v>6357.7520000000004</v>
      </c>
      <c r="N15" s="5">
        <f>L15-Grade13!L15</f>
        <v>349.62693285136629</v>
      </c>
      <c r="O15" s="5">
        <f>Grade13!M15-M15</f>
        <v>50.140000000000327</v>
      </c>
      <c r="P15" s="22">
        <f t="shared" si="12"/>
        <v>32.338280024141064</v>
      </c>
      <c r="Q15" s="22"/>
      <c r="R15" s="22"/>
      <c r="S15" s="22">
        <f t="shared" si="6"/>
        <v>194.04184969767638</v>
      </c>
      <c r="T15" s="22">
        <f t="shared" si="7"/>
        <v>228.9444366348292</v>
      </c>
    </row>
    <row r="16" spans="1:20" x14ac:dyDescent="0.2">
      <c r="A16" s="5">
        <v>25</v>
      </c>
      <c r="B16" s="1">
        <f t="shared" si="8"/>
        <v>1.1314082128906247</v>
      </c>
      <c r="C16" s="5">
        <f t="shared" si="9"/>
        <v>26053.154345339837</v>
      </c>
      <c r="D16" s="5">
        <f t="shared" si="0"/>
        <v>25436.41823896479</v>
      </c>
      <c r="E16" s="5">
        <f t="shared" si="1"/>
        <v>15936.41823896479</v>
      </c>
      <c r="F16" s="5">
        <f t="shared" si="2"/>
        <v>5504.9905550220037</v>
      </c>
      <c r="G16" s="5">
        <f t="shared" si="3"/>
        <v>19931.427683942788</v>
      </c>
      <c r="H16" s="22">
        <f t="shared" si="10"/>
        <v>11857.395168772337</v>
      </c>
      <c r="I16" s="5">
        <f t="shared" si="4"/>
        <v>31089.236537757555</v>
      </c>
      <c r="J16" s="26">
        <f t="shared" si="5"/>
        <v>0.12851412165839457</v>
      </c>
      <c r="L16" s="22">
        <f t="shared" si="11"/>
        <v>34341.490187376774</v>
      </c>
      <c r="M16" s="5">
        <f>scrimecost*Meta!O13</f>
        <v>5338.28</v>
      </c>
      <c r="N16" s="5">
        <f>L16-Grade13!L16</f>
        <v>358.36760617264372</v>
      </c>
      <c r="O16" s="5">
        <f>Grade13!M16-M16</f>
        <v>42.100000000000364</v>
      </c>
      <c r="P16" s="22">
        <f t="shared" si="12"/>
        <v>32.902099343613337</v>
      </c>
      <c r="Q16" s="22"/>
      <c r="R16" s="22"/>
      <c r="S16" s="22">
        <f t="shared" si="6"/>
        <v>193.03647940390098</v>
      </c>
      <c r="T16" s="22">
        <f t="shared" si="7"/>
        <v>235.41873124138107</v>
      </c>
    </row>
    <row r="17" spans="1:20" x14ac:dyDescent="0.2">
      <c r="A17" s="5">
        <v>26</v>
      </c>
      <c r="B17" s="1">
        <f t="shared" si="8"/>
        <v>1.1596934182128902</v>
      </c>
      <c r="C17" s="5">
        <f t="shared" si="9"/>
        <v>26704.483203973334</v>
      </c>
      <c r="D17" s="5">
        <f t="shared" si="0"/>
        <v>26049.318694938909</v>
      </c>
      <c r="E17" s="5">
        <f t="shared" si="1"/>
        <v>16549.318694938909</v>
      </c>
      <c r="F17" s="5">
        <f t="shared" si="2"/>
        <v>5705.1025538975537</v>
      </c>
      <c r="G17" s="5">
        <f t="shared" si="3"/>
        <v>20344.216141041354</v>
      </c>
      <c r="H17" s="22">
        <f t="shared" si="10"/>
        <v>12153.830047991643</v>
      </c>
      <c r="I17" s="5">
        <f t="shared" si="4"/>
        <v>31780.970216201491</v>
      </c>
      <c r="J17" s="26">
        <f t="shared" si="5"/>
        <v>0.13085230467330994</v>
      </c>
      <c r="L17" s="22">
        <f t="shared" si="11"/>
        <v>35200.02744206119</v>
      </c>
      <c r="M17" s="5">
        <f>scrimecost*Meta!O14</f>
        <v>5338.28</v>
      </c>
      <c r="N17" s="5">
        <f>L17-Grade13!L17</f>
        <v>367.32679632695363</v>
      </c>
      <c r="O17" s="5">
        <f>Grade13!M17-M17</f>
        <v>42.100000000000364</v>
      </c>
      <c r="P17" s="22">
        <f t="shared" si="12"/>
        <v>33.480014146072413</v>
      </c>
      <c r="Q17" s="22"/>
      <c r="R17" s="22"/>
      <c r="S17" s="22">
        <f t="shared" si="6"/>
        <v>197.06594885278136</v>
      </c>
      <c r="T17" s="22">
        <f t="shared" si="7"/>
        <v>248.41633661900846</v>
      </c>
    </row>
    <row r="18" spans="1:20" x14ac:dyDescent="0.2">
      <c r="A18" s="5">
        <v>27</v>
      </c>
      <c r="B18" s="1">
        <f t="shared" si="8"/>
        <v>1.1886857536682125</v>
      </c>
      <c r="C18" s="5">
        <f t="shared" si="9"/>
        <v>27372.095284072671</v>
      </c>
      <c r="D18" s="5">
        <f t="shared" si="0"/>
        <v>26677.541662312386</v>
      </c>
      <c r="E18" s="5">
        <f t="shared" si="1"/>
        <v>17177.541662312386</v>
      </c>
      <c r="F18" s="5">
        <f t="shared" si="2"/>
        <v>5910.2173527449941</v>
      </c>
      <c r="G18" s="5">
        <f t="shared" si="3"/>
        <v>20767.32430956739</v>
      </c>
      <c r="H18" s="22">
        <f t="shared" si="10"/>
        <v>12457.675799191435</v>
      </c>
      <c r="I18" s="5">
        <f t="shared" si="4"/>
        <v>32489.99723660653</v>
      </c>
      <c r="J18" s="26">
        <f t="shared" si="5"/>
        <v>0.13313345883420305</v>
      </c>
      <c r="L18" s="22">
        <f t="shared" si="11"/>
        <v>36080.028128112725</v>
      </c>
      <c r="M18" s="5">
        <f>scrimecost*Meta!O15</f>
        <v>5338.28</v>
      </c>
      <c r="N18" s="5">
        <f>L18-Grade13!L18</f>
        <v>376.5099662351422</v>
      </c>
      <c r="O18" s="5">
        <f>Grade13!M18-M18</f>
        <v>42.100000000000364</v>
      </c>
      <c r="P18" s="22">
        <f t="shared" si="12"/>
        <v>34.072376818592979</v>
      </c>
      <c r="Q18" s="22"/>
      <c r="R18" s="22"/>
      <c r="S18" s="22">
        <f t="shared" si="6"/>
        <v>201.1961550378924</v>
      </c>
      <c r="T18" s="22">
        <f t="shared" si="7"/>
        <v>262.15320935968515</v>
      </c>
    </row>
    <row r="19" spans="1:20" x14ac:dyDescent="0.2">
      <c r="A19" s="5">
        <v>28</v>
      </c>
      <c r="B19" s="1">
        <f t="shared" si="8"/>
        <v>1.2184028975099177</v>
      </c>
      <c r="C19" s="5">
        <f t="shared" si="9"/>
        <v>28056.397666174482</v>
      </c>
      <c r="D19" s="5">
        <f t="shared" si="0"/>
        <v>27321.470203870191</v>
      </c>
      <c r="E19" s="5">
        <f t="shared" si="1"/>
        <v>17821.470203870191</v>
      </c>
      <c r="F19" s="5">
        <f t="shared" si="2"/>
        <v>6120.4600215636174</v>
      </c>
      <c r="G19" s="5">
        <f t="shared" si="3"/>
        <v>21201.010182306574</v>
      </c>
      <c r="H19" s="22">
        <f t="shared" si="10"/>
        <v>12769.11769417122</v>
      </c>
      <c r="I19" s="5">
        <f t="shared" si="4"/>
        <v>33216.749932521692</v>
      </c>
      <c r="J19" s="26">
        <f t="shared" si="5"/>
        <v>0.13535897508873287</v>
      </c>
      <c r="L19" s="22">
        <f t="shared" si="11"/>
        <v>36982.02883131554</v>
      </c>
      <c r="M19" s="5">
        <f>scrimecost*Meta!O16</f>
        <v>5338.28</v>
      </c>
      <c r="N19" s="5">
        <f>L19-Grade13!L19</f>
        <v>385.92271539101785</v>
      </c>
      <c r="O19" s="5">
        <f>Grade13!M19-M19</f>
        <v>42.100000000000364</v>
      </c>
      <c r="P19" s="22">
        <f t="shared" si="12"/>
        <v>34.679548557926559</v>
      </c>
      <c r="Q19" s="22"/>
      <c r="R19" s="22"/>
      <c r="S19" s="22">
        <f t="shared" si="6"/>
        <v>205.42961637762392</v>
      </c>
      <c r="T19" s="22">
        <f t="shared" si="7"/>
        <v>276.67218178455664</v>
      </c>
    </row>
    <row r="20" spans="1:20" x14ac:dyDescent="0.2">
      <c r="A20" s="5">
        <v>29</v>
      </c>
      <c r="B20" s="1">
        <f t="shared" si="8"/>
        <v>1.2488629699476654</v>
      </c>
      <c r="C20" s="5">
        <f t="shared" si="9"/>
        <v>28757.80760782884</v>
      </c>
      <c r="D20" s="5">
        <f t="shared" si="0"/>
        <v>27981.496958966942</v>
      </c>
      <c r="E20" s="5">
        <f t="shared" si="1"/>
        <v>18481.496958966942</v>
      </c>
      <c r="F20" s="5">
        <f t="shared" si="2"/>
        <v>6335.9587571027059</v>
      </c>
      <c r="G20" s="5">
        <f t="shared" si="3"/>
        <v>21645.538201864234</v>
      </c>
      <c r="H20" s="22">
        <f t="shared" si="10"/>
        <v>13088.345636525499</v>
      </c>
      <c r="I20" s="5">
        <f t="shared" si="4"/>
        <v>33961.671445834727</v>
      </c>
      <c r="J20" s="26">
        <f t="shared" si="5"/>
        <v>0.13753021045900585</v>
      </c>
      <c r="L20" s="22">
        <f t="shared" si="11"/>
        <v>37906.579552098425</v>
      </c>
      <c r="M20" s="5">
        <f>scrimecost*Meta!O17</f>
        <v>5338.28</v>
      </c>
      <c r="N20" s="5">
        <f>L20-Grade13!L20</f>
        <v>395.57078327579075</v>
      </c>
      <c r="O20" s="5">
        <f>Grade13!M20-M20</f>
        <v>42.100000000000364</v>
      </c>
      <c r="P20" s="22">
        <f t="shared" si="12"/>
        <v>35.30189959074346</v>
      </c>
      <c r="Q20" s="22"/>
      <c r="R20" s="22"/>
      <c r="S20" s="22">
        <f t="shared" si="6"/>
        <v>209.76891425084884</v>
      </c>
      <c r="T20" s="22">
        <f t="shared" si="7"/>
        <v>292.01859547568074</v>
      </c>
    </row>
    <row r="21" spans="1:20" x14ac:dyDescent="0.2">
      <c r="A21" s="5">
        <v>30</v>
      </c>
      <c r="B21" s="1">
        <f t="shared" si="8"/>
        <v>1.2800845441963571</v>
      </c>
      <c r="C21" s="5">
        <f t="shared" si="9"/>
        <v>29476.752798024561</v>
      </c>
      <c r="D21" s="5">
        <f t="shared" si="0"/>
        <v>28658.024382941116</v>
      </c>
      <c r="E21" s="5">
        <f t="shared" si="1"/>
        <v>19158.024382941116</v>
      </c>
      <c r="F21" s="5">
        <f t="shared" si="2"/>
        <v>6556.8449610302741</v>
      </c>
      <c r="G21" s="5">
        <f t="shared" si="3"/>
        <v>22101.179421910841</v>
      </c>
      <c r="H21" s="22">
        <f t="shared" si="10"/>
        <v>13415.554277438638</v>
      </c>
      <c r="I21" s="5">
        <f t="shared" si="4"/>
        <v>34725.215996980602</v>
      </c>
      <c r="J21" s="26">
        <f t="shared" si="5"/>
        <v>0.13964848886902828</v>
      </c>
      <c r="L21" s="22">
        <f t="shared" si="11"/>
        <v>38854.244040900885</v>
      </c>
      <c r="M21" s="5">
        <f>scrimecost*Meta!O18</f>
        <v>4303.5920000000006</v>
      </c>
      <c r="N21" s="5">
        <f>L21-Grade13!L21</f>
        <v>405.46005285768479</v>
      </c>
      <c r="O21" s="5">
        <f>Grade13!M21-M21</f>
        <v>33.9399999999996</v>
      </c>
      <c r="P21" s="22">
        <f t="shared" si="12"/>
        <v>35.939809399380792</v>
      </c>
      <c r="Q21" s="22"/>
      <c r="R21" s="22"/>
      <c r="S21" s="22">
        <f t="shared" si="6"/>
        <v>209.2064545709047</v>
      </c>
      <c r="T21" s="22">
        <f t="shared" si="7"/>
        <v>301.0311202304573</v>
      </c>
    </row>
    <row r="22" spans="1:20" x14ac:dyDescent="0.2">
      <c r="A22" s="5">
        <v>31</v>
      </c>
      <c r="B22" s="1">
        <f t="shared" si="8"/>
        <v>1.312086657801266</v>
      </c>
      <c r="C22" s="5">
        <f t="shared" si="9"/>
        <v>30213.671617975175</v>
      </c>
      <c r="D22" s="5">
        <f t="shared" si="0"/>
        <v>29351.464992514644</v>
      </c>
      <c r="E22" s="5">
        <f t="shared" si="1"/>
        <v>19851.464992514644</v>
      </c>
      <c r="F22" s="5">
        <f t="shared" si="2"/>
        <v>6783.253320056031</v>
      </c>
      <c r="G22" s="5">
        <f t="shared" si="3"/>
        <v>22568.211672458612</v>
      </c>
      <c r="H22" s="22">
        <f t="shared" si="10"/>
        <v>13750.943134374602</v>
      </c>
      <c r="I22" s="5">
        <f t="shared" si="4"/>
        <v>35507.849161905113</v>
      </c>
      <c r="J22" s="26">
        <f t="shared" si="5"/>
        <v>0.14171510195197698</v>
      </c>
      <c r="L22" s="22">
        <f t="shared" si="11"/>
        <v>39825.600141923402</v>
      </c>
      <c r="M22" s="5">
        <f>scrimecost*Meta!O19</f>
        <v>4303.5920000000006</v>
      </c>
      <c r="N22" s="5">
        <f>L22-Grade13!L22</f>
        <v>415.59655417913018</v>
      </c>
      <c r="O22" s="5">
        <f>Grade13!M22-M22</f>
        <v>33.9399999999996</v>
      </c>
      <c r="P22" s="22">
        <f t="shared" si="12"/>
        <v>36.593666953234063</v>
      </c>
      <c r="Q22" s="22"/>
      <c r="R22" s="22"/>
      <c r="S22" s="22">
        <f t="shared" si="6"/>
        <v>213.76542939896407</v>
      </c>
      <c r="T22" s="22">
        <f t="shared" si="7"/>
        <v>317.93674560193142</v>
      </c>
    </row>
    <row r="23" spans="1:20" x14ac:dyDescent="0.2">
      <c r="A23" s="5">
        <v>32</v>
      </c>
      <c r="B23" s="1">
        <f t="shared" si="8"/>
        <v>1.3448888242462975</v>
      </c>
      <c r="C23" s="5">
        <f t="shared" si="9"/>
        <v>30969.013408424551</v>
      </c>
      <c r="D23" s="5">
        <f t="shared" si="0"/>
        <v>30062.241617327505</v>
      </c>
      <c r="E23" s="5">
        <f t="shared" si="1"/>
        <v>20562.241617327505</v>
      </c>
      <c r="F23" s="5">
        <f t="shared" si="2"/>
        <v>7015.3218880574304</v>
      </c>
      <c r="G23" s="5">
        <f t="shared" si="3"/>
        <v>23046.919729270074</v>
      </c>
      <c r="H23" s="22">
        <f t="shared" si="10"/>
        <v>14094.716712733965</v>
      </c>
      <c r="I23" s="5">
        <f t="shared" si="4"/>
        <v>36310.04815595274</v>
      </c>
      <c r="J23" s="26">
        <f t="shared" si="5"/>
        <v>0.14373130983778062</v>
      </c>
      <c r="L23" s="22">
        <f t="shared" si="11"/>
        <v>40821.240145471485</v>
      </c>
      <c r="M23" s="5">
        <f>scrimecost*Meta!O20</f>
        <v>4303.5920000000006</v>
      </c>
      <c r="N23" s="5">
        <f>L23-Grade13!L23</f>
        <v>425.98646803360316</v>
      </c>
      <c r="O23" s="5">
        <f>Grade13!M23-M23</f>
        <v>33.9399999999996</v>
      </c>
      <c r="P23" s="22">
        <f t="shared" si="12"/>
        <v>37.263870945933668</v>
      </c>
      <c r="Q23" s="22"/>
      <c r="R23" s="22"/>
      <c r="S23" s="22">
        <f t="shared" si="6"/>
        <v>218.43837859772142</v>
      </c>
      <c r="T23" s="22">
        <f t="shared" si="7"/>
        <v>335.81426069320383</v>
      </c>
    </row>
    <row r="24" spans="1:20" x14ac:dyDescent="0.2">
      <c r="A24" s="5">
        <v>33</v>
      </c>
      <c r="B24" s="1">
        <f t="shared" si="8"/>
        <v>1.3785110448524549</v>
      </c>
      <c r="C24" s="5">
        <f t="shared" si="9"/>
        <v>31743.238743635164</v>
      </c>
      <c r="D24" s="5">
        <f t="shared" si="0"/>
        <v>30790.787657760691</v>
      </c>
      <c r="E24" s="5">
        <f t="shared" si="1"/>
        <v>21290.787657760691</v>
      </c>
      <c r="F24" s="5">
        <f t="shared" si="2"/>
        <v>7253.1921702588661</v>
      </c>
      <c r="G24" s="5">
        <f t="shared" si="3"/>
        <v>23537.595487501825</v>
      </c>
      <c r="H24" s="22">
        <f t="shared" si="10"/>
        <v>14447.084630552314</v>
      </c>
      <c r="I24" s="5">
        <f t="shared" si="4"/>
        <v>37132.302124851551</v>
      </c>
      <c r="J24" s="26">
        <f t="shared" si="5"/>
        <v>0.14569834192149148</v>
      </c>
      <c r="L24" s="22">
        <f t="shared" si="11"/>
        <v>41841.771149108274</v>
      </c>
      <c r="M24" s="5">
        <f>scrimecost*Meta!O21</f>
        <v>4303.5920000000006</v>
      </c>
      <c r="N24" s="5">
        <f>L24-Grade13!L24</f>
        <v>436.63612973444833</v>
      </c>
      <c r="O24" s="5">
        <f>Grade13!M24-M24</f>
        <v>33.9399999999996</v>
      </c>
      <c r="P24" s="22">
        <f t="shared" si="12"/>
        <v>37.950830038450754</v>
      </c>
      <c r="Q24" s="22"/>
      <c r="R24" s="22"/>
      <c r="S24" s="22">
        <f t="shared" si="6"/>
        <v>223.228151526452</v>
      </c>
      <c r="T24" s="22">
        <f t="shared" si="7"/>
        <v>354.72033954927474</v>
      </c>
    </row>
    <row r="25" spans="1:20" x14ac:dyDescent="0.2">
      <c r="A25" s="5">
        <v>34</v>
      </c>
      <c r="B25" s="1">
        <f t="shared" si="8"/>
        <v>1.4129738209737661</v>
      </c>
      <c r="C25" s="5">
        <f t="shared" si="9"/>
        <v>32536.819712226039</v>
      </c>
      <c r="D25" s="5">
        <f t="shared" si="0"/>
        <v>31537.547349204706</v>
      </c>
      <c r="E25" s="5">
        <f t="shared" si="1"/>
        <v>22037.547349204706</v>
      </c>
      <c r="F25" s="5">
        <f t="shared" si="2"/>
        <v>7497.0092095153359</v>
      </c>
      <c r="G25" s="5">
        <f t="shared" si="3"/>
        <v>24040.538139689372</v>
      </c>
      <c r="H25" s="22">
        <f t="shared" si="10"/>
        <v>14808.26174631612</v>
      </c>
      <c r="I25" s="5">
        <f t="shared" si="4"/>
        <v>37975.112442972844</v>
      </c>
      <c r="J25" s="26">
        <f t="shared" si="5"/>
        <v>0.14761739761291667</v>
      </c>
      <c r="L25" s="22">
        <f t="shared" si="11"/>
        <v>42887.815427835973</v>
      </c>
      <c r="M25" s="5">
        <f>scrimecost*Meta!O22</f>
        <v>4303.5920000000006</v>
      </c>
      <c r="N25" s="5">
        <f>L25-Grade13!L25</f>
        <v>447.55203297779371</v>
      </c>
      <c r="O25" s="5">
        <f>Grade13!M25-M25</f>
        <v>33.9399999999996</v>
      </c>
      <c r="P25" s="22">
        <f t="shared" si="12"/>
        <v>38.654963108280768</v>
      </c>
      <c r="Q25" s="22"/>
      <c r="R25" s="22"/>
      <c r="S25" s="22">
        <f t="shared" si="6"/>
        <v>228.1376687783922</v>
      </c>
      <c r="T25" s="22">
        <f t="shared" si="7"/>
        <v>374.7149889327705</v>
      </c>
    </row>
    <row r="26" spans="1:20" x14ac:dyDescent="0.2">
      <c r="A26" s="5">
        <v>35</v>
      </c>
      <c r="B26" s="1">
        <f t="shared" si="8"/>
        <v>1.4482981664981105</v>
      </c>
      <c r="C26" s="5">
        <f t="shared" si="9"/>
        <v>33350.240205031696</v>
      </c>
      <c r="D26" s="5">
        <f t="shared" si="0"/>
        <v>32302.976032934828</v>
      </c>
      <c r="E26" s="5">
        <f t="shared" si="1"/>
        <v>22802.976032934828</v>
      </c>
      <c r="F26" s="5">
        <f t="shared" si="2"/>
        <v>7746.9216747532209</v>
      </c>
      <c r="G26" s="5">
        <f t="shared" si="3"/>
        <v>24556.054358181609</v>
      </c>
      <c r="H26" s="22">
        <f t="shared" si="10"/>
        <v>15178.468289974026</v>
      </c>
      <c r="I26" s="5">
        <f t="shared" si="4"/>
        <v>38838.993019047164</v>
      </c>
      <c r="J26" s="26">
        <f t="shared" si="5"/>
        <v>0.14948964706796572</v>
      </c>
      <c r="L26" s="22">
        <f t="shared" si="11"/>
        <v>43960.010813531881</v>
      </c>
      <c r="M26" s="5">
        <f>scrimecost*Meta!O23</f>
        <v>3339.9119999999998</v>
      </c>
      <c r="N26" s="5">
        <f>L26-Grade13!L26</f>
        <v>458.74083380225056</v>
      </c>
      <c r="O26" s="5">
        <f>Grade13!M26-M26</f>
        <v>26.340000000000146</v>
      </c>
      <c r="P26" s="22">
        <f t="shared" si="12"/>
        <v>39.376699504856546</v>
      </c>
      <c r="Q26" s="22"/>
      <c r="R26" s="22"/>
      <c r="S26" s="22">
        <f t="shared" si="6"/>
        <v>228.50352396164271</v>
      </c>
      <c r="T26" s="22">
        <f t="shared" si="7"/>
        <v>387.93941455558689</v>
      </c>
    </row>
    <row r="27" spans="1:20" x14ac:dyDescent="0.2">
      <c r="A27" s="5">
        <v>36</v>
      </c>
      <c r="B27" s="1">
        <f t="shared" si="8"/>
        <v>1.4845056206605631</v>
      </c>
      <c r="C27" s="5">
        <f t="shared" si="9"/>
        <v>34183.996210157486</v>
      </c>
      <c r="D27" s="5">
        <f t="shared" si="0"/>
        <v>33087.540433758193</v>
      </c>
      <c r="E27" s="5">
        <f t="shared" si="1"/>
        <v>23587.540433758193</v>
      </c>
      <c r="F27" s="5">
        <f t="shared" si="2"/>
        <v>8003.0819516220499</v>
      </c>
      <c r="G27" s="5">
        <f t="shared" si="3"/>
        <v>25084.458482136142</v>
      </c>
      <c r="H27" s="22">
        <f t="shared" si="10"/>
        <v>15557.929997223375</v>
      </c>
      <c r="I27" s="5">
        <f t="shared" si="4"/>
        <v>39724.470609523341</v>
      </c>
      <c r="J27" s="26">
        <f t="shared" si="5"/>
        <v>0.15131623190215981</v>
      </c>
      <c r="L27" s="22">
        <f t="shared" si="11"/>
        <v>45059.011083870173</v>
      </c>
      <c r="M27" s="5">
        <f>scrimecost*Meta!O24</f>
        <v>3339.9119999999998</v>
      </c>
      <c r="N27" s="5">
        <f>L27-Grade13!L27</f>
        <v>470.20935464731156</v>
      </c>
      <c r="O27" s="5">
        <f>Grade13!M27-M27</f>
        <v>26.340000000000146</v>
      </c>
      <c r="P27" s="22">
        <f t="shared" si="12"/>
        <v>40.116479311346701</v>
      </c>
      <c r="Q27" s="22"/>
      <c r="R27" s="22"/>
      <c r="S27" s="22">
        <f t="shared" si="6"/>
        <v>233.66158552447112</v>
      </c>
      <c r="T27" s="22">
        <f t="shared" si="7"/>
        <v>410.03908998093146</v>
      </c>
    </row>
    <row r="28" spans="1:20" x14ac:dyDescent="0.2">
      <c r="A28" s="5">
        <v>37</v>
      </c>
      <c r="B28" s="1">
        <f t="shared" si="8"/>
        <v>1.521618261177077</v>
      </c>
      <c r="C28" s="5">
        <f t="shared" si="9"/>
        <v>35038.596115411419</v>
      </c>
      <c r="D28" s="5">
        <f t="shared" si="0"/>
        <v>33891.718944602151</v>
      </c>
      <c r="E28" s="5">
        <f t="shared" si="1"/>
        <v>24391.718944602151</v>
      </c>
      <c r="F28" s="5">
        <f t="shared" si="2"/>
        <v>8265.6462354126015</v>
      </c>
      <c r="G28" s="5">
        <f t="shared" si="3"/>
        <v>25626.07270918955</v>
      </c>
      <c r="H28" s="22">
        <f t="shared" si="10"/>
        <v>15946.878247153956</v>
      </c>
      <c r="I28" s="5">
        <f t="shared" si="4"/>
        <v>40632.085139761424</v>
      </c>
      <c r="J28" s="26">
        <f t="shared" si="5"/>
        <v>0.1530982658867395</v>
      </c>
      <c r="L28" s="22">
        <f t="shared" si="11"/>
        <v>46185.486360966919</v>
      </c>
      <c r="M28" s="5">
        <f>scrimecost*Meta!O25</f>
        <v>3339.9119999999998</v>
      </c>
      <c r="N28" s="5">
        <f>L28-Grade13!L28</f>
        <v>481.96458851348871</v>
      </c>
      <c r="O28" s="5">
        <f>Grade13!M28-M28</f>
        <v>26.340000000000146</v>
      </c>
      <c r="P28" s="22">
        <f t="shared" si="12"/>
        <v>40.874753612999122</v>
      </c>
      <c r="Q28" s="22"/>
      <c r="R28" s="22"/>
      <c r="S28" s="22">
        <f t="shared" si="6"/>
        <v>238.94859862636599</v>
      </c>
      <c r="T28" s="22">
        <f t="shared" si="7"/>
        <v>433.42041863867462</v>
      </c>
    </row>
    <row r="29" spans="1:20" x14ac:dyDescent="0.2">
      <c r="A29" s="5">
        <v>38</v>
      </c>
      <c r="B29" s="1">
        <f t="shared" si="8"/>
        <v>1.559658717706504</v>
      </c>
      <c r="C29" s="5">
        <f t="shared" si="9"/>
        <v>35914.561018296707</v>
      </c>
      <c r="D29" s="5">
        <f t="shared" si="0"/>
        <v>34716.001918217204</v>
      </c>
      <c r="E29" s="5">
        <f t="shared" si="1"/>
        <v>25216.001918217204</v>
      </c>
      <c r="F29" s="5">
        <f t="shared" si="2"/>
        <v>8534.7746262979163</v>
      </c>
      <c r="G29" s="5">
        <f t="shared" si="3"/>
        <v>26181.227291919287</v>
      </c>
      <c r="H29" s="22">
        <f t="shared" si="10"/>
        <v>16345.550203332807</v>
      </c>
      <c r="I29" s="5">
        <f t="shared" si="4"/>
        <v>41562.390033255462</v>
      </c>
      <c r="J29" s="26">
        <f t="shared" si="5"/>
        <v>0.15483683562779282</v>
      </c>
      <c r="L29" s="22">
        <f t="shared" si="11"/>
        <v>47340.123519991095</v>
      </c>
      <c r="M29" s="5">
        <f>scrimecost*Meta!O26</f>
        <v>3339.9119999999998</v>
      </c>
      <c r="N29" s="5">
        <f>L29-Grade13!L29</f>
        <v>494.01370322633011</v>
      </c>
      <c r="O29" s="5">
        <f>Grade13!M29-M29</f>
        <v>26.340000000000146</v>
      </c>
      <c r="P29" s="22">
        <f t="shared" si="12"/>
        <v>41.651984772192847</v>
      </c>
      <c r="Q29" s="22"/>
      <c r="R29" s="22"/>
      <c r="S29" s="22">
        <f t="shared" si="6"/>
        <v>244.36778705581224</v>
      </c>
      <c r="T29" s="22">
        <f t="shared" si="7"/>
        <v>458.15852628960795</v>
      </c>
    </row>
    <row r="30" spans="1:20" x14ac:dyDescent="0.2">
      <c r="A30" s="5">
        <v>39</v>
      </c>
      <c r="B30" s="1">
        <f t="shared" si="8"/>
        <v>1.5986501856491666</v>
      </c>
      <c r="C30" s="5">
        <f t="shared" si="9"/>
        <v>36812.425043754127</v>
      </c>
      <c r="D30" s="5">
        <f t="shared" si="0"/>
        <v>35560.89196617264</v>
      </c>
      <c r="E30" s="5">
        <f t="shared" si="1"/>
        <v>26060.89196617264</v>
      </c>
      <c r="F30" s="5">
        <f t="shared" si="2"/>
        <v>8810.6312269553673</v>
      </c>
      <c r="G30" s="5">
        <f t="shared" si="3"/>
        <v>26750.260739217272</v>
      </c>
      <c r="H30" s="22">
        <f t="shared" si="10"/>
        <v>16754.188958416125</v>
      </c>
      <c r="I30" s="5">
        <f t="shared" si="4"/>
        <v>42515.952549086847</v>
      </c>
      <c r="J30" s="26">
        <f t="shared" si="5"/>
        <v>0.1565330012288205</v>
      </c>
      <c r="L30" s="22">
        <f t="shared" si="11"/>
        <v>48523.626607990875</v>
      </c>
      <c r="M30" s="5">
        <f>scrimecost*Meta!O27</f>
        <v>3339.9119999999998</v>
      </c>
      <c r="N30" s="5">
        <f>L30-Grade13!L30</f>
        <v>506.36404580699309</v>
      </c>
      <c r="O30" s="5">
        <f>Grade13!M30-M30</f>
        <v>26.340000000000146</v>
      </c>
      <c r="P30" s="22">
        <f t="shared" si="12"/>
        <v>42.448646710366425</v>
      </c>
      <c r="Q30" s="22"/>
      <c r="R30" s="22"/>
      <c r="S30" s="22">
        <f t="shared" si="6"/>
        <v>249.9224551959949</v>
      </c>
      <c r="T30" s="22">
        <f t="shared" si="7"/>
        <v>484.33296978933492</v>
      </c>
    </row>
    <row r="31" spans="1:20" x14ac:dyDescent="0.2">
      <c r="A31" s="5">
        <v>40</v>
      </c>
      <c r="B31" s="1">
        <f t="shared" si="8"/>
        <v>1.6386164402903955</v>
      </c>
      <c r="C31" s="5">
        <f t="shared" si="9"/>
        <v>37732.735669847971</v>
      </c>
      <c r="D31" s="5">
        <f t="shared" si="0"/>
        <v>36426.904265326943</v>
      </c>
      <c r="E31" s="5">
        <f t="shared" si="1"/>
        <v>26926.904265326943</v>
      </c>
      <c r="F31" s="5">
        <f t="shared" si="2"/>
        <v>9093.3842426292467</v>
      </c>
      <c r="G31" s="5">
        <f t="shared" si="3"/>
        <v>27333.520022697696</v>
      </c>
      <c r="H31" s="22">
        <f t="shared" si="10"/>
        <v>17173.043682376527</v>
      </c>
      <c r="I31" s="5">
        <f t="shared" si="4"/>
        <v>43493.354127814011</v>
      </c>
      <c r="J31" s="26">
        <f t="shared" si="5"/>
        <v>0.15818779693714008</v>
      </c>
      <c r="L31" s="22">
        <f t="shared" si="11"/>
        <v>49736.717273190639</v>
      </c>
      <c r="M31" s="5">
        <f>scrimecost*Meta!O28</f>
        <v>2921.4719999999998</v>
      </c>
      <c r="N31" s="5">
        <f>L31-Grade13!L31</f>
        <v>519.02314695216046</v>
      </c>
      <c r="O31" s="5">
        <f>Grade13!M31-M31</f>
        <v>23.039999999999964</v>
      </c>
      <c r="P31" s="22">
        <f t="shared" si="12"/>
        <v>43.265225196994329</v>
      </c>
      <c r="Q31" s="22"/>
      <c r="R31" s="22"/>
      <c r="S31" s="22">
        <f t="shared" si="6"/>
        <v>253.58979003967701</v>
      </c>
      <c r="T31" s="22">
        <f t="shared" si="7"/>
        <v>507.96928954986106</v>
      </c>
    </row>
    <row r="32" spans="1:20" x14ac:dyDescent="0.2">
      <c r="A32" s="5">
        <v>41</v>
      </c>
      <c r="B32" s="1">
        <f t="shared" si="8"/>
        <v>1.6795818512976552</v>
      </c>
      <c r="C32" s="5">
        <f t="shared" si="9"/>
        <v>38676.054061594165</v>
      </c>
      <c r="D32" s="5">
        <f t="shared" si="0"/>
        <v>37314.566871960109</v>
      </c>
      <c r="E32" s="5">
        <f t="shared" si="1"/>
        <v>27814.566871960109</v>
      </c>
      <c r="F32" s="5">
        <f t="shared" si="2"/>
        <v>9383.206083694975</v>
      </c>
      <c r="G32" s="5">
        <f t="shared" si="3"/>
        <v>27931.360788265134</v>
      </c>
      <c r="H32" s="22">
        <f t="shared" si="10"/>
        <v>17602.369774435938</v>
      </c>
      <c r="I32" s="5">
        <f t="shared" si="4"/>
        <v>44495.19074600935</v>
      </c>
      <c r="J32" s="26">
        <f t="shared" si="5"/>
        <v>0.15980223177452507</v>
      </c>
      <c r="L32" s="22">
        <f t="shared" si="11"/>
        <v>50980.135205020393</v>
      </c>
      <c r="M32" s="5">
        <f>scrimecost*Meta!O29</f>
        <v>2921.4719999999998</v>
      </c>
      <c r="N32" s="5">
        <f>L32-Grade13!L32</f>
        <v>531.99872562596283</v>
      </c>
      <c r="O32" s="5">
        <f>Grade13!M32-M32</f>
        <v>23.039999999999964</v>
      </c>
      <c r="P32" s="22">
        <f t="shared" si="12"/>
        <v>44.102218145787923</v>
      </c>
      <c r="Q32" s="22"/>
      <c r="R32" s="22"/>
      <c r="S32" s="22">
        <f t="shared" si="6"/>
        <v>259.42566325445364</v>
      </c>
      <c r="T32" s="22">
        <f t="shared" si="7"/>
        <v>537.13761461805677</v>
      </c>
    </row>
    <row r="33" spans="1:20" x14ac:dyDescent="0.2">
      <c r="A33" s="5">
        <v>42</v>
      </c>
      <c r="B33" s="1">
        <f t="shared" si="8"/>
        <v>1.7215713975800966</v>
      </c>
      <c r="C33" s="5">
        <f t="shared" si="9"/>
        <v>39642.955413134019</v>
      </c>
      <c r="D33" s="5">
        <f t="shared" si="0"/>
        <v>38224.421043759117</v>
      </c>
      <c r="E33" s="5">
        <f t="shared" si="1"/>
        <v>28724.421043759117</v>
      </c>
      <c r="F33" s="5">
        <f t="shared" si="2"/>
        <v>9680.2734707873515</v>
      </c>
      <c r="G33" s="5">
        <f t="shared" si="3"/>
        <v>28544.147572971764</v>
      </c>
      <c r="H33" s="22">
        <f t="shared" si="10"/>
        <v>18042.429018796836</v>
      </c>
      <c r="I33" s="5">
        <f t="shared" si="4"/>
        <v>45522.073279659584</v>
      </c>
      <c r="J33" s="26">
        <f t="shared" si="5"/>
        <v>0.16137729015246172</v>
      </c>
      <c r="L33" s="22">
        <f t="shared" si="11"/>
        <v>52254.638585145905</v>
      </c>
      <c r="M33" s="5">
        <f>scrimecost*Meta!O30</f>
        <v>2921.4719999999998</v>
      </c>
      <c r="N33" s="5">
        <f>L33-Grade13!L33</f>
        <v>545.29869376660645</v>
      </c>
      <c r="O33" s="5">
        <f>Grade13!M33-M33</f>
        <v>23.039999999999964</v>
      </c>
      <c r="P33" s="22">
        <f t="shared" si="12"/>
        <v>44.960135918301376</v>
      </c>
      <c r="Q33" s="22"/>
      <c r="R33" s="22"/>
      <c r="S33" s="22">
        <f t="shared" si="6"/>
        <v>265.40743329959821</v>
      </c>
      <c r="T33" s="22">
        <f t="shared" si="7"/>
        <v>568.00564283800793</v>
      </c>
    </row>
    <row r="34" spans="1:20" x14ac:dyDescent="0.2">
      <c r="A34" s="5">
        <v>43</v>
      </c>
      <c r="B34" s="1">
        <f t="shared" si="8"/>
        <v>1.7646106825195991</v>
      </c>
      <c r="C34" s="5">
        <f t="shared" si="9"/>
        <v>40634.029298462374</v>
      </c>
      <c r="D34" s="5">
        <f t="shared" si="0"/>
        <v>39157.021569853096</v>
      </c>
      <c r="E34" s="5">
        <f t="shared" si="1"/>
        <v>29657.021569853096</v>
      </c>
      <c r="F34" s="5">
        <f t="shared" si="2"/>
        <v>9984.767542557036</v>
      </c>
      <c r="G34" s="5">
        <f t="shared" si="3"/>
        <v>29172.254027296061</v>
      </c>
      <c r="H34" s="22">
        <f t="shared" si="10"/>
        <v>18493.489744266761</v>
      </c>
      <c r="I34" s="5">
        <f t="shared" si="4"/>
        <v>46574.62787665108</v>
      </c>
      <c r="J34" s="26">
        <f t="shared" si="5"/>
        <v>0.16291393247239985</v>
      </c>
      <c r="L34" s="22">
        <f t="shared" si="11"/>
        <v>53561.00454977456</v>
      </c>
      <c r="M34" s="5">
        <f>scrimecost*Meta!O31</f>
        <v>2921.4719999999998</v>
      </c>
      <c r="N34" s="5">
        <f>L34-Grade13!L34</f>
        <v>558.93116111078416</v>
      </c>
      <c r="O34" s="5">
        <f>Grade13!M34-M34</f>
        <v>23.039999999999964</v>
      </c>
      <c r="P34" s="22">
        <f t="shared" si="12"/>
        <v>45.839501635127661</v>
      </c>
      <c r="Q34" s="22"/>
      <c r="R34" s="22"/>
      <c r="S34" s="22">
        <f t="shared" si="6"/>
        <v>271.5387475958787</v>
      </c>
      <c r="T34" s="22">
        <f t="shared" si="7"/>
        <v>600.67328421854847</v>
      </c>
    </row>
    <row r="35" spans="1:20" x14ac:dyDescent="0.2">
      <c r="A35" s="5">
        <v>44</v>
      </c>
      <c r="B35" s="1">
        <f t="shared" si="8"/>
        <v>1.8087259495825889</v>
      </c>
      <c r="C35" s="5">
        <f t="shared" si="9"/>
        <v>41649.880030923923</v>
      </c>
      <c r="D35" s="5">
        <f t="shared" si="0"/>
        <v>40112.937109099417</v>
      </c>
      <c r="E35" s="5">
        <f t="shared" si="1"/>
        <v>30612.937109099417</v>
      </c>
      <c r="F35" s="5">
        <f t="shared" si="2"/>
        <v>10296.87396612096</v>
      </c>
      <c r="G35" s="5">
        <f t="shared" si="3"/>
        <v>29816.063142978455</v>
      </c>
      <c r="H35" s="22">
        <f t="shared" si="10"/>
        <v>18955.826987873428</v>
      </c>
      <c r="I35" s="5">
        <f t="shared" si="4"/>
        <v>47653.496338567347</v>
      </c>
      <c r="J35" s="26">
        <f t="shared" si="5"/>
        <v>0.16441309571136392</v>
      </c>
      <c r="L35" s="22">
        <f t="shared" si="11"/>
        <v>54900.029663518915</v>
      </c>
      <c r="M35" s="5">
        <f>scrimecost*Meta!O32</f>
        <v>2921.4719999999998</v>
      </c>
      <c r="N35" s="5">
        <f>L35-Grade13!L35</f>
        <v>572.90444013855449</v>
      </c>
      <c r="O35" s="5">
        <f>Grade13!M35-M35</f>
        <v>23.039999999999964</v>
      </c>
      <c r="P35" s="22">
        <f t="shared" si="12"/>
        <v>46.740851494874605</v>
      </c>
      <c r="Q35" s="22"/>
      <c r="R35" s="22"/>
      <c r="S35" s="22">
        <f t="shared" si="6"/>
        <v>277.82334474956139</v>
      </c>
      <c r="T35" s="22">
        <f t="shared" si="7"/>
        <v>635.24635124257634</v>
      </c>
    </row>
    <row r="36" spans="1:20" x14ac:dyDescent="0.2">
      <c r="A36" s="5">
        <v>45</v>
      </c>
      <c r="B36" s="1">
        <f t="shared" si="8"/>
        <v>1.8539440983221533</v>
      </c>
      <c r="C36" s="5">
        <f t="shared" si="9"/>
        <v>42691.127031697011</v>
      </c>
      <c r="D36" s="5">
        <f t="shared" si="0"/>
        <v>41092.75053682689</v>
      </c>
      <c r="E36" s="5">
        <f t="shared" si="1"/>
        <v>31592.75053682689</v>
      </c>
      <c r="F36" s="5">
        <f t="shared" si="2"/>
        <v>10616.78305027398</v>
      </c>
      <c r="G36" s="5">
        <f t="shared" si="3"/>
        <v>30475.967486552909</v>
      </c>
      <c r="H36" s="22">
        <f t="shared" si="10"/>
        <v>19429.722662570261</v>
      </c>
      <c r="I36" s="5">
        <f t="shared" si="4"/>
        <v>48759.336512031528</v>
      </c>
      <c r="J36" s="26">
        <f t="shared" si="5"/>
        <v>0.16587569399328</v>
      </c>
      <c r="L36" s="22">
        <f t="shared" si="11"/>
        <v>56272.530405106882</v>
      </c>
      <c r="M36" s="5">
        <f>scrimecost*Meta!O33</f>
        <v>2361.0160000000001</v>
      </c>
      <c r="N36" s="5">
        <f>L36-Grade13!L36</f>
        <v>587.22705114201381</v>
      </c>
      <c r="O36" s="5">
        <f>Grade13!M36-M36</f>
        <v>18.619999999999891</v>
      </c>
      <c r="P36" s="22">
        <f t="shared" si="12"/>
        <v>47.664735101115205</v>
      </c>
      <c r="Q36" s="22"/>
      <c r="R36" s="22"/>
      <c r="S36" s="22">
        <f t="shared" si="6"/>
        <v>281.55117683208391</v>
      </c>
      <c r="T36" s="22">
        <f t="shared" si="7"/>
        <v>665.42287806583852</v>
      </c>
    </row>
    <row r="37" spans="1:20" x14ac:dyDescent="0.2">
      <c r="A37" s="5">
        <v>46</v>
      </c>
      <c r="B37" s="1">
        <f t="shared" ref="B37:B56" si="13">(1+experiencepremium)^(A37-startage)</f>
        <v>1.9002927007802071</v>
      </c>
      <c r="C37" s="5">
        <f t="shared" ref="C37:C56" si="14">pretaxincome*B37/expnorm</f>
        <v>43758.405207489443</v>
      </c>
      <c r="D37" s="5">
        <f t="shared" ref="D37:D56" si="15">IF(A37&lt;startage,1,0)*(C37*(1-initialunempprob))+IF(A37=startage,1,0)*(C37*(1-unempprob))+IF(A37&gt;startage,1,0)*(C37*(1-unempprob)+unempprob*300*52)</f>
        <v>42097.059300247573</v>
      </c>
      <c r="E37" s="5">
        <f t="shared" si="1"/>
        <v>32597.059300247573</v>
      </c>
      <c r="F37" s="5">
        <f t="shared" si="2"/>
        <v>10944.689861530833</v>
      </c>
      <c r="G37" s="5">
        <f t="shared" si="3"/>
        <v>31152.369438716742</v>
      </c>
      <c r="H37" s="22">
        <f t="shared" ref="H37:H56" si="16">benefits*B37/expnorm</f>
        <v>19915.465729134514</v>
      </c>
      <c r="I37" s="5">
        <f t="shared" ref="I37:I56" si="17">G37+IF(A37&lt;startage,1,0)*(H37*(1-initialunempprob))+IF(A37&gt;=startage,1,0)*(H37*(1-unempprob))</f>
        <v>49892.822689832319</v>
      </c>
      <c r="J37" s="26">
        <f t="shared" si="5"/>
        <v>0.16730261914636899</v>
      </c>
      <c r="L37" s="22">
        <f t="shared" ref="L37:L56" si="18">(sincome+sbenefits)*(1-sunemp)*B37/expnorm</f>
        <v>57679.343665234548</v>
      </c>
      <c r="M37" s="5">
        <f>scrimecost*Meta!O34</f>
        <v>2361.0160000000001</v>
      </c>
      <c r="N37" s="5">
        <f>L37-Grade13!L37</f>
        <v>601.9077274205556</v>
      </c>
      <c r="O37" s="5">
        <f>Grade13!M37-M37</f>
        <v>18.619999999999891</v>
      </c>
      <c r="P37" s="22">
        <f t="shared" si="12"/>
        <v>48.611715797511842</v>
      </c>
      <c r="Q37" s="22"/>
      <c r="R37" s="22"/>
      <c r="S37" s="22">
        <f t="shared" si="6"/>
        <v>288.15393171666796</v>
      </c>
      <c r="T37" s="22">
        <f t="shared" si="7"/>
        <v>703.93388124307864</v>
      </c>
    </row>
    <row r="38" spans="1:20" x14ac:dyDescent="0.2">
      <c r="A38" s="5">
        <v>47</v>
      </c>
      <c r="B38" s="1">
        <f t="shared" si="13"/>
        <v>1.9478000182997122</v>
      </c>
      <c r="C38" s="5">
        <f t="shared" si="14"/>
        <v>44852.365337676674</v>
      </c>
      <c r="D38" s="5">
        <f t="shared" si="15"/>
        <v>43126.475782753754</v>
      </c>
      <c r="E38" s="5">
        <f t="shared" si="1"/>
        <v>33626.475782753754</v>
      </c>
      <c r="F38" s="5">
        <f t="shared" si="2"/>
        <v>11280.794343069101</v>
      </c>
      <c r="G38" s="5">
        <f t="shared" si="3"/>
        <v>31845.681439684653</v>
      </c>
      <c r="H38" s="22">
        <f t="shared" si="16"/>
        <v>20413.352372362879</v>
      </c>
      <c r="I38" s="5">
        <f t="shared" si="17"/>
        <v>51054.646022078123</v>
      </c>
      <c r="J38" s="26">
        <f t="shared" si="5"/>
        <v>0.1686947412469435</v>
      </c>
      <c r="L38" s="22">
        <f t="shared" si="18"/>
        <v>59121.327256865414</v>
      </c>
      <c r="M38" s="5">
        <f>scrimecost*Meta!O35</f>
        <v>2361.0160000000001</v>
      </c>
      <c r="N38" s="5">
        <f>L38-Grade13!L38</f>
        <v>616.95542060608568</v>
      </c>
      <c r="O38" s="5">
        <f>Grade13!M38-M38</f>
        <v>18.619999999999891</v>
      </c>
      <c r="P38" s="22">
        <f t="shared" si="12"/>
        <v>49.582371011318379</v>
      </c>
      <c r="Q38" s="22"/>
      <c r="R38" s="22"/>
      <c r="S38" s="22">
        <f t="shared" si="6"/>
        <v>294.92175547337666</v>
      </c>
      <c r="T38" s="22">
        <f t="shared" si="7"/>
        <v>744.69950851930173</v>
      </c>
    </row>
    <row r="39" spans="1:20" x14ac:dyDescent="0.2">
      <c r="A39" s="5">
        <v>48</v>
      </c>
      <c r="B39" s="1">
        <f t="shared" si="13"/>
        <v>1.9964950187572048</v>
      </c>
      <c r="C39" s="5">
        <f t="shared" si="14"/>
        <v>45973.674471118582</v>
      </c>
      <c r="D39" s="5">
        <f t="shared" si="15"/>
        <v>44181.627677322591</v>
      </c>
      <c r="E39" s="5">
        <f t="shared" si="1"/>
        <v>34681.627677322591</v>
      </c>
      <c r="F39" s="5">
        <f t="shared" si="2"/>
        <v>11643.464204378086</v>
      </c>
      <c r="G39" s="5">
        <f t="shared" si="3"/>
        <v>32538.163472944507</v>
      </c>
      <c r="H39" s="22">
        <f t="shared" si="16"/>
        <v>20923.686181671947</v>
      </c>
      <c r="I39" s="5">
        <f t="shared" si="17"/>
        <v>52227.352169897815</v>
      </c>
      <c r="J39" s="26">
        <f t="shared" si="5"/>
        <v>0.17034143413164093</v>
      </c>
      <c r="L39" s="22">
        <f t="shared" si="18"/>
        <v>60599.36043828704</v>
      </c>
      <c r="M39" s="5">
        <f>scrimecost*Meta!O36</f>
        <v>2361.0160000000001</v>
      </c>
      <c r="N39" s="5">
        <f>L39-Grade13!L39</f>
        <v>632.37930612122</v>
      </c>
      <c r="O39" s="5">
        <f>Grade13!M39-M39</f>
        <v>18.619999999999891</v>
      </c>
      <c r="P39" s="22">
        <f t="shared" si="12"/>
        <v>50.629745893554158</v>
      </c>
      <c r="Q39" s="22"/>
      <c r="R39" s="22"/>
      <c r="S39" s="22">
        <f t="shared" si="6"/>
        <v>301.89098114287282</v>
      </c>
      <c r="T39" s="22">
        <f t="shared" si="7"/>
        <v>787.93670778901992</v>
      </c>
    </row>
    <row r="40" spans="1:20" x14ac:dyDescent="0.2">
      <c r="A40" s="5">
        <v>49</v>
      </c>
      <c r="B40" s="1">
        <f t="shared" si="13"/>
        <v>2.0464073942261352</v>
      </c>
      <c r="C40" s="5">
        <f t="shared" si="14"/>
        <v>47123.016332896557</v>
      </c>
      <c r="D40" s="5">
        <f t="shared" si="15"/>
        <v>45263.158369255667</v>
      </c>
      <c r="E40" s="5">
        <f t="shared" si="1"/>
        <v>35763.158369255667</v>
      </c>
      <c r="F40" s="5">
        <f t="shared" si="2"/>
        <v>12104.737044487541</v>
      </c>
      <c r="G40" s="5">
        <f t="shared" si="3"/>
        <v>33158.421324768125</v>
      </c>
      <c r="H40" s="22">
        <f t="shared" si="16"/>
        <v>21446.778336213745</v>
      </c>
      <c r="I40" s="5">
        <f t="shared" si="17"/>
        <v>53339.83973914526</v>
      </c>
      <c r="J40" s="26">
        <f t="shared" si="5"/>
        <v>0.1733356022811679</v>
      </c>
      <c r="L40" s="22">
        <f t="shared" si="18"/>
        <v>62114.344449244221</v>
      </c>
      <c r="M40" s="5">
        <f>scrimecost*Meta!O37</f>
        <v>2361.0160000000001</v>
      </c>
      <c r="N40" s="5">
        <f>L40-Grade13!L40</f>
        <v>648.18878877427051</v>
      </c>
      <c r="O40" s="5">
        <f>Grade13!M40-M40</f>
        <v>18.619999999999891</v>
      </c>
      <c r="P40" s="22">
        <f t="shared" si="12"/>
        <v>51.961881916229046</v>
      </c>
      <c r="Q40" s="22"/>
      <c r="R40" s="22"/>
      <c r="S40" s="22">
        <f t="shared" si="6"/>
        <v>309.19320358990922</v>
      </c>
      <c r="T40" s="22">
        <f t="shared" si="7"/>
        <v>834.13831713418904</v>
      </c>
    </row>
    <row r="41" spans="1:20" x14ac:dyDescent="0.2">
      <c r="A41" s="5">
        <v>50</v>
      </c>
      <c r="B41" s="1">
        <f t="shared" si="13"/>
        <v>2.097567579081788</v>
      </c>
      <c r="C41" s="5">
        <f t="shared" si="14"/>
        <v>48301.091741218959</v>
      </c>
      <c r="D41" s="5">
        <f t="shared" si="15"/>
        <v>46371.727328487046</v>
      </c>
      <c r="E41" s="5">
        <f t="shared" si="1"/>
        <v>36871.727328487046</v>
      </c>
      <c r="F41" s="5">
        <f t="shared" si="2"/>
        <v>12577.541705599726</v>
      </c>
      <c r="G41" s="5">
        <f t="shared" si="3"/>
        <v>33794.185622887322</v>
      </c>
      <c r="H41" s="22">
        <f t="shared" si="16"/>
        <v>21982.947794619085</v>
      </c>
      <c r="I41" s="5">
        <f t="shared" si="17"/>
        <v>54480.139497623881</v>
      </c>
      <c r="J41" s="26">
        <f t="shared" si="5"/>
        <v>0.17625674193924293</v>
      </c>
      <c r="L41" s="22">
        <f t="shared" si="18"/>
        <v>63667.203060475316</v>
      </c>
      <c r="M41" s="5">
        <f>scrimecost*Meta!O38</f>
        <v>1577.3920000000001</v>
      </c>
      <c r="N41" s="5">
        <f>L41-Grade13!L41</f>
        <v>664.39350849360198</v>
      </c>
      <c r="O41" s="5">
        <f>Grade13!M41-M41</f>
        <v>12.439999999999827</v>
      </c>
      <c r="P41" s="22">
        <f t="shared" si="12"/>
        <v>53.327321339470778</v>
      </c>
      <c r="Q41" s="22"/>
      <c r="R41" s="22"/>
      <c r="S41" s="22">
        <f t="shared" si="6"/>
        <v>312.88346159810283</v>
      </c>
      <c r="T41" s="22">
        <f t="shared" si="7"/>
        <v>872.48441493733628</v>
      </c>
    </row>
    <row r="42" spans="1:20" x14ac:dyDescent="0.2">
      <c r="A42" s="5">
        <v>51</v>
      </c>
      <c r="B42" s="1">
        <f t="shared" si="13"/>
        <v>2.1500067685588333</v>
      </c>
      <c r="C42" s="5">
        <f t="shared" si="14"/>
        <v>49508.619034749448</v>
      </c>
      <c r="D42" s="5">
        <f t="shared" si="15"/>
        <v>47508.010511699234</v>
      </c>
      <c r="E42" s="5">
        <f t="shared" si="1"/>
        <v>38008.010511699234</v>
      </c>
      <c r="F42" s="5">
        <f t="shared" si="2"/>
        <v>13062.166483239724</v>
      </c>
      <c r="G42" s="5">
        <f t="shared" si="3"/>
        <v>34445.844028459513</v>
      </c>
      <c r="H42" s="22">
        <f t="shared" si="16"/>
        <v>22532.52148948457</v>
      </c>
      <c r="I42" s="5">
        <f t="shared" si="17"/>
        <v>55648.946750064497</v>
      </c>
      <c r="J42" s="26">
        <f t="shared" si="5"/>
        <v>0.1791066342885845</v>
      </c>
      <c r="L42" s="22">
        <f t="shared" si="18"/>
        <v>65258.883136987213</v>
      </c>
      <c r="M42" s="5">
        <f>scrimecost*Meta!O39</f>
        <v>1577.3920000000001</v>
      </c>
      <c r="N42" s="5">
        <f>L42-Grade13!L42</f>
        <v>681.00334620595822</v>
      </c>
      <c r="O42" s="5">
        <f>Grade13!M42-M42</f>
        <v>12.439999999999827</v>
      </c>
      <c r="P42" s="22">
        <f t="shared" si="12"/>
        <v>54.726896748293576</v>
      </c>
      <c r="Q42" s="22"/>
      <c r="R42" s="22"/>
      <c r="S42" s="22">
        <f t="shared" ref="S42:S69" si="19">IF(A42&lt;startage,1,0)*(N42-Q42-R42)+IF(A42&gt;=startage,1,0)*completionprob*(N42*spart+O42+P42)</f>
        <v>320.55535905651834</v>
      </c>
      <c r="T42" s="22">
        <f t="shared" ref="T42:T69" si="20">S42/sreturn^(A42-startage+1)</f>
        <v>923.94272393142614</v>
      </c>
    </row>
    <row r="43" spans="1:20" x14ac:dyDescent="0.2">
      <c r="A43" s="5">
        <v>52</v>
      </c>
      <c r="B43" s="1">
        <f t="shared" si="13"/>
        <v>2.2037569377728037</v>
      </c>
      <c r="C43" s="5">
        <f t="shared" si="14"/>
        <v>50746.334510618173</v>
      </c>
      <c r="D43" s="5">
        <f t="shared" si="15"/>
        <v>48672.700774491706</v>
      </c>
      <c r="E43" s="5">
        <f t="shared" si="1"/>
        <v>39172.700774491706</v>
      </c>
      <c r="F43" s="5">
        <f t="shared" si="2"/>
        <v>13558.906880320714</v>
      </c>
      <c r="G43" s="5">
        <f t="shared" si="3"/>
        <v>35113.793894170994</v>
      </c>
      <c r="H43" s="22">
        <f t="shared" si="16"/>
        <v>23095.834526721679</v>
      </c>
      <c r="I43" s="5">
        <f t="shared" si="17"/>
        <v>56846.974183816099</v>
      </c>
      <c r="J43" s="26">
        <f t="shared" si="5"/>
        <v>0.18188701706842988</v>
      </c>
      <c r="L43" s="22">
        <f t="shared" si="18"/>
        <v>66890.355215411881</v>
      </c>
      <c r="M43" s="5">
        <f>scrimecost*Meta!O40</f>
        <v>1577.3920000000001</v>
      </c>
      <c r="N43" s="5">
        <f>L43-Grade13!L43</f>
        <v>698.02842986110772</v>
      </c>
      <c r="O43" s="5">
        <f>Grade13!M43-M43</f>
        <v>12.439999999999827</v>
      </c>
      <c r="P43" s="22">
        <f t="shared" si="12"/>
        <v>56.16146154233693</v>
      </c>
      <c r="Q43" s="22"/>
      <c r="R43" s="22"/>
      <c r="S43" s="22">
        <f t="shared" si="19"/>
        <v>328.41905395138781</v>
      </c>
      <c r="T43" s="22">
        <f t="shared" si="20"/>
        <v>978.44696705846445</v>
      </c>
    </row>
    <row r="44" spans="1:20" x14ac:dyDescent="0.2">
      <c r="A44" s="5">
        <v>53</v>
      </c>
      <c r="B44" s="1">
        <f t="shared" si="13"/>
        <v>2.2588508612171236</v>
      </c>
      <c r="C44" s="5">
        <f t="shared" si="14"/>
        <v>52014.992873383628</v>
      </c>
      <c r="D44" s="5">
        <f t="shared" si="15"/>
        <v>49866.508293854</v>
      </c>
      <c r="E44" s="5">
        <f t="shared" si="1"/>
        <v>40366.508293854</v>
      </c>
      <c r="F44" s="5">
        <f t="shared" si="2"/>
        <v>14068.065787328731</v>
      </c>
      <c r="G44" s="5">
        <f t="shared" si="3"/>
        <v>35798.442506525273</v>
      </c>
      <c r="H44" s="22">
        <f t="shared" si="16"/>
        <v>23673.230389889719</v>
      </c>
      <c r="I44" s="5">
        <f t="shared" si="17"/>
        <v>58074.952303411497</v>
      </c>
      <c r="J44" s="26">
        <f t="shared" si="5"/>
        <v>0.18459958563413273</v>
      </c>
      <c r="L44" s="22">
        <f t="shared" si="18"/>
        <v>68562.614095797166</v>
      </c>
      <c r="M44" s="5">
        <f>scrimecost*Meta!O41</f>
        <v>1577.3920000000001</v>
      </c>
      <c r="N44" s="5">
        <f>L44-Grade13!L44</f>
        <v>715.4791406076256</v>
      </c>
      <c r="O44" s="5">
        <f>Grade13!M44-M44</f>
        <v>12.439999999999827</v>
      </c>
      <c r="P44" s="22">
        <f t="shared" si="12"/>
        <v>57.631890456231368</v>
      </c>
      <c r="Q44" s="22"/>
      <c r="R44" s="22"/>
      <c r="S44" s="22">
        <f t="shared" si="19"/>
        <v>336.47934121862482</v>
      </c>
      <c r="T44" s="22">
        <f t="shared" si="20"/>
        <v>1036.1778121998661</v>
      </c>
    </row>
    <row r="45" spans="1:20" x14ac:dyDescent="0.2">
      <c r="A45" s="5">
        <v>54</v>
      </c>
      <c r="B45" s="1">
        <f t="shared" si="13"/>
        <v>2.3153221327475517</v>
      </c>
      <c r="C45" s="5">
        <f t="shared" si="14"/>
        <v>53315.367695218214</v>
      </c>
      <c r="D45" s="5">
        <f t="shared" si="15"/>
        <v>51090.161001200344</v>
      </c>
      <c r="E45" s="5">
        <f t="shared" si="1"/>
        <v>41590.161001200344</v>
      </c>
      <c r="F45" s="5">
        <f t="shared" si="2"/>
        <v>14589.953667011947</v>
      </c>
      <c r="G45" s="5">
        <f t="shared" si="3"/>
        <v>36500.207334188395</v>
      </c>
      <c r="H45" s="22">
        <f t="shared" si="16"/>
        <v>24265.061149636964</v>
      </c>
      <c r="I45" s="5">
        <f t="shared" si="17"/>
        <v>59333.629875996776</v>
      </c>
      <c r="J45" s="26">
        <f t="shared" si="5"/>
        <v>0.18724599399091593</v>
      </c>
      <c r="L45" s="22">
        <f t="shared" si="18"/>
        <v>70276.67944819211</v>
      </c>
      <c r="M45" s="5">
        <f>scrimecost*Meta!O42</f>
        <v>1577.3920000000001</v>
      </c>
      <c r="N45" s="5">
        <f>L45-Grade13!L45</f>
        <v>733.36611912283115</v>
      </c>
      <c r="O45" s="5">
        <f>Grade13!M45-M45</f>
        <v>12.439999999999827</v>
      </c>
      <c r="P45" s="22">
        <f t="shared" si="12"/>
        <v>59.139080092973167</v>
      </c>
      <c r="Q45" s="22"/>
      <c r="R45" s="22"/>
      <c r="S45" s="22">
        <f t="shared" si="19"/>
        <v>344.7411356675529</v>
      </c>
      <c r="T45" s="22">
        <f t="shared" si="20"/>
        <v>1097.3266560275538</v>
      </c>
    </row>
    <row r="46" spans="1:20" x14ac:dyDescent="0.2">
      <c r="A46" s="5">
        <v>55</v>
      </c>
      <c r="B46" s="1">
        <f t="shared" si="13"/>
        <v>2.3732051860662402</v>
      </c>
      <c r="C46" s="5">
        <f t="shared" si="14"/>
        <v>54648.251887598664</v>
      </c>
      <c r="D46" s="5">
        <f t="shared" si="15"/>
        <v>52344.40502623035</v>
      </c>
      <c r="E46" s="5">
        <f t="shared" si="1"/>
        <v>42844.40502623035</v>
      </c>
      <c r="F46" s="5">
        <f t="shared" si="2"/>
        <v>15124.888743687243</v>
      </c>
      <c r="G46" s="5">
        <f t="shared" si="3"/>
        <v>37219.516282543103</v>
      </c>
      <c r="H46" s="22">
        <f t="shared" si="16"/>
        <v>24871.687678377883</v>
      </c>
      <c r="I46" s="5">
        <f t="shared" si="17"/>
        <v>60623.774387896694</v>
      </c>
      <c r="J46" s="26">
        <f t="shared" si="5"/>
        <v>0.18982785580241179</v>
      </c>
      <c r="L46" s="22">
        <f t="shared" si="18"/>
        <v>72033.596434396895</v>
      </c>
      <c r="M46" s="5">
        <f>scrimecost*Meta!O43</f>
        <v>874.92</v>
      </c>
      <c r="N46" s="5">
        <f>L46-Grade13!L46</f>
        <v>751.70027210087574</v>
      </c>
      <c r="O46" s="5">
        <f>Grade13!M46-M46</f>
        <v>6.8999999999999773</v>
      </c>
      <c r="P46" s="22">
        <f t="shared" si="12"/>
        <v>60.683949470633507</v>
      </c>
      <c r="Q46" s="22"/>
      <c r="R46" s="22"/>
      <c r="S46" s="22">
        <f t="shared" si="19"/>
        <v>349.80791497768735</v>
      </c>
      <c r="T46" s="22">
        <f t="shared" si="20"/>
        <v>1150.9047719650875</v>
      </c>
    </row>
    <row r="47" spans="1:20" x14ac:dyDescent="0.2">
      <c r="A47" s="5">
        <v>56</v>
      </c>
      <c r="B47" s="1">
        <f t="shared" si="13"/>
        <v>2.4325353157178964</v>
      </c>
      <c r="C47" s="5">
        <f t="shared" si="14"/>
        <v>56014.458184788629</v>
      </c>
      <c r="D47" s="5">
        <f t="shared" si="15"/>
        <v>53630.005151886107</v>
      </c>
      <c r="E47" s="5">
        <f t="shared" si="1"/>
        <v>44130.005151886107</v>
      </c>
      <c r="F47" s="5">
        <f t="shared" si="2"/>
        <v>15673.197197279424</v>
      </c>
      <c r="G47" s="5">
        <f t="shared" si="3"/>
        <v>37956.807954606687</v>
      </c>
      <c r="H47" s="22">
        <f t="shared" si="16"/>
        <v>25493.479870337334</v>
      </c>
      <c r="I47" s="5">
        <f t="shared" si="17"/>
        <v>61946.172512594116</v>
      </c>
      <c r="J47" s="26">
        <f t="shared" si="5"/>
        <v>0.19234674537460289</v>
      </c>
      <c r="L47" s="22">
        <f t="shared" si="18"/>
        <v>73834.436345256836</v>
      </c>
      <c r="M47" s="5">
        <f>scrimecost*Meta!O44</f>
        <v>874.92</v>
      </c>
      <c r="N47" s="5">
        <f>L47-Grade13!L47</f>
        <v>770.49277890342637</v>
      </c>
      <c r="O47" s="5">
        <f>Grade13!M47-M47</f>
        <v>6.8999999999999773</v>
      </c>
      <c r="P47" s="22">
        <f t="shared" si="12"/>
        <v>62.267440582735389</v>
      </c>
      <c r="Q47" s="22"/>
      <c r="R47" s="22"/>
      <c r="S47" s="22">
        <f t="shared" si="19"/>
        <v>358.48796277059768</v>
      </c>
      <c r="T47" s="22">
        <f t="shared" si="20"/>
        <v>1219.1335253666095</v>
      </c>
    </row>
    <row r="48" spans="1:20" x14ac:dyDescent="0.2">
      <c r="A48" s="5">
        <v>57</v>
      </c>
      <c r="B48" s="1">
        <f t="shared" si="13"/>
        <v>2.4933486986108435</v>
      </c>
      <c r="C48" s="5">
        <f t="shared" si="14"/>
        <v>57414.819639408342</v>
      </c>
      <c r="D48" s="5">
        <f t="shared" si="15"/>
        <v>54947.745280683252</v>
      </c>
      <c r="E48" s="5">
        <f t="shared" si="1"/>
        <v>45447.745280683252</v>
      </c>
      <c r="F48" s="5">
        <f t="shared" si="2"/>
        <v>16235.213362211405</v>
      </c>
      <c r="G48" s="5">
        <f t="shared" si="3"/>
        <v>38712.531918471846</v>
      </c>
      <c r="H48" s="22">
        <f t="shared" si="16"/>
        <v>26130.816867095764</v>
      </c>
      <c r="I48" s="5">
        <f t="shared" si="17"/>
        <v>63301.63059040896</v>
      </c>
      <c r="J48" s="26">
        <f t="shared" si="5"/>
        <v>0.1948041986157649</v>
      </c>
      <c r="L48" s="22">
        <f t="shared" si="18"/>
        <v>75680.297253888231</v>
      </c>
      <c r="M48" s="5">
        <f>scrimecost*Meta!O45</f>
        <v>874.92</v>
      </c>
      <c r="N48" s="5">
        <f>L48-Grade13!L48</f>
        <v>789.75509837601567</v>
      </c>
      <c r="O48" s="5">
        <f>Grade13!M48-M48</f>
        <v>6.8999999999999773</v>
      </c>
      <c r="P48" s="22">
        <f t="shared" si="12"/>
        <v>63.890518972639768</v>
      </c>
      <c r="Q48" s="22"/>
      <c r="R48" s="22"/>
      <c r="S48" s="22">
        <f t="shared" si="19"/>
        <v>367.38501175832039</v>
      </c>
      <c r="T48" s="22">
        <f t="shared" si="20"/>
        <v>1291.4127467962992</v>
      </c>
    </row>
    <row r="49" spans="1:20" x14ac:dyDescent="0.2">
      <c r="A49" s="5">
        <v>58</v>
      </c>
      <c r="B49" s="1">
        <f t="shared" si="13"/>
        <v>2.555682416076114</v>
      </c>
      <c r="C49" s="5">
        <f t="shared" si="14"/>
        <v>58850.190130393537</v>
      </c>
      <c r="D49" s="5">
        <f t="shared" si="15"/>
        <v>56298.428912700321</v>
      </c>
      <c r="E49" s="5">
        <f t="shared" si="1"/>
        <v>46798.428912700321</v>
      </c>
      <c r="F49" s="5">
        <f t="shared" si="2"/>
        <v>16811.279931266687</v>
      </c>
      <c r="G49" s="5">
        <f t="shared" si="3"/>
        <v>39487.148981433638</v>
      </c>
      <c r="H49" s="22">
        <f t="shared" si="16"/>
        <v>26784.087288773153</v>
      </c>
      <c r="I49" s="5">
        <f t="shared" si="17"/>
        <v>64690.975120169176</v>
      </c>
      <c r="J49" s="26">
        <f t="shared" si="5"/>
        <v>0.1972017139729961</v>
      </c>
      <c r="L49" s="22">
        <f t="shared" si="18"/>
        <v>77572.304685235431</v>
      </c>
      <c r="M49" s="5">
        <f>scrimecost*Meta!O46</f>
        <v>874.92</v>
      </c>
      <c r="N49" s="5">
        <f>L49-Grade13!L49</f>
        <v>809.49897583539132</v>
      </c>
      <c r="O49" s="5">
        <f>Grade13!M49-M49</f>
        <v>6.8999999999999773</v>
      </c>
      <c r="P49" s="22">
        <f t="shared" si="12"/>
        <v>65.554174322291772</v>
      </c>
      <c r="Q49" s="22"/>
      <c r="R49" s="22"/>
      <c r="S49" s="22">
        <f t="shared" si="19"/>
        <v>376.5044869707246</v>
      </c>
      <c r="T49" s="22">
        <f t="shared" si="20"/>
        <v>1367.9830880834693</v>
      </c>
    </row>
    <row r="50" spans="1:20" x14ac:dyDescent="0.2">
      <c r="A50" s="5">
        <v>59</v>
      </c>
      <c r="B50" s="1">
        <f t="shared" si="13"/>
        <v>2.6195744764780171</v>
      </c>
      <c r="C50" s="5">
        <f t="shared" si="14"/>
        <v>60321.444883653385</v>
      </c>
      <c r="D50" s="5">
        <f t="shared" si="15"/>
        <v>57682.879635517842</v>
      </c>
      <c r="E50" s="5">
        <f t="shared" si="1"/>
        <v>48182.879635517842</v>
      </c>
      <c r="F50" s="5">
        <f t="shared" si="2"/>
        <v>17401.74816454836</v>
      </c>
      <c r="G50" s="5">
        <f t="shared" si="3"/>
        <v>40281.131470969485</v>
      </c>
      <c r="H50" s="22">
        <f t="shared" si="16"/>
        <v>27453.689470992482</v>
      </c>
      <c r="I50" s="5">
        <f t="shared" si="17"/>
        <v>66115.05326317341</v>
      </c>
      <c r="J50" s="26">
        <f t="shared" si="5"/>
        <v>0.19954075334590468</v>
      </c>
      <c r="L50" s="22">
        <f t="shared" si="18"/>
        <v>79511.612302366324</v>
      </c>
      <c r="M50" s="5">
        <f>scrimecost*Meta!O47</f>
        <v>874.92</v>
      </c>
      <c r="N50" s="5">
        <f>L50-Grade13!L50</f>
        <v>829.73645023129939</v>
      </c>
      <c r="O50" s="5">
        <f>Grade13!M50-M50</f>
        <v>6.8999999999999773</v>
      </c>
      <c r="P50" s="22">
        <f t="shared" si="12"/>
        <v>67.259421055685095</v>
      </c>
      <c r="Q50" s="22"/>
      <c r="R50" s="22"/>
      <c r="S50" s="22">
        <f t="shared" si="19"/>
        <v>385.85194906345862</v>
      </c>
      <c r="T50" s="22">
        <f t="shared" si="20"/>
        <v>1449.0995054475809</v>
      </c>
    </row>
    <row r="51" spans="1:20" x14ac:dyDescent="0.2">
      <c r="A51" s="5">
        <v>60</v>
      </c>
      <c r="B51" s="1">
        <f t="shared" si="13"/>
        <v>2.6850638383899672</v>
      </c>
      <c r="C51" s="5">
        <f t="shared" si="14"/>
        <v>61829.48100574471</v>
      </c>
      <c r="D51" s="5">
        <f t="shared" si="15"/>
        <v>59101.94162640578</v>
      </c>
      <c r="E51" s="5">
        <f t="shared" si="1"/>
        <v>49601.94162640578</v>
      </c>
      <c r="F51" s="5">
        <f t="shared" si="2"/>
        <v>18006.978103662066</v>
      </c>
      <c r="G51" s="5">
        <f t="shared" si="3"/>
        <v>41094.96352274371</v>
      </c>
      <c r="H51" s="22">
        <f t="shared" si="16"/>
        <v>28140.031707767292</v>
      </c>
      <c r="I51" s="5">
        <f t="shared" si="17"/>
        <v>67574.733359752732</v>
      </c>
      <c r="J51" s="26">
        <f t="shared" si="5"/>
        <v>0.20182274297801059</v>
      </c>
      <c r="L51" s="22">
        <f t="shared" si="18"/>
        <v>81499.40260992547</v>
      </c>
      <c r="M51" s="5">
        <f>scrimecost*Meta!O48</f>
        <v>461.55199999999996</v>
      </c>
      <c r="N51" s="5">
        <f>L51-Grade13!L51</f>
        <v>850.47986148706696</v>
      </c>
      <c r="O51" s="5">
        <f>Grade13!M51-M51</f>
        <v>3.6400000000000432</v>
      </c>
      <c r="P51" s="22">
        <f t="shared" si="12"/>
        <v>69.007298957413241</v>
      </c>
      <c r="Q51" s="22"/>
      <c r="R51" s="22"/>
      <c r="S51" s="22">
        <f t="shared" si="19"/>
        <v>393.4314577084952</v>
      </c>
      <c r="T51" s="22">
        <f t="shared" si="20"/>
        <v>1527.2619417924132</v>
      </c>
    </row>
    <row r="52" spans="1:20" x14ac:dyDescent="0.2">
      <c r="A52" s="5">
        <v>61</v>
      </c>
      <c r="B52" s="1">
        <f t="shared" si="13"/>
        <v>2.7521904343497163</v>
      </c>
      <c r="C52" s="5">
        <f t="shared" si="14"/>
        <v>63375.218030888325</v>
      </c>
      <c r="D52" s="5">
        <f t="shared" si="15"/>
        <v>60556.480167065922</v>
      </c>
      <c r="E52" s="5">
        <f t="shared" si="1"/>
        <v>51056.480167065922</v>
      </c>
      <c r="F52" s="5">
        <f t="shared" si="2"/>
        <v>18627.338791253616</v>
      </c>
      <c r="G52" s="5">
        <f t="shared" si="3"/>
        <v>41929.141375812309</v>
      </c>
      <c r="H52" s="22">
        <f t="shared" si="16"/>
        <v>28843.532500461475</v>
      </c>
      <c r="I52" s="5">
        <f t="shared" si="17"/>
        <v>69070.905458746565</v>
      </c>
      <c r="J52" s="26">
        <f t="shared" si="5"/>
        <v>0.20404907432640654</v>
      </c>
      <c r="L52" s="22">
        <f t="shared" si="18"/>
        <v>83536.887675173595</v>
      </c>
      <c r="M52" s="5">
        <f>scrimecost*Meta!O49</f>
        <v>461.55199999999996</v>
      </c>
      <c r="N52" s="5">
        <f>L52-Grade13!L52</f>
        <v>871.74185802423744</v>
      </c>
      <c r="O52" s="5">
        <f>Grade13!M52-M52</f>
        <v>3.6400000000000432</v>
      </c>
      <c r="P52" s="22">
        <f t="shared" si="12"/>
        <v>70.798873806684568</v>
      </c>
      <c r="Q52" s="22"/>
      <c r="R52" s="22"/>
      <c r="S52" s="22">
        <f t="shared" si="19"/>
        <v>403.25213506966139</v>
      </c>
      <c r="T52" s="22">
        <f t="shared" si="20"/>
        <v>1618.035555831786</v>
      </c>
    </row>
    <row r="53" spans="1:20" x14ac:dyDescent="0.2">
      <c r="A53" s="5">
        <v>62</v>
      </c>
      <c r="B53" s="1">
        <f t="shared" si="13"/>
        <v>2.8209951952084591</v>
      </c>
      <c r="C53" s="5">
        <f t="shared" si="14"/>
        <v>64959.598481660527</v>
      </c>
      <c r="D53" s="5">
        <f t="shared" si="15"/>
        <v>62047.382171242563</v>
      </c>
      <c r="E53" s="5">
        <f t="shared" si="1"/>
        <v>52547.382171242563</v>
      </c>
      <c r="F53" s="5">
        <f t="shared" si="2"/>
        <v>19263.208496034953</v>
      </c>
      <c r="G53" s="5">
        <f t="shared" si="3"/>
        <v>42784.17367520761</v>
      </c>
      <c r="H53" s="22">
        <f t="shared" si="16"/>
        <v>29564.620812973008</v>
      </c>
      <c r="I53" s="5">
        <f t="shared" si="17"/>
        <v>70604.481860215208</v>
      </c>
      <c r="J53" s="26">
        <f t="shared" si="5"/>
        <v>0.20622110491020745</v>
      </c>
      <c r="L53" s="22">
        <f t="shared" si="18"/>
        <v>85625.309867052943</v>
      </c>
      <c r="M53" s="5">
        <f>scrimecost*Meta!O50</f>
        <v>461.55199999999996</v>
      </c>
      <c r="N53" s="5">
        <f>L53-Grade13!L53</f>
        <v>893.53540447483829</v>
      </c>
      <c r="O53" s="5">
        <f>Grade13!M53-M53</f>
        <v>3.6400000000000432</v>
      </c>
      <c r="P53" s="22">
        <f t="shared" si="12"/>
        <v>72.635238027187697</v>
      </c>
      <c r="Q53" s="22"/>
      <c r="R53" s="22"/>
      <c r="S53" s="22">
        <f t="shared" si="19"/>
        <v>413.31832936485716</v>
      </c>
      <c r="T53" s="22">
        <f t="shared" si="20"/>
        <v>1714.2059113887274</v>
      </c>
    </row>
    <row r="54" spans="1:20" x14ac:dyDescent="0.2">
      <c r="A54" s="5">
        <v>63</v>
      </c>
      <c r="B54" s="1">
        <f t="shared" si="13"/>
        <v>2.8915200750886707</v>
      </c>
      <c r="C54" s="5">
        <f t="shared" si="14"/>
        <v>66583.588443702043</v>
      </c>
      <c r="D54" s="5">
        <f t="shared" si="15"/>
        <v>63575.556725523631</v>
      </c>
      <c r="E54" s="5">
        <f t="shared" si="1"/>
        <v>54075.556725523631</v>
      </c>
      <c r="F54" s="5">
        <f t="shared" si="2"/>
        <v>19914.974943435831</v>
      </c>
      <c r="G54" s="5">
        <f t="shared" si="3"/>
        <v>43660.5817820878</v>
      </c>
      <c r="H54" s="22">
        <f t="shared" si="16"/>
        <v>30303.736333297333</v>
      </c>
      <c r="I54" s="5">
        <f t="shared" si="17"/>
        <v>72176.397671720595</v>
      </c>
      <c r="J54" s="26">
        <f t="shared" si="5"/>
        <v>0.20834015913830603</v>
      </c>
      <c r="L54" s="22">
        <f t="shared" si="18"/>
        <v>87765.942613729261</v>
      </c>
      <c r="M54" s="5">
        <f>scrimecost*Meta!O51</f>
        <v>461.55199999999996</v>
      </c>
      <c r="N54" s="5">
        <f>L54-Grade13!L54</f>
        <v>915.87378958673798</v>
      </c>
      <c r="O54" s="5">
        <f>Grade13!M54-M54</f>
        <v>3.6400000000000432</v>
      </c>
      <c r="P54" s="22">
        <f t="shared" si="12"/>
        <v>74.517511353203432</v>
      </c>
      <c r="Q54" s="22"/>
      <c r="R54" s="22"/>
      <c r="S54" s="22">
        <f t="shared" si="19"/>
        <v>423.63617851744675</v>
      </c>
      <c r="T54" s="22">
        <f t="shared" si="20"/>
        <v>1816.0939122649647</v>
      </c>
    </row>
    <row r="55" spans="1:20" x14ac:dyDescent="0.2">
      <c r="A55" s="5">
        <v>64</v>
      </c>
      <c r="B55" s="1">
        <f t="shared" si="13"/>
        <v>2.9638080769658868</v>
      </c>
      <c r="C55" s="5">
        <f t="shared" si="14"/>
        <v>68248.178154794587</v>
      </c>
      <c r="D55" s="5">
        <f t="shared" si="15"/>
        <v>65141.935643661709</v>
      </c>
      <c r="E55" s="5">
        <f t="shared" si="1"/>
        <v>55641.935643661709</v>
      </c>
      <c r="F55" s="5">
        <f t="shared" si="2"/>
        <v>20583.03555202172</v>
      </c>
      <c r="G55" s="5">
        <f t="shared" si="3"/>
        <v>44558.900091639989</v>
      </c>
      <c r="H55" s="22">
        <f t="shared" si="16"/>
        <v>31061.329741629761</v>
      </c>
      <c r="I55" s="5">
        <f t="shared" si="17"/>
        <v>73787.611378513597</v>
      </c>
      <c r="J55" s="26">
        <f t="shared" si="5"/>
        <v>0.21040752911693866</v>
      </c>
      <c r="L55" s="22">
        <f t="shared" si="18"/>
        <v>89960.091179072479</v>
      </c>
      <c r="M55" s="5">
        <f>scrimecost*Meta!O52</f>
        <v>461.55199999999996</v>
      </c>
      <c r="N55" s="5">
        <f>L55-Grade13!L55</f>
        <v>938.77063432638533</v>
      </c>
      <c r="O55" s="5">
        <f>Grade13!M55-M55</f>
        <v>3.6400000000000432</v>
      </c>
      <c r="P55" s="22">
        <f t="shared" si="12"/>
        <v>76.446841512369517</v>
      </c>
      <c r="Q55" s="22"/>
      <c r="R55" s="22"/>
      <c r="S55" s="22">
        <f t="shared" si="19"/>
        <v>434.21197389883048</v>
      </c>
      <c r="T55" s="22">
        <f t="shared" si="20"/>
        <v>1924.0395457792185</v>
      </c>
    </row>
    <row r="56" spans="1:20" x14ac:dyDescent="0.2">
      <c r="A56" s="5">
        <v>65</v>
      </c>
      <c r="B56" s="1">
        <f t="shared" si="13"/>
        <v>3.0379032788900342</v>
      </c>
      <c r="C56" s="5">
        <f t="shared" si="14"/>
        <v>69954.382608664455</v>
      </c>
      <c r="D56" s="5">
        <f t="shared" si="15"/>
        <v>66747.47403475325</v>
      </c>
      <c r="E56" s="5">
        <f t="shared" si="1"/>
        <v>57247.47403475325</v>
      </c>
      <c r="F56" s="5">
        <f t="shared" si="2"/>
        <v>21267.797675822261</v>
      </c>
      <c r="G56" s="5">
        <f t="shared" si="3"/>
        <v>45479.676358930985</v>
      </c>
      <c r="H56" s="22">
        <f t="shared" si="16"/>
        <v>31837.862985170508</v>
      </c>
      <c r="I56" s="5">
        <f t="shared" si="17"/>
        <v>75439.105427976436</v>
      </c>
      <c r="J56" s="26">
        <f t="shared" si="5"/>
        <v>0.21242447543755588</v>
      </c>
      <c r="L56" s="22">
        <f t="shared" si="18"/>
        <v>92209.093458549294</v>
      </c>
      <c r="M56" s="5">
        <f>scrimecost*Meta!O53</f>
        <v>139.47999999999999</v>
      </c>
      <c r="N56" s="5">
        <f>L56-Grade13!L56</f>
        <v>962.23990018456243</v>
      </c>
      <c r="O56" s="5">
        <f>Grade13!M56-M56</f>
        <v>1.1000000000000227</v>
      </c>
      <c r="P56" s="22">
        <f t="shared" si="12"/>
        <v>78.424404925514764</v>
      </c>
      <c r="Q56" s="22"/>
      <c r="R56" s="22"/>
      <c r="S56" s="22">
        <f t="shared" si="19"/>
        <v>443.49260416476471</v>
      </c>
      <c r="T56" s="22">
        <f t="shared" si="20"/>
        <v>2031.2600082457177</v>
      </c>
    </row>
    <row r="57" spans="1:20" x14ac:dyDescent="0.2">
      <c r="A57" s="5">
        <v>66</v>
      </c>
      <c r="C57" s="5"/>
      <c r="H57" s="21"/>
      <c r="I57" s="5"/>
      <c r="M57" s="5">
        <f>scrimecost*Meta!O54</f>
        <v>139.47999999999999</v>
      </c>
      <c r="N57" s="5">
        <f>L57-Grade13!L57</f>
        <v>0</v>
      </c>
      <c r="O57" s="5">
        <f>Grade13!M57-M57</f>
        <v>1.1000000000000227</v>
      </c>
      <c r="Q57" s="22"/>
      <c r="R57" s="22"/>
      <c r="S57" s="22">
        <f t="shared" si="19"/>
        <v>0.67540000000001399</v>
      </c>
      <c r="T57" s="22">
        <f t="shared" si="20"/>
        <v>3.1974748001039321</v>
      </c>
    </row>
    <row r="58" spans="1:20" x14ac:dyDescent="0.2">
      <c r="A58" s="5">
        <v>67</v>
      </c>
      <c r="C58" s="5"/>
      <c r="H58" s="21"/>
      <c r="I58" s="5"/>
      <c r="M58" s="5">
        <f>scrimecost*Meta!O55</f>
        <v>139.47999999999999</v>
      </c>
      <c r="N58" s="5">
        <f>L58-Grade13!L58</f>
        <v>0</v>
      </c>
      <c r="O58" s="5">
        <f>Grade13!M58-M58</f>
        <v>1.1000000000000227</v>
      </c>
      <c r="Q58" s="22"/>
      <c r="R58" s="22"/>
      <c r="S58" s="22">
        <f t="shared" si="19"/>
        <v>0.67540000000001399</v>
      </c>
      <c r="T58" s="22">
        <f t="shared" si="20"/>
        <v>3.3050198191519784</v>
      </c>
    </row>
    <row r="59" spans="1:20" x14ac:dyDescent="0.2">
      <c r="A59" s="5">
        <v>68</v>
      </c>
      <c r="H59" s="21"/>
      <c r="I59" s="5"/>
      <c r="M59" s="5">
        <f>scrimecost*Meta!O56</f>
        <v>139.47999999999999</v>
      </c>
      <c r="N59" s="5">
        <f>L59-Grade13!L59</f>
        <v>0</v>
      </c>
      <c r="O59" s="5">
        <f>Grade13!M59-M59</f>
        <v>1.1000000000000227</v>
      </c>
      <c r="Q59" s="22"/>
      <c r="R59" s="22"/>
      <c r="S59" s="22">
        <f t="shared" si="19"/>
        <v>0.67540000000001399</v>
      </c>
      <c r="T59" s="22">
        <f t="shared" si="20"/>
        <v>3.4161820461047343</v>
      </c>
    </row>
    <row r="60" spans="1:20" x14ac:dyDescent="0.2">
      <c r="A60" s="5">
        <v>69</v>
      </c>
      <c r="H60" s="21"/>
      <c r="I60" s="5"/>
      <c r="M60" s="5">
        <f>scrimecost*Meta!O57</f>
        <v>139.47999999999999</v>
      </c>
      <c r="N60" s="5">
        <f>L60-Grade13!L60</f>
        <v>0</v>
      </c>
      <c r="O60" s="5">
        <f>Grade13!M60-M60</f>
        <v>1.1000000000000227</v>
      </c>
      <c r="Q60" s="22"/>
      <c r="R60" s="22"/>
      <c r="S60" s="22">
        <f t="shared" si="19"/>
        <v>0.67540000000001399</v>
      </c>
      <c r="T60" s="22">
        <f t="shared" si="20"/>
        <v>3.5310831434356604</v>
      </c>
    </row>
    <row r="61" spans="1:20" x14ac:dyDescent="0.2">
      <c r="A61" s="5">
        <v>70</v>
      </c>
      <c r="H61" s="21"/>
      <c r="I61" s="5"/>
      <c r="M61" s="5">
        <f>scrimecost*Meta!O58</f>
        <v>139.47999999999999</v>
      </c>
      <c r="N61" s="5">
        <f>L61-Grade13!L61</f>
        <v>0</v>
      </c>
      <c r="O61" s="5">
        <f>Grade13!M61-M61</f>
        <v>1.1000000000000227</v>
      </c>
      <c r="Q61" s="22"/>
      <c r="R61" s="22"/>
      <c r="S61" s="22">
        <f t="shared" si="19"/>
        <v>0.67540000000001399</v>
      </c>
      <c r="T61" s="22">
        <f t="shared" si="20"/>
        <v>3.6498488656576704</v>
      </c>
    </row>
    <row r="62" spans="1:20" x14ac:dyDescent="0.2">
      <c r="A62" s="5">
        <v>71</v>
      </c>
      <c r="H62" s="21"/>
      <c r="I62" s="5"/>
      <c r="M62" s="5">
        <f>scrimecost*Meta!O59</f>
        <v>139.47999999999999</v>
      </c>
      <c r="N62" s="5">
        <f>L62-Grade13!L62</f>
        <v>0</v>
      </c>
      <c r="O62" s="5">
        <f>Grade13!M62-M62</f>
        <v>1.1000000000000227</v>
      </c>
      <c r="Q62" s="22"/>
      <c r="R62" s="22"/>
      <c r="S62" s="22">
        <f t="shared" si="19"/>
        <v>0.67540000000001399</v>
      </c>
      <c r="T62" s="22">
        <f t="shared" si="20"/>
        <v>3.7726091969562576</v>
      </c>
    </row>
    <row r="63" spans="1:20" x14ac:dyDescent="0.2">
      <c r="A63" s="5">
        <v>72</v>
      </c>
      <c r="H63" s="21"/>
      <c r="M63" s="5">
        <f>scrimecost*Meta!O60</f>
        <v>139.47999999999999</v>
      </c>
      <c r="N63" s="5">
        <f>L63-Grade13!L63</f>
        <v>0</v>
      </c>
      <c r="O63" s="5">
        <f>Grade13!M63-M63</f>
        <v>1.1000000000000227</v>
      </c>
      <c r="Q63" s="22"/>
      <c r="R63" s="22"/>
      <c r="S63" s="22">
        <f t="shared" si="19"/>
        <v>0.67540000000001399</v>
      </c>
      <c r="T63" s="22">
        <f t="shared" si="20"/>
        <v>3.8994984934518264</v>
      </c>
    </row>
    <row r="64" spans="1:20" x14ac:dyDescent="0.2">
      <c r="A64" s="5">
        <v>73</v>
      </c>
      <c r="H64" s="21"/>
      <c r="M64" s="5">
        <f>scrimecost*Meta!O61</f>
        <v>139.47999999999999</v>
      </c>
      <c r="N64" s="5">
        <f>L64-Grade13!L64</f>
        <v>0</v>
      </c>
      <c r="O64" s="5">
        <f>Grade13!M64-M64</f>
        <v>1.1000000000000227</v>
      </c>
      <c r="Q64" s="22"/>
      <c r="R64" s="22"/>
      <c r="S64" s="22">
        <f t="shared" si="19"/>
        <v>0.67540000000001399</v>
      </c>
      <c r="T64" s="22">
        <f t="shared" si="20"/>
        <v>4.0306556302469225</v>
      </c>
    </row>
    <row r="65" spans="1:20" x14ac:dyDescent="0.2">
      <c r="A65" s="5">
        <v>74</v>
      </c>
      <c r="H65" s="21"/>
      <c r="M65" s="5">
        <f>scrimecost*Meta!O62</f>
        <v>139.47999999999999</v>
      </c>
      <c r="N65" s="5">
        <f>L65-Grade13!L65</f>
        <v>0</v>
      </c>
      <c r="O65" s="5">
        <f>Grade13!M65-M65</f>
        <v>1.1000000000000227</v>
      </c>
      <c r="Q65" s="22"/>
      <c r="R65" s="22"/>
      <c r="S65" s="22">
        <f t="shared" si="19"/>
        <v>0.67540000000001399</v>
      </c>
      <c r="T65" s="22">
        <f t="shared" si="20"/>
        <v>4.1662241534193116</v>
      </c>
    </row>
    <row r="66" spans="1:20" x14ac:dyDescent="0.2">
      <c r="A66" s="5">
        <v>75</v>
      </c>
      <c r="H66" s="21"/>
      <c r="M66" s="5">
        <f>scrimecost*Meta!O63</f>
        <v>139.47999999999999</v>
      </c>
      <c r="N66" s="5">
        <f>L66-Grade13!L66</f>
        <v>0</v>
      </c>
      <c r="O66" s="5">
        <f>Grade13!M66-M66</f>
        <v>1.1000000000000227</v>
      </c>
      <c r="Q66" s="22"/>
      <c r="R66" s="22"/>
      <c r="S66" s="22">
        <f t="shared" si="19"/>
        <v>0.67540000000001399</v>
      </c>
      <c r="T66" s="22">
        <f t="shared" si="20"/>
        <v>4.306352437127237</v>
      </c>
    </row>
    <row r="67" spans="1:20" x14ac:dyDescent="0.2">
      <c r="A67" s="5">
        <v>76</v>
      </c>
      <c r="H67" s="21"/>
      <c r="M67" s="5">
        <f>scrimecost*Meta!O64</f>
        <v>139.47999999999999</v>
      </c>
      <c r="N67" s="5">
        <f>L67-Grade13!L67</f>
        <v>0</v>
      </c>
      <c r="O67" s="5">
        <f>Grade13!M67-M67</f>
        <v>1.1000000000000227</v>
      </c>
      <c r="Q67" s="22"/>
      <c r="R67" s="22"/>
      <c r="S67" s="22">
        <f t="shared" si="19"/>
        <v>0.67540000000001399</v>
      </c>
      <c r="T67" s="22">
        <f t="shared" si="20"/>
        <v>4.451193845998823</v>
      </c>
    </row>
    <row r="68" spans="1:20" x14ac:dyDescent="0.2">
      <c r="A68" s="5">
        <v>77</v>
      </c>
      <c r="H68" s="21"/>
      <c r="M68" s="5">
        <f>scrimecost*Meta!O65</f>
        <v>139.47999999999999</v>
      </c>
      <c r="N68" s="5">
        <f>L68-Grade13!L68</f>
        <v>0</v>
      </c>
      <c r="O68" s="5">
        <f>Grade13!M68-M68</f>
        <v>1.1000000000000227</v>
      </c>
      <c r="Q68" s="22"/>
      <c r="R68" s="22"/>
      <c r="S68" s="22">
        <f t="shared" si="19"/>
        <v>0.67540000000001399</v>
      </c>
      <c r="T68" s="22">
        <f t="shared" si="20"/>
        <v>4.6009069029833318</v>
      </c>
    </row>
    <row r="69" spans="1:20" x14ac:dyDescent="0.2">
      <c r="A69" s="5">
        <v>78</v>
      </c>
      <c r="H69" s="21"/>
      <c r="M69" s="5">
        <f>scrimecost*Meta!O66</f>
        <v>139.47999999999999</v>
      </c>
      <c r="N69" s="5">
        <f>L69-Grade13!L69</f>
        <v>0</v>
      </c>
      <c r="O69" s="5">
        <f>Grade13!M69-M69</f>
        <v>1.1000000000000227</v>
      </c>
      <c r="Q69" s="22"/>
      <c r="R69" s="22"/>
      <c r="S69" s="22">
        <f t="shared" si="19"/>
        <v>0.67540000000001399</v>
      </c>
      <c r="T69" s="22">
        <f t="shared" si="20"/>
        <v>4.7556554628479937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-2.2590729287230715E-10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272</vt:i4>
      </vt:variant>
    </vt:vector>
  </HeadingPairs>
  <TitlesOfParts>
    <vt:vector size="285" baseType="lpstr">
      <vt:lpstr>Meta</vt:lpstr>
      <vt:lpstr>Output</vt:lpstr>
      <vt:lpstr>Grade8</vt:lpstr>
      <vt:lpstr>Grade9</vt:lpstr>
      <vt:lpstr>Grade10</vt:lpstr>
      <vt:lpstr>Grade11</vt:lpstr>
      <vt:lpstr>Grade12</vt:lpstr>
      <vt:lpstr>Grade13</vt:lpstr>
      <vt:lpstr>Grade14</vt:lpstr>
      <vt:lpstr>Grade15</vt:lpstr>
      <vt:lpstr>Grade16</vt:lpstr>
      <vt:lpstr>Grade17</vt:lpstr>
      <vt:lpstr>Grade18</vt:lpstr>
      <vt:lpstr>Meta!_edn1</vt:lpstr>
      <vt:lpstr>Output!_edn1</vt:lpstr>
      <vt:lpstr>Meta!_ednref1</vt:lpstr>
      <vt:lpstr>Output!_ednref1</vt:lpstr>
      <vt:lpstr>Meta!baseincome</vt:lpstr>
      <vt:lpstr>Grade10!benefits</vt:lpstr>
      <vt:lpstr>Grade11!benefits</vt:lpstr>
      <vt:lpstr>Grade12!benefits</vt:lpstr>
      <vt:lpstr>Grade13!benefits</vt:lpstr>
      <vt:lpstr>Grade14!benefits</vt:lpstr>
      <vt:lpstr>Grade15!benefits</vt:lpstr>
      <vt:lpstr>Grade16!benefits</vt:lpstr>
      <vt:lpstr>Grade17!benefits</vt:lpstr>
      <vt:lpstr>Grade18!benefits</vt:lpstr>
      <vt:lpstr>Grade9!benefits</vt:lpstr>
      <vt:lpstr>benefits</vt:lpstr>
      <vt:lpstr>Grade10!benrat</vt:lpstr>
      <vt:lpstr>Grade11!benrat</vt:lpstr>
      <vt:lpstr>Grade12!benrat</vt:lpstr>
      <vt:lpstr>Grade13!benrat</vt:lpstr>
      <vt:lpstr>Grade14!benrat</vt:lpstr>
      <vt:lpstr>Grade15!benrat</vt:lpstr>
      <vt:lpstr>Grade16!benrat</vt:lpstr>
      <vt:lpstr>Grade17!benrat</vt:lpstr>
      <vt:lpstr>Grade18!benrat</vt:lpstr>
      <vt:lpstr>Grade9!benrat</vt:lpstr>
      <vt:lpstr>benrat</vt:lpstr>
      <vt:lpstr>coltuition</vt:lpstr>
      <vt:lpstr>Grade10!completionprob</vt:lpstr>
      <vt:lpstr>Grade11!completionprob</vt:lpstr>
      <vt:lpstr>Grade12!completionprob</vt:lpstr>
      <vt:lpstr>Grade13!completionprob</vt:lpstr>
      <vt:lpstr>Grade14!completionprob</vt:lpstr>
      <vt:lpstr>Grade15!completionprob</vt:lpstr>
      <vt:lpstr>Grade16!completionprob</vt:lpstr>
      <vt:lpstr>Grade17!completionprob</vt:lpstr>
      <vt:lpstr>Grade18!completionprob</vt:lpstr>
      <vt:lpstr>completionprob</vt:lpstr>
      <vt:lpstr>Grade10!comprat</vt:lpstr>
      <vt:lpstr>Grade11!comprat</vt:lpstr>
      <vt:lpstr>Grade12!comprat</vt:lpstr>
      <vt:lpstr>Grade13!comprat</vt:lpstr>
      <vt:lpstr>Grade14!comprat</vt:lpstr>
      <vt:lpstr>Grade15!comprat</vt:lpstr>
      <vt:lpstr>Grade16!comprat</vt:lpstr>
      <vt:lpstr>Grade17!comprat</vt:lpstr>
      <vt:lpstr>Grade18!comprat</vt:lpstr>
      <vt:lpstr>Grade9!comprat</vt:lpstr>
      <vt:lpstr>comprat</vt:lpstr>
      <vt:lpstr>experiencepremium</vt:lpstr>
      <vt:lpstr>Grade10!expnorm</vt:lpstr>
      <vt:lpstr>Grade11!expnorm</vt:lpstr>
      <vt:lpstr>Grade12!expnorm</vt:lpstr>
      <vt:lpstr>Grade13!expnorm</vt:lpstr>
      <vt:lpstr>Grade14!expnorm</vt:lpstr>
      <vt:lpstr>Grade15!expnorm</vt:lpstr>
      <vt:lpstr>Grade16!expnorm</vt:lpstr>
      <vt:lpstr>Grade17!expnorm</vt:lpstr>
      <vt:lpstr>Grade18!expnorm</vt:lpstr>
      <vt:lpstr>Grade9!expnorm</vt:lpstr>
      <vt:lpstr>expnorm</vt:lpstr>
      <vt:lpstr>Grade10!expnorm8</vt:lpstr>
      <vt:lpstr>Grade11!expnorm8</vt:lpstr>
      <vt:lpstr>Grade12!expnorm8</vt:lpstr>
      <vt:lpstr>Grade13!expnorm8</vt:lpstr>
      <vt:lpstr>Grade14!expnorm8</vt:lpstr>
      <vt:lpstr>Grade15!expnorm8</vt:lpstr>
      <vt:lpstr>Grade16!expnorm8</vt:lpstr>
      <vt:lpstr>Grade17!expnorm8</vt:lpstr>
      <vt:lpstr>Grade18!expnorm8</vt:lpstr>
      <vt:lpstr>Grade9!expnorm8</vt:lpstr>
      <vt:lpstr>expnorm8</vt:lpstr>
      <vt:lpstr>feel</vt:lpstr>
      <vt:lpstr>hstuition</vt:lpstr>
      <vt:lpstr>Meta!incomeindex</vt:lpstr>
      <vt:lpstr>Grade10!initialbenrat</vt:lpstr>
      <vt:lpstr>Grade11!initialbenrat</vt:lpstr>
      <vt:lpstr>Grade12!initialbenrat</vt:lpstr>
      <vt:lpstr>Grade13!initialbenrat</vt:lpstr>
      <vt:lpstr>Grade14!initialbenrat</vt:lpstr>
      <vt:lpstr>Grade15!initialbenrat</vt:lpstr>
      <vt:lpstr>Grade16!initialbenrat</vt:lpstr>
      <vt:lpstr>Grade17!initialbenrat</vt:lpstr>
      <vt:lpstr>Grade18!initialbenrat</vt:lpstr>
      <vt:lpstr>Grade9!initialbenrat</vt:lpstr>
      <vt:lpstr>initialbenrat</vt:lpstr>
      <vt:lpstr>Grade10!initialpart</vt:lpstr>
      <vt:lpstr>Grade11!initialpart</vt:lpstr>
      <vt:lpstr>Grade12!initialpart</vt:lpstr>
      <vt:lpstr>Grade13!initialpart</vt:lpstr>
      <vt:lpstr>Grade14!initialpart</vt:lpstr>
      <vt:lpstr>Grade15!initialpart</vt:lpstr>
      <vt:lpstr>Grade16!initialpart</vt:lpstr>
      <vt:lpstr>Grade17!initialpart</vt:lpstr>
      <vt:lpstr>Grade18!initialpart</vt:lpstr>
      <vt:lpstr>initialpart</vt:lpstr>
      <vt:lpstr>Grade10!initialspart</vt:lpstr>
      <vt:lpstr>Grade11!initialspart</vt:lpstr>
      <vt:lpstr>Grade12!initialspart</vt:lpstr>
      <vt:lpstr>Grade13!initialspart</vt:lpstr>
      <vt:lpstr>Grade14!initialspart</vt:lpstr>
      <vt:lpstr>Grade15!initialspart</vt:lpstr>
      <vt:lpstr>Grade16!initialspart</vt:lpstr>
      <vt:lpstr>Grade17!initialspart</vt:lpstr>
      <vt:lpstr>Grade18!initialspart</vt:lpstr>
      <vt:lpstr>initialspart</vt:lpstr>
      <vt:lpstr>Grade10!initialunempprob</vt:lpstr>
      <vt:lpstr>Grade11!initialunempprob</vt:lpstr>
      <vt:lpstr>Grade12!initialunempprob</vt:lpstr>
      <vt:lpstr>Grade13!initialunempprob</vt:lpstr>
      <vt:lpstr>Grade14!initialunempprob</vt:lpstr>
      <vt:lpstr>Grade15!initialunempprob</vt:lpstr>
      <vt:lpstr>Grade16!initialunempprob</vt:lpstr>
      <vt:lpstr>Grade17!initialunempprob</vt:lpstr>
      <vt:lpstr>Grade18!initialunempprob</vt:lpstr>
      <vt:lpstr>Grade9!initialunempprob</vt:lpstr>
      <vt:lpstr>initialunempprob</vt:lpstr>
      <vt:lpstr>nptrans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part8</vt:lpstr>
      <vt:lpstr>part9</vt:lpstr>
      <vt:lpstr>Grade10!pretaxincome</vt:lpstr>
      <vt:lpstr>Grade11!pretaxincome</vt:lpstr>
      <vt:lpstr>Grade12!pretaxincome</vt:lpstr>
      <vt:lpstr>Grade13!pretaxincome</vt:lpstr>
      <vt:lpstr>Grade14!pretaxincome</vt:lpstr>
      <vt:lpstr>Grade15!pretaxincome</vt:lpstr>
      <vt:lpstr>Grade16!pretaxincome</vt:lpstr>
      <vt:lpstr>Grade17!pretaxincome</vt:lpstr>
      <vt:lpstr>Grade18!pretaxincome</vt:lpstr>
      <vt:lpstr>Grade9!pretaxincome</vt:lpstr>
      <vt:lpstr>pretaxincome</vt:lpstr>
      <vt:lpstr>Grade10!pretaxincome8</vt:lpstr>
      <vt:lpstr>Grade11!pretaxincome8</vt:lpstr>
      <vt:lpstr>Grade12!pretaxincome8</vt:lpstr>
      <vt:lpstr>Grade13!pretaxincome8</vt:lpstr>
      <vt:lpstr>Grade14!pretaxincome8</vt:lpstr>
      <vt:lpstr>Grade15!pretaxincome8</vt:lpstr>
      <vt:lpstr>Grade16!pretaxincome8</vt:lpstr>
      <vt:lpstr>Grade17!pretaxincome8</vt:lpstr>
      <vt:lpstr>Grade18!pretaxincome8</vt:lpstr>
      <vt:lpstr>Grade9!pretaxincome8</vt:lpstr>
      <vt:lpstr>pretaxincome8</vt:lpstr>
      <vt:lpstr>Grade10!pretaxincomey8</vt:lpstr>
      <vt:lpstr>Grade11!pretaxincomey8</vt:lpstr>
      <vt:lpstr>Grade12!pretaxincomey8</vt:lpstr>
      <vt:lpstr>Grade13!pretaxincomey8</vt:lpstr>
      <vt:lpstr>Grade14!pretaxincomey8</vt:lpstr>
      <vt:lpstr>Grade15!pretaxincomey8</vt:lpstr>
      <vt:lpstr>Grade16!pretaxincomey8</vt:lpstr>
      <vt:lpstr>Grade17!pretaxincomey8</vt:lpstr>
      <vt:lpstr>Grade18!pretaxincomey8</vt:lpstr>
      <vt:lpstr>Grade9!pretaxincomey8</vt:lpstr>
      <vt:lpstr>pretaxincomey8</vt:lpstr>
      <vt:lpstr>returntoexperience</vt:lpstr>
      <vt:lpstr>Grade10!sbenefits</vt:lpstr>
      <vt:lpstr>Grade11!sbenefits</vt:lpstr>
      <vt:lpstr>Grade12!sbenefits</vt:lpstr>
      <vt:lpstr>Grade13!sbenefits</vt:lpstr>
      <vt:lpstr>Grade14!sbenefits</vt:lpstr>
      <vt:lpstr>Grade15!sbenefits</vt:lpstr>
      <vt:lpstr>Grade16!sbenefits</vt:lpstr>
      <vt:lpstr>Grade17!sbenefits</vt:lpstr>
      <vt:lpstr>Grade18!sbenefits</vt:lpstr>
      <vt:lpstr>Grade9!sbenefits</vt:lpstr>
      <vt:lpstr>sbenefits</vt:lpstr>
      <vt:lpstr>Grade10!scrimecost</vt:lpstr>
      <vt:lpstr>Grade11!scrimecost</vt:lpstr>
      <vt:lpstr>Grade12!scrimecost</vt:lpstr>
      <vt:lpstr>Grade13!scrimecost</vt:lpstr>
      <vt:lpstr>Grade14!scrimecost</vt:lpstr>
      <vt:lpstr>Grade15!scrimecost</vt:lpstr>
      <vt:lpstr>Grade16!scrimecost</vt:lpstr>
      <vt:lpstr>Grade17!scrimecost</vt:lpstr>
      <vt:lpstr>Grade18!scrimecost</vt:lpstr>
      <vt:lpstr>Grade9!scrimecost</vt:lpstr>
      <vt:lpstr>scrimecost</vt:lpstr>
      <vt:lpstr>Grade10!sincome</vt:lpstr>
      <vt:lpstr>Grade11!sincome</vt:lpstr>
      <vt:lpstr>Grade12!sincome</vt:lpstr>
      <vt:lpstr>Grade13!sincome</vt:lpstr>
      <vt:lpstr>Grade14!sincome</vt:lpstr>
      <vt:lpstr>Grade15!sincome</vt:lpstr>
      <vt:lpstr>Grade16!sincome</vt:lpstr>
      <vt:lpstr>Grade17!sincome</vt:lpstr>
      <vt:lpstr>Grade18!sincome</vt:lpstr>
      <vt:lpstr>Grade9!sincome</vt:lpstr>
      <vt:lpstr>sincome</vt:lpstr>
      <vt:lpstr>Grade10!spart</vt:lpstr>
      <vt:lpstr>Grade11!spart</vt:lpstr>
      <vt:lpstr>Grade12!spart</vt:lpstr>
      <vt:lpstr>Grade13!spart</vt:lpstr>
      <vt:lpstr>Grade14!spart</vt:lpstr>
      <vt:lpstr>Grade15!spart</vt:lpstr>
      <vt:lpstr>Grade16!spart</vt:lpstr>
      <vt:lpstr>Grade17!spart</vt:lpstr>
      <vt:lpstr>Grade18!spart</vt:lpstr>
      <vt:lpstr>Grade9!spart</vt:lpstr>
      <vt:lpstr>spart</vt:lpstr>
      <vt:lpstr>Grade10!sreturn</vt:lpstr>
      <vt:lpstr>Grade11!sreturn</vt:lpstr>
      <vt:lpstr>Grade12!sreturn</vt:lpstr>
      <vt:lpstr>Grade13!sreturn</vt:lpstr>
      <vt:lpstr>Grade14!sreturn</vt:lpstr>
      <vt:lpstr>Grade15!sreturn</vt:lpstr>
      <vt:lpstr>Grade16!sreturn</vt:lpstr>
      <vt:lpstr>Grade17!sreturn</vt:lpstr>
      <vt:lpstr>Grade18!sreturn</vt:lpstr>
      <vt:lpstr>sreturn</vt:lpstr>
      <vt:lpstr>Grade10!startage</vt:lpstr>
      <vt:lpstr>Grade11!startage</vt:lpstr>
      <vt:lpstr>Grade12!startage</vt:lpstr>
      <vt:lpstr>Grade13!startage</vt:lpstr>
      <vt:lpstr>Grade14!startage</vt:lpstr>
      <vt:lpstr>Grade15!startage</vt:lpstr>
      <vt:lpstr>Grade16!startage</vt:lpstr>
      <vt:lpstr>Grade17!startage</vt:lpstr>
      <vt:lpstr>Grade18!startage</vt:lpstr>
      <vt:lpstr>Grade9!startage</vt:lpstr>
      <vt:lpstr>startage</vt:lpstr>
      <vt:lpstr>Grade10!sunemp</vt:lpstr>
      <vt:lpstr>Grade11!sunemp</vt:lpstr>
      <vt:lpstr>Grade12!sunemp</vt:lpstr>
      <vt:lpstr>Grade13!sunemp</vt:lpstr>
      <vt:lpstr>Grade14!sunemp</vt:lpstr>
      <vt:lpstr>Grade15!sunemp</vt:lpstr>
      <vt:lpstr>Grade16!sunemp</vt:lpstr>
      <vt:lpstr>Grade17!sunemp</vt:lpstr>
      <vt:lpstr>Grade18!sunemp</vt:lpstr>
      <vt:lpstr>Grade9!sunemp</vt:lpstr>
      <vt:lpstr>sunemp</vt:lpstr>
      <vt:lpstr>Grade10!unempprob</vt:lpstr>
      <vt:lpstr>Grade11!unempprob</vt:lpstr>
      <vt:lpstr>Grade12!unempprob</vt:lpstr>
      <vt:lpstr>Grade13!unempprob</vt:lpstr>
      <vt:lpstr>Grade14!unempprob</vt:lpstr>
      <vt:lpstr>Grade15!unempprob</vt:lpstr>
      <vt:lpstr>Grade16!unempprob</vt:lpstr>
      <vt:lpstr>Grade17!unempprob</vt:lpstr>
      <vt:lpstr>Grade18!unempprob</vt:lpstr>
      <vt:lpstr>Grade9!unempprob</vt:lpstr>
      <vt:lpstr>unempprob</vt:lpstr>
      <vt:lpstr>Grade10!unempprob8</vt:lpstr>
      <vt:lpstr>Grade11!unempprob8</vt:lpstr>
      <vt:lpstr>Grade12!unempprob8</vt:lpstr>
      <vt:lpstr>Grade13!unempprob8</vt:lpstr>
      <vt:lpstr>Grade14!unempprob8</vt:lpstr>
      <vt:lpstr>Grade15!unempprob8</vt:lpstr>
      <vt:lpstr>Grade16!unempprob8</vt:lpstr>
      <vt:lpstr>Grade17!unempprob8</vt:lpstr>
      <vt:lpstr>Grade18!unempprob8</vt:lpstr>
      <vt:lpstr>Grade9!unempprob8</vt:lpstr>
      <vt:lpstr>unempprob8</vt:lpstr>
      <vt:lpstr>Grade10!unempproby8</vt:lpstr>
      <vt:lpstr>Grade11!unempproby8</vt:lpstr>
      <vt:lpstr>Grade12!unempproby8</vt:lpstr>
      <vt:lpstr>Grade13!unempproby8</vt:lpstr>
      <vt:lpstr>Grade14!unempproby8</vt:lpstr>
      <vt:lpstr>Grade15!unempproby8</vt:lpstr>
      <vt:lpstr>Grade16!unempproby8</vt:lpstr>
      <vt:lpstr>Grade17!unempproby8</vt:lpstr>
      <vt:lpstr>Grade18!unempproby8</vt:lpstr>
      <vt:lpstr>Grade9!unempproby8</vt:lpstr>
      <vt:lpstr>unempproby8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bcaplan</dc:creator>
  <cp:lastModifiedBy>Caleb</cp:lastModifiedBy>
  <dcterms:created xsi:type="dcterms:W3CDTF">2014-05-28T17:05:58Z</dcterms:created>
  <dcterms:modified xsi:type="dcterms:W3CDTF">2015-04-20T18:55:10Z</dcterms:modified>
</cp:coreProperties>
</file>