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80" yWindow="45" windowWidth="15180" windowHeight="11760"/>
  </bookViews>
  <sheets>
    <sheet name="Meta" sheetId="4" r:id="rId1"/>
    <sheet name="Output" sheetId="50" r:id="rId2"/>
    <sheet name="Grade8" sheetId="1" r:id="rId3"/>
    <sheet name="Grade9" sheetId="52" r:id="rId4"/>
    <sheet name="Grade10" sheetId="53" r:id="rId5"/>
    <sheet name="Grade11" sheetId="54" r:id="rId6"/>
    <sheet name="Grade12" sheetId="55" r:id="rId7"/>
    <sheet name="Grade13" sheetId="56" r:id="rId8"/>
    <sheet name="Grade14" sheetId="57" r:id="rId9"/>
    <sheet name="Grade15" sheetId="58" r:id="rId10"/>
    <sheet name="Grade16" sheetId="59" r:id="rId11"/>
    <sheet name="Grade17" sheetId="60" r:id="rId12"/>
    <sheet name="Grade18" sheetId="61" r:id="rId13"/>
  </sheets>
  <definedNames>
    <definedName name="_edn1" localSheetId="0">Meta!$E$10</definedName>
    <definedName name="_edn1" localSheetId="1">Output!$B$10</definedName>
    <definedName name="_ednref1" localSheetId="0">Meta!$E$7</definedName>
    <definedName name="_ednref1" localSheetId="1">Output!$B$7</definedName>
    <definedName name="baseincome" localSheetId="0">Meta!$B$2</definedName>
    <definedName name="benefits" localSheetId="4">Grade10!$D$2</definedName>
    <definedName name="benefits" localSheetId="5">Grade11!$D$2</definedName>
    <definedName name="benefits" localSheetId="6">Grade12!$D$2</definedName>
    <definedName name="benefits" localSheetId="7">Grade13!$D$2</definedName>
    <definedName name="benefits" localSheetId="8">Grade14!$D$2</definedName>
    <definedName name="benefits" localSheetId="9">Grade15!$D$2</definedName>
    <definedName name="benefits" localSheetId="10">Grade16!$D$2</definedName>
    <definedName name="benefits" localSheetId="11">Grade17!$D$2</definedName>
    <definedName name="benefits" localSheetId="12">Grade18!$D$2</definedName>
    <definedName name="benefits" localSheetId="3">Grade9!$D$2</definedName>
    <definedName name="benefits">Grade8!$D$2</definedName>
    <definedName name="benrat" localSheetId="4">Grade10!$I$2</definedName>
    <definedName name="benrat" localSheetId="5">Grade11!$I$2</definedName>
    <definedName name="benrat" localSheetId="6">Grade12!$I$2</definedName>
    <definedName name="benrat" localSheetId="7">Grade13!$I$2</definedName>
    <definedName name="benrat" localSheetId="8">Grade14!$I$2</definedName>
    <definedName name="benrat" localSheetId="9">Grade15!$I$2</definedName>
    <definedName name="benrat" localSheetId="10">Grade16!$I$2</definedName>
    <definedName name="benrat" localSheetId="11">Grade17!$I$2</definedName>
    <definedName name="benrat" localSheetId="12">Grade18!$I$2</definedName>
    <definedName name="benrat" localSheetId="3">Grade9!$I$2</definedName>
    <definedName name="benrat">Grade8!$I$2</definedName>
    <definedName name="coltuition">Meta!$Q$2</definedName>
    <definedName name="compensationratio">#REF!</definedName>
    <definedName name="completionprob" localSheetId="4">Grade10!$H$2</definedName>
    <definedName name="completionprob" localSheetId="5">Grade11!$H$2</definedName>
    <definedName name="completionprob" localSheetId="6">Grade12!$H$2</definedName>
    <definedName name="completionprob" localSheetId="7">Grade13!$H$2</definedName>
    <definedName name="completionprob" localSheetId="8">Grade14!$H$2</definedName>
    <definedName name="completionprob" localSheetId="9">Grade15!$H$2</definedName>
    <definedName name="completionprob" localSheetId="10">Grade16!$H$2</definedName>
    <definedName name="completionprob" localSheetId="11">Grade17!$H$2</definedName>
    <definedName name="completionprob" localSheetId="12">Grade18!$H$2</definedName>
    <definedName name="completionprob">Grade9!$H$2</definedName>
    <definedName name="comprat" localSheetId="4">Grade10!$I$2</definedName>
    <definedName name="comprat" localSheetId="5">Grade11!$I$2</definedName>
    <definedName name="comprat" localSheetId="6">Grade12!$I$2</definedName>
    <definedName name="comprat" localSheetId="7">Grade13!$I$2</definedName>
    <definedName name="comprat" localSheetId="8">Grade14!$I$2</definedName>
    <definedName name="comprat" localSheetId="9">Grade15!$I$2</definedName>
    <definedName name="comprat" localSheetId="10">Grade16!$I$2</definedName>
    <definedName name="comprat" localSheetId="11">Grade17!$I$2</definedName>
    <definedName name="comprat" localSheetId="12">Grade18!$I$2</definedName>
    <definedName name="comprat" localSheetId="3">Grade9!$I$2</definedName>
    <definedName name="comprat">Grade8!$I$2</definedName>
    <definedName name="experiencepremium" localSheetId="1">Output!#REF!</definedName>
    <definedName name="experiencepremium">Meta!$H$2</definedName>
    <definedName name="expnorm" localSheetId="4">Grade10!$G$2</definedName>
    <definedName name="expnorm" localSheetId="5">Grade11!$G$2</definedName>
    <definedName name="expnorm" localSheetId="6">Grade12!$G$2</definedName>
    <definedName name="expnorm" localSheetId="7">Grade13!$G$2</definedName>
    <definedName name="expnorm" localSheetId="8">Grade14!$G$2</definedName>
    <definedName name="expnorm" localSheetId="9">Grade15!$G$2</definedName>
    <definedName name="expnorm" localSheetId="10">Grade16!$G$2</definedName>
    <definedName name="expnorm" localSheetId="11">Grade17!$G$2</definedName>
    <definedName name="expnorm" localSheetId="12">Grade18!$G$2</definedName>
    <definedName name="expnorm" localSheetId="3">Grade9!$G$2</definedName>
    <definedName name="expnorm">Grade8!$G$2</definedName>
    <definedName name="expnorm8" localSheetId="4">Grade10!$G$2</definedName>
    <definedName name="expnorm8" localSheetId="5">Grade11!$G$2</definedName>
    <definedName name="expnorm8" localSheetId="6">Grade12!$G$2</definedName>
    <definedName name="expnorm8" localSheetId="7">Grade13!$G$2</definedName>
    <definedName name="expnorm8" localSheetId="8">Grade14!$G$2</definedName>
    <definedName name="expnorm8" localSheetId="9">Grade15!$G$2</definedName>
    <definedName name="expnorm8" localSheetId="10">Grade16!$G$2</definedName>
    <definedName name="expnorm8" localSheetId="11">Grade17!$G$2</definedName>
    <definedName name="expnorm8" localSheetId="12">Grade18!$G$2</definedName>
    <definedName name="expnorm8" localSheetId="3">Grade9!$G$2</definedName>
    <definedName name="expnorm8">Grade8!$G$2</definedName>
    <definedName name="feel">Meta!$R$2</definedName>
    <definedName name="hstuition">Meta!$P$2</definedName>
    <definedName name="incomeindex" localSheetId="0">Meta!$E$2</definedName>
    <definedName name="initialbenrat" localSheetId="4">Grade10!$L$2</definedName>
    <definedName name="initialbenrat" localSheetId="5">Grade11!$L$2</definedName>
    <definedName name="initialbenrat" localSheetId="6">Grade12!$L$2</definedName>
    <definedName name="initialbenrat" localSheetId="7">Grade13!$L$2</definedName>
    <definedName name="initialbenrat" localSheetId="8">Grade14!$L$2</definedName>
    <definedName name="initialbenrat" localSheetId="9">Grade15!$L$2</definedName>
    <definedName name="initialbenrat" localSheetId="10">Grade16!$L$2</definedName>
    <definedName name="initialbenrat" localSheetId="11">Grade17!$L$2</definedName>
    <definedName name="initialbenrat" localSheetId="12">Grade18!$L$2</definedName>
    <definedName name="initialbenrat" localSheetId="3">Grade9!$L$2</definedName>
    <definedName name="initialbenrat">Grade8!$L$2</definedName>
    <definedName name="initialcompensationratio">#REF!</definedName>
    <definedName name="initialcomprat">#REF!</definedName>
    <definedName name="initialpart" localSheetId="4">Grade10!$L$2</definedName>
    <definedName name="initialpart" localSheetId="5">Grade11!$L$2</definedName>
    <definedName name="initialpart" localSheetId="6">Grade12!$L$2</definedName>
    <definedName name="initialpart" localSheetId="7">Grade13!$L$2</definedName>
    <definedName name="initialpart" localSheetId="8">Grade14!$L$2</definedName>
    <definedName name="initialpart" localSheetId="9">Grade15!$L$2</definedName>
    <definedName name="initialpart" localSheetId="10">Grade16!$L$2</definedName>
    <definedName name="initialpart" localSheetId="11">Grade17!$L$2</definedName>
    <definedName name="initialpart" localSheetId="12">Grade18!$L$2</definedName>
    <definedName name="initialpart">Grade9!$L$2</definedName>
    <definedName name="initialspart" localSheetId="4">Grade10!$J$2</definedName>
    <definedName name="initialspart" localSheetId="5">Grade11!$J$2</definedName>
    <definedName name="initialspart" localSheetId="6">Grade12!$J$2</definedName>
    <definedName name="initialspart" localSheetId="7">Grade13!$J$2</definedName>
    <definedName name="initialspart" localSheetId="8">Grade14!$J$2</definedName>
    <definedName name="initialspart" localSheetId="9">Grade15!$J$2</definedName>
    <definedName name="initialspart" localSheetId="10">Grade16!$J$2</definedName>
    <definedName name="initialspart" localSheetId="11">Grade17!$J$2</definedName>
    <definedName name="initialspart" localSheetId="12">Grade18!$J$2</definedName>
    <definedName name="initialspart">Grade9!$J$2</definedName>
    <definedName name="initialunempprob" localSheetId="4">Grade10!$K$2</definedName>
    <definedName name="initialunempprob" localSheetId="5">Grade11!$K$2</definedName>
    <definedName name="initialunempprob" localSheetId="6">Grade12!$K$2</definedName>
    <definedName name="initialunempprob" localSheetId="7">Grade13!$K$2</definedName>
    <definedName name="initialunempprob" localSheetId="8">Grade14!$K$2</definedName>
    <definedName name="initialunempprob" localSheetId="9">Grade15!$K$2</definedName>
    <definedName name="initialunempprob" localSheetId="10">Grade16!$K$2</definedName>
    <definedName name="initialunempprob" localSheetId="11">Grade17!$K$2</definedName>
    <definedName name="initialunempprob" localSheetId="12">Grade18!$K$2</definedName>
    <definedName name="initialunempprob" localSheetId="3">Grade9!$K$2</definedName>
    <definedName name="initialunempprob">Grade8!$K$2</definedName>
    <definedName name="nptrans">Meta!$S$2</definedName>
    <definedName name="part10">Meta!$F$4</definedName>
    <definedName name="part11">Meta!$F$5</definedName>
    <definedName name="part12">Meta!$F$6</definedName>
    <definedName name="part13">Meta!$F$7</definedName>
    <definedName name="part14">Meta!$F$8</definedName>
    <definedName name="part15">Meta!$F$9</definedName>
    <definedName name="part16">Meta!$F$10</definedName>
    <definedName name="part17">Meta!$F$11</definedName>
    <definedName name="part18">Meta!$F$12</definedName>
    <definedName name="part8">Meta!$F$2</definedName>
    <definedName name="part9">Meta!$F$3</definedName>
    <definedName name="pecuniaryreturn">#REF!</definedName>
    <definedName name="pretaxincome" localSheetId="4">Grade10!$C$2</definedName>
    <definedName name="pretaxincome" localSheetId="5">Grade11!$C$2</definedName>
    <definedName name="pretaxincome" localSheetId="6">Grade12!$C$2</definedName>
    <definedName name="pretaxincome" localSheetId="7">Grade13!$C$2</definedName>
    <definedName name="pretaxincome" localSheetId="8">Grade14!$C$2</definedName>
    <definedName name="pretaxincome" localSheetId="9">Grade15!$C$2</definedName>
    <definedName name="pretaxincome" localSheetId="10">Grade16!$C$2</definedName>
    <definedName name="pretaxincome" localSheetId="11">Grade17!$C$2</definedName>
    <definedName name="pretaxincome" localSheetId="12">Grade18!$C$2</definedName>
    <definedName name="pretaxincome" localSheetId="3">Grade9!$C$2</definedName>
    <definedName name="pretaxincome">Grade8!$C$2</definedName>
    <definedName name="pretaxincome8" localSheetId="4">Grade10!$C$2</definedName>
    <definedName name="pretaxincome8" localSheetId="5">Grade11!$C$2</definedName>
    <definedName name="pretaxincome8" localSheetId="6">Grade12!$C$2</definedName>
    <definedName name="pretaxincome8" localSheetId="7">Grade13!$C$2</definedName>
    <definedName name="pretaxincome8" localSheetId="8">Grade14!$C$2</definedName>
    <definedName name="pretaxincome8" localSheetId="9">Grade15!$C$2</definedName>
    <definedName name="pretaxincome8" localSheetId="10">Grade16!$C$2</definedName>
    <definedName name="pretaxincome8" localSheetId="11">Grade17!$C$2</definedName>
    <definedName name="pretaxincome8" localSheetId="12">Grade18!$C$2</definedName>
    <definedName name="pretaxincome8" localSheetId="3">Grade9!$C$2</definedName>
    <definedName name="pretaxincome8">Grade8!$C$2</definedName>
    <definedName name="pretaxincomey8" localSheetId="4">Grade10!$C$2</definedName>
    <definedName name="pretaxincomey8" localSheetId="5">Grade11!$C$2</definedName>
    <definedName name="pretaxincomey8" localSheetId="6">Grade12!$C$2</definedName>
    <definedName name="pretaxincomey8" localSheetId="7">Grade13!$C$2</definedName>
    <definedName name="pretaxincomey8" localSheetId="8">Grade14!$C$2</definedName>
    <definedName name="pretaxincomey8" localSheetId="9">Grade15!$C$2</definedName>
    <definedName name="pretaxincomey8" localSheetId="10">Grade16!$C$2</definedName>
    <definedName name="pretaxincomey8" localSheetId="11">Grade17!$C$2</definedName>
    <definedName name="pretaxincomey8" localSheetId="12">Grade18!$C$2</definedName>
    <definedName name="pretaxincomey8" localSheetId="3">Grade9!$C$2</definedName>
    <definedName name="pretaxincomey8">Grade8!$C$2</definedName>
    <definedName name="return">#REF!</definedName>
    <definedName name="returntoeducation">#REF!</definedName>
    <definedName name="returntoexperience" localSheetId="1">Output!#REF!</definedName>
    <definedName name="returntoexperience">Meta!$H$2</definedName>
    <definedName name="sbenefits" localSheetId="4">Grade10!$O$2</definedName>
    <definedName name="sbenefits" localSheetId="5">Grade11!$O$2</definedName>
    <definedName name="sbenefits" localSheetId="6">Grade12!$O$2</definedName>
    <definedName name="sbenefits" localSheetId="7">Grade13!$O$2</definedName>
    <definedName name="sbenefits" localSheetId="8">Grade14!$O$2</definedName>
    <definedName name="sbenefits" localSheetId="9">Grade15!$O$2</definedName>
    <definedName name="sbenefits" localSheetId="10">Grade16!$O$2</definedName>
    <definedName name="sbenefits" localSheetId="11">Grade17!$O$2</definedName>
    <definedName name="sbenefits" localSheetId="12">Grade18!$O$2</definedName>
    <definedName name="sbenefits" localSheetId="3">Grade9!$O$2</definedName>
    <definedName name="sbenefits">Grade8!$O$2</definedName>
    <definedName name="scrimecost" localSheetId="4">Grade10!$R$2</definedName>
    <definedName name="scrimecost" localSheetId="5">Grade11!$R$2</definedName>
    <definedName name="scrimecost" localSheetId="6">Grade12!$R$2</definedName>
    <definedName name="scrimecost" localSheetId="7">Grade13!$R$2</definedName>
    <definedName name="scrimecost" localSheetId="8">Grade14!$R$2</definedName>
    <definedName name="scrimecost" localSheetId="9">Grade15!$R$2</definedName>
    <definedName name="scrimecost" localSheetId="10">Grade16!$R$2</definedName>
    <definedName name="scrimecost" localSheetId="11">Grade17!$R$2</definedName>
    <definedName name="scrimecost" localSheetId="12">Grade18!$R$2</definedName>
    <definedName name="scrimecost" localSheetId="3">Grade9!$R$2</definedName>
    <definedName name="scrimecost">Grade8!$R$2</definedName>
    <definedName name="sincome" localSheetId="4">Grade10!$N$2</definedName>
    <definedName name="sincome" localSheetId="5">Grade11!$N$2</definedName>
    <definedName name="sincome" localSheetId="6">Grade12!$N$2</definedName>
    <definedName name="sincome" localSheetId="7">Grade13!$N$2</definedName>
    <definedName name="sincome" localSheetId="8">Grade14!$N$2</definedName>
    <definedName name="sincome" localSheetId="9">Grade15!$N$2</definedName>
    <definedName name="sincome" localSheetId="10">Grade16!$N$2</definedName>
    <definedName name="sincome" localSheetId="11">Grade17!$N$2</definedName>
    <definedName name="sincome" localSheetId="12">Grade18!$N$2</definedName>
    <definedName name="sincome" localSheetId="3">Grade9!$N$2</definedName>
    <definedName name="sincome">Grade8!$N$2</definedName>
    <definedName name="spart" localSheetId="4">Grade10!$Q$2</definedName>
    <definedName name="spart" localSheetId="5">Grade11!$Q$2</definedName>
    <definedName name="spart" localSheetId="6">Grade12!$Q$2</definedName>
    <definedName name="spart" localSheetId="7">Grade13!$Q$2</definedName>
    <definedName name="spart" localSheetId="8">Grade14!$Q$2</definedName>
    <definedName name="spart" localSheetId="9">Grade15!$Q$2</definedName>
    <definedName name="spart" localSheetId="10">Grade16!$Q$2</definedName>
    <definedName name="spart" localSheetId="11">Grade17!$Q$2</definedName>
    <definedName name="spart" localSheetId="12">Grade18!$Q$2</definedName>
    <definedName name="spart" localSheetId="3">Grade9!$Q$2</definedName>
    <definedName name="spart">Grade8!$Q$2</definedName>
    <definedName name="sreturn" localSheetId="4">Grade10!$T$2</definedName>
    <definedName name="sreturn" localSheetId="5">Grade11!$T$2</definedName>
    <definedName name="sreturn" localSheetId="6">Grade12!$T$2</definedName>
    <definedName name="sreturn" localSheetId="7">Grade13!$T$2</definedName>
    <definedName name="sreturn" localSheetId="8">Grade14!$T$2</definedName>
    <definedName name="sreturn" localSheetId="9">Grade15!$T$2</definedName>
    <definedName name="sreturn" localSheetId="10">Grade16!$T$2</definedName>
    <definedName name="sreturn" localSheetId="11">Grade17!$T$2</definedName>
    <definedName name="sreturn" localSheetId="12">Grade18!$T$2</definedName>
    <definedName name="sreturn">Grade9!$T$2</definedName>
    <definedName name="startage" localSheetId="4">Grade10!$B$2</definedName>
    <definedName name="startage" localSheetId="5">Grade11!$B$2</definedName>
    <definedName name="startage" localSheetId="6">Grade12!$B$2</definedName>
    <definedName name="startage" localSheetId="7">Grade13!$B$2</definedName>
    <definedName name="startage" localSheetId="8">Grade14!$B$2</definedName>
    <definedName name="startage" localSheetId="9">Grade15!$B$2</definedName>
    <definedName name="startage" localSheetId="10">Grade16!$B$2</definedName>
    <definedName name="startage" localSheetId="11">Grade17!$B$2</definedName>
    <definedName name="startage" localSheetId="12">Grade18!$B$2</definedName>
    <definedName name="startage" localSheetId="3">Grade9!$B$2</definedName>
    <definedName name="startage">Grade8!$B$2</definedName>
    <definedName name="sunemp" localSheetId="4">Grade10!$P$2</definedName>
    <definedName name="sunemp" localSheetId="5">Grade11!$P$2</definedName>
    <definedName name="sunemp" localSheetId="6">Grade12!$P$2</definedName>
    <definedName name="sunemp" localSheetId="7">Grade13!$P$2</definedName>
    <definedName name="sunemp" localSheetId="8">Grade14!$P$2</definedName>
    <definedName name="sunemp" localSheetId="9">Grade15!$P$2</definedName>
    <definedName name="sunemp" localSheetId="10">Grade16!$P$2</definedName>
    <definedName name="sunemp" localSheetId="11">Grade17!$P$2</definedName>
    <definedName name="sunemp" localSheetId="12">Grade18!$P$2</definedName>
    <definedName name="sunemp" localSheetId="3">Grade9!$P$2</definedName>
    <definedName name="sunemp">Grade8!$P$2</definedName>
    <definedName name="ttd">#REF!</definedName>
    <definedName name="unempprob" localSheetId="4">Grade10!$E$2</definedName>
    <definedName name="unempprob" localSheetId="5">Grade11!$E$2</definedName>
    <definedName name="unempprob" localSheetId="6">Grade12!$E$2</definedName>
    <definedName name="unempprob" localSheetId="7">Grade13!$E$2</definedName>
    <definedName name="unempprob" localSheetId="8">Grade14!$E$2</definedName>
    <definedName name="unempprob" localSheetId="9">Grade15!$E$2</definedName>
    <definedName name="unempprob" localSheetId="10">Grade16!$E$2</definedName>
    <definedName name="unempprob" localSheetId="11">Grade17!$E$2</definedName>
    <definedName name="unempprob" localSheetId="12">Grade18!$E$2</definedName>
    <definedName name="unempprob" localSheetId="3">Grade9!$E$2</definedName>
    <definedName name="unempprob">Grade8!$E$2</definedName>
    <definedName name="unempprob8" localSheetId="4">Grade10!$E$2</definedName>
    <definedName name="unempprob8" localSheetId="5">Grade11!$E$2</definedName>
    <definedName name="unempprob8" localSheetId="6">Grade12!$E$2</definedName>
    <definedName name="unempprob8" localSheetId="7">Grade13!$E$2</definedName>
    <definedName name="unempprob8" localSheetId="8">Grade14!$E$2</definedName>
    <definedName name="unempprob8" localSheetId="9">Grade15!$E$2</definedName>
    <definedName name="unempprob8" localSheetId="10">Grade16!$E$2</definedName>
    <definedName name="unempprob8" localSheetId="11">Grade17!$E$2</definedName>
    <definedName name="unempprob8" localSheetId="12">Grade18!$E$2</definedName>
    <definedName name="unempprob8" localSheetId="3">Grade9!$E$2</definedName>
    <definedName name="unempprob8">Grade8!$E$2</definedName>
    <definedName name="unempproby8" localSheetId="4">Grade10!$E$2</definedName>
    <definedName name="unempproby8" localSheetId="5">Grade11!$E$2</definedName>
    <definedName name="unempproby8" localSheetId="6">Grade12!$E$2</definedName>
    <definedName name="unempproby8" localSheetId="7">Grade13!$E$2</definedName>
    <definedName name="unempproby8" localSheetId="8">Grade14!$E$2</definedName>
    <definedName name="unempproby8" localSheetId="9">Grade15!$E$2</definedName>
    <definedName name="unempproby8" localSheetId="10">Grade16!$E$2</definedName>
    <definedName name="unempproby8" localSheetId="11">Grade17!$E$2</definedName>
    <definedName name="unempproby8" localSheetId="12">Grade18!$E$2</definedName>
    <definedName name="unempproby8" localSheetId="3">Grade9!$E$2</definedName>
    <definedName name="unempproby8">Grade8!$E$2</definedName>
  </definedNames>
  <calcPr calcId="145621"/>
</workbook>
</file>

<file path=xl/calcChain.xml><?xml version="1.0" encoding="utf-8"?>
<calcChain xmlns="http://schemas.openxmlformats.org/spreadsheetml/2006/main">
  <c r="R14" i="61" l="1"/>
  <c r="N57" i="61"/>
  <c r="N58" i="61"/>
  <c r="N59" i="61"/>
  <c r="N60" i="61"/>
  <c r="N61" i="61"/>
  <c r="N62" i="61"/>
  <c r="N63" i="61"/>
  <c r="N64" i="61"/>
  <c r="N65" i="61"/>
  <c r="N66" i="61"/>
  <c r="N67" i="61"/>
  <c r="N68" i="61"/>
  <c r="N69" i="61"/>
  <c r="R2" i="61"/>
  <c r="Q2" i="61"/>
  <c r="P2" i="61"/>
  <c r="O2" i="61"/>
  <c r="N2" i="61"/>
  <c r="K2" i="61"/>
  <c r="J2" i="61"/>
  <c r="H2" i="61"/>
  <c r="F2" i="61"/>
  <c r="E2" i="61"/>
  <c r="D2" i="61"/>
  <c r="C2" i="61"/>
  <c r="B2" i="61"/>
  <c r="R13" i="60"/>
  <c r="N57" i="60"/>
  <c r="N58" i="60"/>
  <c r="N59" i="60"/>
  <c r="N60" i="60"/>
  <c r="N61" i="60"/>
  <c r="N62" i="60"/>
  <c r="N63" i="60"/>
  <c r="N64" i="60"/>
  <c r="N65" i="60"/>
  <c r="N66" i="60"/>
  <c r="N67" i="60"/>
  <c r="N68" i="60"/>
  <c r="N69" i="60"/>
  <c r="R2" i="60"/>
  <c r="Q2" i="60"/>
  <c r="P2" i="60"/>
  <c r="O2" i="60"/>
  <c r="N2" i="60"/>
  <c r="K2" i="60"/>
  <c r="J2" i="60"/>
  <c r="H2" i="60"/>
  <c r="F2" i="60"/>
  <c r="E2" i="60"/>
  <c r="D2" i="60"/>
  <c r="H47" i="60"/>
  <c r="C2" i="60"/>
  <c r="B2" i="60"/>
  <c r="B22" i="60"/>
  <c r="R12" i="59"/>
  <c r="N57" i="59"/>
  <c r="N58" i="59"/>
  <c r="N59" i="59"/>
  <c r="N60" i="59"/>
  <c r="N61" i="59"/>
  <c r="N62" i="59"/>
  <c r="N63" i="59"/>
  <c r="N64" i="59"/>
  <c r="N65" i="59"/>
  <c r="N66" i="59"/>
  <c r="N67" i="59"/>
  <c r="N68" i="59"/>
  <c r="N69" i="59"/>
  <c r="R2" i="59"/>
  <c r="M60" i="59"/>
  <c r="Q2" i="59"/>
  <c r="P2" i="59"/>
  <c r="O2" i="59"/>
  <c r="L34" i="59"/>
  <c r="N2" i="59"/>
  <c r="K2" i="59"/>
  <c r="J2" i="59"/>
  <c r="H2" i="59"/>
  <c r="F2" i="59"/>
  <c r="E2" i="59"/>
  <c r="D2" i="59"/>
  <c r="C2" i="59"/>
  <c r="B2" i="59"/>
  <c r="B31" i="59"/>
  <c r="R11" i="58"/>
  <c r="N57" i="58"/>
  <c r="N58" i="58"/>
  <c r="N59" i="58"/>
  <c r="N60" i="58"/>
  <c r="N61" i="58"/>
  <c r="N62" i="58"/>
  <c r="N63" i="58"/>
  <c r="N64" i="58"/>
  <c r="N65" i="58"/>
  <c r="N66" i="58"/>
  <c r="N67" i="58"/>
  <c r="N68" i="58"/>
  <c r="N69" i="58"/>
  <c r="R2" i="58"/>
  <c r="Q2" i="58"/>
  <c r="P2" i="58"/>
  <c r="O2" i="58"/>
  <c r="N2" i="58"/>
  <c r="K2" i="58"/>
  <c r="J2" i="58"/>
  <c r="H2" i="58"/>
  <c r="F2" i="58"/>
  <c r="E2" i="58"/>
  <c r="D2" i="58"/>
  <c r="C2" i="58"/>
  <c r="B2" i="58"/>
  <c r="R10" i="57"/>
  <c r="N57" i="57"/>
  <c r="N58" i="57"/>
  <c r="N59" i="57"/>
  <c r="N60" i="57"/>
  <c r="N61" i="57"/>
  <c r="N62" i="57"/>
  <c r="N63" i="57"/>
  <c r="N64" i="57"/>
  <c r="N65" i="57"/>
  <c r="N66" i="57"/>
  <c r="N67" i="57"/>
  <c r="N68" i="57"/>
  <c r="N69" i="57"/>
  <c r="R2" i="57"/>
  <c r="Q2" i="57"/>
  <c r="P2" i="57"/>
  <c r="O2" i="57"/>
  <c r="N2" i="57"/>
  <c r="K2" i="57"/>
  <c r="J2" i="57"/>
  <c r="H2" i="57"/>
  <c r="F2" i="57"/>
  <c r="E2" i="57"/>
  <c r="D2" i="57"/>
  <c r="C2" i="57"/>
  <c r="B2" i="57"/>
  <c r="B15" i="57"/>
  <c r="R9" i="56"/>
  <c r="N57" i="56"/>
  <c r="N58" i="56"/>
  <c r="N59" i="56"/>
  <c r="N60" i="56"/>
  <c r="N61" i="56"/>
  <c r="N62" i="56"/>
  <c r="N63" i="56"/>
  <c r="N64" i="56"/>
  <c r="N65" i="56"/>
  <c r="N66" i="56"/>
  <c r="N67" i="56"/>
  <c r="N68" i="56"/>
  <c r="N69" i="56"/>
  <c r="R2" i="56"/>
  <c r="M53" i="56"/>
  <c r="Q2" i="56"/>
  <c r="P2" i="56"/>
  <c r="O2" i="56"/>
  <c r="N2" i="56"/>
  <c r="K2" i="56"/>
  <c r="J2" i="56"/>
  <c r="H2" i="56"/>
  <c r="F2" i="56"/>
  <c r="E2" i="56"/>
  <c r="D2" i="56"/>
  <c r="C2" i="56"/>
  <c r="B2" i="56"/>
  <c r="B56" i="56"/>
  <c r="R8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R2" i="55"/>
  <c r="Q2" i="55"/>
  <c r="P2" i="55"/>
  <c r="O2" i="55"/>
  <c r="N2" i="55"/>
  <c r="K2" i="55"/>
  <c r="J2" i="55"/>
  <c r="H2" i="55"/>
  <c r="F2" i="55"/>
  <c r="E2" i="55"/>
  <c r="D2" i="55"/>
  <c r="C2" i="55"/>
  <c r="B2" i="55"/>
  <c r="B36" i="55"/>
  <c r="R7" i="54"/>
  <c r="R6" i="53"/>
  <c r="N57" i="54"/>
  <c r="N58" i="54"/>
  <c r="N59" i="54"/>
  <c r="N60" i="54"/>
  <c r="N61" i="54"/>
  <c r="N62" i="54"/>
  <c r="N63" i="54"/>
  <c r="N64" i="54"/>
  <c r="N65" i="54"/>
  <c r="N66" i="54"/>
  <c r="N67" i="54"/>
  <c r="N68" i="54"/>
  <c r="N69" i="54"/>
  <c r="R2" i="54"/>
  <c r="M8" i="54"/>
  <c r="Q2" i="54"/>
  <c r="P2" i="54"/>
  <c r="O2" i="54"/>
  <c r="N2" i="54"/>
  <c r="K2" i="54"/>
  <c r="J2" i="54"/>
  <c r="H2" i="54"/>
  <c r="F2" i="54"/>
  <c r="E2" i="54"/>
  <c r="D2" i="54"/>
  <c r="C2" i="54"/>
  <c r="B2" i="54"/>
  <c r="B46" i="54"/>
  <c r="N57" i="53"/>
  <c r="N58" i="53"/>
  <c r="N59" i="53"/>
  <c r="N60" i="53"/>
  <c r="N61" i="53"/>
  <c r="N62" i="53"/>
  <c r="N63" i="53"/>
  <c r="N64" i="53"/>
  <c r="N65" i="53"/>
  <c r="N66" i="53"/>
  <c r="N67" i="53"/>
  <c r="N68" i="53"/>
  <c r="N69" i="53"/>
  <c r="R2" i="53"/>
  <c r="Q2" i="53"/>
  <c r="P2" i="53"/>
  <c r="O2" i="53"/>
  <c r="N2" i="53"/>
  <c r="L18" i="53"/>
  <c r="K2" i="53"/>
  <c r="J2" i="53"/>
  <c r="H2" i="53"/>
  <c r="F2" i="53"/>
  <c r="E2" i="53"/>
  <c r="D2" i="53"/>
  <c r="C2" i="53"/>
  <c r="B2" i="53"/>
  <c r="B15" i="53"/>
  <c r="N57" i="52"/>
  <c r="N58" i="52"/>
  <c r="N59" i="52"/>
  <c r="N60" i="52"/>
  <c r="N61" i="52"/>
  <c r="N62" i="52"/>
  <c r="N63" i="52"/>
  <c r="N64" i="52"/>
  <c r="N65" i="52"/>
  <c r="N66" i="52"/>
  <c r="N67" i="52"/>
  <c r="N68" i="52"/>
  <c r="N69" i="52"/>
  <c r="J2" i="52"/>
  <c r="Q2" i="52"/>
  <c r="R5" i="52"/>
  <c r="R2" i="52"/>
  <c r="M67" i="52"/>
  <c r="P2" i="52"/>
  <c r="O2" i="52"/>
  <c r="N2" i="52"/>
  <c r="H2" i="52"/>
  <c r="F2" i="52"/>
  <c r="E2" i="52"/>
  <c r="D2" i="52"/>
  <c r="H48" i="52"/>
  <c r="C2" i="52"/>
  <c r="B2" i="52"/>
  <c r="B6" i="52"/>
  <c r="K2" i="52"/>
  <c r="D39" i="52"/>
  <c r="E39" i="52"/>
  <c r="F39" i="52"/>
  <c r="R2" i="1"/>
  <c r="M62" i="1"/>
  <c r="S2" i="4"/>
  <c r="F2" i="1"/>
  <c r="E2" i="1"/>
  <c r="Q2" i="1"/>
  <c r="P2" i="1"/>
  <c r="O2" i="1"/>
  <c r="N2" i="1"/>
  <c r="D2" i="1"/>
  <c r="C2" i="1"/>
  <c r="B7" i="50"/>
  <c r="B3" i="50"/>
  <c r="B4" i="50"/>
  <c r="N4" i="50"/>
  <c r="B5" i="50"/>
  <c r="B6" i="50"/>
  <c r="B8" i="50"/>
  <c r="B9" i="50"/>
  <c r="Q10" i="50"/>
  <c r="B10" i="50"/>
  <c r="B11" i="50"/>
  <c r="B12" i="50"/>
  <c r="B2" i="50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B2" i="1"/>
  <c r="B54" i="1"/>
  <c r="K2" i="1"/>
  <c r="H2" i="1"/>
  <c r="M15" i="61"/>
  <c r="M23" i="61"/>
  <c r="B47" i="61"/>
  <c r="B35" i="61"/>
  <c r="M55" i="61"/>
  <c r="M47" i="61"/>
  <c r="M60" i="61"/>
  <c r="M34" i="59"/>
  <c r="M22" i="59"/>
  <c r="M30" i="59"/>
  <c r="B19" i="59"/>
  <c r="B23" i="59"/>
  <c r="B27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56" i="59"/>
  <c r="B55" i="59"/>
  <c r="B54" i="59"/>
  <c r="B53" i="59"/>
  <c r="B13" i="59"/>
  <c r="B15" i="59"/>
  <c r="B16" i="59"/>
  <c r="B20" i="59"/>
  <c r="B24" i="59"/>
  <c r="B28" i="59"/>
  <c r="M62" i="59"/>
  <c r="M67" i="59"/>
  <c r="M59" i="59"/>
  <c r="M55" i="59"/>
  <c r="M53" i="59"/>
  <c r="M51" i="59"/>
  <c r="M49" i="59"/>
  <c r="M47" i="59"/>
  <c r="M45" i="59"/>
  <c r="M43" i="59"/>
  <c r="M41" i="59"/>
  <c r="M39" i="59"/>
  <c r="M65" i="59"/>
  <c r="M57" i="59"/>
  <c r="B21" i="59"/>
  <c r="B25" i="59"/>
  <c r="B29" i="59"/>
  <c r="M35" i="59"/>
  <c r="B14" i="59"/>
  <c r="B17" i="59"/>
  <c r="B18" i="59"/>
  <c r="B22" i="59"/>
  <c r="B26" i="59"/>
  <c r="B30" i="59"/>
  <c r="M64" i="59"/>
  <c r="M37" i="58"/>
  <c r="M28" i="57"/>
  <c r="B17" i="57"/>
  <c r="B30" i="57"/>
  <c r="M17" i="56"/>
  <c r="M46" i="56"/>
  <c r="M31" i="56"/>
  <c r="B31" i="56"/>
  <c r="B20" i="54"/>
  <c r="B10" i="53"/>
  <c r="B55" i="53"/>
  <c r="B53" i="53"/>
  <c r="B51" i="53"/>
  <c r="B49" i="53"/>
  <c r="B47" i="53"/>
  <c r="B45" i="53"/>
  <c r="B43" i="53"/>
  <c r="B41" i="53"/>
  <c r="B39" i="53"/>
  <c r="B37" i="53"/>
  <c r="B35" i="53"/>
  <c r="B33" i="53"/>
  <c r="B31" i="53"/>
  <c r="B29" i="53"/>
  <c r="B27" i="53"/>
  <c r="B25" i="53"/>
  <c r="B23" i="53"/>
  <c r="B21" i="53"/>
  <c r="B19" i="53"/>
  <c r="B17" i="53"/>
  <c r="B48" i="52"/>
  <c r="B15" i="52"/>
  <c r="B32" i="52"/>
  <c r="B7" i="52"/>
  <c r="B14" i="52"/>
  <c r="B10" i="52"/>
  <c r="B23" i="52"/>
  <c r="B54" i="52"/>
  <c r="B50" i="52"/>
  <c r="B46" i="52"/>
  <c r="B42" i="52"/>
  <c r="B38" i="52"/>
  <c r="B34" i="52"/>
  <c r="B30" i="52"/>
  <c r="B53" i="52"/>
  <c r="B49" i="52"/>
  <c r="B45" i="52"/>
  <c r="B41" i="52"/>
  <c r="B37" i="52"/>
  <c r="B33" i="52"/>
  <c r="B29" i="52"/>
  <c r="B55" i="52"/>
  <c r="B47" i="52"/>
  <c r="B39" i="52"/>
  <c r="B31" i="52"/>
  <c r="B24" i="52"/>
  <c r="B20" i="52"/>
  <c r="B16" i="52"/>
  <c r="B12" i="52"/>
  <c r="B52" i="52"/>
  <c r="B44" i="52"/>
  <c r="B36" i="52"/>
  <c r="B28" i="52"/>
  <c r="B25" i="52"/>
  <c r="B21" i="52"/>
  <c r="B17" i="52"/>
  <c r="B13" i="52"/>
  <c r="B56" i="52"/>
  <c r="B40" i="52"/>
  <c r="B27" i="52"/>
  <c r="B19" i="52"/>
  <c r="B8" i="52"/>
  <c r="B51" i="52"/>
  <c r="B35" i="52"/>
  <c r="B26" i="52"/>
  <c r="B18" i="52"/>
  <c r="B9" i="52"/>
  <c r="B11" i="52"/>
  <c r="B22" i="52"/>
  <c r="B43" i="52"/>
  <c r="M52" i="53"/>
  <c r="M67" i="55"/>
  <c r="M63" i="55"/>
  <c r="M66" i="1"/>
  <c r="M50" i="1"/>
  <c r="M46" i="1"/>
  <c r="M34" i="1"/>
  <c r="M18" i="1"/>
  <c r="M14" i="1"/>
  <c r="M65" i="1"/>
  <c r="M49" i="1"/>
  <c r="M45" i="1"/>
  <c r="M33" i="1"/>
  <c r="M17" i="1"/>
  <c r="M13" i="1"/>
  <c r="M5" i="1"/>
  <c r="M56" i="1"/>
  <c r="M52" i="1"/>
  <c r="M40" i="1"/>
  <c r="M24" i="1"/>
  <c r="M20" i="1"/>
  <c r="M44" i="61"/>
  <c r="M52" i="61"/>
  <c r="M18" i="61"/>
  <c r="M68" i="61"/>
  <c r="M48" i="61"/>
  <c r="M56" i="61"/>
  <c r="M34" i="52"/>
  <c r="M35" i="61"/>
  <c r="M43" i="61"/>
  <c r="M27" i="61"/>
  <c r="N9" i="50"/>
  <c r="M66" i="56"/>
  <c r="M61" i="56"/>
  <c r="B29" i="60"/>
  <c r="M69" i="52"/>
  <c r="M8" i="53"/>
  <c r="O8" i="54" s="1"/>
  <c r="S8" i="54" s="1"/>
  <c r="B16" i="53"/>
  <c r="B20" i="53"/>
  <c r="B24" i="53"/>
  <c r="B28" i="53"/>
  <c r="B32" i="53"/>
  <c r="B36" i="53"/>
  <c r="B40" i="53"/>
  <c r="B44" i="53"/>
  <c r="B48" i="53"/>
  <c r="B52" i="53"/>
  <c r="B56" i="53"/>
  <c r="B17" i="55"/>
  <c r="M29" i="53"/>
  <c r="O29" i="54" s="1"/>
  <c r="S29" i="54" s="1"/>
  <c r="B18" i="53"/>
  <c r="B22" i="53"/>
  <c r="B26" i="53"/>
  <c r="B30" i="53"/>
  <c r="B34" i="53"/>
  <c r="B38" i="53"/>
  <c r="B42" i="53"/>
  <c r="B46" i="53"/>
  <c r="B50" i="53"/>
  <c r="B54" i="53"/>
  <c r="B48" i="60"/>
  <c r="B11" i="53"/>
  <c r="B7" i="53"/>
  <c r="B14" i="53"/>
  <c r="M13" i="59"/>
  <c r="B9" i="53"/>
  <c r="M21" i="59"/>
  <c r="B12" i="53"/>
  <c r="M25" i="55"/>
  <c r="M9" i="55"/>
  <c r="B33" i="54"/>
  <c r="M18" i="56"/>
  <c r="B46" i="58"/>
  <c r="B35" i="58"/>
  <c r="B50" i="58"/>
  <c r="B26" i="58"/>
  <c r="B45" i="55"/>
  <c r="B32" i="55"/>
  <c r="B13" i="55"/>
  <c r="B41" i="55"/>
  <c r="B28" i="55"/>
  <c r="B9" i="55"/>
  <c r="B53" i="55"/>
  <c r="B20" i="55"/>
  <c r="B24" i="55"/>
  <c r="M34" i="55"/>
  <c r="M69" i="55"/>
  <c r="B27" i="54"/>
  <c r="B49" i="55"/>
  <c r="B56" i="54"/>
  <c r="B44" i="54"/>
  <c r="B34" i="54"/>
  <c r="B18" i="54"/>
  <c r="B10" i="54"/>
  <c r="B25" i="54"/>
  <c r="B52" i="54"/>
  <c r="B42" i="54"/>
  <c r="B30" i="54"/>
  <c r="B16" i="54"/>
  <c r="B8" i="54"/>
  <c r="B29" i="54"/>
  <c r="B48" i="54"/>
  <c r="B40" i="54"/>
  <c r="B22" i="54"/>
  <c r="B14" i="54"/>
  <c r="B35" i="54"/>
  <c r="B31" i="54"/>
  <c r="M10" i="54"/>
  <c r="M24" i="54"/>
  <c r="M47" i="54"/>
  <c r="M66" i="54"/>
  <c r="M56" i="55"/>
  <c r="M38" i="55"/>
  <c r="M17" i="55"/>
  <c r="M60" i="55"/>
  <c r="O60" i="56" s="1"/>
  <c r="S60" i="56" s="1"/>
  <c r="B12" i="54"/>
  <c r="B11" i="1"/>
  <c r="B51" i="1"/>
  <c r="B8" i="1"/>
  <c r="Q5" i="50"/>
  <c r="M68" i="52"/>
  <c r="M49" i="52"/>
  <c r="M25" i="52"/>
  <c r="M60" i="52"/>
  <c r="M39" i="52"/>
  <c r="M54" i="52"/>
  <c r="M12" i="52"/>
  <c r="M31" i="52"/>
  <c r="M38" i="52"/>
  <c r="B18" i="56"/>
  <c r="B14" i="56"/>
  <c r="B52" i="56"/>
  <c r="B35" i="56"/>
  <c r="B40" i="56"/>
  <c r="B48" i="56"/>
  <c r="B39" i="56"/>
  <c r="B44" i="56"/>
  <c r="M11" i="56"/>
  <c r="M63" i="56"/>
  <c r="M50" i="56"/>
  <c r="M43" i="56"/>
  <c r="M38" i="56"/>
  <c r="M30" i="56"/>
  <c r="M20" i="56"/>
  <c r="M59" i="56"/>
  <c r="M49" i="56"/>
  <c r="M42" i="56"/>
  <c r="M35" i="56"/>
  <c r="M60" i="56"/>
  <c r="M26" i="56"/>
  <c r="M65" i="56"/>
  <c r="M54" i="56"/>
  <c r="M47" i="56"/>
  <c r="M39" i="56"/>
  <c r="M34" i="56"/>
  <c r="O34" i="56" s="1"/>
  <c r="M12" i="56"/>
  <c r="M28" i="56"/>
  <c r="B13" i="53"/>
  <c r="B8" i="53"/>
  <c r="M23" i="59"/>
  <c r="I3" i="4"/>
  <c r="G2" i="52"/>
  <c r="C28" i="52"/>
  <c r="D28" i="52"/>
  <c r="C43" i="52"/>
  <c r="D43" i="52"/>
  <c r="C41" i="52"/>
  <c r="D41" i="52"/>
  <c r="E41" i="52"/>
  <c r="F41" i="52"/>
  <c r="I6" i="4"/>
  <c r="G2" i="55"/>
  <c r="L9" i="55"/>
  <c r="L9" i="56"/>
  <c r="N9" i="56"/>
  <c r="B12" i="57"/>
  <c r="B34" i="57"/>
  <c r="B21" i="57"/>
  <c r="M29" i="59"/>
  <c r="B49" i="57"/>
  <c r="B38" i="57"/>
  <c r="B48" i="57"/>
  <c r="H16" i="52"/>
  <c r="B26" i="57"/>
  <c r="B47" i="57"/>
  <c r="Q9" i="50"/>
  <c r="K9" i="50"/>
  <c r="M14" i="58"/>
  <c r="M18" i="58"/>
  <c r="C34" i="52"/>
  <c r="D34" i="52"/>
  <c r="H9" i="52"/>
  <c r="C51" i="52"/>
  <c r="D51" i="52"/>
  <c r="E51" i="52"/>
  <c r="F51" i="52"/>
  <c r="J51" i="52"/>
  <c r="H51" i="52"/>
  <c r="C55" i="52"/>
  <c r="C18" i="52"/>
  <c r="L32" i="52"/>
  <c r="B16" i="60"/>
  <c r="B20" i="60"/>
  <c r="B43" i="60"/>
  <c r="B39" i="60"/>
  <c r="B35" i="60"/>
  <c r="B31" i="60"/>
  <c r="B27" i="60"/>
  <c r="B55" i="60"/>
  <c r="B47" i="60"/>
  <c r="B52" i="60"/>
  <c r="B44" i="60"/>
  <c r="B17" i="60"/>
  <c r="B21" i="60"/>
  <c r="B42" i="60"/>
  <c r="B38" i="60"/>
  <c r="B34" i="60"/>
  <c r="B30" i="60"/>
  <c r="B26" i="60"/>
  <c r="B53" i="60"/>
  <c r="B45" i="60"/>
  <c r="B50" i="60"/>
  <c r="B19" i="60"/>
  <c r="B40" i="60"/>
  <c r="B32" i="60"/>
  <c r="B24" i="60"/>
  <c r="B54" i="60"/>
  <c r="B15" i="60"/>
  <c r="B23" i="60"/>
  <c r="B36" i="60"/>
  <c r="B28" i="60"/>
  <c r="B49" i="60"/>
  <c r="B46" i="60"/>
  <c r="B18" i="60"/>
  <c r="B33" i="60"/>
  <c r="B56" i="60"/>
  <c r="B41" i="60"/>
  <c r="B25" i="60"/>
  <c r="B14" i="60"/>
  <c r="B37" i="60"/>
  <c r="B51" i="60"/>
  <c r="M56" i="60"/>
  <c r="M22" i="60"/>
  <c r="M62" i="60"/>
  <c r="M47" i="60"/>
  <c r="O47" i="61" s="1"/>
  <c r="C21" i="52"/>
  <c r="D21" i="52"/>
  <c r="E21" i="52"/>
  <c r="F21" i="52"/>
  <c r="G21" i="52"/>
  <c r="L20" i="52"/>
  <c r="B14" i="1"/>
  <c r="B50" i="57"/>
  <c r="B40" i="57"/>
  <c r="B20" i="57"/>
  <c r="B16" i="57"/>
  <c r="B44" i="57"/>
  <c r="B37" i="57"/>
  <c r="B33" i="57"/>
  <c r="B29" i="57"/>
  <c r="B25" i="57"/>
  <c r="B45" i="57"/>
  <c r="B14" i="57"/>
  <c r="B11" i="57"/>
  <c r="B56" i="57"/>
  <c r="B23" i="57"/>
  <c r="B19" i="57"/>
  <c r="B55" i="57"/>
  <c r="B42" i="57"/>
  <c r="B36" i="57"/>
  <c r="B32" i="57"/>
  <c r="B28" i="57"/>
  <c r="B24" i="57"/>
  <c r="B43" i="57"/>
  <c r="B54" i="57"/>
  <c r="B13" i="57"/>
  <c r="B22" i="57"/>
  <c r="B51" i="57"/>
  <c r="B35" i="57"/>
  <c r="B27" i="57"/>
  <c r="B41" i="57"/>
  <c r="B52" i="57"/>
  <c r="B18" i="57"/>
  <c r="B39" i="57"/>
  <c r="B31" i="57"/>
  <c r="B53" i="57"/>
  <c r="B46" i="57"/>
  <c r="B17" i="1"/>
  <c r="B56" i="1"/>
  <c r="B50" i="1"/>
  <c r="B52" i="1"/>
  <c r="B23" i="1"/>
  <c r="B35" i="1"/>
  <c r="B24" i="1"/>
  <c r="B30" i="1"/>
  <c r="B38" i="1"/>
  <c r="B13" i="1"/>
  <c r="B49" i="1"/>
  <c r="B55" i="1"/>
  <c r="B6" i="1"/>
  <c r="B10" i="1"/>
  <c r="B44" i="1"/>
  <c r="B39" i="1"/>
  <c r="B26" i="1"/>
  <c r="B9" i="1"/>
  <c r="B31" i="1"/>
  <c r="B20" i="1"/>
  <c r="I10" i="4"/>
  <c r="G2" i="59"/>
  <c r="C55" i="59"/>
  <c r="D55" i="59"/>
  <c r="E55" i="59"/>
  <c r="F55" i="59"/>
  <c r="J55" i="59"/>
  <c r="I9" i="4"/>
  <c r="G2" i="58"/>
  <c r="C46" i="58"/>
  <c r="D46" i="58"/>
  <c r="B45" i="1"/>
  <c r="M27" i="1"/>
  <c r="M55" i="1"/>
  <c r="M8" i="52"/>
  <c r="M56" i="52"/>
  <c r="M40" i="52"/>
  <c r="M51" i="52"/>
  <c r="M35" i="52"/>
  <c r="M59" i="52"/>
  <c r="M14" i="52"/>
  <c r="M46" i="52"/>
  <c r="M19" i="52"/>
  <c r="M42" i="52"/>
  <c r="M20" i="52"/>
  <c r="M48" i="52"/>
  <c r="M43" i="52"/>
  <c r="M41" i="52"/>
  <c r="M58" i="52"/>
  <c r="M11" i="52"/>
  <c r="M37" i="52"/>
  <c r="M50" i="52"/>
  <c r="B54" i="54"/>
  <c r="B50" i="54"/>
  <c r="B53" i="54"/>
  <c r="B49" i="54"/>
  <c r="B51" i="54"/>
  <c r="B45" i="54"/>
  <c r="B41" i="54"/>
  <c r="B38" i="54"/>
  <c r="B23" i="54"/>
  <c r="B19" i="54"/>
  <c r="B15" i="54"/>
  <c r="B11" i="54"/>
  <c r="B39" i="54"/>
  <c r="B26" i="54"/>
  <c r="B36" i="54"/>
  <c r="B55" i="54"/>
  <c r="B47" i="54"/>
  <c r="B43" i="54"/>
  <c r="B37" i="54"/>
  <c r="B32" i="54"/>
  <c r="B21" i="54"/>
  <c r="B17" i="54"/>
  <c r="B13" i="54"/>
  <c r="B9" i="54"/>
  <c r="B28" i="54"/>
  <c r="B24" i="54"/>
  <c r="M56" i="54"/>
  <c r="M52" i="54"/>
  <c r="M40" i="54"/>
  <c r="M31" i="54"/>
  <c r="M27" i="54"/>
  <c r="M23" i="54"/>
  <c r="M15" i="54"/>
  <c r="M11" i="54"/>
  <c r="M63" i="54"/>
  <c r="M50" i="54"/>
  <c r="M46" i="54"/>
  <c r="M42" i="54"/>
  <c r="M65" i="54"/>
  <c r="M37" i="54"/>
  <c r="M29" i="54"/>
  <c r="M58" i="54"/>
  <c r="M21" i="54"/>
  <c r="M17" i="54"/>
  <c r="O17" i="55" s="1"/>
  <c r="M9" i="54"/>
  <c r="B55" i="55"/>
  <c r="B51" i="55"/>
  <c r="B47" i="55"/>
  <c r="B43" i="55"/>
  <c r="B22" i="55"/>
  <c r="B38" i="55"/>
  <c r="B34" i="55"/>
  <c r="B30" i="55"/>
  <c r="B26" i="55"/>
  <c r="B19" i="55"/>
  <c r="C19" i="55"/>
  <c r="D19" i="55"/>
  <c r="B15" i="55"/>
  <c r="B11" i="55"/>
  <c r="B54" i="55"/>
  <c r="B50" i="55"/>
  <c r="B46" i="55"/>
  <c r="B42" i="55"/>
  <c r="B21" i="55"/>
  <c r="B37" i="55"/>
  <c r="B33" i="55"/>
  <c r="B29" i="55"/>
  <c r="B25" i="55"/>
  <c r="B18" i="55"/>
  <c r="C18" i="55"/>
  <c r="D18" i="55"/>
  <c r="B14" i="55"/>
  <c r="B10" i="55"/>
  <c r="B56" i="55"/>
  <c r="B48" i="55"/>
  <c r="B40" i="55"/>
  <c r="B35" i="55"/>
  <c r="B27" i="55"/>
  <c r="B16" i="55"/>
  <c r="B52" i="55"/>
  <c r="B44" i="55"/>
  <c r="B39" i="55"/>
  <c r="B31" i="55"/>
  <c r="B23" i="55"/>
  <c r="B12" i="55"/>
  <c r="M20" i="55"/>
  <c r="K12" i="50"/>
  <c r="K11" i="50"/>
  <c r="B19" i="61"/>
  <c r="B46" i="61"/>
  <c r="M16" i="61"/>
  <c r="M20" i="61"/>
  <c r="M24" i="61"/>
  <c r="M64" i="61"/>
  <c r="M66" i="61"/>
  <c r="M63" i="61"/>
  <c r="M54" i="61"/>
  <c r="M50" i="61"/>
  <c r="M46" i="61"/>
  <c r="M42" i="61"/>
  <c r="M38" i="61"/>
  <c r="M34" i="61"/>
  <c r="M30" i="61"/>
  <c r="M65" i="61"/>
  <c r="M17" i="61"/>
  <c r="M21" i="61"/>
  <c r="M25" i="61"/>
  <c r="M62" i="61"/>
  <c r="M59" i="61"/>
  <c r="M53" i="61"/>
  <c r="M49" i="61"/>
  <c r="M45" i="61"/>
  <c r="M41" i="61"/>
  <c r="M37" i="61"/>
  <c r="M33" i="61"/>
  <c r="M29" i="61"/>
  <c r="M57" i="61"/>
  <c r="M69" i="61"/>
  <c r="M29" i="56"/>
  <c r="M23" i="56"/>
  <c r="M10" i="56"/>
  <c r="M57" i="56"/>
  <c r="M56" i="56"/>
  <c r="M52" i="56"/>
  <c r="M48" i="56"/>
  <c r="M45" i="56"/>
  <c r="M41" i="56"/>
  <c r="M62" i="56"/>
  <c r="M37" i="56"/>
  <c r="M33" i="56"/>
  <c r="M68" i="56"/>
  <c r="M14" i="56"/>
  <c r="M22" i="56"/>
  <c r="M25" i="56"/>
  <c r="O25" i="56" s="1"/>
  <c r="S25" i="56" s="1"/>
  <c r="M13" i="56"/>
  <c r="M69" i="56"/>
  <c r="O69" i="56" s="1"/>
  <c r="S69" i="56" s="1"/>
  <c r="M67" i="56"/>
  <c r="M55" i="56"/>
  <c r="M51" i="56"/>
  <c r="M44" i="56"/>
  <c r="M40" i="56"/>
  <c r="M58" i="56"/>
  <c r="M36" i="56"/>
  <c r="M32" i="56"/>
  <c r="M64" i="56"/>
  <c r="M16" i="56"/>
  <c r="M24" i="56"/>
  <c r="H9" i="55"/>
  <c r="H9" i="56"/>
  <c r="H16" i="59"/>
  <c r="H22" i="59"/>
  <c r="H28" i="59"/>
  <c r="H44" i="59"/>
  <c r="H31" i="59"/>
  <c r="H27" i="59"/>
  <c r="H49" i="59"/>
  <c r="H17" i="59"/>
  <c r="H18" i="59"/>
  <c r="H15" i="59"/>
  <c r="H34" i="59"/>
  <c r="H48" i="59"/>
  <c r="H39" i="59"/>
  <c r="H23" i="59"/>
  <c r="H46" i="59"/>
  <c r="H30" i="59"/>
  <c r="H32" i="59"/>
  <c r="H52" i="59"/>
  <c r="H19" i="59"/>
  <c r="H37" i="59"/>
  <c r="L19" i="59"/>
  <c r="L54" i="59"/>
  <c r="L16" i="59"/>
  <c r="B40" i="58"/>
  <c r="B36" i="58"/>
  <c r="B32" i="58"/>
  <c r="B55" i="58"/>
  <c r="B51" i="58"/>
  <c r="B47" i="58"/>
  <c r="B12" i="58"/>
  <c r="B16" i="58"/>
  <c r="B20" i="58"/>
  <c r="B24" i="58"/>
  <c r="B29" i="58"/>
  <c r="B42" i="58"/>
  <c r="B38" i="58"/>
  <c r="B34" i="58"/>
  <c r="B30" i="58"/>
  <c r="B53" i="58"/>
  <c r="B49" i="58"/>
  <c r="B45" i="58"/>
  <c r="B14" i="58"/>
  <c r="B18" i="58"/>
  <c r="B22" i="58"/>
  <c r="B27" i="58"/>
  <c r="B41" i="58"/>
  <c r="B37" i="58"/>
  <c r="B33" i="58"/>
  <c r="B56" i="58"/>
  <c r="B52" i="58"/>
  <c r="B48" i="58"/>
  <c r="B44" i="58"/>
  <c r="B15" i="58"/>
  <c r="B19" i="58"/>
  <c r="B23" i="58"/>
  <c r="B28" i="58"/>
  <c r="B25" i="58"/>
  <c r="B43" i="58"/>
  <c r="B54" i="58"/>
  <c r="B17" i="58"/>
  <c r="B31" i="58"/>
  <c r="B13" i="58"/>
  <c r="B21" i="58"/>
  <c r="B39" i="58"/>
  <c r="O56" i="61"/>
  <c r="S56" i="61" s="1"/>
  <c r="M61" i="60"/>
  <c r="B42" i="56"/>
  <c r="B27" i="56"/>
  <c r="B23" i="56"/>
  <c r="B12" i="56"/>
  <c r="B29" i="56"/>
  <c r="B24" i="56"/>
  <c r="B20" i="56"/>
  <c r="B16" i="56"/>
  <c r="B13" i="56"/>
  <c r="B26" i="56"/>
  <c r="B19" i="56"/>
  <c r="B25" i="56"/>
  <c r="B53" i="56"/>
  <c r="B49" i="56"/>
  <c r="B45" i="56"/>
  <c r="B30" i="56"/>
  <c r="B34" i="56"/>
  <c r="B38" i="56"/>
  <c r="B17" i="56"/>
  <c r="B55" i="56"/>
  <c r="B51" i="56"/>
  <c r="B47" i="56"/>
  <c r="B10" i="56"/>
  <c r="B32" i="56"/>
  <c r="B36" i="56"/>
  <c r="B41" i="56"/>
  <c r="B28" i="56"/>
  <c r="B21" i="56"/>
  <c r="B15" i="56"/>
  <c r="B22" i="56"/>
  <c r="B54" i="56"/>
  <c r="B50" i="56"/>
  <c r="B46" i="56"/>
  <c r="B11" i="56"/>
  <c r="B33" i="56"/>
  <c r="B37" i="56"/>
  <c r="B43" i="56"/>
  <c r="I4" i="4"/>
  <c r="G2" i="53"/>
  <c r="I5" i="4"/>
  <c r="G2" i="54"/>
  <c r="I2" i="4"/>
  <c r="G2" i="1"/>
  <c r="I8" i="4"/>
  <c r="G2" i="57"/>
  <c r="I7" i="4"/>
  <c r="G2" i="56"/>
  <c r="I11" i="4"/>
  <c r="G2" i="60"/>
  <c r="I12" i="4"/>
  <c r="G2" i="61"/>
  <c r="K7" i="50"/>
  <c r="K10" i="50"/>
  <c r="K8" i="50"/>
  <c r="M54" i="60"/>
  <c r="O54" i="61" s="1"/>
  <c r="M45" i="60"/>
  <c r="M34" i="60"/>
  <c r="M21" i="60"/>
  <c r="M18" i="60"/>
  <c r="O18" i="61" s="1"/>
  <c r="S18" i="61" s="1"/>
  <c r="M13" i="60"/>
  <c r="M60" i="60"/>
  <c r="M55" i="60"/>
  <c r="M48" i="60"/>
  <c r="M35" i="60"/>
  <c r="M27" i="60"/>
  <c r="M68" i="60"/>
  <c r="M67" i="60"/>
  <c r="M53" i="60"/>
  <c r="M44" i="60"/>
  <c r="M69" i="60"/>
  <c r="O69" i="61" s="1"/>
  <c r="S69" i="61" s="1"/>
  <c r="M31" i="60"/>
  <c r="M65" i="60"/>
  <c r="M41" i="60"/>
  <c r="M39" i="60"/>
  <c r="M20" i="60"/>
  <c r="M64" i="60"/>
  <c r="M51" i="60"/>
  <c r="M46" i="60"/>
  <c r="O46" i="61" s="1"/>
  <c r="S46" i="61" s="1"/>
  <c r="M38" i="60"/>
  <c r="M29" i="60"/>
  <c r="O29" i="61" s="1"/>
  <c r="S29" i="61" s="1"/>
  <c r="M23" i="60"/>
  <c r="M40" i="60"/>
  <c r="M19" i="60"/>
  <c r="M49" i="60"/>
  <c r="O49" i="61" s="1"/>
  <c r="S49" i="61" s="1"/>
  <c r="M36" i="60"/>
  <c r="M28" i="60"/>
  <c r="M25" i="60"/>
  <c r="M42" i="60"/>
  <c r="B27" i="61"/>
  <c r="B23" i="61"/>
  <c r="B56" i="61"/>
  <c r="B48" i="61"/>
  <c r="B40" i="61"/>
  <c r="B49" i="61"/>
  <c r="B41" i="61"/>
  <c r="B36" i="61"/>
  <c r="B32" i="61"/>
  <c r="B18" i="61"/>
  <c r="B22" i="61"/>
  <c r="B28" i="61"/>
  <c r="B24" i="61"/>
  <c r="B50" i="61"/>
  <c r="B42" i="61"/>
  <c r="B51" i="61"/>
  <c r="B43" i="61"/>
  <c r="B37" i="61"/>
  <c r="B33" i="61"/>
  <c r="B17" i="61"/>
  <c r="B21" i="61"/>
  <c r="B25" i="61"/>
  <c r="B52" i="61"/>
  <c r="B53" i="61"/>
  <c r="B38" i="61"/>
  <c r="B16" i="61"/>
  <c r="B31" i="61"/>
  <c r="B30" i="61"/>
  <c r="B44" i="61"/>
  <c r="B45" i="61"/>
  <c r="B34" i="61"/>
  <c r="B20" i="61"/>
  <c r="B26" i="61"/>
  <c r="B54" i="61"/>
  <c r="B55" i="61"/>
  <c r="B39" i="61"/>
  <c r="B15" i="61"/>
  <c r="B29" i="61"/>
  <c r="N10" i="50"/>
  <c r="N8" i="50"/>
  <c r="M11" i="1"/>
  <c r="O11" i="52" s="1"/>
  <c r="S11" i="52" s="1"/>
  <c r="M23" i="1"/>
  <c r="M35" i="1"/>
  <c r="O35" i="52"/>
  <c r="S35" i="52" s="1"/>
  <c r="M51" i="1"/>
  <c r="M63" i="1"/>
  <c r="M7" i="1"/>
  <c r="M19" i="1"/>
  <c r="O19" i="52" s="1"/>
  <c r="S19" i="52" s="1"/>
  <c r="M31" i="1"/>
  <c r="O31" i="52" s="1"/>
  <c r="S31" i="52" s="1"/>
  <c r="M47" i="1"/>
  <c r="M59" i="1"/>
  <c r="O59" i="52" s="1"/>
  <c r="S59" i="52" s="1"/>
  <c r="M8" i="1"/>
  <c r="O8" i="52" s="1"/>
  <c r="S8" i="52" s="1"/>
  <c r="M43" i="1"/>
  <c r="O43" i="52" s="1"/>
  <c r="S43" i="52" s="1"/>
  <c r="M15" i="1"/>
  <c r="M32" i="59"/>
  <c r="M25" i="59"/>
  <c r="M19" i="59"/>
  <c r="O19" i="60" s="1"/>
  <c r="M16" i="59"/>
  <c r="M12" i="59"/>
  <c r="M36" i="59"/>
  <c r="M38" i="59"/>
  <c r="O38" i="60" s="1"/>
  <c r="M27" i="59"/>
  <c r="M17" i="59"/>
  <c r="B33" i="1"/>
  <c r="B29" i="1"/>
  <c r="B36" i="1"/>
  <c r="B53" i="1"/>
  <c r="B37" i="1"/>
  <c r="B7" i="1"/>
  <c r="B43" i="1"/>
  <c r="B19" i="1"/>
  <c r="B16" i="1"/>
  <c r="B32" i="1"/>
  <c r="B22" i="1"/>
  <c r="B25" i="1"/>
  <c r="B48" i="1"/>
  <c r="B46" i="1"/>
  <c r="B42" i="1"/>
  <c r="B40" i="1"/>
  <c r="B21" i="1"/>
  <c r="B5" i="1"/>
  <c r="B41" i="1"/>
  <c r="B15" i="1"/>
  <c r="B47" i="1"/>
  <c r="B27" i="1"/>
  <c r="B12" i="1"/>
  <c r="B28" i="1"/>
  <c r="B18" i="1"/>
  <c r="B34" i="1"/>
  <c r="M67" i="1"/>
  <c r="M39" i="1"/>
  <c r="O39" i="52" s="1"/>
  <c r="S39" i="52" s="1"/>
  <c r="M21" i="56"/>
  <c r="M18" i="59"/>
  <c r="O18" i="60" s="1"/>
  <c r="S18" i="60" s="1"/>
  <c r="M31" i="59"/>
  <c r="M16" i="52"/>
  <c r="M17" i="52"/>
  <c r="M24" i="52"/>
  <c r="O24" i="52" s="1"/>
  <c r="M19" i="56"/>
  <c r="M15" i="56"/>
  <c r="M27" i="56"/>
  <c r="M9" i="56"/>
  <c r="C9" i="55"/>
  <c r="H16" i="58"/>
  <c r="C40" i="52"/>
  <c r="D40" i="52"/>
  <c r="E40" i="52"/>
  <c r="F40" i="52"/>
  <c r="L46" i="58"/>
  <c r="N46" i="59"/>
  <c r="C19" i="52"/>
  <c r="D19" i="52"/>
  <c r="E19" i="52"/>
  <c r="F19" i="52"/>
  <c r="C24" i="55"/>
  <c r="D24" i="55"/>
  <c r="E24" i="55"/>
  <c r="F24" i="55"/>
  <c r="L42" i="52"/>
  <c r="C39" i="52"/>
  <c r="C50" i="52"/>
  <c r="D50" i="52"/>
  <c r="E50" i="52"/>
  <c r="F50" i="52"/>
  <c r="L54" i="52"/>
  <c r="H24" i="52"/>
  <c r="L21" i="52"/>
  <c r="H27" i="52"/>
  <c r="C45" i="52"/>
  <c r="D45" i="52"/>
  <c r="E45" i="52"/>
  <c r="F45" i="52"/>
  <c r="C12" i="52"/>
  <c r="D12" i="52"/>
  <c r="O38" i="61"/>
  <c r="L45" i="52"/>
  <c r="H20" i="52"/>
  <c r="C52" i="52"/>
  <c r="D52" i="52"/>
  <c r="E52" i="52"/>
  <c r="F52" i="52"/>
  <c r="C13" i="52"/>
  <c r="L56" i="52"/>
  <c r="L13" i="52"/>
  <c r="C30" i="52"/>
  <c r="H54" i="52"/>
  <c r="C42" i="52"/>
  <c r="L10" i="52"/>
  <c r="L30" i="52"/>
  <c r="C27" i="52"/>
  <c r="C44" i="60"/>
  <c r="D44" i="60"/>
  <c r="G41" i="52"/>
  <c r="L29" i="52"/>
  <c r="C6" i="52"/>
  <c r="C44" i="52"/>
  <c r="C56" i="52"/>
  <c r="D56" i="52"/>
  <c r="E56" i="52"/>
  <c r="F56" i="52"/>
  <c r="C46" i="52"/>
  <c r="C49" i="52"/>
  <c r="D49" i="52"/>
  <c r="C35" i="52"/>
  <c r="D35" i="52"/>
  <c r="L33" i="52"/>
  <c r="N33" i="52"/>
  <c r="H35" i="52"/>
  <c r="C26" i="52"/>
  <c r="C8" i="52"/>
  <c r="D8" i="52"/>
  <c r="E8" i="52"/>
  <c r="F8" i="52"/>
  <c r="C25" i="52"/>
  <c r="C29" i="52"/>
  <c r="C17" i="52"/>
  <c r="D17" i="52"/>
  <c r="C48" i="52"/>
  <c r="C36" i="52"/>
  <c r="D36" i="52"/>
  <c r="E36" i="52"/>
  <c r="F36" i="52"/>
  <c r="L20" i="55"/>
  <c r="C10" i="52"/>
  <c r="D10" i="52"/>
  <c r="C20" i="52"/>
  <c r="C37" i="52"/>
  <c r="C53" i="52"/>
  <c r="L12" i="52"/>
  <c r="C15" i="52"/>
  <c r="D15" i="52"/>
  <c r="E15" i="52"/>
  <c r="F15" i="52"/>
  <c r="C38" i="52"/>
  <c r="H26" i="58"/>
  <c r="L49" i="59"/>
  <c r="H43" i="59"/>
  <c r="H38" i="59"/>
  <c r="H53" i="59"/>
  <c r="H29" i="59"/>
  <c r="H33" i="59"/>
  <c r="H47" i="59"/>
  <c r="H24" i="59"/>
  <c r="G36" i="52"/>
  <c r="L13" i="55"/>
  <c r="L36" i="55"/>
  <c r="O20" i="52"/>
  <c r="H32" i="52"/>
  <c r="L39" i="52"/>
  <c r="L35" i="52"/>
  <c r="H47" i="52"/>
  <c r="L14" i="52"/>
  <c r="C9" i="52"/>
  <c r="D9" i="52"/>
  <c r="C32" i="52"/>
  <c r="C47" i="52"/>
  <c r="C23" i="52"/>
  <c r="D23" i="52"/>
  <c r="C31" i="52"/>
  <c r="C54" i="52"/>
  <c r="C16" i="52"/>
  <c r="H25" i="52"/>
  <c r="H35" i="58"/>
  <c r="H50" i="58"/>
  <c r="H46" i="58"/>
  <c r="C11" i="52"/>
  <c r="D11" i="52"/>
  <c r="H33" i="52"/>
  <c r="L16" i="52"/>
  <c r="L27" i="52"/>
  <c r="C7" i="52"/>
  <c r="D7" i="52"/>
  <c r="C22" i="52"/>
  <c r="C35" i="58"/>
  <c r="D35" i="58"/>
  <c r="E35" i="58"/>
  <c r="F35" i="58"/>
  <c r="L50" i="58"/>
  <c r="C33" i="52"/>
  <c r="C14" i="52"/>
  <c r="D14" i="52"/>
  <c r="C24" i="52"/>
  <c r="D24" i="52"/>
  <c r="C13" i="55"/>
  <c r="D13" i="55"/>
  <c r="L32" i="55"/>
  <c r="C17" i="55"/>
  <c r="D17" i="55"/>
  <c r="E17" i="55"/>
  <c r="F17" i="55"/>
  <c r="H36" i="55"/>
  <c r="H49" i="55"/>
  <c r="H53" i="55"/>
  <c r="H32" i="55"/>
  <c r="H45" i="55"/>
  <c r="L41" i="55"/>
  <c r="H28" i="55"/>
  <c r="C28" i="55"/>
  <c r="D28" i="55"/>
  <c r="E28" i="55"/>
  <c r="F28" i="55"/>
  <c r="H41" i="55"/>
  <c r="H13" i="55"/>
  <c r="C10" i="55"/>
  <c r="D10" i="55"/>
  <c r="E10" i="55"/>
  <c r="F10" i="55"/>
  <c r="H20" i="55"/>
  <c r="H56" i="55"/>
  <c r="C12" i="55"/>
  <c r="D12" i="55"/>
  <c r="E12" i="55"/>
  <c r="F12" i="55"/>
  <c r="H43" i="55"/>
  <c r="C20" i="55"/>
  <c r="D20" i="55"/>
  <c r="H24" i="55"/>
  <c r="C49" i="55"/>
  <c r="D49" i="55"/>
  <c r="L53" i="55"/>
  <c r="C45" i="55"/>
  <c r="D45" i="55"/>
  <c r="E45" i="55"/>
  <c r="F45" i="55"/>
  <c r="C41" i="55"/>
  <c r="D41" i="55"/>
  <c r="C55" i="60"/>
  <c r="D55" i="60"/>
  <c r="E55" i="60"/>
  <c r="F55" i="60"/>
  <c r="C26" i="55"/>
  <c r="D26" i="55"/>
  <c r="E26" i="55"/>
  <c r="F26" i="55"/>
  <c r="G26" i="55"/>
  <c r="C36" i="55"/>
  <c r="D36" i="55"/>
  <c r="E36" i="55"/>
  <c r="F36" i="55"/>
  <c r="L45" i="55"/>
  <c r="H17" i="55"/>
  <c r="C32" i="55"/>
  <c r="D32" i="55"/>
  <c r="E32" i="55"/>
  <c r="F32" i="55"/>
  <c r="C53" i="55"/>
  <c r="D53" i="55"/>
  <c r="L28" i="55"/>
  <c r="C6" i="53"/>
  <c r="D6" i="53"/>
  <c r="E6" i="53"/>
  <c r="F6" i="53"/>
  <c r="D6" i="52"/>
  <c r="L49" i="55"/>
  <c r="N49" i="55"/>
  <c r="C35" i="55"/>
  <c r="D35" i="55"/>
  <c r="L35" i="55"/>
  <c r="H35" i="55"/>
  <c r="C29" i="55"/>
  <c r="D29" i="55"/>
  <c r="E29" i="55"/>
  <c r="F29" i="55"/>
  <c r="H29" i="55"/>
  <c r="L29" i="55"/>
  <c r="C11" i="55"/>
  <c r="D11" i="55"/>
  <c r="H11" i="55"/>
  <c r="L11" i="55"/>
  <c r="O25" i="61"/>
  <c r="C43" i="60"/>
  <c r="D43" i="60"/>
  <c r="E43" i="60"/>
  <c r="F43" i="60"/>
  <c r="C39" i="55"/>
  <c r="D39" i="55"/>
  <c r="E39" i="55"/>
  <c r="F39" i="55"/>
  <c r="L39" i="55"/>
  <c r="H39" i="55"/>
  <c r="C27" i="55"/>
  <c r="D27" i="55"/>
  <c r="H27" i="55"/>
  <c r="L27" i="55"/>
  <c r="L56" i="55"/>
  <c r="C56" i="55"/>
  <c r="D56" i="55"/>
  <c r="C25" i="55"/>
  <c r="D25" i="55"/>
  <c r="L25" i="55"/>
  <c r="H25" i="55"/>
  <c r="H21" i="55"/>
  <c r="C21" i="55"/>
  <c r="D21" i="55"/>
  <c r="L21" i="55"/>
  <c r="L54" i="55"/>
  <c r="H54" i="55"/>
  <c r="C54" i="55"/>
  <c r="D54" i="55"/>
  <c r="L26" i="55"/>
  <c r="H26" i="55"/>
  <c r="C22" i="55"/>
  <c r="D22" i="55"/>
  <c r="H22" i="55"/>
  <c r="L22" i="55"/>
  <c r="C55" i="55"/>
  <c r="D55" i="55"/>
  <c r="H55" i="55"/>
  <c r="L55" i="55"/>
  <c r="H50" i="59"/>
  <c r="C32" i="59"/>
  <c r="D32" i="59"/>
  <c r="H21" i="59"/>
  <c r="H56" i="59"/>
  <c r="H51" i="59"/>
  <c r="C45" i="59"/>
  <c r="D45" i="59"/>
  <c r="L36" i="59"/>
  <c r="H20" i="59"/>
  <c r="C21" i="59"/>
  <c r="D21" i="59"/>
  <c r="C17" i="59"/>
  <c r="D17" i="59"/>
  <c r="C15" i="59"/>
  <c r="D15" i="59"/>
  <c r="H36" i="59"/>
  <c r="L50" i="59"/>
  <c r="C41" i="59"/>
  <c r="D41" i="59"/>
  <c r="C13" i="59"/>
  <c r="H41" i="59"/>
  <c r="H26" i="59"/>
  <c r="H13" i="59"/>
  <c r="H13" i="60"/>
  <c r="L35" i="59"/>
  <c r="H55" i="59"/>
  <c r="C49" i="59"/>
  <c r="D49" i="59"/>
  <c r="C37" i="59"/>
  <c r="D37" i="59"/>
  <c r="H54" i="59"/>
  <c r="H14" i="59"/>
  <c r="H42" i="59"/>
  <c r="C33" i="59"/>
  <c r="D33" i="59"/>
  <c r="H25" i="59"/>
  <c r="H40" i="59"/>
  <c r="H45" i="59"/>
  <c r="L40" i="59"/>
  <c r="L23" i="59"/>
  <c r="L53" i="59"/>
  <c r="L46" i="59"/>
  <c r="L27" i="59"/>
  <c r="L20" i="59"/>
  <c r="L21" i="59"/>
  <c r="L31" i="59"/>
  <c r="L37" i="59"/>
  <c r="C53" i="59"/>
  <c r="D53" i="59"/>
  <c r="L22" i="59"/>
  <c r="L25" i="59"/>
  <c r="L38" i="59"/>
  <c r="L15" i="59"/>
  <c r="L56" i="59"/>
  <c r="L28" i="59"/>
  <c r="C14" i="59"/>
  <c r="D14" i="59"/>
  <c r="E14" i="59"/>
  <c r="F14" i="59"/>
  <c r="C27" i="59"/>
  <c r="D27" i="59"/>
  <c r="C30" i="59"/>
  <c r="D30" i="59"/>
  <c r="C40" i="59"/>
  <c r="D40" i="59"/>
  <c r="C47" i="59"/>
  <c r="D47" i="59"/>
  <c r="C50" i="59"/>
  <c r="D50" i="59"/>
  <c r="C52" i="59"/>
  <c r="D52" i="59"/>
  <c r="C16" i="59"/>
  <c r="D16" i="59"/>
  <c r="L44" i="59"/>
  <c r="L26" i="59"/>
  <c r="P26" i="59"/>
  <c r="L39" i="59"/>
  <c r="L29" i="59"/>
  <c r="L24" i="59"/>
  <c r="L45" i="59"/>
  <c r="L13" i="59"/>
  <c r="L51" i="59"/>
  <c r="L55" i="59"/>
  <c r="L43" i="59"/>
  <c r="P43" i="59"/>
  <c r="C26" i="59"/>
  <c r="D26" i="59"/>
  <c r="C43" i="59"/>
  <c r="D43" i="59"/>
  <c r="C46" i="59"/>
  <c r="D46" i="59"/>
  <c r="C56" i="59"/>
  <c r="D56" i="59"/>
  <c r="C20" i="59"/>
  <c r="D20" i="59"/>
  <c r="C31" i="59"/>
  <c r="D31" i="59"/>
  <c r="C34" i="59"/>
  <c r="D34" i="59"/>
  <c r="C36" i="59"/>
  <c r="D36" i="59"/>
  <c r="L33" i="59"/>
  <c r="L18" i="59"/>
  <c r="P18" i="59"/>
  <c r="L48" i="59"/>
  <c r="L41" i="59"/>
  <c r="H35" i="59"/>
  <c r="L17" i="59"/>
  <c r="L14" i="59"/>
  <c r="L52" i="59"/>
  <c r="L42" i="59"/>
  <c r="L47" i="59"/>
  <c r="L30" i="59"/>
  <c r="C29" i="59"/>
  <c r="D29" i="59"/>
  <c r="C35" i="59"/>
  <c r="D35" i="59"/>
  <c r="C38" i="59"/>
  <c r="D38" i="59"/>
  <c r="E38" i="59"/>
  <c r="F38" i="59"/>
  <c r="G38" i="59"/>
  <c r="I38" i="59"/>
  <c r="C48" i="59"/>
  <c r="D48" i="59"/>
  <c r="C25" i="59"/>
  <c r="D25" i="59"/>
  <c r="C19" i="59"/>
  <c r="D19" i="59"/>
  <c r="E19" i="59"/>
  <c r="F19" i="59"/>
  <c r="J19" i="59"/>
  <c r="C22" i="59"/>
  <c r="D22" i="59"/>
  <c r="C24" i="59"/>
  <c r="D24" i="59"/>
  <c r="E24" i="59"/>
  <c r="C51" i="59"/>
  <c r="D51" i="59"/>
  <c r="C39" i="59"/>
  <c r="D39" i="59"/>
  <c r="C54" i="59"/>
  <c r="D54" i="59"/>
  <c r="C42" i="59"/>
  <c r="D42" i="59"/>
  <c r="E42" i="59"/>
  <c r="F42" i="59"/>
  <c r="C18" i="59"/>
  <c r="D18" i="59"/>
  <c r="E18" i="59"/>
  <c r="F18" i="59"/>
  <c r="J18" i="59"/>
  <c r="C44" i="59"/>
  <c r="D44" i="59"/>
  <c r="C28" i="59"/>
  <c r="D28" i="59"/>
  <c r="E28" i="59"/>
  <c r="F28" i="59"/>
  <c r="C23" i="59"/>
  <c r="D23" i="59"/>
  <c r="C9" i="56"/>
  <c r="D9" i="56"/>
  <c r="D9" i="55"/>
  <c r="E9" i="55"/>
  <c r="F9" i="55"/>
  <c r="J9" i="55"/>
  <c r="P9" i="55"/>
  <c r="O9" i="55"/>
  <c r="G6" i="53"/>
  <c r="C44" i="55"/>
  <c r="D44" i="55"/>
  <c r="H44" i="55"/>
  <c r="L44" i="55"/>
  <c r="H10" i="55"/>
  <c r="L10" i="55"/>
  <c r="C42" i="55"/>
  <c r="D42" i="55"/>
  <c r="L42" i="55"/>
  <c r="H42" i="55"/>
  <c r="C43" i="55"/>
  <c r="D43" i="55"/>
  <c r="L43" i="55"/>
  <c r="C23" i="55"/>
  <c r="D23" i="55"/>
  <c r="L23" i="55"/>
  <c r="H23" i="55"/>
  <c r="C52" i="55"/>
  <c r="D52" i="55"/>
  <c r="H52" i="55"/>
  <c r="L52" i="55"/>
  <c r="C40" i="55"/>
  <c r="D40" i="55"/>
  <c r="H40" i="55"/>
  <c r="L40" i="55"/>
  <c r="L14" i="55"/>
  <c r="C14" i="55"/>
  <c r="D14" i="55"/>
  <c r="H14" i="55"/>
  <c r="C33" i="55"/>
  <c r="D33" i="55"/>
  <c r="H33" i="55"/>
  <c r="L33" i="55"/>
  <c r="L46" i="55"/>
  <c r="C46" i="55"/>
  <c r="D46" i="55"/>
  <c r="H46" i="55"/>
  <c r="L15" i="55"/>
  <c r="C15" i="55"/>
  <c r="D15" i="55"/>
  <c r="H15" i="55"/>
  <c r="C34" i="55"/>
  <c r="D34" i="55"/>
  <c r="L34" i="55"/>
  <c r="H34" i="55"/>
  <c r="H47" i="55"/>
  <c r="C47" i="55"/>
  <c r="D47" i="55"/>
  <c r="L47" i="55"/>
  <c r="G39" i="52"/>
  <c r="O56" i="52"/>
  <c r="S56" i="52" s="1"/>
  <c r="H12" i="55"/>
  <c r="L12" i="55"/>
  <c r="C30" i="55"/>
  <c r="D30" i="55"/>
  <c r="H30" i="55"/>
  <c r="L30" i="55"/>
  <c r="N30" i="55"/>
  <c r="E34" i="52"/>
  <c r="F34" i="52"/>
  <c r="G55" i="59"/>
  <c r="I55" i="59"/>
  <c r="L31" i="55"/>
  <c r="C31" i="55"/>
  <c r="D31" i="55"/>
  <c r="H31" i="55"/>
  <c r="C16" i="55"/>
  <c r="D16" i="55"/>
  <c r="H16" i="55"/>
  <c r="L16" i="55"/>
  <c r="H48" i="55"/>
  <c r="L48" i="55"/>
  <c r="C48" i="55"/>
  <c r="D48" i="55"/>
  <c r="H18" i="55"/>
  <c r="L18" i="55"/>
  <c r="C37" i="55"/>
  <c r="D37" i="55"/>
  <c r="L37" i="55"/>
  <c r="H37" i="55"/>
  <c r="L50" i="55"/>
  <c r="H50" i="55"/>
  <c r="C50" i="55"/>
  <c r="D50" i="55"/>
  <c r="H19" i="55"/>
  <c r="L19" i="55"/>
  <c r="H38" i="55"/>
  <c r="C38" i="55"/>
  <c r="D38" i="55"/>
  <c r="L38" i="55"/>
  <c r="C51" i="55"/>
  <c r="D51" i="55"/>
  <c r="E51" i="55"/>
  <c r="L51" i="55"/>
  <c r="H51" i="55"/>
  <c r="C26" i="58"/>
  <c r="D26" i="58"/>
  <c r="E26" i="58"/>
  <c r="C50" i="58"/>
  <c r="D50" i="58"/>
  <c r="L35" i="58"/>
  <c r="N35" i="59"/>
  <c r="L15" i="1"/>
  <c r="C15" i="1"/>
  <c r="D15" i="1"/>
  <c r="H15" i="1"/>
  <c r="L25" i="1"/>
  <c r="C25" i="1"/>
  <c r="D25" i="1"/>
  <c r="H25" i="1"/>
  <c r="C53" i="1"/>
  <c r="D53" i="1"/>
  <c r="L53" i="1"/>
  <c r="H53" i="1"/>
  <c r="H26" i="61"/>
  <c r="C26" i="61"/>
  <c r="D26" i="61"/>
  <c r="L26" i="61"/>
  <c r="C53" i="61"/>
  <c r="D53" i="61"/>
  <c r="H53" i="61"/>
  <c r="L53" i="61"/>
  <c r="L28" i="61"/>
  <c r="H28" i="61"/>
  <c r="C28" i="61"/>
  <c r="D28" i="61"/>
  <c r="C56" i="61"/>
  <c r="D56" i="61"/>
  <c r="H56" i="61"/>
  <c r="L56" i="61"/>
  <c r="H35" i="57"/>
  <c r="L24" i="57"/>
  <c r="L27" i="57"/>
  <c r="C43" i="57"/>
  <c r="D43" i="57"/>
  <c r="H13" i="57"/>
  <c r="H14" i="57"/>
  <c r="H22" i="57"/>
  <c r="H18" i="57"/>
  <c r="H55" i="57"/>
  <c r="H46" i="57"/>
  <c r="H39" i="57"/>
  <c r="H12" i="57"/>
  <c r="C50" i="57"/>
  <c r="D50" i="57"/>
  <c r="H34" i="57"/>
  <c r="L19" i="57"/>
  <c r="H28" i="57"/>
  <c r="H23" i="57"/>
  <c r="H29" i="57"/>
  <c r="C45" i="57"/>
  <c r="D45" i="57"/>
  <c r="C33" i="57"/>
  <c r="D33" i="57"/>
  <c r="C25" i="57"/>
  <c r="D25" i="57"/>
  <c r="L34" i="57"/>
  <c r="C14" i="57"/>
  <c r="D14" i="57"/>
  <c r="C18" i="57"/>
  <c r="D18" i="57"/>
  <c r="C22" i="57"/>
  <c r="D22" i="57"/>
  <c r="L18" i="57"/>
  <c r="H20" i="57"/>
  <c r="C48" i="57"/>
  <c r="D48" i="57"/>
  <c r="C24" i="57"/>
  <c r="D24" i="57"/>
  <c r="L33" i="57"/>
  <c r="H21" i="57"/>
  <c r="L56" i="57"/>
  <c r="L36" i="57"/>
  <c r="C41" i="57"/>
  <c r="D41" i="57"/>
  <c r="H16" i="57"/>
  <c r="L52" i="57"/>
  <c r="C23" i="57"/>
  <c r="D23" i="57"/>
  <c r="H52" i="57"/>
  <c r="C27" i="57"/>
  <c r="D27" i="57"/>
  <c r="H15" i="57"/>
  <c r="C31" i="57"/>
  <c r="D31" i="57"/>
  <c r="H19" i="57"/>
  <c r="H51" i="57"/>
  <c r="C42" i="57"/>
  <c r="D42" i="57"/>
  <c r="H49" i="57"/>
  <c r="H37" i="57"/>
  <c r="C49" i="57"/>
  <c r="D49" i="57"/>
  <c r="C37" i="57"/>
  <c r="D37" i="57"/>
  <c r="C29" i="57"/>
  <c r="D29" i="57"/>
  <c r="L46" i="57"/>
  <c r="C12" i="57"/>
  <c r="D12" i="57"/>
  <c r="C16" i="57"/>
  <c r="D16" i="57"/>
  <c r="C20" i="57"/>
  <c r="D20" i="57"/>
  <c r="H32" i="57"/>
  <c r="H44" i="57"/>
  <c r="C13" i="57"/>
  <c r="D13" i="57"/>
  <c r="H36" i="57"/>
  <c r="C36" i="57"/>
  <c r="D36" i="57"/>
  <c r="L45" i="57"/>
  <c r="N45" i="57"/>
  <c r="L22" i="57"/>
  <c r="C39" i="57"/>
  <c r="D39" i="57"/>
  <c r="L35" i="57"/>
  <c r="C35" i="57"/>
  <c r="D35" i="57"/>
  <c r="L32" i="57"/>
  <c r="C54" i="57"/>
  <c r="D54" i="57"/>
  <c r="H47" i="57"/>
  <c r="C34" i="57"/>
  <c r="D34" i="57"/>
  <c r="H53" i="57"/>
  <c r="C28" i="57"/>
  <c r="D28" i="57"/>
  <c r="H25" i="57"/>
  <c r="C44" i="57"/>
  <c r="D44" i="57"/>
  <c r="H48" i="57"/>
  <c r="H45" i="57"/>
  <c r="H31" i="57"/>
  <c r="C46" i="57"/>
  <c r="D46" i="57"/>
  <c r="H27" i="57"/>
  <c r="H26" i="57"/>
  <c r="C26" i="57"/>
  <c r="D26" i="57"/>
  <c r="C52" i="57"/>
  <c r="D52" i="57"/>
  <c r="H42" i="57"/>
  <c r="L53" i="57"/>
  <c r="C11" i="57"/>
  <c r="L16" i="57"/>
  <c r="C19" i="57"/>
  <c r="D19" i="57"/>
  <c r="H43" i="57"/>
  <c r="C21" i="57"/>
  <c r="D21" i="57"/>
  <c r="L31" i="57"/>
  <c r="H54" i="57"/>
  <c r="H11" i="57"/>
  <c r="H11" i="58"/>
  <c r="L43" i="57"/>
  <c r="C40" i="57"/>
  <c r="D40" i="57"/>
  <c r="H33" i="57"/>
  <c r="C56" i="57"/>
  <c r="D56" i="57"/>
  <c r="L12" i="57"/>
  <c r="H50" i="57"/>
  <c r="C15" i="57"/>
  <c r="D15" i="57"/>
  <c r="L21" i="57"/>
  <c r="H40" i="57"/>
  <c r="H38" i="57"/>
  <c r="C32" i="57"/>
  <c r="D32" i="57"/>
  <c r="H41" i="57"/>
  <c r="H24" i="57"/>
  <c r="H56" i="57"/>
  <c r="C30" i="57"/>
  <c r="D30" i="57"/>
  <c r="L48" i="57"/>
  <c r="L40" i="57"/>
  <c r="L25" i="57"/>
  <c r="L26" i="57"/>
  <c r="L47" i="57"/>
  <c r="L17" i="57"/>
  <c r="L11" i="57"/>
  <c r="L20" i="57"/>
  <c r="L14" i="57"/>
  <c r="L37" i="57"/>
  <c r="L41" i="57"/>
  <c r="L51" i="57"/>
  <c r="L38" i="57"/>
  <c r="L55" i="57"/>
  <c r="L30" i="57"/>
  <c r="L54" i="57"/>
  <c r="L50" i="57"/>
  <c r="L44" i="57"/>
  <c r="L28" i="57"/>
  <c r="C53" i="57"/>
  <c r="D53" i="57"/>
  <c r="L13" i="57"/>
  <c r="L39" i="57"/>
  <c r="L29" i="57"/>
  <c r="L23" i="57"/>
  <c r="C55" i="57"/>
  <c r="D55" i="57"/>
  <c r="L42" i="57"/>
  <c r="L15" i="57"/>
  <c r="L49" i="57"/>
  <c r="N49" i="58"/>
  <c r="C17" i="57"/>
  <c r="D17" i="57"/>
  <c r="C51" i="57"/>
  <c r="D51" i="57"/>
  <c r="H15" i="56"/>
  <c r="C15" i="56"/>
  <c r="D15" i="56"/>
  <c r="H53" i="56"/>
  <c r="C53" i="56"/>
  <c r="D53" i="56"/>
  <c r="C42" i="56"/>
  <c r="D42" i="56"/>
  <c r="H42" i="56"/>
  <c r="H17" i="58"/>
  <c r="C17" i="58"/>
  <c r="D17" i="58"/>
  <c r="H15" i="58"/>
  <c r="C15" i="58"/>
  <c r="D15" i="58"/>
  <c r="C14" i="58"/>
  <c r="D14" i="58"/>
  <c r="L14" i="58"/>
  <c r="H14" i="58"/>
  <c r="C12" i="58"/>
  <c r="H12" i="58"/>
  <c r="H12" i="59"/>
  <c r="C38" i="57"/>
  <c r="D38" i="57"/>
  <c r="L12" i="1"/>
  <c r="H12" i="1"/>
  <c r="C12" i="1"/>
  <c r="D12" i="1"/>
  <c r="L41" i="1"/>
  <c r="C41" i="1"/>
  <c r="D41" i="1"/>
  <c r="H41" i="1"/>
  <c r="H42" i="1"/>
  <c r="L42" i="1"/>
  <c r="C42" i="1"/>
  <c r="D42" i="1"/>
  <c r="H22" i="1"/>
  <c r="C22" i="1"/>
  <c r="D22" i="1"/>
  <c r="L22" i="1"/>
  <c r="H43" i="1"/>
  <c r="C43" i="1"/>
  <c r="D43" i="1"/>
  <c r="L43" i="1"/>
  <c r="C36" i="1"/>
  <c r="D36" i="1"/>
  <c r="H36" i="1"/>
  <c r="L36" i="1"/>
  <c r="H39" i="61"/>
  <c r="C39" i="61"/>
  <c r="D39" i="61"/>
  <c r="L39" i="61"/>
  <c r="C34" i="61"/>
  <c r="D34" i="61"/>
  <c r="H34" i="61"/>
  <c r="L34" i="61"/>
  <c r="H31" i="61"/>
  <c r="C31" i="61"/>
  <c r="D31" i="61"/>
  <c r="L31" i="61"/>
  <c r="H52" i="61"/>
  <c r="L52" i="61"/>
  <c r="C52" i="61"/>
  <c r="D52" i="61"/>
  <c r="C33" i="61"/>
  <c r="D33" i="61"/>
  <c r="H33" i="61"/>
  <c r="L33" i="61"/>
  <c r="C42" i="61"/>
  <c r="D42" i="61"/>
  <c r="H42" i="61"/>
  <c r="L42" i="61"/>
  <c r="N42" i="61"/>
  <c r="H18" i="61"/>
  <c r="C18" i="61"/>
  <c r="D18" i="61"/>
  <c r="L18" i="61"/>
  <c r="P18" i="61"/>
  <c r="L49" i="61"/>
  <c r="H49" i="61"/>
  <c r="C49" i="61"/>
  <c r="D49" i="61"/>
  <c r="L23" i="61"/>
  <c r="C23" i="61"/>
  <c r="D23" i="61"/>
  <c r="H23" i="61"/>
  <c r="H35" i="61"/>
  <c r="L19" i="61"/>
  <c r="H46" i="61"/>
  <c r="L46" i="61"/>
  <c r="N46" i="61"/>
  <c r="C46" i="61"/>
  <c r="D46" i="61"/>
  <c r="C19" i="61"/>
  <c r="D19" i="61"/>
  <c r="L35" i="61"/>
  <c r="N35" i="61"/>
  <c r="L47" i="61"/>
  <c r="C13" i="1"/>
  <c r="D13" i="1"/>
  <c r="C39" i="1"/>
  <c r="D39" i="1"/>
  <c r="C17" i="1"/>
  <c r="D17" i="1"/>
  <c r="H24" i="1"/>
  <c r="C9" i="1"/>
  <c r="D9" i="1"/>
  <c r="H45" i="1"/>
  <c r="L39" i="1"/>
  <c r="C45" i="1"/>
  <c r="D45" i="1"/>
  <c r="H11" i="1"/>
  <c r="C55" i="1"/>
  <c r="D55" i="1"/>
  <c r="L52" i="1"/>
  <c r="L11" i="1"/>
  <c r="H23" i="1"/>
  <c r="L55" i="1"/>
  <c r="H44" i="1"/>
  <c r="C52" i="1"/>
  <c r="D52" i="1"/>
  <c r="L49" i="1"/>
  <c r="L6" i="1"/>
  <c r="C31" i="1"/>
  <c r="D31" i="1"/>
  <c r="C56" i="1"/>
  <c r="D56" i="1"/>
  <c r="H6" i="1"/>
  <c r="C10" i="1"/>
  <c r="D10" i="1"/>
  <c r="L44" i="1"/>
  <c r="L38" i="1"/>
  <c r="C26" i="1"/>
  <c r="D26" i="1"/>
  <c r="H50" i="1"/>
  <c r="H55" i="1"/>
  <c r="L13" i="1"/>
  <c r="N13" i="52"/>
  <c r="C23" i="1"/>
  <c r="D23" i="1"/>
  <c r="L8" i="1"/>
  <c r="H35" i="1"/>
  <c r="C24" i="1"/>
  <c r="D24" i="1"/>
  <c r="L20" i="1"/>
  <c r="N20" i="52"/>
  <c r="L14" i="1"/>
  <c r="H30" i="1"/>
  <c r="L26" i="1"/>
  <c r="C20" i="1"/>
  <c r="D20" i="1"/>
  <c r="H56" i="1"/>
  <c r="H39" i="1"/>
  <c r="H54" i="1"/>
  <c r="C49" i="1"/>
  <c r="D49" i="1"/>
  <c r="C54" i="1"/>
  <c r="D54" i="1"/>
  <c r="H49" i="1"/>
  <c r="C6" i="1"/>
  <c r="D6" i="1"/>
  <c r="H14" i="1"/>
  <c r="C51" i="1"/>
  <c r="D51" i="1"/>
  <c r="L9" i="1"/>
  <c r="L30" i="1"/>
  <c r="L23" i="1"/>
  <c r="H31" i="1"/>
  <c r="C30" i="1"/>
  <c r="D30" i="1"/>
  <c r="L45" i="1"/>
  <c r="N45" i="52"/>
  <c r="L35" i="1"/>
  <c r="L10" i="1"/>
  <c r="N10" i="52"/>
  <c r="L24" i="1"/>
  <c r="C44" i="1"/>
  <c r="D44" i="1"/>
  <c r="C35" i="1"/>
  <c r="D35" i="1"/>
  <c r="H17" i="1"/>
  <c r="C11" i="1"/>
  <c r="D11" i="1"/>
  <c r="H20" i="1"/>
  <c r="H10" i="1"/>
  <c r="C14" i="1"/>
  <c r="D14" i="1"/>
  <c r="L56" i="1"/>
  <c r="N56" i="52"/>
  <c r="C50" i="1"/>
  <c r="D50" i="1"/>
  <c r="L54" i="1"/>
  <c r="L51" i="1"/>
  <c r="H52" i="1"/>
  <c r="C8" i="1"/>
  <c r="D8" i="1"/>
  <c r="L17" i="1"/>
  <c r="H51" i="1"/>
  <c r="H13" i="1"/>
  <c r="L31" i="1"/>
  <c r="L50" i="1"/>
  <c r="H38" i="1"/>
  <c r="C38" i="1"/>
  <c r="D38" i="1"/>
  <c r="H8" i="1"/>
  <c r="H9" i="1"/>
  <c r="H26" i="1"/>
  <c r="H37" i="56"/>
  <c r="C37" i="56"/>
  <c r="D37" i="56"/>
  <c r="L37" i="56"/>
  <c r="L50" i="56"/>
  <c r="H50" i="56"/>
  <c r="C50" i="56"/>
  <c r="D50" i="56"/>
  <c r="L21" i="56"/>
  <c r="C21" i="56"/>
  <c r="D21" i="56"/>
  <c r="H21" i="56"/>
  <c r="L32" i="56"/>
  <c r="C32" i="56"/>
  <c r="D32" i="56"/>
  <c r="H32" i="56"/>
  <c r="H55" i="56"/>
  <c r="L55" i="56"/>
  <c r="C55" i="56"/>
  <c r="D55" i="56"/>
  <c r="L30" i="56"/>
  <c r="H30" i="56"/>
  <c r="C30" i="56"/>
  <c r="D30" i="56"/>
  <c r="L25" i="56"/>
  <c r="H25" i="56"/>
  <c r="C25" i="56"/>
  <c r="D25" i="56"/>
  <c r="C16" i="56"/>
  <c r="D16" i="56"/>
  <c r="H16" i="56"/>
  <c r="L16" i="56"/>
  <c r="H12" i="56"/>
  <c r="C12" i="56"/>
  <c r="D12" i="56"/>
  <c r="L12" i="56"/>
  <c r="C54" i="58"/>
  <c r="D54" i="58"/>
  <c r="L54" i="58"/>
  <c r="N54" i="58"/>
  <c r="H54" i="58"/>
  <c r="H28" i="58"/>
  <c r="C28" i="58"/>
  <c r="D28" i="58"/>
  <c r="L28" i="58"/>
  <c r="C44" i="58"/>
  <c r="D44" i="58"/>
  <c r="H44" i="58"/>
  <c r="L44" i="58"/>
  <c r="N44" i="59"/>
  <c r="C33" i="58"/>
  <c r="D33" i="58"/>
  <c r="H33" i="58"/>
  <c r="L33" i="58"/>
  <c r="N33" i="58"/>
  <c r="H27" i="58"/>
  <c r="C27" i="58"/>
  <c r="D27" i="58"/>
  <c r="L27" i="58"/>
  <c r="N27" i="58"/>
  <c r="C45" i="58"/>
  <c r="D45" i="58"/>
  <c r="H45" i="58"/>
  <c r="L45" i="58"/>
  <c r="L34" i="58"/>
  <c r="H34" i="58"/>
  <c r="C34" i="58"/>
  <c r="D34" i="58"/>
  <c r="C24" i="58"/>
  <c r="D24" i="58"/>
  <c r="L24" i="58"/>
  <c r="H24" i="58"/>
  <c r="H47" i="58"/>
  <c r="C47" i="58"/>
  <c r="D47" i="58"/>
  <c r="L47" i="58"/>
  <c r="N47" i="58"/>
  <c r="H36" i="58"/>
  <c r="L36" i="58"/>
  <c r="C36" i="58"/>
  <c r="D36" i="58"/>
  <c r="H43" i="60"/>
  <c r="H30" i="57"/>
  <c r="C47" i="61"/>
  <c r="D47" i="61"/>
  <c r="O18" i="59"/>
  <c r="S18" i="59" s="1"/>
  <c r="H20" i="61"/>
  <c r="C20" i="61"/>
  <c r="D20" i="61"/>
  <c r="L20" i="61"/>
  <c r="H17" i="61"/>
  <c r="C17" i="61"/>
  <c r="D17" i="61"/>
  <c r="L17" i="61"/>
  <c r="L22" i="61"/>
  <c r="C22" i="61"/>
  <c r="D22" i="61"/>
  <c r="H22" i="61"/>
  <c r="O35" i="61"/>
  <c r="S35" i="61" s="1"/>
  <c r="C46" i="56"/>
  <c r="D46" i="56"/>
  <c r="H46" i="56"/>
  <c r="L46" i="56"/>
  <c r="N46" i="57"/>
  <c r="H51" i="56"/>
  <c r="L51" i="56"/>
  <c r="C51" i="56"/>
  <c r="D51" i="56"/>
  <c r="L13" i="56"/>
  <c r="C13" i="56"/>
  <c r="D13" i="56"/>
  <c r="H13" i="56"/>
  <c r="H21" i="58"/>
  <c r="C21" i="58"/>
  <c r="D21" i="58"/>
  <c r="L21" i="58"/>
  <c r="C29" i="58"/>
  <c r="D29" i="58"/>
  <c r="H29" i="58"/>
  <c r="L29" i="58"/>
  <c r="C27" i="1"/>
  <c r="D27" i="1"/>
  <c r="H27" i="1"/>
  <c r="L27" i="1"/>
  <c r="H46" i="1"/>
  <c r="C46" i="1"/>
  <c r="D46" i="1"/>
  <c r="L46" i="1"/>
  <c r="L7" i="1"/>
  <c r="C7" i="1"/>
  <c r="D7" i="1"/>
  <c r="H7" i="1"/>
  <c r="C45" i="61"/>
  <c r="D45" i="61"/>
  <c r="H45" i="61"/>
  <c r="L45" i="61"/>
  <c r="H16" i="61"/>
  <c r="C16" i="61"/>
  <c r="D16" i="61"/>
  <c r="L16" i="61"/>
  <c r="C25" i="61"/>
  <c r="D25" i="61"/>
  <c r="H25" i="61"/>
  <c r="L25" i="61"/>
  <c r="C37" i="61"/>
  <c r="D37" i="61"/>
  <c r="H37" i="61"/>
  <c r="L37" i="61"/>
  <c r="L50" i="61"/>
  <c r="H50" i="61"/>
  <c r="C50" i="61"/>
  <c r="D50" i="61"/>
  <c r="C32" i="61"/>
  <c r="D32" i="61"/>
  <c r="H32" i="61"/>
  <c r="L32" i="61"/>
  <c r="C40" i="61"/>
  <c r="D40" i="61"/>
  <c r="H40" i="61"/>
  <c r="L40" i="61"/>
  <c r="C27" i="61"/>
  <c r="D27" i="61"/>
  <c r="H27" i="61"/>
  <c r="L27" i="61"/>
  <c r="O68" i="61"/>
  <c r="S68" i="61" s="1"/>
  <c r="O48" i="61"/>
  <c r="S48" i="61" s="1"/>
  <c r="C26" i="60"/>
  <c r="D26" i="60"/>
  <c r="C50" i="60"/>
  <c r="D50" i="60"/>
  <c r="H18" i="60"/>
  <c r="L24" i="60"/>
  <c r="H51" i="60"/>
  <c r="C48" i="60"/>
  <c r="D48" i="60"/>
  <c r="L45" i="60"/>
  <c r="H56" i="60"/>
  <c r="H37" i="60"/>
  <c r="C32" i="60"/>
  <c r="D32" i="60"/>
  <c r="L48" i="60"/>
  <c r="C30" i="60"/>
  <c r="D30" i="60"/>
  <c r="C51" i="60"/>
  <c r="D51" i="60"/>
  <c r="C19" i="60"/>
  <c r="D19" i="60"/>
  <c r="L42" i="60"/>
  <c r="H14" i="60"/>
  <c r="H14" i="61"/>
  <c r="C53" i="60"/>
  <c r="D53" i="60"/>
  <c r="C41" i="60"/>
  <c r="D41" i="60"/>
  <c r="H54" i="60"/>
  <c r="H46" i="60"/>
  <c r="H34" i="60"/>
  <c r="C40" i="60"/>
  <c r="D40" i="60"/>
  <c r="C54" i="60"/>
  <c r="D54" i="60"/>
  <c r="L56" i="60"/>
  <c r="H27" i="60"/>
  <c r="H20" i="60"/>
  <c r="C20" i="60"/>
  <c r="D20" i="60"/>
  <c r="H22" i="60"/>
  <c r="C34" i="60"/>
  <c r="D34" i="60"/>
  <c r="C31" i="60"/>
  <c r="D31" i="60"/>
  <c r="H40" i="60"/>
  <c r="H28" i="60"/>
  <c r="C45" i="60"/>
  <c r="D45" i="60"/>
  <c r="C38" i="60"/>
  <c r="D38" i="60"/>
  <c r="L22" i="60"/>
  <c r="N22" i="61"/>
  <c r="H50" i="60"/>
  <c r="C56" i="60"/>
  <c r="D56" i="60"/>
  <c r="H31" i="60"/>
  <c r="C28" i="60"/>
  <c r="D28" i="60"/>
  <c r="C18" i="60"/>
  <c r="D18" i="60"/>
  <c r="C29" i="60"/>
  <c r="D29" i="60"/>
  <c r="C36" i="60"/>
  <c r="D36" i="60"/>
  <c r="C23" i="60"/>
  <c r="D23" i="60"/>
  <c r="H45" i="60"/>
  <c r="C46" i="60"/>
  <c r="D46" i="60"/>
  <c r="C15" i="60"/>
  <c r="D15" i="60"/>
  <c r="H53" i="60"/>
  <c r="H25" i="60"/>
  <c r="C47" i="60"/>
  <c r="D47" i="60"/>
  <c r="H42" i="60"/>
  <c r="C37" i="60"/>
  <c r="D37" i="60"/>
  <c r="C42" i="60"/>
  <c r="D42" i="60"/>
  <c r="C17" i="60"/>
  <c r="D17" i="60"/>
  <c r="H30" i="60"/>
  <c r="H26" i="60"/>
  <c r="H49" i="60"/>
  <c r="H48" i="60"/>
  <c r="H39" i="60"/>
  <c r="H52" i="60"/>
  <c r="H33" i="60"/>
  <c r="H24" i="60"/>
  <c r="H15" i="60"/>
  <c r="H41" i="60"/>
  <c r="H29" i="60"/>
  <c r="C25" i="60"/>
  <c r="D25" i="60"/>
  <c r="C33" i="60"/>
  <c r="D33" i="60"/>
  <c r="C24" i="60"/>
  <c r="D24" i="60"/>
  <c r="C49" i="60"/>
  <c r="D49" i="60"/>
  <c r="H21" i="60"/>
  <c r="C21" i="60"/>
  <c r="D21" i="60"/>
  <c r="H32" i="60"/>
  <c r="C39" i="60"/>
  <c r="D39" i="60"/>
  <c r="H16" i="60"/>
  <c r="C22" i="60"/>
  <c r="D22" i="60"/>
  <c r="H23" i="60"/>
  <c r="H17" i="60"/>
  <c r="H35" i="60"/>
  <c r="H36" i="60"/>
  <c r="H55" i="60"/>
  <c r="H38" i="60"/>
  <c r="C16" i="60"/>
  <c r="D16" i="60"/>
  <c r="L39" i="60"/>
  <c r="L49" i="60"/>
  <c r="N49" i="60"/>
  <c r="L55" i="60"/>
  <c r="L16" i="60"/>
  <c r="L25" i="60"/>
  <c r="L43" i="60"/>
  <c r="L50" i="60"/>
  <c r="L33" i="60"/>
  <c r="L54" i="60"/>
  <c r="C14" i="60"/>
  <c r="L31" i="60"/>
  <c r="L37" i="60"/>
  <c r="L20" i="60"/>
  <c r="L19" i="60"/>
  <c r="L41" i="60"/>
  <c r="L35" i="60"/>
  <c r="L26" i="60"/>
  <c r="N26" i="61"/>
  <c r="L46" i="60"/>
  <c r="L40" i="60"/>
  <c r="L28" i="60"/>
  <c r="L17" i="60"/>
  <c r="L29" i="60"/>
  <c r="L38" i="60"/>
  <c r="L27" i="60"/>
  <c r="L21" i="60"/>
  <c r="L44" i="60"/>
  <c r="L14" i="60"/>
  <c r="L51" i="60"/>
  <c r="L52" i="60"/>
  <c r="N52" i="60"/>
  <c r="L32" i="60"/>
  <c r="L30" i="60"/>
  <c r="L18" i="60"/>
  <c r="H19" i="60"/>
  <c r="L47" i="60"/>
  <c r="L36" i="60"/>
  <c r="L15" i="60"/>
  <c r="L53" i="60"/>
  <c r="N53" i="61"/>
  <c r="L23" i="60"/>
  <c r="L34" i="60"/>
  <c r="C8" i="54"/>
  <c r="C18" i="54"/>
  <c r="D18" i="54"/>
  <c r="C20" i="54"/>
  <c r="D20" i="54"/>
  <c r="C11" i="54"/>
  <c r="D11" i="54"/>
  <c r="L14" i="54"/>
  <c r="N14" i="55"/>
  <c r="C19" i="54"/>
  <c r="D19" i="54"/>
  <c r="C21" i="54"/>
  <c r="D21" i="54"/>
  <c r="C16" i="54"/>
  <c r="D16" i="54"/>
  <c r="L22" i="54"/>
  <c r="L53" i="54"/>
  <c r="N53" i="55"/>
  <c r="C13" i="54"/>
  <c r="D13" i="54"/>
  <c r="C51" i="54"/>
  <c r="D51" i="54"/>
  <c r="L30" i="54"/>
  <c r="L21" i="54"/>
  <c r="H41" i="54"/>
  <c r="H16" i="54"/>
  <c r="L15" i="54"/>
  <c r="H14" i="54"/>
  <c r="L25" i="54"/>
  <c r="H44" i="54"/>
  <c r="H23" i="54"/>
  <c r="L49" i="54"/>
  <c r="L32" i="54"/>
  <c r="H43" i="54"/>
  <c r="C53" i="54"/>
  <c r="D53" i="54"/>
  <c r="C38" i="54"/>
  <c r="D38" i="54"/>
  <c r="C44" i="54"/>
  <c r="D44" i="54"/>
  <c r="L27" i="54"/>
  <c r="L8" i="54"/>
  <c r="C29" i="54"/>
  <c r="D29" i="54"/>
  <c r="H46" i="54"/>
  <c r="H40" i="54"/>
  <c r="H13" i="54"/>
  <c r="H47" i="54"/>
  <c r="C15" i="54"/>
  <c r="D15" i="54"/>
  <c r="L18" i="54"/>
  <c r="C17" i="54"/>
  <c r="D17" i="54"/>
  <c r="L55" i="54"/>
  <c r="N55" i="55"/>
  <c r="C12" i="54"/>
  <c r="D12" i="54"/>
  <c r="H34" i="54"/>
  <c r="H28" i="54"/>
  <c r="L26" i="54"/>
  <c r="L13" i="54"/>
  <c r="H49" i="54"/>
  <c r="H31" i="54"/>
  <c r="H8" i="54"/>
  <c r="H8" i="55"/>
  <c r="H37" i="54"/>
  <c r="L48" i="54"/>
  <c r="N48" i="54"/>
  <c r="L29" i="54"/>
  <c r="H52" i="54"/>
  <c r="H30" i="54"/>
  <c r="H15" i="54"/>
  <c r="L23" i="54"/>
  <c r="H22" i="54"/>
  <c r="C45" i="54"/>
  <c r="D45" i="54"/>
  <c r="C52" i="54"/>
  <c r="D52" i="54"/>
  <c r="L52" i="54"/>
  <c r="P52" i="54"/>
  <c r="L16" i="54"/>
  <c r="H54" i="54"/>
  <c r="H36" i="54"/>
  <c r="H21" i="54"/>
  <c r="L41" i="54"/>
  <c r="L36" i="54"/>
  <c r="N36" i="55"/>
  <c r="H18" i="54"/>
  <c r="C28" i="54"/>
  <c r="D28" i="54"/>
  <c r="C10" i="54"/>
  <c r="D10" i="54"/>
  <c r="L43" i="54"/>
  <c r="L33" i="54"/>
  <c r="C22" i="54"/>
  <c r="D22" i="54"/>
  <c r="C40" i="54"/>
  <c r="D40" i="54"/>
  <c r="C50" i="54"/>
  <c r="D50" i="54"/>
  <c r="L38" i="54"/>
  <c r="H45" i="54"/>
  <c r="C30" i="54"/>
  <c r="D30" i="54"/>
  <c r="L24" i="54"/>
  <c r="C36" i="54"/>
  <c r="D36" i="54"/>
  <c r="L40" i="54"/>
  <c r="H48" i="54"/>
  <c r="H11" i="54"/>
  <c r="L28" i="54"/>
  <c r="N28" i="55"/>
  <c r="H39" i="54"/>
  <c r="L31" i="54"/>
  <c r="H50" i="54"/>
  <c r="H17" i="54"/>
  <c r="C54" i="54"/>
  <c r="D54" i="54"/>
  <c r="E54" i="54"/>
  <c r="H10" i="54"/>
  <c r="L39" i="54"/>
  <c r="C34" i="54"/>
  <c r="D34" i="54"/>
  <c r="C24" i="54"/>
  <c r="D24" i="54"/>
  <c r="L10" i="54"/>
  <c r="C37" i="54"/>
  <c r="D37" i="54"/>
  <c r="L50" i="54"/>
  <c r="L17" i="54"/>
  <c r="H20" i="54"/>
  <c r="C35" i="54"/>
  <c r="D35" i="54"/>
  <c r="H26" i="54"/>
  <c r="C48" i="54"/>
  <c r="D48" i="54"/>
  <c r="C31" i="54"/>
  <c r="D31" i="54"/>
  <c r="H27" i="54"/>
  <c r="C39" i="54"/>
  <c r="D39" i="54"/>
  <c r="H55" i="54"/>
  <c r="L44" i="54"/>
  <c r="L20" i="54"/>
  <c r="H32" i="54"/>
  <c r="C27" i="54"/>
  <c r="D27" i="54"/>
  <c r="L19" i="54"/>
  <c r="C14" i="54"/>
  <c r="D14" i="54"/>
  <c r="C26" i="54"/>
  <c r="D26" i="54"/>
  <c r="C23" i="54"/>
  <c r="D23" i="54"/>
  <c r="C33" i="54"/>
  <c r="D33" i="54"/>
  <c r="H53" i="54"/>
  <c r="L54" i="54"/>
  <c r="L56" i="54"/>
  <c r="P56" i="54"/>
  <c r="H19" i="54"/>
  <c r="H33" i="54"/>
  <c r="L35" i="54"/>
  <c r="H25" i="54"/>
  <c r="H29" i="54"/>
  <c r="C43" i="54"/>
  <c r="D43" i="54"/>
  <c r="L42" i="54"/>
  <c r="N42" i="55"/>
  <c r="H12" i="54"/>
  <c r="C49" i="54"/>
  <c r="D49" i="54"/>
  <c r="H56" i="54"/>
  <c r="C46" i="54"/>
  <c r="D46" i="54"/>
  <c r="C47" i="54"/>
  <c r="D47" i="54"/>
  <c r="C41" i="54"/>
  <c r="D41" i="54"/>
  <c r="L34" i="54"/>
  <c r="L51" i="54"/>
  <c r="P51" i="54"/>
  <c r="C25" i="54"/>
  <c r="D25" i="54"/>
  <c r="L9" i="54"/>
  <c r="C55" i="54"/>
  <c r="D55" i="54"/>
  <c r="C56" i="54"/>
  <c r="D56" i="54"/>
  <c r="H38" i="54"/>
  <c r="L11" i="54"/>
  <c r="H42" i="54"/>
  <c r="L46" i="54"/>
  <c r="H35" i="54"/>
  <c r="L45" i="54"/>
  <c r="C9" i="54"/>
  <c r="D9" i="54"/>
  <c r="L37" i="54"/>
  <c r="H9" i="54"/>
  <c r="C42" i="54"/>
  <c r="D42" i="54"/>
  <c r="C32" i="54"/>
  <c r="D32" i="54"/>
  <c r="H51" i="54"/>
  <c r="L12" i="54"/>
  <c r="L47" i="54"/>
  <c r="H33" i="56"/>
  <c r="L33" i="56"/>
  <c r="P33" i="56"/>
  <c r="C33" i="56"/>
  <c r="D33" i="56"/>
  <c r="L54" i="56"/>
  <c r="C54" i="56"/>
  <c r="D54" i="56"/>
  <c r="H54" i="56"/>
  <c r="H28" i="56"/>
  <c r="L28" i="56"/>
  <c r="C28" i="56"/>
  <c r="D28" i="56"/>
  <c r="C10" i="56"/>
  <c r="H10" i="56"/>
  <c r="H10" i="57"/>
  <c r="L10" i="56"/>
  <c r="N10" i="56"/>
  <c r="C17" i="56"/>
  <c r="D17" i="56"/>
  <c r="H17" i="56"/>
  <c r="L17" i="56"/>
  <c r="H45" i="56"/>
  <c r="C45" i="56"/>
  <c r="D45" i="56"/>
  <c r="L45" i="56"/>
  <c r="N45" i="56"/>
  <c r="H19" i="56"/>
  <c r="L19" i="56"/>
  <c r="C19" i="56"/>
  <c r="D19" i="56"/>
  <c r="H20" i="56"/>
  <c r="L20" i="56"/>
  <c r="C20" i="56"/>
  <c r="D20" i="56"/>
  <c r="H23" i="56"/>
  <c r="C23" i="56"/>
  <c r="D23" i="56"/>
  <c r="L23" i="56"/>
  <c r="H13" i="58"/>
  <c r="L13" i="58"/>
  <c r="C13" i="58"/>
  <c r="D13" i="58"/>
  <c r="L43" i="58"/>
  <c r="N43" i="58"/>
  <c r="H43" i="58"/>
  <c r="C43" i="58"/>
  <c r="D43" i="58"/>
  <c r="C23" i="58"/>
  <c r="D23" i="58"/>
  <c r="H23" i="58"/>
  <c r="L23" i="58"/>
  <c r="C48" i="58"/>
  <c r="D48" i="58"/>
  <c r="H48" i="58"/>
  <c r="L48" i="58"/>
  <c r="H37" i="58"/>
  <c r="L37" i="58"/>
  <c r="P37" i="58"/>
  <c r="C37" i="58"/>
  <c r="D37" i="58"/>
  <c r="H22" i="58"/>
  <c r="C22" i="58"/>
  <c r="D22" i="58"/>
  <c r="L22" i="58"/>
  <c r="H49" i="58"/>
  <c r="C49" i="58"/>
  <c r="D49" i="58"/>
  <c r="L49" i="58"/>
  <c r="C38" i="58"/>
  <c r="D38" i="58"/>
  <c r="H38" i="58"/>
  <c r="L38" i="58"/>
  <c r="N38" i="59"/>
  <c r="C20" i="58"/>
  <c r="D20" i="58"/>
  <c r="H20" i="58"/>
  <c r="L20" i="58"/>
  <c r="N20" i="59"/>
  <c r="C51" i="58"/>
  <c r="D51" i="58"/>
  <c r="L51" i="58"/>
  <c r="H51" i="58"/>
  <c r="C40" i="58"/>
  <c r="D40" i="58"/>
  <c r="H40" i="58"/>
  <c r="L40" i="58"/>
  <c r="N40" i="59"/>
  <c r="C35" i="60"/>
  <c r="D35" i="60"/>
  <c r="C52" i="60"/>
  <c r="D52" i="60"/>
  <c r="H17" i="57"/>
  <c r="E46" i="58"/>
  <c r="F46" i="58"/>
  <c r="C28" i="1"/>
  <c r="D28" i="1"/>
  <c r="H28" i="1"/>
  <c r="L28" i="1"/>
  <c r="H40" i="1"/>
  <c r="C40" i="1"/>
  <c r="D40" i="1"/>
  <c r="L40" i="1"/>
  <c r="L19" i="1"/>
  <c r="C19" i="1"/>
  <c r="D19" i="1"/>
  <c r="H19" i="1"/>
  <c r="H15" i="61"/>
  <c r="C15" i="61"/>
  <c r="D15" i="61"/>
  <c r="L15" i="61"/>
  <c r="N15" i="61"/>
  <c r="C30" i="61"/>
  <c r="D30" i="61"/>
  <c r="H30" i="61"/>
  <c r="L30" i="61"/>
  <c r="H51" i="61"/>
  <c r="C51" i="61"/>
  <c r="D51" i="61"/>
  <c r="L51" i="61"/>
  <c r="H41" i="61"/>
  <c r="C41" i="61"/>
  <c r="D41" i="61"/>
  <c r="L41" i="61"/>
  <c r="O64" i="60"/>
  <c r="S64" i="60" s="1"/>
  <c r="O34" i="60"/>
  <c r="S34" i="60" s="1"/>
  <c r="L43" i="56"/>
  <c r="H43" i="56"/>
  <c r="C43" i="56"/>
  <c r="D43" i="56"/>
  <c r="L36" i="56"/>
  <c r="C36" i="56"/>
  <c r="D36" i="56"/>
  <c r="H36" i="56"/>
  <c r="C34" i="56"/>
  <c r="D34" i="56"/>
  <c r="H34" i="56"/>
  <c r="L34" i="56"/>
  <c r="L29" i="56"/>
  <c r="H29" i="56"/>
  <c r="C29" i="56"/>
  <c r="D29" i="56"/>
  <c r="H56" i="58"/>
  <c r="C56" i="58"/>
  <c r="D56" i="58"/>
  <c r="L56" i="58"/>
  <c r="C30" i="58"/>
  <c r="D30" i="58"/>
  <c r="H30" i="58"/>
  <c r="L30" i="58"/>
  <c r="C32" i="58"/>
  <c r="D32" i="58"/>
  <c r="H32" i="58"/>
  <c r="L32" i="58"/>
  <c r="E18" i="55"/>
  <c r="F18" i="55"/>
  <c r="L34" i="1"/>
  <c r="C34" i="1"/>
  <c r="D34" i="1"/>
  <c r="H34" i="1"/>
  <c r="H5" i="1"/>
  <c r="H5" i="52"/>
  <c r="L5" i="1"/>
  <c r="L5" i="52"/>
  <c r="N5" i="52"/>
  <c r="C5" i="1"/>
  <c r="C32" i="1"/>
  <c r="D32" i="1"/>
  <c r="H32" i="1"/>
  <c r="L32" i="1"/>
  <c r="N32" i="52"/>
  <c r="L29" i="1"/>
  <c r="C29" i="1"/>
  <c r="D29" i="1"/>
  <c r="H29" i="1"/>
  <c r="L55" i="61"/>
  <c r="C55" i="61"/>
  <c r="D55" i="61"/>
  <c r="H55" i="61"/>
  <c r="O31" i="60"/>
  <c r="L18" i="1"/>
  <c r="C18" i="1"/>
  <c r="D18" i="1"/>
  <c r="H18" i="1"/>
  <c r="C47" i="1"/>
  <c r="D47" i="1"/>
  <c r="H47" i="1"/>
  <c r="L47" i="1"/>
  <c r="H21" i="1"/>
  <c r="L21" i="1"/>
  <c r="N21" i="52"/>
  <c r="C21" i="1"/>
  <c r="D21" i="1"/>
  <c r="C48" i="1"/>
  <c r="D48" i="1"/>
  <c r="L48" i="1"/>
  <c r="H48" i="1"/>
  <c r="H16" i="1"/>
  <c r="L16" i="1"/>
  <c r="N16" i="52"/>
  <c r="C16" i="1"/>
  <c r="D16" i="1"/>
  <c r="H37" i="1"/>
  <c r="C37" i="1"/>
  <c r="D37" i="1"/>
  <c r="L37" i="1"/>
  <c r="H33" i="1"/>
  <c r="L33" i="1"/>
  <c r="C33" i="1"/>
  <c r="D33" i="1"/>
  <c r="H29" i="61"/>
  <c r="C29" i="61"/>
  <c r="D29" i="61"/>
  <c r="L29" i="61"/>
  <c r="C54" i="61"/>
  <c r="D54" i="61"/>
  <c r="H54" i="61"/>
  <c r="L54" i="61"/>
  <c r="H44" i="61"/>
  <c r="C44" i="61"/>
  <c r="D44" i="61"/>
  <c r="L44" i="61"/>
  <c r="C38" i="61"/>
  <c r="D38" i="61"/>
  <c r="H38" i="61"/>
  <c r="L38" i="61"/>
  <c r="C21" i="61"/>
  <c r="D21" i="61"/>
  <c r="H21" i="61"/>
  <c r="L21" i="61"/>
  <c r="N21" i="61"/>
  <c r="H43" i="61"/>
  <c r="C43" i="61"/>
  <c r="D43" i="61"/>
  <c r="L43" i="61"/>
  <c r="N43" i="61"/>
  <c r="H24" i="61"/>
  <c r="C24" i="61"/>
  <c r="D24" i="61"/>
  <c r="L24" i="61"/>
  <c r="C36" i="61"/>
  <c r="D36" i="61"/>
  <c r="H36" i="61"/>
  <c r="L36" i="61"/>
  <c r="L48" i="61"/>
  <c r="C48" i="61"/>
  <c r="D48" i="61"/>
  <c r="H48" i="61"/>
  <c r="O23" i="61"/>
  <c r="S23" i="61" s="1"/>
  <c r="O23" i="60"/>
  <c r="O41" i="61"/>
  <c r="O44" i="61"/>
  <c r="S44" i="61" s="1"/>
  <c r="C35" i="56"/>
  <c r="D35" i="56"/>
  <c r="C39" i="56"/>
  <c r="D39" i="56"/>
  <c r="C56" i="56"/>
  <c r="D56" i="56"/>
  <c r="H35" i="56"/>
  <c r="L52" i="56"/>
  <c r="H31" i="56"/>
  <c r="C14" i="56"/>
  <c r="D14" i="56"/>
  <c r="L14" i="56"/>
  <c r="H40" i="56"/>
  <c r="L31" i="56"/>
  <c r="H56" i="56"/>
  <c r="H44" i="56"/>
  <c r="L48" i="56"/>
  <c r="L35" i="56"/>
  <c r="N35" i="56"/>
  <c r="L56" i="56"/>
  <c r="L18" i="56"/>
  <c r="P18" i="56"/>
  <c r="C40" i="56"/>
  <c r="D40" i="56"/>
  <c r="H48" i="56"/>
  <c r="C52" i="56"/>
  <c r="D52" i="56"/>
  <c r="L44" i="56"/>
  <c r="N44" i="56"/>
  <c r="L39" i="56"/>
  <c r="N39" i="56"/>
  <c r="H14" i="56"/>
  <c r="L40" i="56"/>
  <c r="P40" i="56"/>
  <c r="H52" i="56"/>
  <c r="C48" i="56"/>
  <c r="D48" i="56"/>
  <c r="H18" i="56"/>
  <c r="C31" i="56"/>
  <c r="D31" i="56"/>
  <c r="H39" i="56"/>
  <c r="C44" i="56"/>
  <c r="D44" i="56"/>
  <c r="C40" i="53"/>
  <c r="D40" i="53"/>
  <c r="C54" i="53"/>
  <c r="D54" i="53"/>
  <c r="L40" i="53"/>
  <c r="C22" i="53"/>
  <c r="D22" i="53"/>
  <c r="H52" i="53"/>
  <c r="H48" i="53"/>
  <c r="H51" i="53"/>
  <c r="C32" i="53"/>
  <c r="D32" i="53"/>
  <c r="L26" i="53"/>
  <c r="N26" i="54"/>
  <c r="H38" i="53"/>
  <c r="C30" i="53"/>
  <c r="D30" i="53"/>
  <c r="L22" i="53"/>
  <c r="N22" i="54"/>
  <c r="H31" i="53"/>
  <c r="L39" i="53"/>
  <c r="P39" i="53"/>
  <c r="H26" i="53"/>
  <c r="H13" i="53"/>
  <c r="H37" i="53"/>
  <c r="L8" i="53"/>
  <c r="L45" i="53"/>
  <c r="H28" i="53"/>
  <c r="C35" i="53"/>
  <c r="D35" i="53"/>
  <c r="L36" i="53"/>
  <c r="H56" i="53"/>
  <c r="H17" i="53"/>
  <c r="C11" i="53"/>
  <c r="D11" i="53"/>
  <c r="C13" i="53"/>
  <c r="D13" i="53"/>
  <c r="L33" i="53"/>
  <c r="N33" i="53"/>
  <c r="L17" i="53"/>
  <c r="N17" i="54"/>
  <c r="H49" i="53"/>
  <c r="L10" i="53"/>
  <c r="H24" i="53"/>
  <c r="C43" i="53"/>
  <c r="D43" i="53"/>
  <c r="C23" i="53"/>
  <c r="D23" i="53"/>
  <c r="L12" i="53"/>
  <c r="L35" i="53"/>
  <c r="L48" i="53"/>
  <c r="L31" i="53"/>
  <c r="H39" i="53"/>
  <c r="H54" i="53"/>
  <c r="L38" i="53"/>
  <c r="L49" i="53"/>
  <c r="H42" i="53"/>
  <c r="C24" i="53"/>
  <c r="D24" i="53"/>
  <c r="L34" i="53"/>
  <c r="C52" i="53"/>
  <c r="D52" i="53"/>
  <c r="C46" i="53"/>
  <c r="D46" i="53"/>
  <c r="L55" i="53"/>
  <c r="C36" i="53"/>
  <c r="D36" i="53"/>
  <c r="H40" i="53"/>
  <c r="H27" i="53"/>
  <c r="L53" i="53"/>
  <c r="H8" i="53"/>
  <c r="H35" i="53"/>
  <c r="C47" i="53"/>
  <c r="D47" i="53"/>
  <c r="C27" i="53"/>
  <c r="D27" i="53"/>
  <c r="L43" i="53"/>
  <c r="H25" i="53"/>
  <c r="C9" i="53"/>
  <c r="D9" i="53"/>
  <c r="L41" i="53"/>
  <c r="L37" i="53"/>
  <c r="L25" i="53"/>
  <c r="H14" i="53"/>
  <c r="H20" i="53"/>
  <c r="L24" i="53"/>
  <c r="H15" i="53"/>
  <c r="L11" i="53"/>
  <c r="C56" i="53"/>
  <c r="D56" i="53"/>
  <c r="C31" i="53"/>
  <c r="D31" i="53"/>
  <c r="L56" i="53"/>
  <c r="L44" i="53"/>
  <c r="C55" i="53"/>
  <c r="D55" i="53"/>
  <c r="E55" i="53"/>
  <c r="L30" i="53"/>
  <c r="C38" i="53"/>
  <c r="D38" i="53"/>
  <c r="H36" i="53"/>
  <c r="L50" i="53"/>
  <c r="C16" i="53"/>
  <c r="D16" i="53"/>
  <c r="L47" i="53"/>
  <c r="L19" i="53"/>
  <c r="H34" i="53"/>
  <c r="C28" i="53"/>
  <c r="D28" i="53"/>
  <c r="L52" i="53"/>
  <c r="C49" i="53"/>
  <c r="D49" i="53"/>
  <c r="C33" i="53"/>
  <c r="D33" i="53"/>
  <c r="C21" i="53"/>
  <c r="D21" i="53"/>
  <c r="H45" i="53"/>
  <c r="H21" i="53"/>
  <c r="L9" i="53"/>
  <c r="L21" i="53"/>
  <c r="N21" i="53"/>
  <c r="H9" i="53"/>
  <c r="C19" i="53"/>
  <c r="D19" i="53"/>
  <c r="C10" i="53"/>
  <c r="D10" i="53"/>
  <c r="H53" i="53"/>
  <c r="C50" i="53"/>
  <c r="D50" i="53"/>
  <c r="H46" i="53"/>
  <c r="C18" i="53"/>
  <c r="D18" i="53"/>
  <c r="H18" i="53"/>
  <c r="C26" i="53"/>
  <c r="D26" i="53"/>
  <c r="H43" i="53"/>
  <c r="H10" i="53"/>
  <c r="C41" i="53"/>
  <c r="D41" i="53"/>
  <c r="C29" i="53"/>
  <c r="D29" i="53"/>
  <c r="L14" i="53"/>
  <c r="H55" i="53"/>
  <c r="C39" i="53"/>
  <c r="D39" i="53"/>
  <c r="L16" i="53"/>
  <c r="C15" i="53"/>
  <c r="D15" i="53"/>
  <c r="L28" i="53"/>
  <c r="C44" i="53"/>
  <c r="D44" i="53"/>
  <c r="L51" i="53"/>
  <c r="P51" i="53"/>
  <c r="H32" i="53"/>
  <c r="H44" i="53"/>
  <c r="L42" i="53"/>
  <c r="C53" i="53"/>
  <c r="D53" i="53"/>
  <c r="C25" i="53"/>
  <c r="D25" i="53"/>
  <c r="H41" i="53"/>
  <c r="C8" i="53"/>
  <c r="D8" i="53"/>
  <c r="C20" i="53"/>
  <c r="D20" i="53"/>
  <c r="L54" i="53"/>
  <c r="H23" i="53"/>
  <c r="L46" i="53"/>
  <c r="H12" i="53"/>
  <c r="C37" i="53"/>
  <c r="D37" i="53"/>
  <c r="E37" i="53"/>
  <c r="H11" i="53"/>
  <c r="H29" i="53"/>
  <c r="L29" i="53"/>
  <c r="C12" i="53"/>
  <c r="D12" i="53"/>
  <c r="L15" i="53"/>
  <c r="H50" i="53"/>
  <c r="C34" i="53"/>
  <c r="D34" i="53"/>
  <c r="H30" i="53"/>
  <c r="C48" i="53"/>
  <c r="D48" i="53"/>
  <c r="H33" i="53"/>
  <c r="C14" i="53"/>
  <c r="D14" i="53"/>
  <c r="H16" i="53"/>
  <c r="C7" i="53"/>
  <c r="L13" i="53"/>
  <c r="N13" i="53"/>
  <c r="L32" i="53"/>
  <c r="H7" i="53"/>
  <c r="H7" i="54"/>
  <c r="L23" i="53"/>
  <c r="H47" i="53"/>
  <c r="C42" i="53"/>
  <c r="D42" i="53"/>
  <c r="L20" i="53"/>
  <c r="N20" i="53"/>
  <c r="C45" i="53"/>
  <c r="D45" i="53"/>
  <c r="C51" i="53"/>
  <c r="D51" i="53"/>
  <c r="C17" i="53"/>
  <c r="D17" i="53"/>
  <c r="L7" i="53"/>
  <c r="H22" i="53"/>
  <c r="L27" i="53"/>
  <c r="H19" i="53"/>
  <c r="L11" i="56"/>
  <c r="C11" i="56"/>
  <c r="D11" i="56"/>
  <c r="H11" i="56"/>
  <c r="C22" i="56"/>
  <c r="D22" i="56"/>
  <c r="L22" i="56"/>
  <c r="H22" i="56"/>
  <c r="C41" i="56"/>
  <c r="D41" i="56"/>
  <c r="L41" i="56"/>
  <c r="H41" i="56"/>
  <c r="C47" i="56"/>
  <c r="D47" i="56"/>
  <c r="H47" i="56"/>
  <c r="L47" i="56"/>
  <c r="L38" i="56"/>
  <c r="C38" i="56"/>
  <c r="D38" i="56"/>
  <c r="H38" i="56"/>
  <c r="C49" i="56"/>
  <c r="D49" i="56"/>
  <c r="H49" i="56"/>
  <c r="L49" i="56"/>
  <c r="L26" i="56"/>
  <c r="H26" i="56"/>
  <c r="C26" i="56"/>
  <c r="D26" i="56"/>
  <c r="E26" i="56"/>
  <c r="F26" i="56"/>
  <c r="C24" i="56"/>
  <c r="D24" i="56"/>
  <c r="H24" i="56"/>
  <c r="L24" i="56"/>
  <c r="H27" i="56"/>
  <c r="C27" i="56"/>
  <c r="D27" i="56"/>
  <c r="L27" i="56"/>
  <c r="H39" i="58"/>
  <c r="C39" i="58"/>
  <c r="D39" i="58"/>
  <c r="L39" i="58"/>
  <c r="N39" i="58"/>
  <c r="C31" i="58"/>
  <c r="D31" i="58"/>
  <c r="H31" i="58"/>
  <c r="L31" i="58"/>
  <c r="N31" i="58"/>
  <c r="H25" i="58"/>
  <c r="C25" i="58"/>
  <c r="D25" i="58"/>
  <c r="L25" i="58"/>
  <c r="C19" i="58"/>
  <c r="D19" i="58"/>
  <c r="E19" i="58"/>
  <c r="F19" i="58"/>
  <c r="H19" i="58"/>
  <c r="L19" i="58"/>
  <c r="C52" i="58"/>
  <c r="D52" i="58"/>
  <c r="H52" i="58"/>
  <c r="L52" i="58"/>
  <c r="C41" i="58"/>
  <c r="D41" i="58"/>
  <c r="H41" i="58"/>
  <c r="L41" i="58"/>
  <c r="H18" i="58"/>
  <c r="L18" i="58"/>
  <c r="C18" i="58"/>
  <c r="D18" i="58"/>
  <c r="C53" i="58"/>
  <c r="D53" i="58"/>
  <c r="H53" i="58"/>
  <c r="L53" i="58"/>
  <c r="H42" i="58"/>
  <c r="C42" i="58"/>
  <c r="D42" i="58"/>
  <c r="L42" i="58"/>
  <c r="N42" i="58"/>
  <c r="C16" i="58"/>
  <c r="D16" i="58"/>
  <c r="L16" i="58"/>
  <c r="N16" i="59"/>
  <c r="H55" i="58"/>
  <c r="C55" i="58"/>
  <c r="D55" i="58"/>
  <c r="L55" i="58"/>
  <c r="C35" i="61"/>
  <c r="D35" i="61"/>
  <c r="H24" i="54"/>
  <c r="C27" i="60"/>
  <c r="D27" i="60"/>
  <c r="H44" i="60"/>
  <c r="E19" i="55"/>
  <c r="F19" i="55"/>
  <c r="G19" i="55"/>
  <c r="I19" i="55"/>
  <c r="N34" i="59"/>
  <c r="C47" i="57"/>
  <c r="D47" i="57"/>
  <c r="C18" i="56"/>
  <c r="D18" i="56"/>
  <c r="N54" i="52"/>
  <c r="G45" i="52"/>
  <c r="G40" i="52"/>
  <c r="P19" i="59"/>
  <c r="J10" i="55"/>
  <c r="P10" i="55"/>
  <c r="N42" i="52"/>
  <c r="N50" i="58"/>
  <c r="N49" i="59"/>
  <c r="N30" i="52"/>
  <c r="N50" i="59"/>
  <c r="I26" i="55"/>
  <c r="G56" i="52"/>
  <c r="N35" i="52"/>
  <c r="J32" i="55"/>
  <c r="P32" i="55"/>
  <c r="E10" i="52"/>
  <c r="F10" i="52"/>
  <c r="E49" i="52"/>
  <c r="F49" i="52"/>
  <c r="G49" i="52"/>
  <c r="E17" i="52"/>
  <c r="F17" i="52"/>
  <c r="J17" i="55"/>
  <c r="E35" i="52"/>
  <c r="F35" i="52"/>
  <c r="J35" i="52"/>
  <c r="P35" i="52"/>
  <c r="J46" i="58"/>
  <c r="P46" i="58"/>
  <c r="J12" i="55"/>
  <c r="N14" i="52"/>
  <c r="G18" i="59"/>
  <c r="I18" i="59"/>
  <c r="J35" i="58"/>
  <c r="G34" i="52"/>
  <c r="G8" i="52"/>
  <c r="J55" i="60"/>
  <c r="P55" i="60"/>
  <c r="E24" i="52"/>
  <c r="F24" i="52"/>
  <c r="J24" i="52"/>
  <c r="E14" i="52"/>
  <c r="F14" i="52"/>
  <c r="E23" i="52"/>
  <c r="F23" i="52"/>
  <c r="E9" i="52"/>
  <c r="F9" i="52"/>
  <c r="J9" i="52"/>
  <c r="G9" i="52"/>
  <c r="I9" i="52"/>
  <c r="N27" i="52"/>
  <c r="J36" i="55"/>
  <c r="P36" i="55"/>
  <c r="G19" i="52"/>
  <c r="E11" i="52"/>
  <c r="F11" i="52"/>
  <c r="J24" i="55"/>
  <c r="E13" i="55"/>
  <c r="F13" i="55"/>
  <c r="J13" i="55"/>
  <c r="P13" i="55"/>
  <c r="G36" i="55"/>
  <c r="I36" i="55"/>
  <c r="J45" i="55"/>
  <c r="P45" i="55"/>
  <c r="E41" i="55"/>
  <c r="F41" i="55"/>
  <c r="J41" i="55"/>
  <c r="P41" i="55"/>
  <c r="G28" i="55"/>
  <c r="I28" i="55"/>
  <c r="J28" i="55"/>
  <c r="P28" i="55"/>
  <c r="G15" i="52"/>
  <c r="J19" i="55"/>
  <c r="P19" i="55"/>
  <c r="G9" i="55"/>
  <c r="Q9" i="56"/>
  <c r="S9" i="56"/>
  <c r="G50" i="52"/>
  <c r="P55" i="59"/>
  <c r="E20" i="55"/>
  <c r="F20" i="55"/>
  <c r="J20" i="55"/>
  <c r="P20" i="55"/>
  <c r="E6" i="52"/>
  <c r="F6" i="52"/>
  <c r="G42" i="59"/>
  <c r="I42" i="59"/>
  <c r="E53" i="55"/>
  <c r="F53" i="55"/>
  <c r="G53" i="55"/>
  <c r="I53" i="55"/>
  <c r="E37" i="55"/>
  <c r="F37" i="55"/>
  <c r="J37" i="55"/>
  <c r="P37" i="55"/>
  <c r="E16" i="55"/>
  <c r="F16" i="55"/>
  <c r="J16" i="55"/>
  <c r="P16" i="55"/>
  <c r="E30" i="55"/>
  <c r="F30" i="55"/>
  <c r="J30" i="55"/>
  <c r="P30" i="55"/>
  <c r="E14" i="55"/>
  <c r="F14" i="55"/>
  <c r="J14" i="55"/>
  <c r="P14" i="55"/>
  <c r="E16" i="59"/>
  <c r="F16" i="59"/>
  <c r="J16" i="59"/>
  <c r="P16" i="59"/>
  <c r="E49" i="59"/>
  <c r="F49" i="59"/>
  <c r="J49" i="59"/>
  <c r="P49" i="59"/>
  <c r="E55" i="55"/>
  <c r="F55" i="55"/>
  <c r="J55" i="55"/>
  <c r="P55" i="55"/>
  <c r="G17" i="55"/>
  <c r="I17" i="55"/>
  <c r="G10" i="55"/>
  <c r="I10" i="55"/>
  <c r="G32" i="55"/>
  <c r="I32" i="55"/>
  <c r="G52" i="52"/>
  <c r="E50" i="58"/>
  <c r="F50" i="58"/>
  <c r="J50" i="58"/>
  <c r="P50" i="58"/>
  <c r="E38" i="55"/>
  <c r="F38" i="55"/>
  <c r="E50" i="55"/>
  <c r="F50" i="55"/>
  <c r="J50" i="55"/>
  <c r="P50" i="55"/>
  <c r="E48" i="55"/>
  <c r="F48" i="55"/>
  <c r="E15" i="55"/>
  <c r="F15" i="55"/>
  <c r="J15" i="55"/>
  <c r="P15" i="55"/>
  <c r="E52" i="55"/>
  <c r="F52" i="55"/>
  <c r="J52" i="55"/>
  <c r="P52" i="55"/>
  <c r="J38" i="59"/>
  <c r="P38" i="59"/>
  <c r="E23" i="59"/>
  <c r="F23" i="59"/>
  <c r="J42" i="59"/>
  <c r="P42" i="59"/>
  <c r="F24" i="59"/>
  <c r="J24" i="59"/>
  <c r="P24" i="59"/>
  <c r="E48" i="59"/>
  <c r="F48" i="59"/>
  <c r="J48" i="59"/>
  <c r="P48" i="59"/>
  <c r="E34" i="59"/>
  <c r="F34" i="59"/>
  <c r="J34" i="59"/>
  <c r="P34" i="59"/>
  <c r="E46" i="59"/>
  <c r="F46" i="59"/>
  <c r="J46" i="59"/>
  <c r="P46" i="59"/>
  <c r="E47" i="59"/>
  <c r="F47" i="59"/>
  <c r="J47" i="59"/>
  <c r="G14" i="59"/>
  <c r="I14" i="59"/>
  <c r="J14" i="59"/>
  <c r="P14" i="59"/>
  <c r="E33" i="59"/>
  <c r="F33" i="59"/>
  <c r="J33" i="59"/>
  <c r="P33" i="59"/>
  <c r="E37" i="59"/>
  <c r="F37" i="59"/>
  <c r="J37" i="59"/>
  <c r="E41" i="59"/>
  <c r="F41" i="59"/>
  <c r="J41" i="59"/>
  <c r="E17" i="59"/>
  <c r="F17" i="59"/>
  <c r="J17" i="59"/>
  <c r="P17" i="59"/>
  <c r="E45" i="59"/>
  <c r="F45" i="59"/>
  <c r="E32" i="59"/>
  <c r="F32" i="59"/>
  <c r="J32" i="59"/>
  <c r="E22" i="55"/>
  <c r="F22" i="55"/>
  <c r="J22" i="55"/>
  <c r="P22" i="55"/>
  <c r="E56" i="55"/>
  <c r="F56" i="55"/>
  <c r="J56" i="55"/>
  <c r="P56" i="55"/>
  <c r="E27" i="55"/>
  <c r="F27" i="55"/>
  <c r="J27" i="55"/>
  <c r="P27" i="55"/>
  <c r="G29" i="55"/>
  <c r="I29" i="55"/>
  <c r="J29" i="55"/>
  <c r="P29" i="55"/>
  <c r="E22" i="59"/>
  <c r="F22" i="59"/>
  <c r="E31" i="59"/>
  <c r="F31" i="59"/>
  <c r="J31" i="59"/>
  <c r="P31" i="59"/>
  <c r="E40" i="59"/>
  <c r="F40" i="59"/>
  <c r="E21" i="59"/>
  <c r="F21" i="59"/>
  <c r="J21" i="59"/>
  <c r="P21" i="59"/>
  <c r="J26" i="55"/>
  <c r="P26" i="55"/>
  <c r="G12" i="55"/>
  <c r="I12" i="55"/>
  <c r="F51" i="55"/>
  <c r="J51" i="55"/>
  <c r="P51" i="55"/>
  <c r="G45" i="55"/>
  <c r="I45" i="55"/>
  <c r="E47" i="55"/>
  <c r="F47" i="55"/>
  <c r="J47" i="55"/>
  <c r="P47" i="55"/>
  <c r="E34" i="55"/>
  <c r="F34" i="55"/>
  <c r="J34" i="55"/>
  <c r="P34" i="55"/>
  <c r="E42" i="55"/>
  <c r="F42" i="55"/>
  <c r="J42" i="55"/>
  <c r="P42" i="55"/>
  <c r="E44" i="59"/>
  <c r="F44" i="59"/>
  <c r="J44" i="59"/>
  <c r="P44" i="59"/>
  <c r="E39" i="59"/>
  <c r="F39" i="59"/>
  <c r="J39" i="59"/>
  <c r="P39" i="59"/>
  <c r="E35" i="59"/>
  <c r="F35" i="59"/>
  <c r="J35" i="59"/>
  <c r="P35" i="59"/>
  <c r="E20" i="59"/>
  <c r="F20" i="59"/>
  <c r="J20" i="59"/>
  <c r="P20" i="59"/>
  <c r="E26" i="59"/>
  <c r="F26" i="59"/>
  <c r="J26" i="59"/>
  <c r="L13" i="60"/>
  <c r="N13" i="60"/>
  <c r="E52" i="59"/>
  <c r="F52" i="59"/>
  <c r="J52" i="59"/>
  <c r="P52" i="59"/>
  <c r="E30" i="59"/>
  <c r="F30" i="59"/>
  <c r="J30" i="59"/>
  <c r="P30" i="59"/>
  <c r="F26" i="58"/>
  <c r="J26" i="58"/>
  <c r="E40" i="55"/>
  <c r="F40" i="55"/>
  <c r="E9" i="56"/>
  <c r="F9" i="56"/>
  <c r="J9" i="56"/>
  <c r="E54" i="59"/>
  <c r="F54" i="59"/>
  <c r="E43" i="59"/>
  <c r="F43" i="59"/>
  <c r="J43" i="59"/>
  <c r="J28" i="59"/>
  <c r="E11" i="55"/>
  <c r="F11" i="55"/>
  <c r="J11" i="55"/>
  <c r="P11" i="55"/>
  <c r="E31" i="55"/>
  <c r="F31" i="55"/>
  <c r="J31" i="55"/>
  <c r="P31" i="55"/>
  <c r="E46" i="55"/>
  <c r="F46" i="55"/>
  <c r="J46" i="55"/>
  <c r="P46" i="55"/>
  <c r="E33" i="55"/>
  <c r="F33" i="55"/>
  <c r="E23" i="55"/>
  <c r="F23" i="55"/>
  <c r="J23" i="55"/>
  <c r="P23" i="55"/>
  <c r="E43" i="55"/>
  <c r="F43" i="55"/>
  <c r="E44" i="55"/>
  <c r="F44" i="55"/>
  <c r="J44" i="55"/>
  <c r="P44" i="55"/>
  <c r="E51" i="59"/>
  <c r="F51" i="59"/>
  <c r="E25" i="59"/>
  <c r="F25" i="59"/>
  <c r="J25" i="59"/>
  <c r="P25" i="59"/>
  <c r="E29" i="59"/>
  <c r="F29" i="59"/>
  <c r="J29" i="59"/>
  <c r="P29" i="59"/>
  <c r="P41" i="59"/>
  <c r="E36" i="59"/>
  <c r="F36" i="59"/>
  <c r="J36" i="59"/>
  <c r="E56" i="59"/>
  <c r="F56" i="59"/>
  <c r="J56" i="59"/>
  <c r="P56" i="59"/>
  <c r="E50" i="59"/>
  <c r="F50" i="59"/>
  <c r="J50" i="59"/>
  <c r="P50" i="59"/>
  <c r="E27" i="59"/>
  <c r="F27" i="59"/>
  <c r="J27" i="59"/>
  <c r="P27" i="59"/>
  <c r="E53" i="59"/>
  <c r="F53" i="59"/>
  <c r="J53" i="59"/>
  <c r="P53" i="59"/>
  <c r="C13" i="60"/>
  <c r="D13" i="60"/>
  <c r="D13" i="59"/>
  <c r="E15" i="59"/>
  <c r="F15" i="59"/>
  <c r="J15" i="59"/>
  <c r="P15" i="59"/>
  <c r="E54" i="55"/>
  <c r="F54" i="55"/>
  <c r="E21" i="55"/>
  <c r="F21" i="55"/>
  <c r="J21" i="55"/>
  <c r="P21" i="55"/>
  <c r="E25" i="55"/>
  <c r="F25" i="55"/>
  <c r="G39" i="55"/>
  <c r="I39" i="55"/>
  <c r="J39" i="55"/>
  <c r="P39" i="55"/>
  <c r="E35" i="55"/>
  <c r="F35" i="55"/>
  <c r="J35" i="55"/>
  <c r="P35" i="55"/>
  <c r="E42" i="58"/>
  <c r="F42" i="58"/>
  <c r="J42" i="58"/>
  <c r="E27" i="56"/>
  <c r="F27" i="56"/>
  <c r="J27" i="56"/>
  <c r="N23" i="56"/>
  <c r="E33" i="56"/>
  <c r="F33" i="56"/>
  <c r="J33" i="56"/>
  <c r="E25" i="54"/>
  <c r="F25" i="54"/>
  <c r="J25" i="54"/>
  <c r="P25" i="54"/>
  <c r="N56" i="55"/>
  <c r="E27" i="54"/>
  <c r="F27" i="54"/>
  <c r="J27" i="54"/>
  <c r="F54" i="54"/>
  <c r="J54" i="54"/>
  <c r="P54" i="54"/>
  <c r="E28" i="54"/>
  <c r="F28" i="54"/>
  <c r="J28" i="54"/>
  <c r="E17" i="54"/>
  <c r="F17" i="54"/>
  <c r="J17" i="54"/>
  <c r="P17" i="54"/>
  <c r="N14" i="54"/>
  <c r="N15" i="60"/>
  <c r="N51" i="60"/>
  <c r="N37" i="60"/>
  <c r="N33" i="60"/>
  <c r="N16" i="60"/>
  <c r="E25" i="60"/>
  <c r="F25" i="60"/>
  <c r="J25" i="60"/>
  <c r="E47" i="60"/>
  <c r="F47" i="60"/>
  <c r="J47" i="60"/>
  <c r="P47" i="60"/>
  <c r="E29" i="60"/>
  <c r="F29" i="60"/>
  <c r="E45" i="60"/>
  <c r="F45" i="60"/>
  <c r="E53" i="60"/>
  <c r="F53" i="60"/>
  <c r="J53" i="60"/>
  <c r="E26" i="60"/>
  <c r="F26" i="60"/>
  <c r="N40" i="61"/>
  <c r="N50" i="61"/>
  <c r="E7" i="1"/>
  <c r="F7" i="1"/>
  <c r="J7" i="1"/>
  <c r="N18" i="61"/>
  <c r="J43" i="60"/>
  <c r="P43" i="60"/>
  <c r="G43" i="60"/>
  <c r="I43" i="60"/>
  <c r="E35" i="61"/>
  <c r="F35" i="61"/>
  <c r="J35" i="61"/>
  <c r="E52" i="58"/>
  <c r="F52" i="58"/>
  <c r="J52" i="58"/>
  <c r="P52" i="58"/>
  <c r="J26" i="56"/>
  <c r="P26" i="56"/>
  <c r="N38" i="56"/>
  <c r="N22" i="56"/>
  <c r="N11" i="56"/>
  <c r="L7" i="54"/>
  <c r="N7" i="54"/>
  <c r="E12" i="53"/>
  <c r="F12" i="53"/>
  <c r="J12" i="53"/>
  <c r="F37" i="53"/>
  <c r="J37" i="53"/>
  <c r="P37" i="53"/>
  <c r="N54" i="53"/>
  <c r="E25" i="53"/>
  <c r="F25" i="53"/>
  <c r="J25" i="53"/>
  <c r="E15" i="53"/>
  <c r="F15" i="53"/>
  <c r="J15" i="53"/>
  <c r="N14" i="53"/>
  <c r="E19" i="53"/>
  <c r="F19" i="53"/>
  <c r="J19" i="53"/>
  <c r="E49" i="53"/>
  <c r="F49" i="53"/>
  <c r="J49" i="53"/>
  <c r="E9" i="53"/>
  <c r="F9" i="53"/>
  <c r="J9" i="53"/>
  <c r="E52" i="60"/>
  <c r="F52" i="60"/>
  <c r="J52" i="60"/>
  <c r="E51" i="58"/>
  <c r="F51" i="58"/>
  <c r="J51" i="58"/>
  <c r="P51" i="58"/>
  <c r="N38" i="58"/>
  <c r="E49" i="58"/>
  <c r="F49" i="58"/>
  <c r="J49" i="58"/>
  <c r="P49" i="58"/>
  <c r="N48" i="58"/>
  <c r="N48" i="59"/>
  <c r="N43" i="59"/>
  <c r="N16" i="56"/>
  <c r="N30" i="56"/>
  <c r="E21" i="56"/>
  <c r="F21" i="56"/>
  <c r="J21" i="56"/>
  <c r="N50" i="56"/>
  <c r="E14" i="1"/>
  <c r="F14" i="1"/>
  <c r="J14" i="1"/>
  <c r="E51" i="1"/>
  <c r="F51" i="1"/>
  <c r="E54" i="1"/>
  <c r="F54" i="1"/>
  <c r="J54" i="1"/>
  <c r="E10" i="1"/>
  <c r="F10" i="1"/>
  <c r="J10" i="1"/>
  <c r="E55" i="1"/>
  <c r="F55" i="1"/>
  <c r="J55" i="1"/>
  <c r="E39" i="1"/>
  <c r="F39" i="1"/>
  <c r="J39" i="1"/>
  <c r="E19" i="61"/>
  <c r="F19" i="61"/>
  <c r="N41" i="59"/>
  <c r="J18" i="55"/>
  <c r="P18" i="55"/>
  <c r="G18" i="55"/>
  <c r="I18" i="55"/>
  <c r="N20" i="56"/>
  <c r="E47" i="54"/>
  <c r="F47" i="54"/>
  <c r="J47" i="54"/>
  <c r="E23" i="54"/>
  <c r="F23" i="54"/>
  <c r="J23" i="54"/>
  <c r="E48" i="54"/>
  <c r="F48" i="54"/>
  <c r="J48" i="54"/>
  <c r="E24" i="54"/>
  <c r="F24" i="54"/>
  <c r="J24" i="54"/>
  <c r="P24" i="54"/>
  <c r="E22" i="54"/>
  <c r="F22" i="54"/>
  <c r="N52" i="55"/>
  <c r="E53" i="54"/>
  <c r="F53" i="54"/>
  <c r="J53" i="54"/>
  <c r="N15" i="55"/>
  <c r="N22" i="55"/>
  <c r="C8" i="55"/>
  <c r="D8" i="55"/>
  <c r="D8" i="54"/>
  <c r="N18" i="60"/>
  <c r="N35" i="60"/>
  <c r="E16" i="60"/>
  <c r="F16" i="60"/>
  <c r="J16" i="60"/>
  <c r="P16" i="60"/>
  <c r="E17" i="60"/>
  <c r="F17" i="60"/>
  <c r="J17" i="60"/>
  <c r="E46" i="60"/>
  <c r="F46" i="60"/>
  <c r="J46" i="60"/>
  <c r="P46" i="60"/>
  <c r="E56" i="60"/>
  <c r="F56" i="60"/>
  <c r="J56" i="60"/>
  <c r="E34" i="60"/>
  <c r="F34" i="60"/>
  <c r="J34" i="60"/>
  <c r="P34" i="60"/>
  <c r="E51" i="60"/>
  <c r="F51" i="60"/>
  <c r="J51" i="60"/>
  <c r="P51" i="60"/>
  <c r="E16" i="61"/>
  <c r="F16" i="61"/>
  <c r="J16" i="61"/>
  <c r="P16" i="61"/>
  <c r="E45" i="61"/>
  <c r="F45" i="61"/>
  <c r="J45" i="61"/>
  <c r="N23" i="61"/>
  <c r="E33" i="61"/>
  <c r="F33" i="61"/>
  <c r="J33" i="61"/>
  <c r="N31" i="61"/>
  <c r="E15" i="58"/>
  <c r="F15" i="58"/>
  <c r="J15" i="58"/>
  <c r="N16" i="58"/>
  <c r="E18" i="58"/>
  <c r="F18" i="58"/>
  <c r="J18" i="58"/>
  <c r="P18" i="58"/>
  <c r="E18" i="56"/>
  <c r="F18" i="56"/>
  <c r="J18" i="56"/>
  <c r="N55" i="59"/>
  <c r="E16" i="58"/>
  <c r="F16" i="58"/>
  <c r="E29" i="1"/>
  <c r="F29" i="1"/>
  <c r="E32" i="1"/>
  <c r="F32" i="1"/>
  <c r="J32" i="1"/>
  <c r="E40" i="1"/>
  <c r="F40" i="1"/>
  <c r="E28" i="1"/>
  <c r="F28" i="1"/>
  <c r="J28" i="1"/>
  <c r="E22" i="61"/>
  <c r="F22" i="61"/>
  <c r="E53" i="58"/>
  <c r="F53" i="58"/>
  <c r="J53" i="58"/>
  <c r="E47" i="57"/>
  <c r="F47" i="57"/>
  <c r="J47" i="57"/>
  <c r="P47" i="57"/>
  <c r="E27" i="60"/>
  <c r="F27" i="60"/>
  <c r="E55" i="58"/>
  <c r="F55" i="58"/>
  <c r="J55" i="58"/>
  <c r="N52" i="58"/>
  <c r="N52" i="59"/>
  <c r="E31" i="58"/>
  <c r="F31" i="58"/>
  <c r="J31" i="58"/>
  <c r="E39" i="58"/>
  <c r="F39" i="58"/>
  <c r="N26" i="56"/>
  <c r="E41" i="56"/>
  <c r="F41" i="56"/>
  <c r="J41" i="56"/>
  <c r="P41" i="56"/>
  <c r="N27" i="53"/>
  <c r="E51" i="53"/>
  <c r="F51" i="53"/>
  <c r="J51" i="53"/>
  <c r="E8" i="53"/>
  <c r="F8" i="53"/>
  <c r="N42" i="53"/>
  <c r="E44" i="53"/>
  <c r="F44" i="53"/>
  <c r="E39" i="53"/>
  <c r="F39" i="53"/>
  <c r="J39" i="53"/>
  <c r="E41" i="53"/>
  <c r="F41" i="53"/>
  <c r="E21" i="53"/>
  <c r="F21" i="53"/>
  <c r="E28" i="53"/>
  <c r="F28" i="53"/>
  <c r="J28" i="53"/>
  <c r="E16" i="53"/>
  <c r="F16" i="53"/>
  <c r="E31" i="53"/>
  <c r="F31" i="53"/>
  <c r="J31" i="53"/>
  <c r="E36" i="53"/>
  <c r="F36" i="53"/>
  <c r="E43" i="53"/>
  <c r="F43" i="53"/>
  <c r="E32" i="53"/>
  <c r="F32" i="53"/>
  <c r="J32" i="53"/>
  <c r="P32" i="53"/>
  <c r="E22" i="53"/>
  <c r="F22" i="53"/>
  <c r="E44" i="56"/>
  <c r="F44" i="56"/>
  <c r="J44" i="56"/>
  <c r="P44" i="56"/>
  <c r="E48" i="56"/>
  <c r="F48" i="56"/>
  <c r="J48" i="56"/>
  <c r="E40" i="56"/>
  <c r="F40" i="56"/>
  <c r="N48" i="56"/>
  <c r="E35" i="56"/>
  <c r="F35" i="56"/>
  <c r="J35" i="56"/>
  <c r="E48" i="61"/>
  <c r="F48" i="61"/>
  <c r="E36" i="61"/>
  <c r="F36" i="61"/>
  <c r="J36" i="61"/>
  <c r="P36" i="61"/>
  <c r="E38" i="61"/>
  <c r="F38" i="61"/>
  <c r="J38" i="61"/>
  <c r="E29" i="61"/>
  <c r="F29" i="61"/>
  <c r="J29" i="61"/>
  <c r="E33" i="1"/>
  <c r="F33" i="1"/>
  <c r="J33" i="1"/>
  <c r="E37" i="1"/>
  <c r="F37" i="1"/>
  <c r="J37" i="1"/>
  <c r="E21" i="1"/>
  <c r="F21" i="1"/>
  <c r="N55" i="61"/>
  <c r="E30" i="58"/>
  <c r="F30" i="58"/>
  <c r="J30" i="58"/>
  <c r="N34" i="56"/>
  <c r="E36" i="56"/>
  <c r="F36" i="56"/>
  <c r="J36" i="56"/>
  <c r="E41" i="61"/>
  <c r="F41" i="61"/>
  <c r="J41" i="61"/>
  <c r="P41" i="61"/>
  <c r="S41" i="61"/>
  <c r="E51" i="56"/>
  <c r="F51" i="56"/>
  <c r="J51" i="56"/>
  <c r="P51" i="56"/>
  <c r="N36" i="58"/>
  <c r="N36" i="59"/>
  <c r="E34" i="58"/>
  <c r="F34" i="58"/>
  <c r="J34" i="58"/>
  <c r="P34" i="58"/>
  <c r="E28" i="58"/>
  <c r="F28" i="58"/>
  <c r="E54" i="58"/>
  <c r="F54" i="58"/>
  <c r="J54" i="58"/>
  <c r="P54" i="58"/>
  <c r="E43" i="1"/>
  <c r="F43" i="1"/>
  <c r="E15" i="56"/>
  <c r="F15" i="56"/>
  <c r="E51" i="57"/>
  <c r="F51" i="57"/>
  <c r="J51" i="57"/>
  <c r="N37" i="57"/>
  <c r="N12" i="57"/>
  <c r="E21" i="57"/>
  <c r="F21" i="57"/>
  <c r="J21" i="57"/>
  <c r="P21" i="57"/>
  <c r="D11" i="57"/>
  <c r="C11" i="58"/>
  <c r="D11" i="58"/>
  <c r="E26" i="57"/>
  <c r="F26" i="57"/>
  <c r="E36" i="57"/>
  <c r="F36" i="57"/>
  <c r="N46" i="58"/>
  <c r="E41" i="57"/>
  <c r="F41" i="57"/>
  <c r="J41" i="57"/>
  <c r="N34" i="57"/>
  <c r="N56" i="61"/>
  <c r="E53" i="61"/>
  <c r="F53" i="61"/>
  <c r="J53" i="61"/>
  <c r="P53" i="61"/>
  <c r="E53" i="1"/>
  <c r="F53" i="1"/>
  <c r="E24" i="56"/>
  <c r="F24" i="56"/>
  <c r="J24" i="56"/>
  <c r="P24" i="56"/>
  <c r="E38" i="56"/>
  <c r="F38" i="56"/>
  <c r="J38" i="56"/>
  <c r="P38" i="56"/>
  <c r="E47" i="56"/>
  <c r="F47" i="56"/>
  <c r="J47" i="56"/>
  <c r="E11" i="56"/>
  <c r="F11" i="56"/>
  <c r="J11" i="56"/>
  <c r="P11" i="56"/>
  <c r="E45" i="53"/>
  <c r="F45" i="53"/>
  <c r="J45" i="53"/>
  <c r="P45" i="53"/>
  <c r="D7" i="53"/>
  <c r="C7" i="54"/>
  <c r="D7" i="54"/>
  <c r="E48" i="53"/>
  <c r="F48" i="53"/>
  <c r="J48" i="53"/>
  <c r="P48" i="53"/>
  <c r="E18" i="53"/>
  <c r="F18" i="53"/>
  <c r="E10" i="53"/>
  <c r="F10" i="53"/>
  <c r="J10" i="53"/>
  <c r="P10" i="53"/>
  <c r="E33" i="53"/>
  <c r="F33" i="53"/>
  <c r="J33" i="53"/>
  <c r="P33" i="53"/>
  <c r="F55" i="53"/>
  <c r="J55" i="53"/>
  <c r="E56" i="53"/>
  <c r="F56" i="53"/>
  <c r="E27" i="53"/>
  <c r="F27" i="53"/>
  <c r="J27" i="53"/>
  <c r="P27" i="53"/>
  <c r="E24" i="53"/>
  <c r="F24" i="53"/>
  <c r="J24" i="53"/>
  <c r="P24" i="53"/>
  <c r="N35" i="53"/>
  <c r="N45" i="53"/>
  <c r="E30" i="53"/>
  <c r="F30" i="53"/>
  <c r="J30" i="53"/>
  <c r="N18" i="56"/>
  <c r="N14" i="56"/>
  <c r="N48" i="61"/>
  <c r="N24" i="61"/>
  <c r="E43" i="61"/>
  <c r="F43" i="61"/>
  <c r="J43" i="61"/>
  <c r="P43" i="61"/>
  <c r="E21" i="61"/>
  <c r="F21" i="61"/>
  <c r="E47" i="1"/>
  <c r="F47" i="1"/>
  <c r="J47" i="1"/>
  <c r="D5" i="1"/>
  <c r="C5" i="52"/>
  <c r="D5" i="52"/>
  <c r="E34" i="1"/>
  <c r="F34" i="1"/>
  <c r="J34" i="1"/>
  <c r="G55" i="60"/>
  <c r="I55" i="60"/>
  <c r="E32" i="58"/>
  <c r="F32" i="58"/>
  <c r="J32" i="58"/>
  <c r="N56" i="59"/>
  <c r="E29" i="56"/>
  <c r="F29" i="56"/>
  <c r="J29" i="56"/>
  <c r="P29" i="56"/>
  <c r="N30" i="61"/>
  <c r="E15" i="61"/>
  <c r="F15" i="61"/>
  <c r="J15" i="61"/>
  <c r="E19" i="1"/>
  <c r="F19" i="1"/>
  <c r="E35" i="60"/>
  <c r="F35" i="60"/>
  <c r="J35" i="60"/>
  <c r="P35" i="60"/>
  <c r="E40" i="58"/>
  <c r="F40" i="58"/>
  <c r="N20" i="58"/>
  <c r="E37" i="58"/>
  <c r="F37" i="58"/>
  <c r="J37" i="58"/>
  <c r="E23" i="58"/>
  <c r="F23" i="58"/>
  <c r="J23" i="58"/>
  <c r="E23" i="56"/>
  <c r="F23" i="56"/>
  <c r="C10" i="57"/>
  <c r="D10" i="57"/>
  <c r="D10" i="56"/>
  <c r="N33" i="56"/>
  <c r="N37" i="55"/>
  <c r="N46" i="54"/>
  <c r="N46" i="55"/>
  <c r="E56" i="54"/>
  <c r="F56" i="54"/>
  <c r="J56" i="54"/>
  <c r="N51" i="55"/>
  <c r="E46" i="54"/>
  <c r="F46" i="54"/>
  <c r="N42" i="54"/>
  <c r="N35" i="55"/>
  <c r="N54" i="54"/>
  <c r="N54" i="55"/>
  <c r="E26" i="54"/>
  <c r="F26" i="54"/>
  <c r="J26" i="54"/>
  <c r="E39" i="54"/>
  <c r="F39" i="54"/>
  <c r="N50" i="55"/>
  <c r="E34" i="54"/>
  <c r="F34" i="54"/>
  <c r="J34" i="54"/>
  <c r="P34" i="54"/>
  <c r="E36" i="54"/>
  <c r="F36" i="54"/>
  <c r="J36" i="54"/>
  <c r="N38" i="54"/>
  <c r="N38" i="55"/>
  <c r="N33" i="54"/>
  <c r="N33" i="55"/>
  <c r="E52" i="54"/>
  <c r="F52" i="54"/>
  <c r="P48" i="54"/>
  <c r="N48" i="55"/>
  <c r="N18" i="55"/>
  <c r="N18" i="54"/>
  <c r="N27" i="55"/>
  <c r="N27" i="54"/>
  <c r="P27" i="54"/>
  <c r="E51" i="54"/>
  <c r="F51" i="54"/>
  <c r="J51" i="54"/>
  <c r="E16" i="54"/>
  <c r="F16" i="54"/>
  <c r="J16" i="54"/>
  <c r="P16" i="54"/>
  <c r="E11" i="54"/>
  <c r="F11" i="54"/>
  <c r="J11" i="54"/>
  <c r="P11" i="54"/>
  <c r="N34" i="60"/>
  <c r="N30" i="60"/>
  <c r="N14" i="60"/>
  <c r="L14" i="61"/>
  <c r="N14" i="61"/>
  <c r="S14" i="61"/>
  <c r="N38" i="60"/>
  <c r="N40" i="60"/>
  <c r="N41" i="60"/>
  <c r="N31" i="60"/>
  <c r="N50" i="60"/>
  <c r="N55" i="60"/>
  <c r="E39" i="60"/>
  <c r="F39" i="60"/>
  <c r="E49" i="60"/>
  <c r="F49" i="60"/>
  <c r="J49" i="60"/>
  <c r="E42" i="60"/>
  <c r="F42" i="60"/>
  <c r="E18" i="60"/>
  <c r="F18" i="60"/>
  <c r="J18" i="60"/>
  <c r="P18" i="60"/>
  <c r="E30" i="60"/>
  <c r="F30" i="60"/>
  <c r="J30" i="60"/>
  <c r="P30" i="60"/>
  <c r="N24" i="60"/>
  <c r="N27" i="61"/>
  <c r="E32" i="61"/>
  <c r="F32" i="61"/>
  <c r="J32" i="61"/>
  <c r="P32" i="61"/>
  <c r="N37" i="61"/>
  <c r="N29" i="58"/>
  <c r="N29" i="59"/>
  <c r="N51" i="56"/>
  <c r="E46" i="56"/>
  <c r="F46" i="56"/>
  <c r="J46" i="56"/>
  <c r="P46" i="56"/>
  <c r="E47" i="61"/>
  <c r="F47" i="61"/>
  <c r="G35" i="58"/>
  <c r="I35" i="58"/>
  <c r="E45" i="58"/>
  <c r="F45" i="58"/>
  <c r="J45" i="58"/>
  <c r="N33" i="59"/>
  <c r="N25" i="56"/>
  <c r="E55" i="56"/>
  <c r="F55" i="56"/>
  <c r="J55" i="56"/>
  <c r="E32" i="56"/>
  <c r="F32" i="56"/>
  <c r="N21" i="56"/>
  <c r="P21" i="56"/>
  <c r="E35" i="1"/>
  <c r="F35" i="1"/>
  <c r="J35" i="1"/>
  <c r="E49" i="1"/>
  <c r="F49" i="1"/>
  <c r="J49" i="1"/>
  <c r="E20" i="1"/>
  <c r="F20" i="1"/>
  <c r="J20" i="1"/>
  <c r="E23" i="1"/>
  <c r="F23" i="1"/>
  <c r="J23" i="1"/>
  <c r="E26" i="1"/>
  <c r="F26" i="1"/>
  <c r="E9" i="1"/>
  <c r="F9" i="1"/>
  <c r="J9" i="1"/>
  <c r="E13" i="1"/>
  <c r="F13" i="1"/>
  <c r="J13" i="1"/>
  <c r="E46" i="61"/>
  <c r="F46" i="61"/>
  <c r="E49" i="61"/>
  <c r="F49" i="61"/>
  <c r="J49" i="61"/>
  <c r="P49" i="61"/>
  <c r="E18" i="61"/>
  <c r="F18" i="61"/>
  <c r="G18" i="61"/>
  <c r="E42" i="61"/>
  <c r="F42" i="61"/>
  <c r="J42" i="61"/>
  <c r="P42" i="61"/>
  <c r="E52" i="61"/>
  <c r="F52" i="61"/>
  <c r="E31" i="61"/>
  <c r="F31" i="61"/>
  <c r="J31" i="61"/>
  <c r="P31" i="61"/>
  <c r="E34" i="61"/>
  <c r="F34" i="61"/>
  <c r="E42" i="1"/>
  <c r="F42" i="1"/>
  <c r="J42" i="1"/>
  <c r="E41" i="1"/>
  <c r="F41" i="1"/>
  <c r="E38" i="57"/>
  <c r="F38" i="57"/>
  <c r="J38" i="57"/>
  <c r="P38" i="57"/>
  <c r="N14" i="58"/>
  <c r="N14" i="59"/>
  <c r="E53" i="56"/>
  <c r="F53" i="56"/>
  <c r="J53" i="56"/>
  <c r="E17" i="57"/>
  <c r="F17" i="57"/>
  <c r="J17" i="57"/>
  <c r="E55" i="57"/>
  <c r="F55" i="57"/>
  <c r="N13" i="57"/>
  <c r="N50" i="57"/>
  <c r="N38" i="57"/>
  <c r="N48" i="57"/>
  <c r="N21" i="57"/>
  <c r="E56" i="57"/>
  <c r="F56" i="57"/>
  <c r="E28" i="57"/>
  <c r="F28" i="57"/>
  <c r="E54" i="57"/>
  <c r="F54" i="57"/>
  <c r="J54" i="57"/>
  <c r="P54" i="57"/>
  <c r="E39" i="57"/>
  <c r="F39" i="57"/>
  <c r="J39" i="57"/>
  <c r="P39" i="57"/>
  <c r="E20" i="57"/>
  <c r="F20" i="57"/>
  <c r="J20" i="57"/>
  <c r="P20" i="57"/>
  <c r="E29" i="57"/>
  <c r="F29" i="57"/>
  <c r="J29" i="57"/>
  <c r="P29" i="57"/>
  <c r="E31" i="57"/>
  <c r="F31" i="57"/>
  <c r="J31" i="57"/>
  <c r="P31" i="57"/>
  <c r="E23" i="57"/>
  <c r="F23" i="57"/>
  <c r="E24" i="57"/>
  <c r="F24" i="57"/>
  <c r="J24" i="57"/>
  <c r="P24" i="57"/>
  <c r="E22" i="57"/>
  <c r="F22" i="57"/>
  <c r="J22" i="57"/>
  <c r="P22" i="57"/>
  <c r="E25" i="57"/>
  <c r="F25" i="57"/>
  <c r="J25" i="57"/>
  <c r="E50" i="57"/>
  <c r="F50" i="57"/>
  <c r="J50" i="57"/>
  <c r="P50" i="57"/>
  <c r="N28" i="61"/>
  <c r="E15" i="1"/>
  <c r="F15" i="1"/>
  <c r="E47" i="53"/>
  <c r="F47" i="53"/>
  <c r="E46" i="53"/>
  <c r="F46" i="53"/>
  <c r="J46" i="53"/>
  <c r="P46" i="53"/>
  <c r="N10" i="53"/>
  <c r="E13" i="53"/>
  <c r="F13" i="53"/>
  <c r="N39" i="53"/>
  <c r="E54" i="53"/>
  <c r="F54" i="53"/>
  <c r="J54" i="53"/>
  <c r="P54" i="53"/>
  <c r="E31" i="56"/>
  <c r="F31" i="56"/>
  <c r="N40" i="56"/>
  <c r="E52" i="56"/>
  <c r="F52" i="56"/>
  <c r="J52" i="56"/>
  <c r="P52" i="56"/>
  <c r="N56" i="56"/>
  <c r="E14" i="56"/>
  <c r="F14" i="56"/>
  <c r="J14" i="56"/>
  <c r="E56" i="56"/>
  <c r="F56" i="56"/>
  <c r="J56" i="56"/>
  <c r="P56" i="56"/>
  <c r="N36" i="61"/>
  <c r="E24" i="61"/>
  <c r="F24" i="61"/>
  <c r="J24" i="61"/>
  <c r="P24" i="61"/>
  <c r="E44" i="61"/>
  <c r="F44" i="61"/>
  <c r="J44" i="61"/>
  <c r="E54" i="61"/>
  <c r="F54" i="61"/>
  <c r="J54" i="61"/>
  <c r="E16" i="1"/>
  <c r="F16" i="1"/>
  <c r="J16" i="1"/>
  <c r="E56" i="58"/>
  <c r="F56" i="58"/>
  <c r="J56" i="58"/>
  <c r="E34" i="56"/>
  <c r="F34" i="56"/>
  <c r="G34" i="56"/>
  <c r="E43" i="56"/>
  <c r="F43" i="56"/>
  <c r="J43" i="56"/>
  <c r="N51" i="61"/>
  <c r="E38" i="58"/>
  <c r="F38" i="58"/>
  <c r="J38" i="58"/>
  <c r="P38" i="58"/>
  <c r="N22" i="59"/>
  <c r="N22" i="58"/>
  <c r="N37" i="58"/>
  <c r="E48" i="58"/>
  <c r="F48" i="58"/>
  <c r="E43" i="58"/>
  <c r="F43" i="58"/>
  <c r="E13" i="58"/>
  <c r="F13" i="58"/>
  <c r="J13" i="58"/>
  <c r="P13" i="58"/>
  <c r="E19" i="56"/>
  <c r="F19" i="56"/>
  <c r="J19" i="56"/>
  <c r="P19" i="56"/>
  <c r="E45" i="56"/>
  <c r="F45" i="56"/>
  <c r="E17" i="56"/>
  <c r="F17" i="56"/>
  <c r="J17" i="56"/>
  <c r="E28" i="56"/>
  <c r="F28" i="56"/>
  <c r="J28" i="56"/>
  <c r="P28" i="56"/>
  <c r="E54" i="56"/>
  <c r="F54" i="56"/>
  <c r="J54" i="56"/>
  <c r="P54" i="56"/>
  <c r="E32" i="54"/>
  <c r="F32" i="54"/>
  <c r="E9" i="54"/>
  <c r="F9" i="54"/>
  <c r="G9" i="54"/>
  <c r="E55" i="54"/>
  <c r="F55" i="54"/>
  <c r="N34" i="54"/>
  <c r="N34" i="55"/>
  <c r="E43" i="54"/>
  <c r="F43" i="54"/>
  <c r="E14" i="54"/>
  <c r="F14" i="54"/>
  <c r="J14" i="54"/>
  <c r="E35" i="54"/>
  <c r="F35" i="54"/>
  <c r="E37" i="54"/>
  <c r="F37" i="54"/>
  <c r="J37" i="54"/>
  <c r="N39" i="55"/>
  <c r="N39" i="54"/>
  <c r="N24" i="54"/>
  <c r="E50" i="54"/>
  <c r="F50" i="54"/>
  <c r="N43" i="55"/>
  <c r="N36" i="54"/>
  <c r="E45" i="54"/>
  <c r="F45" i="54"/>
  <c r="N13" i="55"/>
  <c r="N13" i="54"/>
  <c r="E12" i="54"/>
  <c r="F12" i="54"/>
  <c r="J12" i="54"/>
  <c r="P12" i="54"/>
  <c r="E15" i="54"/>
  <c r="F15" i="54"/>
  <c r="E44" i="54"/>
  <c r="F44" i="54"/>
  <c r="J44" i="54"/>
  <c r="N32" i="54"/>
  <c r="N25" i="55"/>
  <c r="E13" i="54"/>
  <c r="F13" i="54"/>
  <c r="J13" i="54"/>
  <c r="E21" i="54"/>
  <c r="F21" i="54"/>
  <c r="J21" i="54"/>
  <c r="P21" i="54"/>
  <c r="E20" i="54"/>
  <c r="F20" i="54"/>
  <c r="N23" i="60"/>
  <c r="N44" i="60"/>
  <c r="N29" i="60"/>
  <c r="N46" i="60"/>
  <c r="N19" i="60"/>
  <c r="C14" i="61"/>
  <c r="D14" i="61"/>
  <c r="D14" i="60"/>
  <c r="N43" i="60"/>
  <c r="P49" i="60"/>
  <c r="E24" i="60"/>
  <c r="F24" i="60"/>
  <c r="J24" i="60"/>
  <c r="E37" i="60"/>
  <c r="F37" i="60"/>
  <c r="J37" i="60"/>
  <c r="P37" i="60"/>
  <c r="E23" i="60"/>
  <c r="F23" i="60"/>
  <c r="E28" i="60"/>
  <c r="F28" i="60"/>
  <c r="J28" i="60"/>
  <c r="P28" i="60"/>
  <c r="N22" i="60"/>
  <c r="E20" i="60"/>
  <c r="F20" i="60"/>
  <c r="J20" i="60"/>
  <c r="E54" i="60"/>
  <c r="F54" i="60"/>
  <c r="J54" i="60"/>
  <c r="N42" i="60"/>
  <c r="N48" i="60"/>
  <c r="E40" i="61"/>
  <c r="F40" i="61"/>
  <c r="J40" i="61"/>
  <c r="P40" i="61"/>
  <c r="E50" i="61"/>
  <c r="F50" i="61"/>
  <c r="J50" i="61"/>
  <c r="P50" i="61"/>
  <c r="E25" i="61"/>
  <c r="F25" i="61"/>
  <c r="G25" i="61"/>
  <c r="N45" i="61"/>
  <c r="P45" i="61"/>
  <c r="N21" i="58"/>
  <c r="N21" i="59"/>
  <c r="E13" i="56"/>
  <c r="F13" i="56"/>
  <c r="J13" i="56"/>
  <c r="P13" i="56"/>
  <c r="E20" i="61"/>
  <c r="F20" i="61"/>
  <c r="J20" i="61"/>
  <c r="P20" i="61"/>
  <c r="N24" i="58"/>
  <c r="N24" i="59"/>
  <c r="N34" i="58"/>
  <c r="E44" i="58"/>
  <c r="F44" i="58"/>
  <c r="J44" i="58"/>
  <c r="E12" i="56"/>
  <c r="F12" i="56"/>
  <c r="J12" i="56"/>
  <c r="P12" i="56"/>
  <c r="E16" i="56"/>
  <c r="F16" i="56"/>
  <c r="E30" i="56"/>
  <c r="F30" i="56"/>
  <c r="J30" i="56"/>
  <c r="P30" i="56"/>
  <c r="E50" i="56"/>
  <c r="F50" i="56"/>
  <c r="G50" i="56"/>
  <c r="E37" i="56"/>
  <c r="F37" i="56"/>
  <c r="J37" i="56"/>
  <c r="E8" i="1"/>
  <c r="F8" i="1"/>
  <c r="E50" i="1"/>
  <c r="F50" i="1"/>
  <c r="J50" i="1"/>
  <c r="E44" i="1"/>
  <c r="F44" i="1"/>
  <c r="G44" i="1"/>
  <c r="E6" i="1"/>
  <c r="F6" i="1"/>
  <c r="J6" i="1"/>
  <c r="E24" i="1"/>
  <c r="F24" i="1"/>
  <c r="J24" i="1"/>
  <c r="E56" i="1"/>
  <c r="F56" i="1"/>
  <c r="J56" i="1"/>
  <c r="E52" i="1"/>
  <c r="F52" i="1"/>
  <c r="J52" i="1"/>
  <c r="E45" i="1"/>
  <c r="F45" i="1"/>
  <c r="N47" i="61"/>
  <c r="N52" i="61"/>
  <c r="E36" i="1"/>
  <c r="F36" i="1"/>
  <c r="J36" i="1"/>
  <c r="E14" i="58"/>
  <c r="F14" i="58"/>
  <c r="J14" i="58"/>
  <c r="P14" i="58"/>
  <c r="N23" i="57"/>
  <c r="E53" i="57"/>
  <c r="F53" i="57"/>
  <c r="J53" i="57"/>
  <c r="P53" i="57"/>
  <c r="N54" i="57"/>
  <c r="N51" i="57"/>
  <c r="P51" i="57"/>
  <c r="N20" i="57"/>
  <c r="N26" i="57"/>
  <c r="E30" i="57"/>
  <c r="F30" i="57"/>
  <c r="E32" i="57"/>
  <c r="F32" i="57"/>
  <c r="J32" i="57"/>
  <c r="P32" i="57"/>
  <c r="E15" i="57"/>
  <c r="F15" i="57"/>
  <c r="E19" i="57"/>
  <c r="F19" i="57"/>
  <c r="J19" i="57"/>
  <c r="P19" i="57"/>
  <c r="N22" i="57"/>
  <c r="E13" i="57"/>
  <c r="F13" i="57"/>
  <c r="E16" i="57"/>
  <c r="F16" i="57"/>
  <c r="J16" i="57"/>
  <c r="P16" i="57"/>
  <c r="E37" i="57"/>
  <c r="F37" i="57"/>
  <c r="E42" i="57"/>
  <c r="F42" i="57"/>
  <c r="J42" i="57"/>
  <c r="P42" i="57"/>
  <c r="E48" i="57"/>
  <c r="F48" i="57"/>
  <c r="E18" i="57"/>
  <c r="F18" i="57"/>
  <c r="J18" i="57"/>
  <c r="E33" i="57"/>
  <c r="F33" i="57"/>
  <c r="J33" i="57"/>
  <c r="E43" i="57"/>
  <c r="F43" i="57"/>
  <c r="J43" i="57"/>
  <c r="P43" i="57"/>
  <c r="E56" i="61"/>
  <c r="F56" i="61"/>
  <c r="E26" i="61"/>
  <c r="F26" i="61"/>
  <c r="J26" i="61"/>
  <c r="E25" i="1"/>
  <c r="F25" i="1"/>
  <c r="J25" i="1"/>
  <c r="N18" i="58"/>
  <c r="N18" i="59"/>
  <c r="E41" i="58"/>
  <c r="F41" i="58"/>
  <c r="J41" i="58"/>
  <c r="P41" i="58"/>
  <c r="N19" i="58"/>
  <c r="E25" i="58"/>
  <c r="F25" i="58"/>
  <c r="E49" i="56"/>
  <c r="F49" i="56"/>
  <c r="J49" i="56"/>
  <c r="N41" i="56"/>
  <c r="E22" i="56"/>
  <c r="F22" i="56"/>
  <c r="E17" i="53"/>
  <c r="F17" i="53"/>
  <c r="J17" i="53"/>
  <c r="E42" i="53"/>
  <c r="F42" i="53"/>
  <c r="N32" i="53"/>
  <c r="E14" i="53"/>
  <c r="F14" i="53"/>
  <c r="E34" i="53"/>
  <c r="F34" i="53"/>
  <c r="J34" i="53"/>
  <c r="E20" i="53"/>
  <c r="F20" i="53"/>
  <c r="J20" i="53"/>
  <c r="E53" i="53"/>
  <c r="F53" i="53"/>
  <c r="J53" i="53"/>
  <c r="P53" i="53"/>
  <c r="N16" i="53"/>
  <c r="E29" i="53"/>
  <c r="F29" i="53"/>
  <c r="J29" i="53"/>
  <c r="E26" i="53"/>
  <c r="F26" i="53"/>
  <c r="G26" i="53"/>
  <c r="E50" i="53"/>
  <c r="F50" i="53"/>
  <c r="J50" i="53"/>
  <c r="E38" i="53"/>
  <c r="F38" i="53"/>
  <c r="E52" i="53"/>
  <c r="F52" i="53"/>
  <c r="J52" i="53"/>
  <c r="P49" i="53"/>
  <c r="E23" i="53"/>
  <c r="F23" i="53"/>
  <c r="G23" i="53"/>
  <c r="E11" i="53"/>
  <c r="F11" i="53"/>
  <c r="J11" i="53"/>
  <c r="P11" i="53"/>
  <c r="E35" i="53"/>
  <c r="F35" i="53"/>
  <c r="E40" i="53"/>
  <c r="F40" i="53"/>
  <c r="J40" i="53"/>
  <c r="P40" i="53"/>
  <c r="E39" i="56"/>
  <c r="F39" i="56"/>
  <c r="J39" i="56"/>
  <c r="N29" i="61"/>
  <c r="P29" i="61"/>
  <c r="E48" i="1"/>
  <c r="F48" i="1"/>
  <c r="E18" i="1"/>
  <c r="F18" i="1"/>
  <c r="J18" i="1"/>
  <c r="E55" i="61"/>
  <c r="F55" i="61"/>
  <c r="J55" i="61"/>
  <c r="P55" i="61"/>
  <c r="N29" i="56"/>
  <c r="N41" i="61"/>
  <c r="E51" i="61"/>
  <c r="F51" i="61"/>
  <c r="G51" i="61"/>
  <c r="E30" i="61"/>
  <c r="F30" i="61"/>
  <c r="J30" i="61"/>
  <c r="P30" i="61"/>
  <c r="G46" i="58"/>
  <c r="I46" i="58"/>
  <c r="N40" i="58"/>
  <c r="E20" i="58"/>
  <c r="F20" i="58"/>
  <c r="J20" i="58"/>
  <c r="P20" i="58"/>
  <c r="E22" i="58"/>
  <c r="F22" i="58"/>
  <c r="J22" i="58"/>
  <c r="P22" i="58"/>
  <c r="P23" i="58"/>
  <c r="N23" i="58"/>
  <c r="N23" i="59"/>
  <c r="N13" i="59"/>
  <c r="E20" i="56"/>
  <c r="F20" i="56"/>
  <c r="J20" i="56"/>
  <c r="P20" i="56"/>
  <c r="N19" i="56"/>
  <c r="L10" i="57"/>
  <c r="N10" i="57"/>
  <c r="N28" i="56"/>
  <c r="N54" i="56"/>
  <c r="N47" i="54"/>
  <c r="E42" i="54"/>
  <c r="F42" i="54"/>
  <c r="G42" i="54"/>
  <c r="N45" i="55"/>
  <c r="N45" i="54"/>
  <c r="N11" i="54"/>
  <c r="N11" i="55"/>
  <c r="N9" i="55"/>
  <c r="S9" i="55"/>
  <c r="E41" i="54"/>
  <c r="F41" i="54"/>
  <c r="J41" i="54"/>
  <c r="P41" i="54"/>
  <c r="E49" i="54"/>
  <c r="F49" i="54"/>
  <c r="J49" i="54"/>
  <c r="P49" i="54"/>
  <c r="E33" i="54"/>
  <c r="F33" i="54"/>
  <c r="J33" i="54"/>
  <c r="P33" i="54"/>
  <c r="E31" i="54"/>
  <c r="F31" i="54"/>
  <c r="J31" i="54"/>
  <c r="P31" i="54"/>
  <c r="N10" i="55"/>
  <c r="N10" i="54"/>
  <c r="N31" i="55"/>
  <c r="E30" i="54"/>
  <c r="F30" i="54"/>
  <c r="G30" i="54"/>
  <c r="E40" i="54"/>
  <c r="F40" i="54"/>
  <c r="J40" i="54"/>
  <c r="E10" i="54"/>
  <c r="F10" i="54"/>
  <c r="J10" i="54"/>
  <c r="P10" i="54"/>
  <c r="N41" i="55"/>
  <c r="N16" i="55"/>
  <c r="N16" i="54"/>
  <c r="N26" i="55"/>
  <c r="E29" i="54"/>
  <c r="F29" i="54"/>
  <c r="J29" i="54"/>
  <c r="E38" i="54"/>
  <c r="F38" i="54"/>
  <c r="J38" i="54"/>
  <c r="P38" i="54"/>
  <c r="N21" i="55"/>
  <c r="N21" i="54"/>
  <c r="E19" i="54"/>
  <c r="F19" i="54"/>
  <c r="J19" i="54"/>
  <c r="E18" i="54"/>
  <c r="F18" i="54"/>
  <c r="J18" i="54"/>
  <c r="P18" i="54"/>
  <c r="N26" i="60"/>
  <c r="P25" i="60"/>
  <c r="E22" i="60"/>
  <c r="F22" i="60"/>
  <c r="J22" i="60"/>
  <c r="E21" i="60"/>
  <c r="F21" i="60"/>
  <c r="J21" i="60"/>
  <c r="E33" i="60"/>
  <c r="F33" i="60"/>
  <c r="J33" i="60"/>
  <c r="P33" i="60"/>
  <c r="E15" i="60"/>
  <c r="F15" i="60"/>
  <c r="J15" i="60"/>
  <c r="P15" i="60"/>
  <c r="E36" i="60"/>
  <c r="F36" i="60"/>
  <c r="J36" i="60"/>
  <c r="E38" i="60"/>
  <c r="F38" i="60"/>
  <c r="J38" i="60"/>
  <c r="P38" i="60"/>
  <c r="E31" i="60"/>
  <c r="F31" i="60"/>
  <c r="J31" i="60"/>
  <c r="E40" i="60"/>
  <c r="F40" i="60"/>
  <c r="J40" i="60"/>
  <c r="P40" i="60"/>
  <c r="E41" i="60"/>
  <c r="F41" i="60"/>
  <c r="J41" i="60"/>
  <c r="P41" i="60"/>
  <c r="E19" i="60"/>
  <c r="F19" i="60"/>
  <c r="J19" i="60"/>
  <c r="P19" i="60"/>
  <c r="E32" i="60"/>
  <c r="F32" i="60"/>
  <c r="G32" i="60"/>
  <c r="E48" i="60"/>
  <c r="F48" i="60"/>
  <c r="J48" i="60"/>
  <c r="P48" i="60"/>
  <c r="E50" i="60"/>
  <c r="F50" i="60"/>
  <c r="E27" i="61"/>
  <c r="F27" i="61"/>
  <c r="N32" i="61"/>
  <c r="E37" i="61"/>
  <c r="F37" i="61"/>
  <c r="G37" i="61"/>
  <c r="N16" i="61"/>
  <c r="E46" i="1"/>
  <c r="F46" i="1"/>
  <c r="E27" i="1"/>
  <c r="F27" i="1"/>
  <c r="J27" i="1"/>
  <c r="E29" i="58"/>
  <c r="F29" i="58"/>
  <c r="E21" i="58"/>
  <c r="F21" i="58"/>
  <c r="J21" i="58"/>
  <c r="P21" i="58"/>
  <c r="N13" i="56"/>
  <c r="N46" i="56"/>
  <c r="E17" i="61"/>
  <c r="F17" i="61"/>
  <c r="J17" i="61"/>
  <c r="P17" i="61"/>
  <c r="N32" i="55"/>
  <c r="E36" i="58"/>
  <c r="F36" i="58"/>
  <c r="E47" i="58"/>
  <c r="F47" i="58"/>
  <c r="J47" i="58"/>
  <c r="E24" i="58"/>
  <c r="F24" i="58"/>
  <c r="P45" i="58"/>
  <c r="E27" i="58"/>
  <c r="F27" i="58"/>
  <c r="J27" i="58"/>
  <c r="P27" i="58"/>
  <c r="E33" i="58"/>
  <c r="F33" i="58"/>
  <c r="J33" i="58"/>
  <c r="P33" i="58"/>
  <c r="N28" i="58"/>
  <c r="N28" i="59"/>
  <c r="E25" i="56"/>
  <c r="F25" i="56"/>
  <c r="J25" i="56"/>
  <c r="P25" i="56"/>
  <c r="E38" i="1"/>
  <c r="F38" i="1"/>
  <c r="E11" i="1"/>
  <c r="F11" i="1"/>
  <c r="J11" i="1"/>
  <c r="E30" i="1"/>
  <c r="F30" i="1"/>
  <c r="J30" i="1"/>
  <c r="E31" i="1"/>
  <c r="F31" i="1"/>
  <c r="J31" i="1"/>
  <c r="E17" i="1"/>
  <c r="F17" i="1"/>
  <c r="J17" i="1"/>
  <c r="E23" i="61"/>
  <c r="F23" i="61"/>
  <c r="J23" i="61"/>
  <c r="P23" i="61"/>
  <c r="N49" i="61"/>
  <c r="N34" i="61"/>
  <c r="E39" i="61"/>
  <c r="F39" i="61"/>
  <c r="E22" i="1"/>
  <c r="F22" i="1"/>
  <c r="J22" i="1"/>
  <c r="E12" i="1"/>
  <c r="F12" i="1"/>
  <c r="J12" i="1"/>
  <c r="C12" i="59"/>
  <c r="D12" i="59"/>
  <c r="D12" i="58"/>
  <c r="E17" i="58"/>
  <c r="F17" i="58"/>
  <c r="E42" i="56"/>
  <c r="F42" i="56"/>
  <c r="J42" i="56"/>
  <c r="N29" i="57"/>
  <c r="N28" i="57"/>
  <c r="E40" i="57"/>
  <c r="F40" i="57"/>
  <c r="G40" i="57"/>
  <c r="N16" i="57"/>
  <c r="E52" i="57"/>
  <c r="F52" i="57"/>
  <c r="J52" i="57"/>
  <c r="P52" i="57"/>
  <c r="E46" i="57"/>
  <c r="F46" i="57"/>
  <c r="G46" i="57"/>
  <c r="E44" i="57"/>
  <c r="F44" i="57"/>
  <c r="E34" i="57"/>
  <c r="F34" i="57"/>
  <c r="G34" i="57"/>
  <c r="E35" i="57"/>
  <c r="F35" i="57"/>
  <c r="J35" i="57"/>
  <c r="P35" i="57"/>
  <c r="E12" i="57"/>
  <c r="F12" i="57"/>
  <c r="G12" i="57"/>
  <c r="J12" i="57"/>
  <c r="P12" i="57"/>
  <c r="E49" i="57"/>
  <c r="F49" i="57"/>
  <c r="J49" i="57"/>
  <c r="E27" i="57"/>
  <c r="F27" i="57"/>
  <c r="G27" i="57"/>
  <c r="E14" i="57"/>
  <c r="F14" i="57"/>
  <c r="G14" i="57"/>
  <c r="E45" i="57"/>
  <c r="F45" i="57"/>
  <c r="J45" i="57"/>
  <c r="P45" i="57"/>
  <c r="N19" i="57"/>
  <c r="N27" i="57"/>
  <c r="E28" i="61"/>
  <c r="F28" i="61"/>
  <c r="I9" i="55"/>
  <c r="G35" i="52"/>
  <c r="I35" i="52"/>
  <c r="G44" i="58"/>
  <c r="I44" i="58"/>
  <c r="G18" i="56"/>
  <c r="I18" i="56"/>
  <c r="G51" i="60"/>
  <c r="I51" i="60"/>
  <c r="G29" i="59"/>
  <c r="I29" i="59"/>
  <c r="G28" i="54"/>
  <c r="I28" i="54"/>
  <c r="G25" i="54"/>
  <c r="I25" i="54"/>
  <c r="G27" i="56"/>
  <c r="I27" i="56"/>
  <c r="G23" i="52"/>
  <c r="G30" i="55"/>
  <c r="I30" i="55"/>
  <c r="G10" i="52"/>
  <c r="G38" i="57"/>
  <c r="I38" i="57"/>
  <c r="G51" i="57"/>
  <c r="I51" i="57"/>
  <c r="G31" i="59"/>
  <c r="I31" i="59"/>
  <c r="G41" i="55"/>
  <c r="I41" i="55"/>
  <c r="G17" i="52"/>
  <c r="G30" i="60"/>
  <c r="I30" i="60"/>
  <c r="G13" i="58"/>
  <c r="I13" i="58"/>
  <c r="G50" i="59"/>
  <c r="I50" i="59"/>
  <c r="I12" i="57"/>
  <c r="G29" i="54"/>
  <c r="I29" i="54"/>
  <c r="G40" i="61"/>
  <c r="I40" i="61"/>
  <c r="G54" i="53"/>
  <c r="I54" i="53"/>
  <c r="G29" i="57"/>
  <c r="I29" i="57"/>
  <c r="G16" i="54"/>
  <c r="I16" i="54"/>
  <c r="G34" i="54"/>
  <c r="I34" i="54"/>
  <c r="G21" i="56"/>
  <c r="I21" i="56"/>
  <c r="G19" i="53"/>
  <c r="I19" i="53"/>
  <c r="G25" i="53"/>
  <c r="I25" i="53"/>
  <c r="G27" i="59"/>
  <c r="I27" i="59"/>
  <c r="G35" i="59"/>
  <c r="I35" i="59"/>
  <c r="G24" i="52"/>
  <c r="I24" i="52"/>
  <c r="G41" i="60"/>
  <c r="I41" i="60"/>
  <c r="G18" i="1"/>
  <c r="I18" i="1"/>
  <c r="G37" i="56"/>
  <c r="I37" i="56"/>
  <c r="G20" i="60"/>
  <c r="I20" i="60"/>
  <c r="G14" i="56"/>
  <c r="I14" i="56"/>
  <c r="G46" i="53"/>
  <c r="I46" i="53"/>
  <c r="G22" i="57"/>
  <c r="I22" i="57"/>
  <c r="G15" i="61"/>
  <c r="I15" i="61"/>
  <c r="G28" i="1"/>
  <c r="I28" i="1"/>
  <c r="G23" i="55"/>
  <c r="I23" i="55"/>
  <c r="G9" i="56"/>
  <c r="I9" i="56"/>
  <c r="G34" i="59"/>
  <c r="I34" i="59"/>
  <c r="G11" i="52"/>
  <c r="G14" i="52"/>
  <c r="G35" i="57"/>
  <c r="I35" i="57"/>
  <c r="G23" i="61"/>
  <c r="I23" i="61"/>
  <c r="G11" i="1"/>
  <c r="I11" i="1"/>
  <c r="G33" i="58"/>
  <c r="I33" i="58"/>
  <c r="G33" i="60"/>
  <c r="I33" i="60"/>
  <c r="G49" i="54"/>
  <c r="I49" i="54"/>
  <c r="G56" i="1"/>
  <c r="I56" i="1"/>
  <c r="I25" i="61"/>
  <c r="G28" i="60"/>
  <c r="I28" i="60"/>
  <c r="G39" i="57"/>
  <c r="I39" i="57"/>
  <c r="G45" i="58"/>
  <c r="I45" i="58"/>
  <c r="G46" i="56"/>
  <c r="I46" i="56"/>
  <c r="G34" i="1"/>
  <c r="I34" i="1"/>
  <c r="G43" i="61"/>
  <c r="I43" i="61"/>
  <c r="G21" i="57"/>
  <c r="I21" i="57"/>
  <c r="G34" i="58"/>
  <c r="I34" i="58"/>
  <c r="G33" i="1"/>
  <c r="I33" i="1"/>
  <c r="G32" i="1"/>
  <c r="I32" i="1"/>
  <c r="G51" i="58"/>
  <c r="I51" i="58"/>
  <c r="G37" i="53"/>
  <c r="I37" i="53"/>
  <c r="G26" i="56"/>
  <c r="I26" i="56"/>
  <c r="G53" i="60"/>
  <c r="I53" i="60"/>
  <c r="G26" i="59"/>
  <c r="I26" i="59"/>
  <c r="G21" i="59"/>
  <c r="I21" i="59"/>
  <c r="G22" i="55"/>
  <c r="I22" i="55"/>
  <c r="G33" i="59"/>
  <c r="I33" i="59"/>
  <c r="G47" i="59"/>
  <c r="I47" i="59"/>
  <c r="G52" i="55"/>
  <c r="I52" i="55"/>
  <c r="G16" i="59"/>
  <c r="I16" i="59"/>
  <c r="G6" i="52"/>
  <c r="J53" i="55"/>
  <c r="P53" i="55"/>
  <c r="G13" i="55"/>
  <c r="I13" i="55"/>
  <c r="G17" i="60"/>
  <c r="I17" i="60"/>
  <c r="G36" i="59"/>
  <c r="I36" i="59"/>
  <c r="G31" i="55"/>
  <c r="I31" i="55"/>
  <c r="G11" i="55"/>
  <c r="I11" i="55"/>
  <c r="G52" i="59"/>
  <c r="I52" i="59"/>
  <c r="G34" i="55"/>
  <c r="I34" i="55"/>
  <c r="G27" i="55"/>
  <c r="I27" i="55"/>
  <c r="G41" i="59"/>
  <c r="I41" i="59"/>
  <c r="G15" i="55"/>
  <c r="I15" i="55"/>
  <c r="G55" i="55"/>
  <c r="I55" i="55"/>
  <c r="G20" i="55"/>
  <c r="I20" i="55"/>
  <c r="G17" i="61"/>
  <c r="I17" i="61"/>
  <c r="G18" i="54"/>
  <c r="I18" i="54"/>
  <c r="G41" i="54"/>
  <c r="I41" i="54"/>
  <c r="G53" i="57"/>
  <c r="I53" i="57"/>
  <c r="G28" i="56"/>
  <c r="I28" i="56"/>
  <c r="G19" i="56"/>
  <c r="I19" i="56"/>
  <c r="G37" i="58"/>
  <c r="I37" i="58"/>
  <c r="G35" i="60"/>
  <c r="I35" i="60"/>
  <c r="G29" i="56"/>
  <c r="I29" i="56"/>
  <c r="G33" i="53"/>
  <c r="I33" i="53"/>
  <c r="G45" i="53"/>
  <c r="I45" i="53"/>
  <c r="G30" i="58"/>
  <c r="I30" i="58"/>
  <c r="G56" i="60"/>
  <c r="I56" i="60"/>
  <c r="G54" i="1"/>
  <c r="I54" i="1"/>
  <c r="G25" i="60"/>
  <c r="I25" i="60"/>
  <c r="G25" i="59"/>
  <c r="I25" i="59"/>
  <c r="G46" i="55"/>
  <c r="I46" i="55"/>
  <c r="G44" i="59"/>
  <c r="I44" i="59"/>
  <c r="G42" i="55"/>
  <c r="I42" i="55"/>
  <c r="G24" i="59"/>
  <c r="I24" i="59"/>
  <c r="G37" i="55"/>
  <c r="I37" i="55"/>
  <c r="J40" i="58"/>
  <c r="P40" i="58"/>
  <c r="G40" i="58"/>
  <c r="I40" i="58"/>
  <c r="J40" i="1"/>
  <c r="G40" i="1"/>
  <c r="I40" i="1"/>
  <c r="J43" i="55"/>
  <c r="P43" i="55"/>
  <c r="G43" i="55"/>
  <c r="I43" i="55"/>
  <c r="G27" i="58"/>
  <c r="I27" i="58"/>
  <c r="G31" i="54"/>
  <c r="I31" i="54"/>
  <c r="G55" i="61"/>
  <c r="I55" i="61"/>
  <c r="G41" i="58"/>
  <c r="I41" i="58"/>
  <c r="J50" i="56"/>
  <c r="P50" i="56"/>
  <c r="I50" i="56"/>
  <c r="G30" i="56"/>
  <c r="I30" i="56"/>
  <c r="G12" i="56"/>
  <c r="I12" i="56"/>
  <c r="G50" i="61"/>
  <c r="I50" i="61"/>
  <c r="G54" i="60"/>
  <c r="I54" i="60"/>
  <c r="G37" i="60"/>
  <c r="I37" i="60"/>
  <c r="G21" i="54"/>
  <c r="I21" i="54"/>
  <c r="J50" i="54"/>
  <c r="P50" i="54"/>
  <c r="G50" i="54"/>
  <c r="I50" i="54"/>
  <c r="G54" i="61"/>
  <c r="I54" i="61"/>
  <c r="G52" i="56"/>
  <c r="I52" i="56"/>
  <c r="J47" i="53"/>
  <c r="G47" i="53"/>
  <c r="I47" i="53"/>
  <c r="J46" i="61"/>
  <c r="P46" i="61"/>
  <c r="G46" i="61"/>
  <c r="I46" i="61"/>
  <c r="J52" i="54"/>
  <c r="G52" i="54"/>
  <c r="I52" i="54"/>
  <c r="J43" i="1"/>
  <c r="G43" i="1"/>
  <c r="I43" i="1"/>
  <c r="J29" i="1"/>
  <c r="G29" i="1"/>
  <c r="I29" i="1"/>
  <c r="J22" i="54"/>
  <c r="P22" i="54"/>
  <c r="G22" i="54"/>
  <c r="I22" i="54"/>
  <c r="G10" i="1"/>
  <c r="I10" i="1"/>
  <c r="J19" i="58"/>
  <c r="G19" i="58"/>
  <c r="I19" i="58"/>
  <c r="J54" i="55"/>
  <c r="P54" i="55"/>
  <c r="G54" i="55"/>
  <c r="I54" i="55"/>
  <c r="J33" i="55"/>
  <c r="P33" i="55"/>
  <c r="G33" i="55"/>
  <c r="I33" i="55"/>
  <c r="J40" i="55"/>
  <c r="P40" i="55"/>
  <c r="G40" i="55"/>
  <c r="I40" i="55"/>
  <c r="J22" i="59"/>
  <c r="P22" i="59"/>
  <c r="G22" i="59"/>
  <c r="I22" i="59"/>
  <c r="J23" i="59"/>
  <c r="P23" i="59"/>
  <c r="G23" i="59"/>
  <c r="I23" i="59"/>
  <c r="J56" i="57"/>
  <c r="P56" i="57"/>
  <c r="G56" i="57"/>
  <c r="I56" i="57"/>
  <c r="J39" i="54"/>
  <c r="P39" i="54"/>
  <c r="G39" i="54"/>
  <c r="I39" i="54"/>
  <c r="J45" i="60"/>
  <c r="P45" i="60"/>
  <c r="G45" i="60"/>
  <c r="I45" i="60"/>
  <c r="J40" i="59"/>
  <c r="P40" i="59"/>
  <c r="G40" i="59"/>
  <c r="I40" i="59"/>
  <c r="G10" i="54"/>
  <c r="I10" i="54"/>
  <c r="G53" i="53"/>
  <c r="I53" i="53"/>
  <c r="G43" i="57"/>
  <c r="I43" i="57"/>
  <c r="G14" i="58"/>
  <c r="I14" i="58"/>
  <c r="P24" i="60"/>
  <c r="G24" i="60"/>
  <c r="I24" i="60"/>
  <c r="P13" i="54"/>
  <c r="G13" i="54"/>
  <c r="I13" i="54"/>
  <c r="J9" i="54"/>
  <c r="P9" i="54"/>
  <c r="I9" i="54"/>
  <c r="J13" i="53"/>
  <c r="P13" i="53"/>
  <c r="G13" i="53"/>
  <c r="I13" i="53"/>
  <c r="G47" i="61"/>
  <c r="J15" i="56"/>
  <c r="G15" i="56"/>
  <c r="I15" i="56"/>
  <c r="J26" i="60"/>
  <c r="P26" i="60"/>
  <c r="G26" i="60"/>
  <c r="I26" i="60"/>
  <c r="J25" i="55"/>
  <c r="P25" i="55"/>
  <c r="G25" i="55"/>
  <c r="I25" i="55"/>
  <c r="J45" i="59"/>
  <c r="G45" i="59"/>
  <c r="I45" i="59"/>
  <c r="J15" i="1"/>
  <c r="G15" i="1"/>
  <c r="I15" i="1"/>
  <c r="G19" i="61"/>
  <c r="J54" i="59"/>
  <c r="G54" i="59"/>
  <c r="I54" i="59"/>
  <c r="J38" i="55"/>
  <c r="P38" i="55"/>
  <c r="G38" i="55"/>
  <c r="I38" i="55"/>
  <c r="I27" i="57"/>
  <c r="G52" i="57"/>
  <c r="I52" i="57"/>
  <c r="G21" i="58"/>
  <c r="I21" i="58"/>
  <c r="G38" i="54"/>
  <c r="I38" i="54"/>
  <c r="G33" i="54"/>
  <c r="I33" i="54"/>
  <c r="G40" i="53"/>
  <c r="I40" i="53"/>
  <c r="G36" i="1"/>
  <c r="I36" i="1"/>
  <c r="J23" i="60"/>
  <c r="P23" i="60"/>
  <c r="G23" i="60"/>
  <c r="I23" i="60"/>
  <c r="J20" i="54"/>
  <c r="G20" i="54"/>
  <c r="I20" i="54"/>
  <c r="G37" i="54"/>
  <c r="I37" i="54"/>
  <c r="J31" i="56"/>
  <c r="G31" i="56"/>
  <c r="I31" i="56"/>
  <c r="J55" i="57"/>
  <c r="P55" i="57"/>
  <c r="G55" i="57"/>
  <c r="I55" i="57"/>
  <c r="J51" i="1"/>
  <c r="G51" i="1"/>
  <c r="I51" i="1"/>
  <c r="E13" i="60"/>
  <c r="F13" i="60"/>
  <c r="J13" i="60"/>
  <c r="J51" i="59"/>
  <c r="P51" i="59"/>
  <c r="G51" i="59"/>
  <c r="I51" i="59"/>
  <c r="J48" i="55"/>
  <c r="P48" i="55"/>
  <c r="G48" i="55"/>
  <c r="I48" i="55"/>
  <c r="G50" i="55"/>
  <c r="I50" i="55"/>
  <c r="G50" i="58"/>
  <c r="I50" i="58"/>
  <c r="G54" i="56"/>
  <c r="I54" i="56"/>
  <c r="G17" i="56"/>
  <c r="I17" i="56"/>
  <c r="G16" i="1"/>
  <c r="I16" i="1"/>
  <c r="G44" i="61"/>
  <c r="I44" i="61"/>
  <c r="G24" i="61"/>
  <c r="I24" i="61"/>
  <c r="G56" i="56"/>
  <c r="I56" i="56"/>
  <c r="G25" i="57"/>
  <c r="I25" i="57"/>
  <c r="G24" i="57"/>
  <c r="I24" i="57"/>
  <c r="G31" i="57"/>
  <c r="I31" i="57"/>
  <c r="G20" i="57"/>
  <c r="I20" i="57"/>
  <c r="G54" i="57"/>
  <c r="I54" i="57"/>
  <c r="G53" i="56"/>
  <c r="I53" i="56"/>
  <c r="G31" i="61"/>
  <c r="I31" i="61"/>
  <c r="G9" i="1"/>
  <c r="I9" i="1"/>
  <c r="G23" i="1"/>
  <c r="I23" i="1"/>
  <c r="G35" i="1"/>
  <c r="I35" i="1"/>
  <c r="G11" i="54"/>
  <c r="I11" i="54"/>
  <c r="G51" i="54"/>
  <c r="I51" i="54"/>
  <c r="G27" i="53"/>
  <c r="I27" i="53"/>
  <c r="G41" i="57"/>
  <c r="I41" i="57"/>
  <c r="G36" i="56"/>
  <c r="I36" i="56"/>
  <c r="G37" i="1"/>
  <c r="I37" i="1"/>
  <c r="G36" i="61"/>
  <c r="I36" i="61"/>
  <c r="G32" i="53"/>
  <c r="I32" i="53"/>
  <c r="G46" i="60"/>
  <c r="I46" i="60"/>
  <c r="G16" i="60"/>
  <c r="I16" i="60"/>
  <c r="G49" i="58"/>
  <c r="I49" i="58"/>
  <c r="G33" i="56"/>
  <c r="I33" i="56"/>
  <c r="G35" i="55"/>
  <c r="I35" i="55"/>
  <c r="G21" i="55"/>
  <c r="I21" i="55"/>
  <c r="G15" i="59"/>
  <c r="I15" i="59"/>
  <c r="G53" i="59"/>
  <c r="I53" i="59"/>
  <c r="G56" i="59"/>
  <c r="I56" i="59"/>
  <c r="G44" i="55"/>
  <c r="I44" i="55"/>
  <c r="G43" i="59"/>
  <c r="I43" i="59"/>
  <c r="G26" i="58"/>
  <c r="I26" i="58"/>
  <c r="G30" i="59"/>
  <c r="I30" i="59"/>
  <c r="G20" i="59"/>
  <c r="I20" i="59"/>
  <c r="G39" i="59"/>
  <c r="I39" i="59"/>
  <c r="G47" i="55"/>
  <c r="I47" i="55"/>
  <c r="G51" i="55"/>
  <c r="I51" i="55"/>
  <c r="G56" i="55"/>
  <c r="I56" i="55"/>
  <c r="G32" i="59"/>
  <c r="I32" i="59"/>
  <c r="G17" i="59"/>
  <c r="I17" i="59"/>
  <c r="G37" i="59"/>
  <c r="I37" i="59"/>
  <c r="G46" i="59"/>
  <c r="I46" i="59"/>
  <c r="G48" i="59"/>
  <c r="I48" i="59"/>
  <c r="G49" i="59"/>
  <c r="I49" i="59"/>
  <c r="G14" i="55"/>
  <c r="I14" i="55"/>
  <c r="G16" i="55"/>
  <c r="I16" i="55"/>
  <c r="E13" i="59"/>
  <c r="F13" i="59"/>
  <c r="J13" i="59"/>
  <c r="P13" i="59"/>
  <c r="J46" i="57"/>
  <c r="P46" i="57"/>
  <c r="I46" i="57"/>
  <c r="J37" i="61"/>
  <c r="I37" i="61"/>
  <c r="J14" i="53"/>
  <c r="P14" i="53"/>
  <c r="G14" i="53"/>
  <c r="I14" i="53"/>
  <c r="J30" i="57"/>
  <c r="P30" i="57"/>
  <c r="G30" i="57"/>
  <c r="I30" i="57"/>
  <c r="G24" i="1"/>
  <c r="I24" i="1"/>
  <c r="J19" i="1"/>
  <c r="G19" i="1"/>
  <c r="I19" i="1"/>
  <c r="J36" i="57"/>
  <c r="P36" i="57"/>
  <c r="G36" i="57"/>
  <c r="I36" i="57"/>
  <c r="J36" i="53"/>
  <c r="P36" i="53"/>
  <c r="G36" i="53"/>
  <c r="I36" i="53"/>
  <c r="J34" i="57"/>
  <c r="P34" i="57"/>
  <c r="I34" i="57"/>
  <c r="J24" i="58"/>
  <c r="P24" i="58"/>
  <c r="G24" i="58"/>
  <c r="I24" i="58"/>
  <c r="J38" i="53"/>
  <c r="P38" i="53"/>
  <c r="G38" i="53"/>
  <c r="I38" i="53"/>
  <c r="P26" i="61"/>
  <c r="G26" i="61"/>
  <c r="I26" i="61"/>
  <c r="J34" i="56"/>
  <c r="P34" i="56"/>
  <c r="I34" i="56"/>
  <c r="E7" i="53"/>
  <c r="F7" i="53"/>
  <c r="J7" i="53"/>
  <c r="P7" i="53"/>
  <c r="P48" i="56"/>
  <c r="G48" i="56"/>
  <c r="I48" i="56"/>
  <c r="J21" i="53"/>
  <c r="P21" i="53"/>
  <c r="G21" i="53"/>
  <c r="I21" i="53"/>
  <c r="J39" i="58"/>
  <c r="P39" i="58"/>
  <c r="G39" i="58"/>
  <c r="I39" i="58"/>
  <c r="J46" i="1"/>
  <c r="G46" i="1"/>
  <c r="I46" i="1"/>
  <c r="P22" i="60"/>
  <c r="G22" i="60"/>
  <c r="I22" i="60"/>
  <c r="J26" i="53"/>
  <c r="I26" i="53"/>
  <c r="J37" i="57"/>
  <c r="P37" i="57"/>
  <c r="G37" i="57"/>
  <c r="I37" i="57"/>
  <c r="J44" i="1"/>
  <c r="I44" i="1"/>
  <c r="J43" i="54"/>
  <c r="P43" i="54"/>
  <c r="G43" i="54"/>
  <c r="I43" i="54"/>
  <c r="G20" i="1"/>
  <c r="I20" i="1"/>
  <c r="J46" i="54"/>
  <c r="P46" i="54"/>
  <c r="G46" i="54"/>
  <c r="I46" i="54"/>
  <c r="J14" i="57"/>
  <c r="P14" i="57"/>
  <c r="I14" i="57"/>
  <c r="J38" i="1"/>
  <c r="G38" i="1"/>
  <c r="I38" i="1"/>
  <c r="J50" i="60"/>
  <c r="P50" i="60"/>
  <c r="G50" i="60"/>
  <c r="I50" i="60"/>
  <c r="J51" i="61"/>
  <c r="P51" i="61"/>
  <c r="I51" i="61"/>
  <c r="J56" i="61"/>
  <c r="P56" i="61"/>
  <c r="G56" i="61"/>
  <c r="I56" i="61"/>
  <c r="J13" i="57"/>
  <c r="G13" i="57"/>
  <c r="I13" i="57"/>
  <c r="J45" i="1"/>
  <c r="G45" i="1"/>
  <c r="I45" i="1"/>
  <c r="J8" i="1"/>
  <c r="G8" i="1"/>
  <c r="I8" i="1"/>
  <c r="J18" i="61"/>
  <c r="I18" i="61"/>
  <c r="E10" i="57"/>
  <c r="F10" i="57"/>
  <c r="J10" i="57"/>
  <c r="J56" i="53"/>
  <c r="G56" i="53"/>
  <c r="I56" i="53"/>
  <c r="J43" i="53"/>
  <c r="G43" i="53"/>
  <c r="I43" i="53"/>
  <c r="J28" i="61"/>
  <c r="P28" i="61"/>
  <c r="G28" i="61"/>
  <c r="I28" i="61"/>
  <c r="P36" i="60"/>
  <c r="G36" i="60"/>
  <c r="I36" i="60"/>
  <c r="J23" i="53"/>
  <c r="I23" i="53"/>
  <c r="J22" i="56"/>
  <c r="P22" i="56"/>
  <c r="G22" i="56"/>
  <c r="I22" i="56"/>
  <c r="J48" i="57"/>
  <c r="P48" i="57"/>
  <c r="G48" i="57"/>
  <c r="I48" i="57"/>
  <c r="G6" i="1"/>
  <c r="I6" i="1"/>
  <c r="J35" i="54"/>
  <c r="P35" i="54"/>
  <c r="G35" i="54"/>
  <c r="I35" i="54"/>
  <c r="J45" i="56"/>
  <c r="P45" i="56"/>
  <c r="G45" i="56"/>
  <c r="I45" i="56"/>
  <c r="J41" i="1"/>
  <c r="G41" i="1"/>
  <c r="I41" i="1"/>
  <c r="J39" i="60"/>
  <c r="P39" i="60"/>
  <c r="G39" i="60"/>
  <c r="I39" i="60"/>
  <c r="J21" i="61"/>
  <c r="P21" i="61"/>
  <c r="G21" i="61"/>
  <c r="I21" i="61"/>
  <c r="J28" i="58"/>
  <c r="P28" i="58"/>
  <c r="G28" i="58"/>
  <c r="I28" i="58"/>
  <c r="G31" i="53"/>
  <c r="I31" i="53"/>
  <c r="J44" i="53"/>
  <c r="P44" i="53"/>
  <c r="G44" i="53"/>
  <c r="I44" i="53"/>
  <c r="J16" i="58"/>
  <c r="P16" i="58"/>
  <c r="G16" i="58"/>
  <c r="I16" i="58"/>
  <c r="J32" i="60"/>
  <c r="P32" i="60"/>
  <c r="I32" i="60"/>
  <c r="J30" i="54"/>
  <c r="P30" i="54"/>
  <c r="I30" i="54"/>
  <c r="J15" i="57"/>
  <c r="P15" i="57"/>
  <c r="G15" i="57"/>
  <c r="I15" i="57"/>
  <c r="J15" i="54"/>
  <c r="P15" i="54"/>
  <c r="G15" i="54"/>
  <c r="I15" i="54"/>
  <c r="J55" i="54"/>
  <c r="P55" i="54"/>
  <c r="G55" i="54"/>
  <c r="I55" i="54"/>
  <c r="J52" i="61"/>
  <c r="P52" i="61"/>
  <c r="G52" i="61"/>
  <c r="I52" i="61"/>
  <c r="J32" i="56"/>
  <c r="P32" i="56"/>
  <c r="G32" i="56"/>
  <c r="I32" i="56"/>
  <c r="J23" i="56"/>
  <c r="P23" i="56"/>
  <c r="G23" i="56"/>
  <c r="I23" i="56"/>
  <c r="G47" i="56"/>
  <c r="I47" i="56"/>
  <c r="J48" i="61"/>
  <c r="P48" i="61"/>
  <c r="G48" i="61"/>
  <c r="I48" i="61"/>
  <c r="J27" i="60"/>
  <c r="P27" i="60"/>
  <c r="G27" i="60"/>
  <c r="I27" i="60"/>
  <c r="P49" i="57"/>
  <c r="G49" i="57"/>
  <c r="I49" i="57"/>
  <c r="J40" i="57"/>
  <c r="P40" i="57"/>
  <c r="I40" i="57"/>
  <c r="J36" i="58"/>
  <c r="P36" i="58"/>
  <c r="G36" i="58"/>
  <c r="I36" i="58"/>
  <c r="J27" i="61"/>
  <c r="P27" i="61"/>
  <c r="G27" i="61"/>
  <c r="I27" i="61"/>
  <c r="P31" i="60"/>
  <c r="S31" i="60"/>
  <c r="G31" i="60"/>
  <c r="I31" i="60"/>
  <c r="J42" i="54"/>
  <c r="P42" i="54"/>
  <c r="I42" i="54"/>
  <c r="J35" i="53"/>
  <c r="G35" i="53"/>
  <c r="I35" i="53"/>
  <c r="J42" i="53"/>
  <c r="P42" i="53"/>
  <c r="G42" i="53"/>
  <c r="I42" i="53"/>
  <c r="P33" i="57"/>
  <c r="G33" i="57"/>
  <c r="I33" i="57"/>
  <c r="J43" i="58"/>
  <c r="P43" i="58"/>
  <c r="G43" i="58"/>
  <c r="I43" i="58"/>
  <c r="J23" i="57"/>
  <c r="P23" i="57"/>
  <c r="G23" i="57"/>
  <c r="I23" i="57"/>
  <c r="J34" i="61"/>
  <c r="P34" i="61"/>
  <c r="G34" i="61"/>
  <c r="I34" i="61"/>
  <c r="J26" i="1"/>
  <c r="G26" i="1"/>
  <c r="I26" i="1"/>
  <c r="J42" i="60"/>
  <c r="P42" i="60"/>
  <c r="G42" i="60"/>
  <c r="I42" i="60"/>
  <c r="J18" i="53"/>
  <c r="P18" i="53"/>
  <c r="G18" i="53"/>
  <c r="I18" i="53"/>
  <c r="J53" i="1"/>
  <c r="G53" i="1"/>
  <c r="I53" i="1"/>
  <c r="J26" i="57"/>
  <c r="P26" i="57"/>
  <c r="G26" i="57"/>
  <c r="I26" i="57"/>
  <c r="J21" i="1"/>
  <c r="G21" i="1"/>
  <c r="I21" i="1"/>
  <c r="J40" i="56"/>
  <c r="G40" i="56"/>
  <c r="I40" i="56"/>
  <c r="J22" i="53"/>
  <c r="P22" i="53"/>
  <c r="G22" i="53"/>
  <c r="I22" i="53"/>
  <c r="J16" i="53"/>
  <c r="P16" i="53"/>
  <c r="G16" i="53"/>
  <c r="I16" i="53"/>
  <c r="J41" i="53"/>
  <c r="G41" i="53"/>
  <c r="I41" i="53"/>
  <c r="J8" i="53"/>
  <c r="G8" i="53"/>
  <c r="I8" i="53"/>
  <c r="J22" i="61"/>
  <c r="P22" i="61"/>
  <c r="G22" i="61"/>
  <c r="I22" i="61"/>
  <c r="G17" i="1"/>
  <c r="I17" i="1"/>
  <c r="G31" i="1"/>
  <c r="I31" i="1"/>
  <c r="G30" i="1"/>
  <c r="I30" i="1"/>
  <c r="G25" i="56"/>
  <c r="I25" i="56"/>
  <c r="G47" i="58"/>
  <c r="I47" i="58"/>
  <c r="G48" i="60"/>
  <c r="I48" i="60"/>
  <c r="G19" i="60"/>
  <c r="I19" i="60"/>
  <c r="G40" i="60"/>
  <c r="I40" i="60"/>
  <c r="G38" i="60"/>
  <c r="I38" i="60"/>
  <c r="G15" i="60"/>
  <c r="I15" i="60"/>
  <c r="G21" i="60"/>
  <c r="I21" i="60"/>
  <c r="G19" i="54"/>
  <c r="I19" i="54"/>
  <c r="G20" i="56"/>
  <c r="I20" i="56"/>
  <c r="G30" i="61"/>
  <c r="I30" i="61"/>
  <c r="G39" i="56"/>
  <c r="I39" i="56"/>
  <c r="G11" i="53"/>
  <c r="I11" i="53"/>
  <c r="G52" i="53"/>
  <c r="I52" i="53"/>
  <c r="G50" i="53"/>
  <c r="I50" i="53"/>
  <c r="G29" i="53"/>
  <c r="I29" i="53"/>
  <c r="G20" i="53"/>
  <c r="I20" i="53"/>
  <c r="G34" i="53"/>
  <c r="I34" i="53"/>
  <c r="G17" i="53"/>
  <c r="I17" i="53"/>
  <c r="G49" i="56"/>
  <c r="I49" i="56"/>
  <c r="G25" i="1"/>
  <c r="I25" i="1"/>
  <c r="G18" i="57"/>
  <c r="I18" i="57"/>
  <c r="G42" i="57"/>
  <c r="I42" i="57"/>
  <c r="G16" i="57"/>
  <c r="I16" i="57"/>
  <c r="G19" i="57"/>
  <c r="I19" i="57"/>
  <c r="G32" i="57"/>
  <c r="I32" i="57"/>
  <c r="G50" i="1"/>
  <c r="I50" i="1"/>
  <c r="G20" i="61"/>
  <c r="I20" i="61"/>
  <c r="G13" i="56"/>
  <c r="I13" i="56"/>
  <c r="G44" i="54"/>
  <c r="I44" i="54"/>
  <c r="G12" i="54"/>
  <c r="I12" i="54"/>
  <c r="G14" i="54"/>
  <c r="I14" i="54"/>
  <c r="G38" i="58"/>
  <c r="I38" i="58"/>
  <c r="G43" i="56"/>
  <c r="I43" i="56"/>
  <c r="G56" i="58"/>
  <c r="I56" i="58"/>
  <c r="G42" i="1"/>
  <c r="I42" i="1"/>
  <c r="G42" i="61"/>
  <c r="I42" i="61"/>
  <c r="G49" i="61"/>
  <c r="I49" i="61"/>
  <c r="G55" i="56"/>
  <c r="I55" i="56"/>
  <c r="G32" i="61"/>
  <c r="I32" i="61"/>
  <c r="G18" i="60"/>
  <c r="I18" i="60"/>
  <c r="G49" i="60"/>
  <c r="I49" i="60"/>
  <c r="G36" i="54"/>
  <c r="I36" i="54"/>
  <c r="G26" i="54"/>
  <c r="I26" i="54"/>
  <c r="G56" i="54"/>
  <c r="I56" i="54"/>
  <c r="G23" i="58"/>
  <c r="I23" i="58"/>
  <c r="G32" i="58"/>
  <c r="I32" i="58"/>
  <c r="G47" i="1"/>
  <c r="I47" i="1"/>
  <c r="G30" i="53"/>
  <c r="I30" i="53"/>
  <c r="G24" i="53"/>
  <c r="I24" i="53"/>
  <c r="G55" i="53"/>
  <c r="I55" i="53"/>
  <c r="G10" i="53"/>
  <c r="I10" i="53"/>
  <c r="G48" i="53"/>
  <c r="I48" i="53"/>
  <c r="G11" i="56"/>
  <c r="I11" i="56"/>
  <c r="G38" i="56"/>
  <c r="I38" i="56"/>
  <c r="G24" i="56"/>
  <c r="I24" i="56"/>
  <c r="G53" i="61"/>
  <c r="I53" i="61"/>
  <c r="G54" i="58"/>
  <c r="I54" i="58"/>
  <c r="G51" i="56"/>
  <c r="I51" i="56"/>
  <c r="G41" i="61"/>
  <c r="I41" i="61"/>
  <c r="G29" i="61"/>
  <c r="I29" i="61"/>
  <c r="G38" i="61"/>
  <c r="I38" i="61"/>
  <c r="G35" i="56"/>
  <c r="I35" i="56"/>
  <c r="G44" i="56"/>
  <c r="I44" i="56"/>
  <c r="G28" i="53"/>
  <c r="I28" i="53"/>
  <c r="G39" i="53"/>
  <c r="I39" i="53"/>
  <c r="G51" i="53"/>
  <c r="I51" i="53"/>
  <c r="G41" i="56"/>
  <c r="I41" i="56"/>
  <c r="G31" i="58"/>
  <c r="I31" i="58"/>
  <c r="G55" i="58"/>
  <c r="I55" i="58"/>
  <c r="G53" i="58"/>
  <c r="I53" i="58"/>
  <c r="G18" i="58"/>
  <c r="I18" i="58"/>
  <c r="G15" i="58"/>
  <c r="I15" i="58"/>
  <c r="G33" i="61"/>
  <c r="I33" i="61"/>
  <c r="G45" i="61"/>
  <c r="I45" i="61"/>
  <c r="G34" i="60"/>
  <c r="I34" i="60"/>
  <c r="E8" i="55"/>
  <c r="F8" i="55"/>
  <c r="G8" i="55"/>
  <c r="I8" i="55"/>
  <c r="J8" i="55"/>
  <c r="G53" i="54"/>
  <c r="I53" i="54"/>
  <c r="G24" i="54"/>
  <c r="I24" i="54"/>
  <c r="G23" i="54"/>
  <c r="I23" i="54"/>
  <c r="G55" i="1"/>
  <c r="I55" i="1"/>
  <c r="G14" i="1"/>
  <c r="I14" i="1"/>
  <c r="G52" i="60"/>
  <c r="I52" i="60"/>
  <c r="G15" i="53"/>
  <c r="I15" i="53"/>
  <c r="G12" i="53"/>
  <c r="I12" i="53"/>
  <c r="G35" i="61"/>
  <c r="I35" i="61"/>
  <c r="G7" i="1"/>
  <c r="I7" i="1"/>
  <c r="E8" i="54"/>
  <c r="F8" i="54"/>
  <c r="G8" i="54"/>
  <c r="E12" i="58"/>
  <c r="F12" i="58"/>
  <c r="E14" i="60"/>
  <c r="F14" i="60"/>
  <c r="G14" i="60"/>
  <c r="I14" i="60"/>
  <c r="J14" i="60"/>
  <c r="P14" i="60"/>
  <c r="E5" i="52"/>
  <c r="F5" i="52"/>
  <c r="J5" i="52"/>
  <c r="E11" i="58"/>
  <c r="F11" i="58"/>
  <c r="G11" i="58"/>
  <c r="I11" i="58"/>
  <c r="J11" i="58"/>
  <c r="E12" i="59"/>
  <c r="F12" i="59"/>
  <c r="G22" i="1"/>
  <c r="I22" i="1"/>
  <c r="G42" i="56"/>
  <c r="I42" i="56"/>
  <c r="G40" i="54"/>
  <c r="I40" i="54"/>
  <c r="G22" i="58"/>
  <c r="I22" i="58"/>
  <c r="G20" i="58"/>
  <c r="I20" i="58"/>
  <c r="G52" i="1"/>
  <c r="I52" i="1"/>
  <c r="E14" i="61"/>
  <c r="F14" i="61"/>
  <c r="G50" i="57"/>
  <c r="I50" i="57"/>
  <c r="G17" i="57"/>
  <c r="I17" i="57"/>
  <c r="G13" i="1"/>
  <c r="I13" i="1"/>
  <c r="E10" i="56"/>
  <c r="F10" i="56"/>
  <c r="E5" i="1"/>
  <c r="F5" i="1"/>
  <c r="E7" i="54"/>
  <c r="F7" i="54"/>
  <c r="E11" i="57"/>
  <c r="F11" i="57"/>
  <c r="J11" i="57"/>
  <c r="P11" i="57"/>
  <c r="G47" i="57"/>
  <c r="I47" i="57"/>
  <c r="G16" i="61"/>
  <c r="I16" i="61"/>
  <c r="G48" i="54"/>
  <c r="I48" i="54"/>
  <c r="G47" i="54"/>
  <c r="I47" i="54"/>
  <c r="G39" i="1"/>
  <c r="I39" i="1"/>
  <c r="G9" i="53"/>
  <c r="I9" i="53"/>
  <c r="G49" i="53"/>
  <c r="I49" i="53"/>
  <c r="G52" i="58"/>
  <c r="I52" i="58"/>
  <c r="G47" i="60"/>
  <c r="I47" i="60"/>
  <c r="G17" i="54"/>
  <c r="I17" i="54"/>
  <c r="G54" i="54"/>
  <c r="I54" i="54"/>
  <c r="G27" i="54"/>
  <c r="I27" i="54"/>
  <c r="G42" i="58"/>
  <c r="I42" i="58"/>
  <c r="G7" i="53"/>
  <c r="Q6" i="53"/>
  <c r="G13" i="60"/>
  <c r="I13" i="60"/>
  <c r="G13" i="59"/>
  <c r="Q7" i="54"/>
  <c r="S7" i="54"/>
  <c r="I7" i="53"/>
  <c r="G10" i="57"/>
  <c r="I10" i="57"/>
  <c r="G11" i="57"/>
  <c r="Q13" i="60"/>
  <c r="S13" i="60"/>
  <c r="I13" i="59"/>
  <c r="Q14" i="61"/>
  <c r="P43" i="53"/>
  <c r="P21" i="60"/>
  <c r="N33" i="57"/>
  <c r="P35" i="56"/>
  <c r="N15" i="54"/>
  <c r="N29" i="55"/>
  <c r="N51" i="59"/>
  <c r="N51" i="58"/>
  <c r="N39" i="57"/>
  <c r="N30" i="58"/>
  <c r="N30" i="57"/>
  <c r="N41" i="57"/>
  <c r="N41" i="58"/>
  <c r="L11" i="58"/>
  <c r="N11" i="58"/>
  <c r="N11" i="57"/>
  <c r="P25" i="57"/>
  <c r="N25" i="57"/>
  <c r="N56" i="57"/>
  <c r="P18" i="57"/>
  <c r="N53" i="59"/>
  <c r="N53" i="58"/>
  <c r="P31" i="58"/>
  <c r="N31" i="59"/>
  <c r="N47" i="56"/>
  <c r="N9" i="54"/>
  <c r="N52" i="54"/>
  <c r="N50" i="54"/>
  <c r="N30" i="54"/>
  <c r="N30" i="53"/>
  <c r="N56" i="54"/>
  <c r="N43" i="54"/>
  <c r="P55" i="53"/>
  <c r="N55" i="54"/>
  <c r="N12" i="54"/>
  <c r="O28" i="57"/>
  <c r="S28" i="57" s="1"/>
  <c r="M30" i="57"/>
  <c r="M20" i="57"/>
  <c r="M58" i="57"/>
  <c r="O58" i="57" s="1"/>
  <c r="S58" i="57" s="1"/>
  <c r="M67" i="57"/>
  <c r="M55" i="57"/>
  <c r="M51" i="57"/>
  <c r="M47" i="57"/>
  <c r="M43" i="57"/>
  <c r="M57" i="57"/>
  <c r="M39" i="57"/>
  <c r="M11" i="57"/>
  <c r="O11" i="57" s="1"/>
  <c r="S11" i="57" s="1"/>
  <c r="M16" i="57"/>
  <c r="M32" i="57"/>
  <c r="M62" i="57"/>
  <c r="M60" i="57"/>
  <c r="M56" i="57"/>
  <c r="M52" i="57"/>
  <c r="M48" i="57"/>
  <c r="M44" i="57"/>
  <c r="M40" i="57"/>
  <c r="M69" i="57"/>
  <c r="M37" i="57"/>
  <c r="M64" i="57"/>
  <c r="M53" i="57"/>
  <c r="M45" i="57"/>
  <c r="M61" i="57"/>
  <c r="M12" i="57"/>
  <c r="M63" i="57"/>
  <c r="M50" i="57"/>
  <c r="M42" i="57"/>
  <c r="M27" i="57"/>
  <c r="M19" i="57"/>
  <c r="M10" i="57"/>
  <c r="M24" i="57"/>
  <c r="O24" i="57" s="1"/>
  <c r="S24" i="57" s="1"/>
  <c r="M66" i="57"/>
  <c r="M59" i="57"/>
  <c r="M49" i="57"/>
  <c r="M41" i="57"/>
  <c r="O41" i="57" s="1"/>
  <c r="M33" i="57"/>
  <c r="M18" i="57"/>
  <c r="M29" i="57"/>
  <c r="M65" i="57"/>
  <c r="M35" i="57"/>
  <c r="M25" i="57"/>
  <c r="M17" i="57"/>
  <c r="M13" i="57"/>
  <c r="M68" i="57"/>
  <c r="M15" i="57"/>
  <c r="M36" i="57"/>
  <c r="M46" i="57"/>
  <c r="M22" i="57"/>
  <c r="M23" i="57"/>
  <c r="M31" i="57"/>
  <c r="M26" i="57"/>
  <c r="O26" i="57" s="1"/>
  <c r="S26" i="57" s="1"/>
  <c r="M14" i="57"/>
  <c r="M21" i="57"/>
  <c r="M54" i="57"/>
  <c r="M38" i="57"/>
  <c r="M34" i="57"/>
  <c r="P26" i="53"/>
  <c r="S23" i="60"/>
  <c r="N41" i="54"/>
  <c r="N31" i="56"/>
  <c r="P17" i="53"/>
  <c r="N42" i="59"/>
  <c r="N32" i="58"/>
  <c r="N36" i="56"/>
  <c r="N36" i="57"/>
  <c r="N44" i="55"/>
  <c r="N44" i="54"/>
  <c r="P44" i="54"/>
  <c r="N23" i="55"/>
  <c r="L8" i="55"/>
  <c r="N8" i="55"/>
  <c r="N8" i="54"/>
  <c r="N53" i="60"/>
  <c r="P53" i="60"/>
  <c r="N21" i="60"/>
  <c r="P17" i="60"/>
  <c r="N20" i="61"/>
  <c r="N20" i="60"/>
  <c r="N54" i="60"/>
  <c r="P54" i="60"/>
  <c r="N25" i="61"/>
  <c r="N25" i="60"/>
  <c r="N39" i="61"/>
  <c r="N39" i="60"/>
  <c r="N55" i="57"/>
  <c r="N32" i="56"/>
  <c r="N32" i="57"/>
  <c r="N37" i="56"/>
  <c r="P37" i="56"/>
  <c r="P35" i="58"/>
  <c r="N35" i="58"/>
  <c r="N29" i="52"/>
  <c r="P41" i="53"/>
  <c r="P37" i="61"/>
  <c r="P50" i="53"/>
  <c r="P20" i="53"/>
  <c r="N39" i="59"/>
  <c r="N51" i="54"/>
  <c r="N35" i="57"/>
  <c r="P9" i="53"/>
  <c r="P42" i="58"/>
  <c r="O45" i="57"/>
  <c r="S45" i="57" s="1"/>
  <c r="P47" i="58"/>
  <c r="P52" i="53"/>
  <c r="P14" i="54"/>
  <c r="P19" i="53"/>
  <c r="P28" i="54"/>
  <c r="O47" i="60"/>
  <c r="S47" i="60" s="1"/>
  <c r="P29" i="54"/>
  <c r="P44" i="58"/>
  <c r="P20" i="60"/>
  <c r="P17" i="56"/>
  <c r="P36" i="54"/>
  <c r="P26" i="54"/>
  <c r="P15" i="61"/>
  <c r="P30" i="53"/>
  <c r="P41" i="57"/>
  <c r="P53" i="58"/>
  <c r="P53" i="54"/>
  <c r="P15" i="53"/>
  <c r="P12" i="53"/>
  <c r="P39" i="56"/>
  <c r="P32" i="58"/>
  <c r="P36" i="56"/>
  <c r="P23" i="54"/>
  <c r="P52" i="60"/>
  <c r="P35" i="61"/>
  <c r="O68" i="57"/>
  <c r="S68" i="57" s="1"/>
  <c r="M13" i="54"/>
  <c r="M25" i="54"/>
  <c r="M33" i="54"/>
  <c r="M54" i="54"/>
  <c r="M7" i="54"/>
  <c r="M35" i="54"/>
  <c r="M48" i="54"/>
  <c r="O54" i="57"/>
  <c r="O63" i="57"/>
  <c r="S63" i="57" s="1"/>
  <c r="M53" i="58"/>
  <c r="M41" i="58"/>
  <c r="M29" i="58"/>
  <c r="M60" i="58"/>
  <c r="M52" i="58"/>
  <c r="M40" i="58"/>
  <c r="M32" i="58"/>
  <c r="O32" i="59" s="1"/>
  <c r="M21" i="58"/>
  <c r="O21" i="59" s="1"/>
  <c r="S21" i="59" s="1"/>
  <c r="M55" i="58"/>
  <c r="O55" i="59" s="1"/>
  <c r="S55" i="59" s="1"/>
  <c r="M39" i="58"/>
  <c r="O39" i="59"/>
  <c r="S39" i="59" s="1"/>
  <c r="M31" i="58"/>
  <c r="M11" i="58"/>
  <c r="M65" i="58"/>
  <c r="O65" i="59"/>
  <c r="S65" i="59" s="1"/>
  <c r="M34" i="58"/>
  <c r="M26" i="58"/>
  <c r="M59" i="58"/>
  <c r="M33" i="58"/>
  <c r="M22" i="58"/>
  <c r="M62" i="58"/>
  <c r="M56" i="58"/>
  <c r="O56" i="58" s="1"/>
  <c r="M36" i="58"/>
  <c r="M47" i="58"/>
  <c r="O47" i="59"/>
  <c r="M69" i="58"/>
  <c r="M19" i="58"/>
  <c r="O19" i="59" s="1"/>
  <c r="M50" i="58"/>
  <c r="M38" i="58"/>
  <c r="O38" i="59" s="1"/>
  <c r="S38" i="59" s="1"/>
  <c r="M17" i="58"/>
  <c r="M49" i="58"/>
  <c r="M25" i="58"/>
  <c r="M13" i="58"/>
  <c r="O13" i="59"/>
  <c r="S13" i="59" s="1"/>
  <c r="M51" i="58"/>
  <c r="O51" i="59" s="1"/>
  <c r="S51" i="59" s="1"/>
  <c r="M68" i="58"/>
  <c r="O68" i="58" s="1"/>
  <c r="M46" i="58"/>
  <c r="M45" i="58"/>
  <c r="M57" i="58"/>
  <c r="O57" i="59" s="1"/>
  <c r="S57" i="59"/>
  <c r="M58" i="58"/>
  <c r="M35" i="58"/>
  <c r="M63" i="58"/>
  <c r="M42" i="58"/>
  <c r="M30" i="58"/>
  <c r="O30" i="59"/>
  <c r="M66" i="58"/>
  <c r="M61" i="58"/>
  <c r="M23" i="58"/>
  <c r="O23" i="59"/>
  <c r="S23" i="59" s="1"/>
  <c r="M48" i="58"/>
  <c r="M67" i="58"/>
  <c r="M43" i="58"/>
  <c r="M27" i="58"/>
  <c r="O27" i="59" s="1"/>
  <c r="M54" i="58"/>
  <c r="M24" i="58"/>
  <c r="O39" i="57"/>
  <c r="S39" i="57" s="1"/>
  <c r="M51" i="54"/>
  <c r="M30" i="54"/>
  <c r="M49" i="54"/>
  <c r="M61" i="54"/>
  <c r="M64" i="54"/>
  <c r="M12" i="54"/>
  <c r="M67" i="54"/>
  <c r="O67" i="55" s="1"/>
  <c r="S67" i="55" s="1"/>
  <c r="M38" i="54"/>
  <c r="O38" i="55" s="1"/>
  <c r="S38" i="55" s="1"/>
  <c r="M18" i="54"/>
  <c r="M59" i="54"/>
  <c r="M39" i="54"/>
  <c r="M43" i="54"/>
  <c r="M69" i="54"/>
  <c r="M14" i="54"/>
  <c r="M20" i="54"/>
  <c r="M32" i="54"/>
  <c r="M26" i="54"/>
  <c r="M41" i="54"/>
  <c r="M16" i="54"/>
  <c r="M55" i="54"/>
  <c r="M34" i="54"/>
  <c r="O34" i="55" s="1"/>
  <c r="S34" i="55" s="1"/>
  <c r="M28" i="54"/>
  <c r="M53" i="54"/>
  <c r="M36" i="54"/>
  <c r="M22" i="54"/>
  <c r="M45" i="54"/>
  <c r="M60" i="54"/>
  <c r="O60" i="55"/>
  <c r="S60" i="55" s="1"/>
  <c r="M44" i="54"/>
  <c r="M57" i="54"/>
  <c r="M62" i="54"/>
  <c r="M19" i="54"/>
  <c r="M68" i="54"/>
  <c r="M36" i="1"/>
  <c r="M68" i="1"/>
  <c r="M29" i="1"/>
  <c r="M61" i="1"/>
  <c r="M30" i="1"/>
  <c r="M16" i="53"/>
  <c r="M42" i="53"/>
  <c r="M20" i="53"/>
  <c r="O20" i="54" s="1"/>
  <c r="M45" i="53"/>
  <c r="O45" i="54"/>
  <c r="S45" i="54" s="1"/>
  <c r="M61" i="53"/>
  <c r="O61" i="54"/>
  <c r="S61" i="54" s="1"/>
  <c r="M31" i="53"/>
  <c r="M57" i="53"/>
  <c r="O57" i="54" s="1"/>
  <c r="M30" i="53"/>
  <c r="M38" i="53"/>
  <c r="O38" i="54" s="1"/>
  <c r="S38" i="54" s="1"/>
  <c r="M60" i="53"/>
  <c r="M28" i="53"/>
  <c r="O28" i="54" s="1"/>
  <c r="S28" i="54" s="1"/>
  <c r="M59" i="53"/>
  <c r="O59" i="54"/>
  <c r="S59" i="54" s="1"/>
  <c r="M63" i="53"/>
  <c r="O63" i="54" s="1"/>
  <c r="M64" i="53"/>
  <c r="O64" i="54" s="1"/>
  <c r="S64" i="54" s="1"/>
  <c r="M22" i="53"/>
  <c r="O22" i="54" s="1"/>
  <c r="S22" i="54" s="1"/>
  <c r="M21" i="53"/>
  <c r="O21" i="54"/>
  <c r="S21" i="54" s="1"/>
  <c r="M50" i="53"/>
  <c r="O50" i="54" s="1"/>
  <c r="S50" i="54" s="1"/>
  <c r="M11" i="53"/>
  <c r="M53" i="53"/>
  <c r="O53" i="54" s="1"/>
  <c r="S53" i="54" s="1"/>
  <c r="M24" i="53"/>
  <c r="M44" i="53"/>
  <c r="O44" i="54" s="1"/>
  <c r="S44" i="54" s="1"/>
  <c r="M18" i="53"/>
  <c r="O18" i="54" s="1"/>
  <c r="S18" i="54" s="1"/>
  <c r="M43" i="53"/>
  <c r="M47" i="53"/>
  <c r="M48" i="53"/>
  <c r="M67" i="53"/>
  <c r="O67" i="54"/>
  <c r="S67" i="54" s="1"/>
  <c r="M13" i="53"/>
  <c r="M69" i="53"/>
  <c r="M39" i="53"/>
  <c r="O39" i="54"/>
  <c r="S39" i="54" s="1"/>
  <c r="M40" i="53"/>
  <c r="O40" i="54" s="1"/>
  <c r="M49" i="53"/>
  <c r="M37" i="53"/>
  <c r="M31" i="61"/>
  <c r="O31" i="61" s="1"/>
  <c r="S31" i="61" s="1"/>
  <c r="M36" i="61"/>
  <c r="O36" i="61" s="1"/>
  <c r="S36" i="61" s="1"/>
  <c r="M26" i="61"/>
  <c r="M40" i="61"/>
  <c r="M14" i="61"/>
  <c r="M61" i="61"/>
  <c r="O61" i="61" s="1"/>
  <c r="S61" i="61" s="1"/>
  <c r="M67" i="61"/>
  <c r="O67" i="61"/>
  <c r="S67" i="61" s="1"/>
  <c r="M19" i="61"/>
  <c r="O19" i="61" s="1"/>
  <c r="M39" i="61"/>
  <c r="M28" i="61"/>
  <c r="M58" i="61"/>
  <c r="M32" i="61"/>
  <c r="M22" i="61"/>
  <c r="M51" i="61"/>
  <c r="O66" i="57"/>
  <c r="S66" i="57"/>
  <c r="M54" i="1"/>
  <c r="O54" i="52"/>
  <c r="S54" i="52" s="1"/>
  <c r="M38" i="1"/>
  <c r="O38" i="52"/>
  <c r="M22" i="1"/>
  <c r="M6" i="1"/>
  <c r="M53" i="1"/>
  <c r="M37" i="1"/>
  <c r="O37" i="52" s="1"/>
  <c r="S37" i="52" s="1"/>
  <c r="M21" i="1"/>
  <c r="M69" i="1"/>
  <c r="O69" i="52" s="1"/>
  <c r="S69" i="52" s="1"/>
  <c r="M60" i="1"/>
  <c r="O60" i="52" s="1"/>
  <c r="S60" i="52" s="1"/>
  <c r="M44" i="1"/>
  <c r="M28" i="1"/>
  <c r="M12" i="1"/>
  <c r="M58" i="1"/>
  <c r="M42" i="1"/>
  <c r="O42" i="52" s="1"/>
  <c r="M26" i="1"/>
  <c r="M10" i="1"/>
  <c r="M57" i="1"/>
  <c r="M41" i="1"/>
  <c r="O41" i="52" s="1"/>
  <c r="M25" i="1"/>
  <c r="O25" i="52" s="1"/>
  <c r="S25" i="52" s="1"/>
  <c r="M9" i="1"/>
  <c r="M64" i="1"/>
  <c r="M48" i="1"/>
  <c r="O48" i="52"/>
  <c r="M32" i="1"/>
  <c r="M16" i="1"/>
  <c r="O16" i="52" s="1"/>
  <c r="S16" i="52" s="1"/>
  <c r="M23" i="52"/>
  <c r="M18" i="52"/>
  <c r="O18" i="52" s="1"/>
  <c r="S18" i="52" s="1"/>
  <c r="M9" i="52"/>
  <c r="M55" i="52"/>
  <c r="M29" i="52"/>
  <c r="O29" i="53" s="1"/>
  <c r="S29" i="53" s="1"/>
  <c r="M10" i="52"/>
  <c r="O10" i="52" s="1"/>
  <c r="J7" i="54"/>
  <c r="G7" i="54"/>
  <c r="I7" i="54"/>
  <c r="J10" i="56"/>
  <c r="P10" i="56"/>
  <c r="G10" i="56"/>
  <c r="J14" i="61"/>
  <c r="G14" i="61"/>
  <c r="I14" i="61"/>
  <c r="J12" i="59"/>
  <c r="G12" i="59"/>
  <c r="I12" i="59"/>
  <c r="J8" i="54"/>
  <c r="P8" i="54"/>
  <c r="I8" i="54"/>
  <c r="Q8" i="55"/>
  <c r="S8" i="55"/>
  <c r="Q11" i="58"/>
  <c r="S11" i="58"/>
  <c r="I11" i="57"/>
  <c r="J12" i="58"/>
  <c r="G12" i="58"/>
  <c r="G5" i="1"/>
  <c r="J5" i="1"/>
  <c r="G5" i="52"/>
  <c r="I5" i="52"/>
  <c r="J39" i="61"/>
  <c r="P39" i="61"/>
  <c r="G39" i="61"/>
  <c r="I39" i="61"/>
  <c r="J29" i="58"/>
  <c r="P29" i="58"/>
  <c r="G29" i="58"/>
  <c r="I29" i="58"/>
  <c r="G12" i="1"/>
  <c r="I12" i="1"/>
  <c r="J48" i="58"/>
  <c r="P48" i="58"/>
  <c r="G48" i="58"/>
  <c r="I48" i="58"/>
  <c r="G27" i="1"/>
  <c r="I27" i="1"/>
  <c r="J27" i="57"/>
  <c r="P27" i="57"/>
  <c r="J44" i="57"/>
  <c r="P44" i="57"/>
  <c r="G44" i="57"/>
  <c r="I44" i="57"/>
  <c r="J48" i="1"/>
  <c r="G48" i="1"/>
  <c r="I48" i="1"/>
  <c r="J25" i="61"/>
  <c r="P25" i="61"/>
  <c r="S25" i="61"/>
  <c r="J28" i="57"/>
  <c r="P28" i="57"/>
  <c r="G28" i="57"/>
  <c r="I28" i="57"/>
  <c r="J29" i="60"/>
  <c r="P29" i="60"/>
  <c r="G29" i="60"/>
  <c r="I29" i="60"/>
  <c r="G45" i="57"/>
  <c r="I45" i="57"/>
  <c r="G17" i="58"/>
  <c r="I17" i="58"/>
  <c r="J17" i="58"/>
  <c r="J25" i="58"/>
  <c r="G25" i="58"/>
  <c r="I25" i="58"/>
  <c r="J16" i="56"/>
  <c r="P16" i="56"/>
  <c r="G16" i="56"/>
  <c r="I16" i="56"/>
  <c r="G45" i="54"/>
  <c r="I45" i="54"/>
  <c r="J45" i="54"/>
  <c r="P45" i="54"/>
  <c r="J32" i="54"/>
  <c r="P32" i="54"/>
  <c r="G32" i="54"/>
  <c r="I32" i="54"/>
  <c r="G49" i="1"/>
  <c r="I49" i="1"/>
  <c r="E43" i="52"/>
  <c r="F43" i="52"/>
  <c r="G43" i="52"/>
  <c r="I43" i="52"/>
  <c r="E28" i="52"/>
  <c r="F28" i="52"/>
  <c r="G28" i="52"/>
  <c r="I28" i="52"/>
  <c r="J11" i="52"/>
  <c r="I45" i="52"/>
  <c r="E49" i="55"/>
  <c r="F49" i="55"/>
  <c r="J49" i="55"/>
  <c r="P49" i="55"/>
  <c r="G49" i="55"/>
  <c r="I49" i="55"/>
  <c r="G51" i="52"/>
  <c r="I51" i="52"/>
  <c r="G19" i="59"/>
  <c r="I19" i="59"/>
  <c r="G7" i="52"/>
  <c r="E7" i="52"/>
  <c r="F7" i="52"/>
  <c r="G28" i="59"/>
  <c r="I28" i="59"/>
  <c r="D46" i="52"/>
  <c r="D44" i="52"/>
  <c r="D27" i="52"/>
  <c r="D42" i="52"/>
  <c r="J56" i="52"/>
  <c r="P56" i="52"/>
  <c r="G44" i="60"/>
  <c r="I44" i="60"/>
  <c r="E44" i="60"/>
  <c r="F44" i="60"/>
  <c r="J44" i="60"/>
  <c r="P44" i="60"/>
  <c r="G24" i="55"/>
  <c r="I24" i="55"/>
  <c r="K3" i="50"/>
  <c r="K5" i="50"/>
  <c r="K6" i="50"/>
  <c r="K4" i="50"/>
  <c r="D13" i="52"/>
  <c r="D30" i="52"/>
  <c r="D26" i="52"/>
  <c r="D25" i="52"/>
  <c r="D29" i="52"/>
  <c r="D48" i="52"/>
  <c r="D20" i="52"/>
  <c r="D37" i="52"/>
  <c r="D53" i="52"/>
  <c r="D38" i="52"/>
  <c r="D32" i="52"/>
  <c r="D47" i="52"/>
  <c r="D31" i="52"/>
  <c r="D54" i="52"/>
  <c r="D16" i="52"/>
  <c r="D33" i="52"/>
  <c r="D55" i="52"/>
  <c r="D18" i="52"/>
  <c r="D22" i="52"/>
  <c r="H6" i="52"/>
  <c r="J6" i="52"/>
  <c r="H40" i="52"/>
  <c r="J40" i="52"/>
  <c r="H43" i="52"/>
  <c r="H19" i="52"/>
  <c r="J19" i="52"/>
  <c r="H7" i="52"/>
  <c r="H21" i="52"/>
  <c r="H31" i="52"/>
  <c r="H53" i="52"/>
  <c r="H30" i="52"/>
  <c r="H45" i="52"/>
  <c r="J45" i="52"/>
  <c r="P45" i="52"/>
  <c r="H44" i="52"/>
  <c r="H22" i="52"/>
  <c r="H42" i="52"/>
  <c r="H10" i="52"/>
  <c r="I10" i="52"/>
  <c r="H56" i="52"/>
  <c r="I56" i="52"/>
  <c r="H50" i="52"/>
  <c r="I50" i="52"/>
  <c r="H17" i="52"/>
  <c r="I17" i="52"/>
  <c r="H23" i="52"/>
  <c r="J23" i="52"/>
  <c r="H41" i="52"/>
  <c r="I41" i="52"/>
  <c r="H29" i="52"/>
  <c r="H28" i="52"/>
  <c r="H46" i="52"/>
  <c r="H18" i="52"/>
  <c r="H52" i="52"/>
  <c r="J52" i="52"/>
  <c r="H39" i="52"/>
  <c r="I39" i="52"/>
  <c r="H12" i="52"/>
  <c r="H37" i="52"/>
  <c r="H26" i="52"/>
  <c r="H15" i="52"/>
  <c r="J15" i="52"/>
  <c r="H38" i="52"/>
  <c r="H8" i="52"/>
  <c r="I8" i="52"/>
  <c r="H36" i="52"/>
  <c r="J36" i="52"/>
  <c r="H34" i="52"/>
  <c r="J34" i="52"/>
  <c r="H55" i="52"/>
  <c r="H13" i="52"/>
  <c r="H11" i="52"/>
  <c r="I11" i="52"/>
  <c r="H14" i="52"/>
  <c r="I14" i="52"/>
  <c r="H49" i="52"/>
  <c r="J49" i="52"/>
  <c r="H19" i="61"/>
  <c r="J19" i="61"/>
  <c r="H47" i="61"/>
  <c r="J8" i="52"/>
  <c r="E12" i="52"/>
  <c r="F12" i="52"/>
  <c r="J12" i="52"/>
  <c r="P12" i="52"/>
  <c r="N5" i="50"/>
  <c r="N6" i="50"/>
  <c r="Q6" i="50"/>
  <c r="O42" i="54"/>
  <c r="S42" i="54" s="1"/>
  <c r="O38" i="57"/>
  <c r="S38" i="57" s="1"/>
  <c r="O38" i="58"/>
  <c r="S38" i="58" s="1"/>
  <c r="O26" i="58"/>
  <c r="O46" i="57"/>
  <c r="S46" i="57" s="1"/>
  <c r="O46" i="58"/>
  <c r="S46" i="58" s="1"/>
  <c r="O13" i="57"/>
  <c r="S13" i="57" s="1"/>
  <c r="O65" i="58"/>
  <c r="S65" i="58" s="1"/>
  <c r="O41" i="58"/>
  <c r="S41" i="57"/>
  <c r="O51" i="57"/>
  <c r="S51" i="57" s="1"/>
  <c r="S63" i="54"/>
  <c r="O25" i="55"/>
  <c r="S25" i="55" s="1"/>
  <c r="O54" i="58"/>
  <c r="S54" i="58" s="1"/>
  <c r="O31" i="57"/>
  <c r="O36" i="57"/>
  <c r="S36" i="57" s="1"/>
  <c r="O36" i="58"/>
  <c r="S36" i="58" s="1"/>
  <c r="O29" i="58"/>
  <c r="S29" i="58" s="1"/>
  <c r="O29" i="57"/>
  <c r="S29" i="57" s="1"/>
  <c r="O49" i="58"/>
  <c r="S49" i="58" s="1"/>
  <c r="O49" i="57"/>
  <c r="S49" i="57" s="1"/>
  <c r="O50" i="57"/>
  <c r="S50" i="57" s="1"/>
  <c r="O50" i="58"/>
  <c r="S50" i="58" s="1"/>
  <c r="O69" i="57"/>
  <c r="S69" i="57" s="1"/>
  <c r="O69" i="58"/>
  <c r="S69" i="58" s="1"/>
  <c r="O32" i="58"/>
  <c r="S32" i="58" s="1"/>
  <c r="O57" i="57"/>
  <c r="S57" i="57" s="1"/>
  <c r="O21" i="58"/>
  <c r="S21" i="58" s="1"/>
  <c r="O21" i="57"/>
  <c r="S21" i="57" s="1"/>
  <c r="O23" i="57"/>
  <c r="S23" i="57" s="1"/>
  <c r="O23" i="58"/>
  <c r="S23" i="58" s="1"/>
  <c r="O15" i="57"/>
  <c r="S15" i="57" s="1"/>
  <c r="O25" i="58"/>
  <c r="O25" i="57"/>
  <c r="S25" i="57" s="1"/>
  <c r="O18" i="57"/>
  <c r="O59" i="57"/>
  <c r="S59" i="57" s="1"/>
  <c r="O59" i="58"/>
  <c r="S59" i="58" s="1"/>
  <c r="O19" i="58"/>
  <c r="O19" i="57"/>
  <c r="S19" i="57" s="1"/>
  <c r="O53" i="58"/>
  <c r="S53" i="58" s="1"/>
  <c r="O53" i="57"/>
  <c r="O40" i="57"/>
  <c r="O40" i="58"/>
  <c r="S40" i="58" s="1"/>
  <c r="O56" i="57"/>
  <c r="S56" i="57" s="1"/>
  <c r="O16" i="57"/>
  <c r="S16" i="57" s="1"/>
  <c r="O43" i="57"/>
  <c r="S43" i="57" s="1"/>
  <c r="O67" i="57"/>
  <c r="S67" i="57" s="1"/>
  <c r="O55" i="52"/>
  <c r="S55" i="52" s="1"/>
  <c r="O43" i="54"/>
  <c r="S43" i="54" s="1"/>
  <c r="O43" i="53"/>
  <c r="S57" i="54"/>
  <c r="O34" i="57"/>
  <c r="S34" i="57" s="1"/>
  <c r="O14" i="57"/>
  <c r="S14" i="57" s="1"/>
  <c r="O22" i="57"/>
  <c r="S22" i="57"/>
  <c r="S68" i="58"/>
  <c r="O35" i="57"/>
  <c r="S35" i="57" s="1"/>
  <c r="O33" i="58"/>
  <c r="S33" i="58" s="1"/>
  <c r="O33" i="57"/>
  <c r="S33" i="57" s="1"/>
  <c r="O27" i="58"/>
  <c r="S27" i="58"/>
  <c r="O27" i="57"/>
  <c r="S27" i="57"/>
  <c r="O12" i="57"/>
  <c r="S12" i="57"/>
  <c r="O64" i="57"/>
  <c r="S64" i="57"/>
  <c r="O47" i="58"/>
  <c r="S47" i="58" s="1"/>
  <c r="S41" i="58"/>
  <c r="E37" i="52"/>
  <c r="F37" i="52"/>
  <c r="J37" i="52"/>
  <c r="Q10" i="57"/>
  <c r="S10" i="57"/>
  <c r="I10" i="56"/>
  <c r="E47" i="52"/>
  <c r="F47" i="52"/>
  <c r="J47" i="52"/>
  <c r="G47" i="52"/>
  <c r="I47" i="52"/>
  <c r="E25" i="52"/>
  <c r="F25" i="52"/>
  <c r="J25" i="52"/>
  <c r="E44" i="52"/>
  <c r="F44" i="52"/>
  <c r="J44" i="52"/>
  <c r="G44" i="52"/>
  <c r="I44" i="52"/>
  <c r="J39" i="52"/>
  <c r="P39" i="52"/>
  <c r="I15" i="52"/>
  <c r="E22" i="52"/>
  <c r="F22" i="52"/>
  <c r="J22" i="52"/>
  <c r="E16" i="52"/>
  <c r="F16" i="52"/>
  <c r="J16" i="52"/>
  <c r="P16" i="52"/>
  <c r="G16" i="52"/>
  <c r="I16" i="52"/>
  <c r="E32" i="52"/>
  <c r="F32" i="52"/>
  <c r="J32" i="52"/>
  <c r="P32" i="52"/>
  <c r="G32" i="52"/>
  <c r="I32" i="52"/>
  <c r="E20" i="52"/>
  <c r="F20" i="52"/>
  <c r="J20" i="52"/>
  <c r="P20" i="52"/>
  <c r="S20" i="52"/>
  <c r="G20" i="52"/>
  <c r="I20" i="52"/>
  <c r="E26" i="52"/>
  <c r="F26" i="52"/>
  <c r="J26" i="52"/>
  <c r="G26" i="52"/>
  <c r="I26" i="52"/>
  <c r="J50" i="52"/>
  <c r="I36" i="52"/>
  <c r="E46" i="52"/>
  <c r="F46" i="52"/>
  <c r="J46" i="52"/>
  <c r="G46" i="52"/>
  <c r="I46" i="52"/>
  <c r="J41" i="52"/>
  <c r="J10" i="52"/>
  <c r="P10" i="52"/>
  <c r="S10" i="52"/>
  <c r="I52" i="52"/>
  <c r="J43" i="52"/>
  <c r="H6" i="53"/>
  <c r="I6" i="52"/>
  <c r="I47" i="61"/>
  <c r="J47" i="61"/>
  <c r="P47" i="61"/>
  <c r="S47" i="61"/>
  <c r="E18" i="52"/>
  <c r="F18" i="52"/>
  <c r="J18" i="52"/>
  <c r="E54" i="52"/>
  <c r="F54" i="52"/>
  <c r="J54" i="52"/>
  <c r="P54" i="52"/>
  <c r="E38" i="52"/>
  <c r="F38" i="52"/>
  <c r="J38" i="52"/>
  <c r="G48" i="52"/>
  <c r="I48" i="52"/>
  <c r="E48" i="52"/>
  <c r="F48" i="52"/>
  <c r="J48" i="52"/>
  <c r="E30" i="52"/>
  <c r="F30" i="52"/>
  <c r="J30" i="52"/>
  <c r="P30" i="52"/>
  <c r="E42" i="52"/>
  <c r="F42" i="52"/>
  <c r="J42" i="52"/>
  <c r="P42" i="52"/>
  <c r="S42" i="52"/>
  <c r="G42" i="52"/>
  <c r="I42" i="52"/>
  <c r="J7" i="52"/>
  <c r="J17" i="52"/>
  <c r="I34" i="52"/>
  <c r="I19" i="52"/>
  <c r="I23" i="52"/>
  <c r="E33" i="52"/>
  <c r="F33" i="52"/>
  <c r="J33" i="52"/>
  <c r="P33" i="52"/>
  <c r="G12" i="52"/>
  <c r="I12" i="52"/>
  <c r="I21" i="52"/>
  <c r="J21" i="52"/>
  <c r="P21" i="52"/>
  <c r="E55" i="52"/>
  <c r="F55" i="52"/>
  <c r="J55" i="52"/>
  <c r="G55" i="52"/>
  <c r="I55" i="52"/>
  <c r="E31" i="52"/>
  <c r="F31" i="52"/>
  <c r="J31" i="52"/>
  <c r="G31" i="52"/>
  <c r="I31" i="52"/>
  <c r="E53" i="52"/>
  <c r="F53" i="52"/>
  <c r="J53" i="52"/>
  <c r="E29" i="52"/>
  <c r="F29" i="52"/>
  <c r="J29" i="52"/>
  <c r="P29" i="52"/>
  <c r="E13" i="52"/>
  <c r="F13" i="52"/>
  <c r="J13" i="52"/>
  <c r="P13" i="52"/>
  <c r="G13" i="52"/>
  <c r="I13" i="52"/>
  <c r="E27" i="52"/>
  <c r="F27" i="52"/>
  <c r="J27" i="52"/>
  <c r="P27" i="52"/>
  <c r="I7" i="52"/>
  <c r="I40" i="52"/>
  <c r="J14" i="52"/>
  <c r="P14" i="52"/>
  <c r="J28" i="52"/>
  <c r="I49" i="52"/>
  <c r="I19" i="61"/>
  <c r="I5" i="1"/>
  <c r="Q5" i="52"/>
  <c r="S5" i="52"/>
  <c r="I12" i="58"/>
  <c r="Q12" i="59"/>
  <c r="G22" i="52"/>
  <c r="I22" i="52"/>
  <c r="G37" i="52"/>
  <c r="I37" i="52"/>
  <c r="G29" i="52"/>
  <c r="I29" i="52"/>
  <c r="G30" i="52"/>
  <c r="I30" i="52"/>
  <c r="G38" i="52"/>
  <c r="I38" i="52"/>
  <c r="G18" i="52"/>
  <c r="I18" i="52"/>
  <c r="I6" i="53"/>
  <c r="J6" i="53"/>
  <c r="G25" i="52"/>
  <c r="I25" i="52"/>
  <c r="G27" i="52"/>
  <c r="I27" i="52"/>
  <c r="G53" i="52"/>
  <c r="I53" i="52"/>
  <c r="G33" i="52"/>
  <c r="I33" i="52"/>
  <c r="G54" i="52"/>
  <c r="I54" i="52"/>
  <c r="O60" i="58"/>
  <c r="S60" i="58" s="1"/>
  <c r="O30" i="54"/>
  <c r="S30" i="54" s="1"/>
  <c r="O24" i="58"/>
  <c r="S24" i="58" s="1"/>
  <c r="S54" i="57"/>
  <c r="O67" i="59"/>
  <c r="S67" i="59" s="1"/>
  <c r="O67" i="58"/>
  <c r="S67" i="58" s="1"/>
  <c r="O66" i="58"/>
  <c r="S66" i="58" s="1"/>
  <c r="N25" i="58"/>
  <c r="P25" i="58"/>
  <c r="O24" i="54"/>
  <c r="S24" i="54" s="1"/>
  <c r="O24" i="53"/>
  <c r="O40" i="52"/>
  <c r="O40" i="53"/>
  <c r="O62" i="61"/>
  <c r="S62" i="61" s="1"/>
  <c r="O14" i="58"/>
  <c r="S14" i="58"/>
  <c r="O37" i="54"/>
  <c r="O37" i="53"/>
  <c r="O52" i="58"/>
  <c r="S52" i="58" s="1"/>
  <c r="O30" i="58"/>
  <c r="O11" i="53"/>
  <c r="O11" i="54"/>
  <c r="S11" i="54" s="1"/>
  <c r="S19" i="60"/>
  <c r="P28" i="53"/>
  <c r="N28" i="54"/>
  <c r="N43" i="56"/>
  <c r="P43" i="56"/>
  <c r="N43" i="57"/>
  <c r="P19" i="61"/>
  <c r="N19" i="61"/>
  <c r="S19" i="61"/>
  <c r="O58" i="58"/>
  <c r="S58" i="58"/>
  <c r="O63" i="58"/>
  <c r="S63" i="58"/>
  <c r="O20" i="53"/>
  <c r="S20" i="53" s="1"/>
  <c r="O69" i="55"/>
  <c r="S69" i="55" s="1"/>
  <c r="O31" i="53"/>
  <c r="P49" i="56"/>
  <c r="N49" i="56"/>
  <c r="N49" i="57"/>
  <c r="N47" i="57"/>
  <c r="P47" i="56"/>
  <c r="N19" i="55"/>
  <c r="N19" i="54"/>
  <c r="P19" i="54"/>
  <c r="N20" i="55"/>
  <c r="P20" i="54"/>
  <c r="N20" i="54"/>
  <c r="N40" i="54"/>
  <c r="P40" i="54"/>
  <c r="N40" i="55"/>
  <c r="N45" i="58"/>
  <c r="N45" i="59"/>
  <c r="P55" i="56"/>
  <c r="N55" i="56"/>
  <c r="O18" i="53"/>
  <c r="O60" i="53"/>
  <c r="S60" i="53" s="1"/>
  <c r="O60" i="54"/>
  <c r="S60" i="54" s="1"/>
  <c r="P47" i="53"/>
  <c r="P56" i="53"/>
  <c r="N56" i="53"/>
  <c r="N53" i="54"/>
  <c r="N35" i="54"/>
  <c r="P35" i="53"/>
  <c r="N31" i="57"/>
  <c r="S31" i="57"/>
  <c r="P31" i="56"/>
  <c r="N12" i="53"/>
  <c r="N12" i="52"/>
  <c r="N19" i="59"/>
  <c r="S19" i="59"/>
  <c r="P19" i="58"/>
  <c r="S19" i="58"/>
  <c r="N27" i="56"/>
  <c r="P27" i="56"/>
  <c r="N24" i="56"/>
  <c r="N23" i="54"/>
  <c r="P23" i="53"/>
  <c r="P29" i="53"/>
  <c r="N29" i="53"/>
  <c r="N29" i="54"/>
  <c r="N25" i="54"/>
  <c r="P25" i="53"/>
  <c r="P34" i="53"/>
  <c r="N49" i="54"/>
  <c r="N31" i="54"/>
  <c r="P31" i="53"/>
  <c r="N14" i="57"/>
  <c r="P14" i="56"/>
  <c r="N52" i="56"/>
  <c r="N52" i="57"/>
  <c r="P33" i="61"/>
  <c r="N33" i="61"/>
  <c r="N12" i="55"/>
  <c r="P12" i="55"/>
  <c r="N12" i="56"/>
  <c r="N47" i="59"/>
  <c r="P47" i="59"/>
  <c r="N47" i="60"/>
  <c r="N45" i="60"/>
  <c r="P45" i="59"/>
  <c r="P28" i="59"/>
  <c r="N28" i="60"/>
  <c r="N25" i="59"/>
  <c r="P37" i="59"/>
  <c r="N37" i="59"/>
  <c r="N27" i="60"/>
  <c r="N27" i="59"/>
  <c r="S27" i="59"/>
  <c r="N8" i="53"/>
  <c r="P8" i="53"/>
  <c r="P38" i="61"/>
  <c r="N38" i="61"/>
  <c r="S38" i="61"/>
  <c r="N44" i="61"/>
  <c r="P44" i="61"/>
  <c r="N54" i="61"/>
  <c r="P54" i="61"/>
  <c r="N13" i="58"/>
  <c r="P13" i="57"/>
  <c r="N44" i="58"/>
  <c r="N44" i="57"/>
  <c r="N17" i="57"/>
  <c r="P17" i="57"/>
  <c r="N40" i="57"/>
  <c r="S40" i="57"/>
  <c r="N18" i="57"/>
  <c r="S18" i="57"/>
  <c r="N24" i="57"/>
  <c r="N39" i="52"/>
  <c r="N54" i="59"/>
  <c r="P54" i="59"/>
  <c r="S38" i="60"/>
  <c r="S34" i="56"/>
  <c r="N55" i="58"/>
  <c r="P55" i="58"/>
  <c r="P30" i="58"/>
  <c r="N30" i="59"/>
  <c r="S30" i="59"/>
  <c r="N56" i="58"/>
  <c r="P56" i="58"/>
  <c r="P47" i="54"/>
  <c r="N47" i="55"/>
  <c r="N37" i="54"/>
  <c r="P37" i="54"/>
  <c r="N17" i="61"/>
  <c r="N17" i="60"/>
  <c r="N56" i="60"/>
  <c r="P56" i="60"/>
  <c r="N36" i="60"/>
  <c r="P36" i="59"/>
  <c r="O37" i="55"/>
  <c r="S37" i="55" s="1"/>
  <c r="O17" i="56"/>
  <c r="O53" i="60"/>
  <c r="S53" i="60" s="1"/>
  <c r="O53" i="61"/>
  <c r="S53" i="61" s="1"/>
  <c r="O49" i="52"/>
  <c r="S49" i="52" s="1"/>
  <c r="M55" i="53"/>
  <c r="M32" i="53"/>
  <c r="M15" i="53"/>
  <c r="O15" i="54"/>
  <c r="S15" i="54" s="1"/>
  <c r="M19" i="53"/>
  <c r="O19" i="54" s="1"/>
  <c r="S19" i="54" s="1"/>
  <c r="M54" i="53"/>
  <c r="M62" i="53"/>
  <c r="M46" i="53"/>
  <c r="O46" i="53" s="1"/>
  <c r="S46" i="53" s="1"/>
  <c r="M68" i="53"/>
  <c r="M65" i="53"/>
  <c r="O65" i="54" s="1"/>
  <c r="S65" i="54" s="1"/>
  <c r="M35" i="53"/>
  <c r="O35" i="54" s="1"/>
  <c r="S35" i="54" s="1"/>
  <c r="M34" i="53"/>
  <c r="M12" i="53"/>
  <c r="M41" i="53"/>
  <c r="M58" i="53"/>
  <c r="O58" i="54"/>
  <c r="S58" i="54" s="1"/>
  <c r="M26" i="53"/>
  <c r="O26" i="54" s="1"/>
  <c r="S26" i="54"/>
  <c r="M33" i="53"/>
  <c r="O33" i="54"/>
  <c r="S33" i="54" s="1"/>
  <c r="M17" i="53"/>
  <c r="M14" i="53"/>
  <c r="O14" i="54" s="1"/>
  <c r="S14" i="54" s="1"/>
  <c r="M27" i="53"/>
  <c r="M23" i="53"/>
  <c r="M36" i="53"/>
  <c r="M51" i="53"/>
  <c r="O51" i="54"/>
  <c r="S51" i="54" s="1"/>
  <c r="M66" i="53"/>
  <c r="O66" i="54" s="1"/>
  <c r="S66" i="54"/>
  <c r="M56" i="53"/>
  <c r="O56" i="53" s="1"/>
  <c r="S56" i="53" s="1"/>
  <c r="O56" i="54"/>
  <c r="S56" i="54" s="1"/>
  <c r="M25" i="53"/>
  <c r="O25" i="54" s="1"/>
  <c r="O20" i="56"/>
  <c r="S20" i="56" s="1"/>
  <c r="O14" i="52"/>
  <c r="S14" i="52" s="1"/>
  <c r="M7" i="53"/>
  <c r="M10" i="53"/>
  <c r="O67" i="60"/>
  <c r="S67" i="60" s="1"/>
  <c r="L26" i="52"/>
  <c r="L52" i="52"/>
  <c r="L41" i="52"/>
  <c r="L51" i="52"/>
  <c r="L9" i="52"/>
  <c r="L17" i="52"/>
  <c r="L44" i="52"/>
  <c r="L6" i="52"/>
  <c r="L19" i="52"/>
  <c r="L38" i="52"/>
  <c r="L11" i="52"/>
  <c r="L40" i="52"/>
  <c r="L31" i="52"/>
  <c r="L23" i="52"/>
  <c r="L8" i="52"/>
  <c r="L50" i="52"/>
  <c r="L18" i="52"/>
  <c r="L36" i="52"/>
  <c r="L15" i="52"/>
  <c r="L53" i="52"/>
  <c r="N53" i="53"/>
  <c r="L46" i="52"/>
  <c r="L25" i="52"/>
  <c r="L28" i="52"/>
  <c r="N28" i="53"/>
  <c r="L49" i="52"/>
  <c r="M26" i="55"/>
  <c r="M43" i="55"/>
  <c r="O43" i="56" s="1"/>
  <c r="S43" i="56" s="1"/>
  <c r="M13" i="55"/>
  <c r="M14" i="55"/>
  <c r="M68" i="55"/>
  <c r="O68" i="56" s="1"/>
  <c r="S68" i="56" s="1"/>
  <c r="M47" i="55"/>
  <c r="M45" i="55"/>
  <c r="M50" i="55"/>
  <c r="M51" i="55"/>
  <c r="M28" i="55"/>
  <c r="M49" i="55"/>
  <c r="M54" i="55"/>
  <c r="M39" i="55"/>
  <c r="M11" i="55"/>
  <c r="M24" i="55"/>
  <c r="M40" i="55"/>
  <c r="M18" i="55"/>
  <c r="O18" i="56" s="1"/>
  <c r="S18" i="56" s="1"/>
  <c r="M27" i="55"/>
  <c r="M37" i="55"/>
  <c r="O37" i="56"/>
  <c r="S37" i="56" s="1"/>
  <c r="M66" i="55"/>
  <c r="M41" i="55"/>
  <c r="M46" i="55"/>
  <c r="M31" i="55"/>
  <c r="O31" i="56" s="1"/>
  <c r="S31" i="56" s="1"/>
  <c r="M8" i="55"/>
  <c r="M10" i="55"/>
  <c r="M21" i="55"/>
  <c r="M44" i="55"/>
  <c r="M22" i="55"/>
  <c r="O22" i="56" s="1"/>
  <c r="S22" i="56" s="1"/>
  <c r="M16" i="55"/>
  <c r="O16" i="56" s="1"/>
  <c r="S16" i="56" s="1"/>
  <c r="M36" i="55"/>
  <c r="M62" i="55"/>
  <c r="M15" i="55"/>
  <c r="O15" i="56" s="1"/>
  <c r="S15" i="56" s="1"/>
  <c r="M53" i="55"/>
  <c r="M12" i="55"/>
  <c r="O12" i="55" s="1"/>
  <c r="S12" i="55" s="1"/>
  <c r="M59" i="55"/>
  <c r="M29" i="55"/>
  <c r="M35" i="55"/>
  <c r="O35" i="56" s="1"/>
  <c r="S35" i="56" s="1"/>
  <c r="M33" i="55"/>
  <c r="O33" i="55" s="1"/>
  <c r="S33" i="55" s="1"/>
  <c r="M23" i="55"/>
  <c r="M48" i="55"/>
  <c r="M32" i="55"/>
  <c r="O32" i="56" s="1"/>
  <c r="S32" i="56" s="1"/>
  <c r="M19" i="55"/>
  <c r="M42" i="55"/>
  <c r="M30" i="55"/>
  <c r="M57" i="55"/>
  <c r="M64" i="55"/>
  <c r="M58" i="55"/>
  <c r="M65" i="55"/>
  <c r="M55" i="55"/>
  <c r="M61" i="55"/>
  <c r="M52" i="55"/>
  <c r="L15" i="56"/>
  <c r="L53" i="56"/>
  <c r="L42" i="56"/>
  <c r="L26" i="58"/>
  <c r="L17" i="58"/>
  <c r="L15" i="58"/>
  <c r="L12" i="58"/>
  <c r="M28" i="58"/>
  <c r="M16" i="58"/>
  <c r="M64" i="58"/>
  <c r="M15" i="58"/>
  <c r="O15" i="58" s="1"/>
  <c r="M20" i="58"/>
  <c r="M44" i="58"/>
  <c r="O44" i="58" s="1"/>
  <c r="M12" i="58"/>
  <c r="O12" i="58" s="1"/>
  <c r="S12" i="58" s="1"/>
  <c r="O55" i="60"/>
  <c r="S55" i="60" s="1"/>
  <c r="O21" i="61"/>
  <c r="S21" i="61" s="1"/>
  <c r="O21" i="60"/>
  <c r="S21" i="60" s="1"/>
  <c r="M9" i="53"/>
  <c r="M6" i="53"/>
  <c r="O67" i="56"/>
  <c r="S67" i="56" s="1"/>
  <c r="O19" i="53"/>
  <c r="O46" i="52"/>
  <c r="L17" i="55"/>
  <c r="L24" i="55"/>
  <c r="M26" i="60"/>
  <c r="O26" i="61" s="1"/>
  <c r="S26" i="61" s="1"/>
  <c r="M59" i="60"/>
  <c r="O59" i="61" s="1"/>
  <c r="S59" i="61" s="1"/>
  <c r="M43" i="60"/>
  <c r="M30" i="60"/>
  <c r="M63" i="60"/>
  <c r="O63" i="61"/>
  <c r="S63" i="61" s="1"/>
  <c r="M57" i="60"/>
  <c r="M15" i="60"/>
  <c r="O15" i="61" s="1"/>
  <c r="S15" i="61" s="1"/>
  <c r="M66" i="60"/>
  <c r="O66" i="61" s="1"/>
  <c r="S66" i="61" s="1"/>
  <c r="M17" i="60"/>
  <c r="O17" i="60" s="1"/>
  <c r="S17" i="60" s="1"/>
  <c r="M33" i="60"/>
  <c r="M24" i="60"/>
  <c r="O24" i="61" s="1"/>
  <c r="S24" i="61" s="1"/>
  <c r="M16" i="60"/>
  <c r="M52" i="60"/>
  <c r="O52" i="61" s="1"/>
  <c r="S52" i="61" s="1"/>
  <c r="M37" i="60"/>
  <c r="O37" i="60" s="1"/>
  <c r="M58" i="60"/>
  <c r="O58" i="61" s="1"/>
  <c r="S58" i="61" s="1"/>
  <c r="M50" i="60"/>
  <c r="O50" i="61"/>
  <c r="S50" i="61" s="1"/>
  <c r="M32" i="60"/>
  <c r="O32" i="60" s="1"/>
  <c r="S32" i="60" s="1"/>
  <c r="M14" i="60"/>
  <c r="O63" i="55"/>
  <c r="S63" i="55" s="1"/>
  <c r="O8" i="53"/>
  <c r="L7" i="52"/>
  <c r="L32" i="59"/>
  <c r="M7" i="52"/>
  <c r="O7" i="53" s="1"/>
  <c r="M30" i="52"/>
  <c r="O30" i="53" s="1"/>
  <c r="S30" i="53" s="1"/>
  <c r="M57" i="52"/>
  <c r="O57" i="52" s="1"/>
  <c r="M64" i="52"/>
  <c r="M45" i="52"/>
  <c r="L37" i="52"/>
  <c r="L47" i="52"/>
  <c r="N47" i="53"/>
  <c r="L24" i="52"/>
  <c r="L43" i="52"/>
  <c r="M22" i="52"/>
  <c r="M52" i="52"/>
  <c r="M33" i="52"/>
  <c r="O33" i="53" s="1"/>
  <c r="S33" i="53" s="1"/>
  <c r="M63" i="52"/>
  <c r="O63" i="53" s="1"/>
  <c r="M15" i="52"/>
  <c r="O15" i="53" s="1"/>
  <c r="S15" i="53" s="1"/>
  <c r="M47" i="52"/>
  <c r="M37" i="59"/>
  <c r="O37" i="59"/>
  <c r="M28" i="59"/>
  <c r="M20" i="59"/>
  <c r="M69" i="59"/>
  <c r="M42" i="59"/>
  <c r="M46" i="59"/>
  <c r="M50" i="59"/>
  <c r="O50" i="60" s="1"/>
  <c r="S50" i="60" s="1"/>
  <c r="M54" i="59"/>
  <c r="M63" i="59"/>
  <c r="O63" i="60" s="1"/>
  <c r="S63" i="60" s="1"/>
  <c r="M66" i="59"/>
  <c r="M26" i="59"/>
  <c r="O26" i="60"/>
  <c r="S26" i="60" s="1"/>
  <c r="M68" i="59"/>
  <c r="M15" i="59"/>
  <c r="O15" i="60" s="1"/>
  <c r="S15" i="60" s="1"/>
  <c r="M13" i="52"/>
  <c r="M27" i="52"/>
  <c r="M32" i="52"/>
  <c r="O32" i="52" s="1"/>
  <c r="S32" i="52" s="1"/>
  <c r="M6" i="52"/>
  <c r="O6" i="52" s="1"/>
  <c r="S6" i="52" s="1"/>
  <c r="M26" i="52"/>
  <c r="O26" i="53" s="1"/>
  <c r="M65" i="52"/>
  <c r="O65" i="53" s="1"/>
  <c r="S65" i="53" s="1"/>
  <c r="L34" i="52"/>
  <c r="L22" i="52"/>
  <c r="L48" i="52"/>
  <c r="L55" i="52"/>
  <c r="M21" i="52"/>
  <c r="O21" i="52" s="1"/>
  <c r="S21" i="52" s="1"/>
  <c r="M61" i="52"/>
  <c r="M62" i="52"/>
  <c r="O62" i="53"/>
  <c r="S62" i="53" s="1"/>
  <c r="M28" i="52"/>
  <c r="M53" i="52"/>
  <c r="M66" i="52"/>
  <c r="M36" i="52"/>
  <c r="O36" i="52" s="1"/>
  <c r="S36" i="52" s="1"/>
  <c r="M44" i="52"/>
  <c r="M33" i="59"/>
  <c r="O33" i="59" s="1"/>
  <c r="S33" i="59" s="1"/>
  <c r="M24" i="59"/>
  <c r="O24" i="60"/>
  <c r="S24" i="60" s="1"/>
  <c r="M61" i="59"/>
  <c r="M40" i="59"/>
  <c r="O40" i="60" s="1"/>
  <c r="S40" i="60" s="1"/>
  <c r="M44" i="59"/>
  <c r="O44" i="60" s="1"/>
  <c r="S44" i="60" s="1"/>
  <c r="M48" i="59"/>
  <c r="M52" i="59"/>
  <c r="M56" i="59"/>
  <c r="O56" i="60" s="1"/>
  <c r="S56" i="60" s="1"/>
  <c r="M58" i="59"/>
  <c r="O58" i="60" s="1"/>
  <c r="S58" i="60" s="1"/>
  <c r="M14" i="59"/>
  <c r="N48" i="53"/>
  <c r="N48" i="52"/>
  <c r="P48" i="52"/>
  <c r="O26" i="52"/>
  <c r="P15" i="58"/>
  <c r="N15" i="59"/>
  <c r="N15" i="58"/>
  <c r="O55" i="56"/>
  <c r="O35" i="55"/>
  <c r="S35" i="55"/>
  <c r="N31" i="52"/>
  <c r="N31" i="53"/>
  <c r="S31" i="53"/>
  <c r="P31" i="52"/>
  <c r="O14" i="60"/>
  <c r="S14" i="60" s="1"/>
  <c r="N55" i="52"/>
  <c r="N55" i="53"/>
  <c r="P55" i="52"/>
  <c r="O27" i="52"/>
  <c r="S27" i="52" s="1"/>
  <c r="O50" i="59"/>
  <c r="S50" i="59" s="1"/>
  <c r="N37" i="52"/>
  <c r="N37" i="53"/>
  <c r="S37" i="53"/>
  <c r="P37" i="52"/>
  <c r="O43" i="61"/>
  <c r="S43" i="61" s="1"/>
  <c r="O43" i="60"/>
  <c r="S43" i="60" s="1"/>
  <c r="P17" i="55"/>
  <c r="N17" i="55"/>
  <c r="S17" i="55"/>
  <c r="N17" i="56"/>
  <c r="S17" i="56"/>
  <c r="O35" i="53"/>
  <c r="S35" i="53" s="1"/>
  <c r="O15" i="59"/>
  <c r="S15" i="59" s="1"/>
  <c r="L12" i="59"/>
  <c r="N12" i="59"/>
  <c r="S12" i="59"/>
  <c r="N12" i="58"/>
  <c r="P12" i="58"/>
  <c r="P42" i="56"/>
  <c r="N42" i="56"/>
  <c r="N42" i="57"/>
  <c r="O33" i="56"/>
  <c r="S33" i="56" s="1"/>
  <c r="O12" i="56"/>
  <c r="S12" i="56" s="1"/>
  <c r="O11" i="55"/>
  <c r="S11" i="55" s="1"/>
  <c r="O11" i="56"/>
  <c r="S11" i="56" s="1"/>
  <c r="O28" i="56"/>
  <c r="S28" i="56" s="1"/>
  <c r="O28" i="55"/>
  <c r="S28" i="55" s="1"/>
  <c r="O47" i="55"/>
  <c r="S47" i="55" s="1"/>
  <c r="O47" i="56"/>
  <c r="S47" i="56"/>
  <c r="O43" i="55"/>
  <c r="S43" i="55" s="1"/>
  <c r="N25" i="52"/>
  <c r="N25" i="53"/>
  <c r="P25" i="52"/>
  <c r="N36" i="52"/>
  <c r="N36" i="53"/>
  <c r="P36" i="52"/>
  <c r="N23" i="52"/>
  <c r="N23" i="53"/>
  <c r="P23" i="52"/>
  <c r="N38" i="52"/>
  <c r="S38" i="52"/>
  <c r="P38" i="52"/>
  <c r="N38" i="53"/>
  <c r="N17" i="52"/>
  <c r="N17" i="53"/>
  <c r="P17" i="52"/>
  <c r="N52" i="52"/>
  <c r="P52" i="52"/>
  <c r="O46" i="54"/>
  <c r="S46" i="54" s="1"/>
  <c r="S47" i="59"/>
  <c r="O22" i="55"/>
  <c r="S22" i="55" s="1"/>
  <c r="S20" i="54"/>
  <c r="O26" i="59"/>
  <c r="O63" i="59"/>
  <c r="S63" i="59" s="1"/>
  <c r="O16" i="55"/>
  <c r="S16" i="55" s="1"/>
  <c r="S63" i="53"/>
  <c r="N53" i="56"/>
  <c r="P53" i="56"/>
  <c r="N53" i="57"/>
  <c r="S53" i="57"/>
  <c r="O10" i="55"/>
  <c r="S10" i="55"/>
  <c r="O10" i="56"/>
  <c r="S10" i="56"/>
  <c r="O41" i="56"/>
  <c r="S41" i="56"/>
  <c r="N18" i="52"/>
  <c r="N18" i="53"/>
  <c r="S18" i="53"/>
  <c r="P18" i="52"/>
  <c r="P9" i="52"/>
  <c r="N9" i="53"/>
  <c r="N9" i="52"/>
  <c r="O10" i="54"/>
  <c r="S10" i="54" s="1"/>
  <c r="O10" i="53"/>
  <c r="S10" i="53" s="1"/>
  <c r="S8" i="53"/>
  <c r="N22" i="52"/>
  <c r="N22" i="53"/>
  <c r="P22" i="52"/>
  <c r="O42" i="59"/>
  <c r="S42" i="59" s="1"/>
  <c r="S37" i="60"/>
  <c r="N24" i="52"/>
  <c r="P24" i="52"/>
  <c r="N24" i="53"/>
  <c r="S24" i="53"/>
  <c r="O64" i="53"/>
  <c r="S64" i="53"/>
  <c r="N32" i="59"/>
  <c r="P32" i="59"/>
  <c r="N32" i="60"/>
  <c r="O51" i="53"/>
  <c r="O17" i="61"/>
  <c r="S17" i="61" s="1"/>
  <c r="O33" i="52"/>
  <c r="S33" i="52" s="1"/>
  <c r="O16" i="58"/>
  <c r="S16" i="58" s="1"/>
  <c r="N17" i="58"/>
  <c r="P17" i="58"/>
  <c r="N17" i="59"/>
  <c r="P15" i="56"/>
  <c r="N15" i="57"/>
  <c r="N15" i="56"/>
  <c r="O65" i="55"/>
  <c r="S65" i="55" s="1"/>
  <c r="O65" i="56"/>
  <c r="S65" i="56" s="1"/>
  <c r="O48" i="56"/>
  <c r="S48" i="56" s="1"/>
  <c r="O48" i="55"/>
  <c r="S48" i="55" s="1"/>
  <c r="O29" i="56"/>
  <c r="S29" i="56" s="1"/>
  <c r="O29" i="55"/>
  <c r="S29" i="55" s="1"/>
  <c r="O66" i="55"/>
  <c r="S66" i="55" s="1"/>
  <c r="O66" i="56"/>
  <c r="S66" i="56" s="1"/>
  <c r="O40" i="55"/>
  <c r="S40" i="55" s="1"/>
  <c r="O40" i="56"/>
  <c r="S40" i="56" s="1"/>
  <c r="O54" i="56"/>
  <c r="S54" i="56" s="1"/>
  <c r="O54" i="55"/>
  <c r="S54" i="55" s="1"/>
  <c r="O50" i="56"/>
  <c r="S50" i="56" s="1"/>
  <c r="O50" i="55"/>
  <c r="S50" i="55" s="1"/>
  <c r="O14" i="56"/>
  <c r="S14" i="56" s="1"/>
  <c r="O14" i="55"/>
  <c r="S14" i="55" s="1"/>
  <c r="N49" i="52"/>
  <c r="P49" i="52"/>
  <c r="N53" i="52"/>
  <c r="P53" i="52"/>
  <c r="N50" i="52"/>
  <c r="N50" i="53"/>
  <c r="P50" i="52"/>
  <c r="N40" i="52"/>
  <c r="N40" i="53"/>
  <c r="S40" i="53"/>
  <c r="P40" i="52"/>
  <c r="L6" i="53"/>
  <c r="N6" i="53"/>
  <c r="S6" i="53"/>
  <c r="P6" i="52"/>
  <c r="N6" i="52"/>
  <c r="N51" i="52"/>
  <c r="P51" i="52"/>
  <c r="N51" i="53"/>
  <c r="S51" i="53"/>
  <c r="O62" i="52"/>
  <c r="S62" i="52" s="1"/>
  <c r="O15" i="55"/>
  <c r="S15" i="55" s="1"/>
  <c r="O25" i="53"/>
  <c r="O17" i="54"/>
  <c r="S17" i="54" s="1"/>
  <c r="O17" i="53"/>
  <c r="S17" i="53" s="1"/>
  <c r="O54" i="53"/>
  <c r="S54" i="53"/>
  <c r="O54" i="54"/>
  <c r="S54" i="54"/>
  <c r="O55" i="53"/>
  <c r="S55" i="53" s="1"/>
  <c r="S37" i="54"/>
  <c r="S56" i="58"/>
  <c r="S54" i="61"/>
  <c r="N49" i="53"/>
  <c r="S25" i="54"/>
  <c r="S40" i="54"/>
  <c r="O18" i="55"/>
  <c r="S18" i="55" s="1"/>
  <c r="O30" i="52"/>
  <c r="S30" i="52" s="1"/>
  <c r="S30" i="58"/>
  <c r="O14" i="59"/>
  <c r="S14" i="59"/>
  <c r="N43" i="52"/>
  <c r="N43" i="53"/>
  <c r="S43" i="53"/>
  <c r="P43" i="52"/>
  <c r="O64" i="59"/>
  <c r="S64" i="59" s="1"/>
  <c r="O64" i="58"/>
  <c r="S64" i="58" s="1"/>
  <c r="O57" i="56"/>
  <c r="S57" i="56" s="1"/>
  <c r="O57" i="55"/>
  <c r="S57" i="55" s="1"/>
  <c r="N46" i="52"/>
  <c r="N46" i="53"/>
  <c r="P46" i="52"/>
  <c r="N19" i="52"/>
  <c r="P19" i="52"/>
  <c r="N19" i="53"/>
  <c r="S19" i="53"/>
  <c r="N26" i="52"/>
  <c r="S26" i="52"/>
  <c r="N26" i="53"/>
  <c r="S26" i="53"/>
  <c r="P26" i="52"/>
  <c r="S44" i="58"/>
  <c r="O48" i="60"/>
  <c r="S48" i="60" s="1"/>
  <c r="O48" i="59"/>
  <c r="S48" i="59" s="1"/>
  <c r="N34" i="52"/>
  <c r="P34" i="52"/>
  <c r="O32" i="53"/>
  <c r="S32" i="53" s="1"/>
  <c r="O54" i="60"/>
  <c r="S54" i="60" s="1"/>
  <c r="O54" i="59"/>
  <c r="S54" i="59" s="1"/>
  <c r="O47" i="52"/>
  <c r="S47" i="52" s="1"/>
  <c r="N47" i="52"/>
  <c r="P47" i="52"/>
  <c r="S57" i="52"/>
  <c r="O57" i="53"/>
  <c r="S57" i="53"/>
  <c r="N7" i="53"/>
  <c r="S7" i="53"/>
  <c r="N7" i="52"/>
  <c r="P7" i="52"/>
  <c r="O58" i="53"/>
  <c r="S58" i="53" s="1"/>
  <c r="O16" i="61"/>
  <c r="S16" i="61" s="1"/>
  <c r="O30" i="61"/>
  <c r="S30" i="61" s="1"/>
  <c r="O30" i="60"/>
  <c r="S30" i="60" s="1"/>
  <c r="N24" i="55"/>
  <c r="P24" i="55"/>
  <c r="O20" i="59"/>
  <c r="S20" i="59" s="1"/>
  <c r="O28" i="59"/>
  <c r="S28" i="59" s="1"/>
  <c r="O28" i="58"/>
  <c r="S28" i="58" s="1"/>
  <c r="N26" i="58"/>
  <c r="P26" i="58"/>
  <c r="N26" i="59"/>
  <c r="S26" i="59"/>
  <c r="O52" i="56"/>
  <c r="S52" i="56" s="1"/>
  <c r="O52" i="55"/>
  <c r="S52" i="55" s="1"/>
  <c r="O58" i="55"/>
  <c r="S58" i="55" s="1"/>
  <c r="O58" i="56"/>
  <c r="S58" i="56" s="1"/>
  <c r="O42" i="55"/>
  <c r="S42" i="55" s="1"/>
  <c r="O42" i="56"/>
  <c r="S42" i="56" s="1"/>
  <c r="O23" i="55"/>
  <c r="S23" i="55" s="1"/>
  <c r="O23" i="56"/>
  <c r="S23" i="56" s="1"/>
  <c r="O59" i="56"/>
  <c r="S59" i="56"/>
  <c r="O59" i="55"/>
  <c r="S59" i="55" s="1"/>
  <c r="O62" i="56"/>
  <c r="S62" i="56" s="1"/>
  <c r="O62" i="55"/>
  <c r="S62" i="55" s="1"/>
  <c r="O44" i="56"/>
  <c r="S44" i="56" s="1"/>
  <c r="O49" i="56"/>
  <c r="S49" i="56" s="1"/>
  <c r="O49" i="55"/>
  <c r="S49" i="55" s="1"/>
  <c r="O45" i="55"/>
  <c r="S45" i="55" s="1"/>
  <c r="O45" i="56"/>
  <c r="S45" i="56" s="1"/>
  <c r="O13" i="56"/>
  <c r="S13" i="56" s="1"/>
  <c r="O13" i="55"/>
  <c r="S13" i="55" s="1"/>
  <c r="N28" i="52"/>
  <c r="P28" i="52"/>
  <c r="N15" i="52"/>
  <c r="P15" i="52"/>
  <c r="N15" i="53"/>
  <c r="N8" i="52"/>
  <c r="P8" i="52"/>
  <c r="N11" i="53"/>
  <c r="S11" i="53"/>
  <c r="N11" i="52"/>
  <c r="P11" i="52"/>
  <c r="N44" i="52"/>
  <c r="N44" i="53"/>
  <c r="P44" i="52"/>
  <c r="N41" i="52"/>
  <c r="S41" i="52"/>
  <c r="N41" i="53"/>
  <c r="P41" i="52"/>
  <c r="O23" i="54"/>
  <c r="S23" i="54"/>
  <c r="O23" i="53"/>
  <c r="O12" i="53"/>
  <c r="S12" i="53" s="1"/>
  <c r="O12" i="54"/>
  <c r="S12" i="54" s="1"/>
  <c r="O68" i="53"/>
  <c r="S68" i="53" s="1"/>
  <c r="O31" i="55"/>
  <c r="S31" i="55" s="1"/>
  <c r="S37" i="59"/>
  <c r="N34" i="53"/>
  <c r="N52" i="53"/>
  <c r="O56" i="59"/>
  <c r="S56" i="59" s="1"/>
  <c r="S55" i="56"/>
  <c r="O58" i="59"/>
  <c r="S58" i="59" s="1"/>
  <c r="S25" i="58"/>
  <c r="O24" i="59"/>
  <c r="S24" i="59" s="1"/>
  <c r="S40" i="52"/>
  <c r="S25" i="53"/>
  <c r="S26" i="58"/>
  <c r="S32" i="59"/>
  <c r="S48" i="52"/>
  <c r="S46" i="52"/>
  <c r="S24" i="52"/>
  <c r="S23" i="53"/>
  <c r="S15" i="58"/>
  <c r="O64" i="52" l="1"/>
  <c r="S64" i="52" s="1"/>
  <c r="O16" i="53"/>
  <c r="S16" i="53" s="1"/>
  <c r="O34" i="61"/>
  <c r="S34" i="61" s="1"/>
  <c r="O64" i="61"/>
  <c r="S64" i="61" s="1"/>
  <c r="O42" i="53"/>
  <c r="S42" i="53" s="1"/>
  <c r="O59" i="53"/>
  <c r="S59" i="53" s="1"/>
  <c r="O22" i="61"/>
  <c r="S22" i="61" s="1"/>
  <c r="O65" i="57"/>
  <c r="S65" i="57" s="1"/>
  <c r="O42" i="57"/>
  <c r="S42" i="57" s="1"/>
  <c r="O30" i="57"/>
  <c r="S30" i="57" s="1"/>
  <c r="O12" i="52"/>
  <c r="S12" i="52" s="1"/>
  <c r="O56" i="56"/>
  <c r="S56" i="56" s="1"/>
  <c r="O17" i="52"/>
  <c r="S17" i="52" s="1"/>
  <c r="O59" i="60"/>
  <c r="S59" i="60" s="1"/>
  <c r="O60" i="60"/>
  <c r="S60" i="60" s="1"/>
  <c r="O44" i="59"/>
  <c r="S44" i="59" s="1"/>
  <c r="O21" i="53"/>
  <c r="S21" i="53" s="1"/>
  <c r="O14" i="53"/>
  <c r="S14" i="53" s="1"/>
  <c r="O44" i="55"/>
  <c r="S44" i="55" s="1"/>
  <c r="O41" i="55"/>
  <c r="S41" i="55" s="1"/>
  <c r="O13" i="58"/>
  <c r="S13" i="58" s="1"/>
  <c r="O62" i="58"/>
  <c r="S62" i="58" s="1"/>
  <c r="O15" i="52"/>
  <c r="S15" i="52" s="1"/>
  <c r="O51" i="61"/>
  <c r="S51" i="61" s="1"/>
  <c r="O50" i="52"/>
  <c r="S50" i="52" s="1"/>
  <c r="O17" i="57"/>
  <c r="S17" i="57" s="1"/>
  <c r="O35" i="60"/>
  <c r="S35" i="60" s="1"/>
  <c r="O39" i="58"/>
  <c r="S39" i="58" s="1"/>
  <c r="O44" i="57"/>
  <c r="S44" i="57" s="1"/>
  <c r="O62" i="57"/>
  <c r="S62" i="57" s="1"/>
  <c r="O52" i="57"/>
  <c r="S52" i="57" s="1"/>
  <c r="O58" i="52"/>
  <c r="S58" i="52" s="1"/>
  <c r="O48" i="53"/>
  <c r="S48" i="53" s="1"/>
  <c r="O51" i="52"/>
  <c r="S51" i="52" s="1"/>
  <c r="O18" i="58"/>
  <c r="S18" i="58" s="1"/>
  <c r="O47" i="57"/>
  <c r="S47" i="57" s="1"/>
  <c r="O60" i="57"/>
  <c r="S60" i="57" s="1"/>
  <c r="O39" i="53"/>
  <c r="S39" i="53" s="1"/>
  <c r="O68" i="52"/>
  <c r="S68" i="52" s="1"/>
  <c r="O45" i="60"/>
  <c r="S45" i="60" s="1"/>
  <c r="O22" i="60"/>
  <c r="S22" i="60" s="1"/>
  <c r="O55" i="61"/>
  <c r="S55" i="61" s="1"/>
  <c r="O40" i="59"/>
  <c r="S40" i="59" s="1"/>
  <c r="O37" i="61"/>
  <c r="S37" i="61" s="1"/>
  <c r="O16" i="54"/>
  <c r="S16" i="54" s="1"/>
  <c r="O62" i="54"/>
  <c r="S62" i="54" s="1"/>
  <c r="O32" i="55"/>
  <c r="S32" i="55" s="1"/>
  <c r="O13" i="54"/>
  <c r="S13" i="54" s="1"/>
  <c r="O63" i="52"/>
  <c r="S63" i="52" s="1"/>
  <c r="O23" i="52"/>
  <c r="S23" i="52" s="1"/>
  <c r="O40" i="61"/>
  <c r="S40" i="61" s="1"/>
  <c r="O38" i="56"/>
  <c r="S38" i="56" s="1"/>
  <c r="O34" i="52"/>
  <c r="S34" i="52" s="1"/>
  <c r="O32" i="61"/>
  <c r="S32" i="61" s="1"/>
  <c r="O65" i="52"/>
  <c r="S65" i="52" s="1"/>
  <c r="O53" i="56"/>
  <c r="S53" i="56" s="1"/>
  <c r="O53" i="55"/>
  <c r="S53" i="55" s="1"/>
  <c r="O52" i="60"/>
  <c r="S52" i="60" s="1"/>
  <c r="O52" i="59"/>
  <c r="S52" i="59" s="1"/>
  <c r="O66" i="52"/>
  <c r="S66" i="52" s="1"/>
  <c r="O66" i="53"/>
  <c r="S66" i="53" s="1"/>
  <c r="O69" i="60"/>
  <c r="S69" i="60" s="1"/>
  <c r="O69" i="59"/>
  <c r="S69" i="59" s="1"/>
  <c r="O57" i="60"/>
  <c r="S57" i="60" s="1"/>
  <c r="O57" i="61"/>
  <c r="S57" i="61" s="1"/>
  <c r="O27" i="55"/>
  <c r="S27" i="55" s="1"/>
  <c r="O27" i="56"/>
  <c r="S27" i="56" s="1"/>
  <c r="O47" i="54"/>
  <c r="S47" i="54" s="1"/>
  <c r="O47" i="53"/>
  <c r="S47" i="53" s="1"/>
  <c r="O68" i="55"/>
  <c r="S68" i="55" s="1"/>
  <c r="O68" i="54"/>
  <c r="S68" i="54" s="1"/>
  <c r="O43" i="59"/>
  <c r="S43" i="59" s="1"/>
  <c r="O43" i="58"/>
  <c r="S43" i="58" s="1"/>
  <c r="O16" i="60"/>
  <c r="S16" i="60" s="1"/>
  <c r="O16" i="59"/>
  <c r="S16" i="59" s="1"/>
  <c r="O42" i="61"/>
  <c r="S42" i="61" s="1"/>
  <c r="O42" i="60"/>
  <c r="S42" i="60" s="1"/>
  <c r="O41" i="60"/>
  <c r="S41" i="60" s="1"/>
  <c r="O41" i="59"/>
  <c r="S41" i="59" s="1"/>
  <c r="O49" i="60"/>
  <c r="S49" i="60" s="1"/>
  <c r="O7" i="52"/>
  <c r="S7" i="52" s="1"/>
  <c r="O66" i="60"/>
  <c r="S66" i="60" s="1"/>
  <c r="O66" i="59"/>
  <c r="S66" i="59" s="1"/>
  <c r="O32" i="54"/>
  <c r="S32" i="54" s="1"/>
  <c r="O61" i="59"/>
  <c r="S61" i="59" s="1"/>
  <c r="O61" i="60"/>
  <c r="S61" i="60" s="1"/>
  <c r="O28" i="53"/>
  <c r="S28" i="53" s="1"/>
  <c r="O28" i="52"/>
  <c r="S28" i="52" s="1"/>
  <c r="O46" i="60"/>
  <c r="S46" i="60" s="1"/>
  <c r="O46" i="59"/>
  <c r="S46" i="59" s="1"/>
  <c r="O52" i="52"/>
  <c r="S52" i="52" s="1"/>
  <c r="O52" i="53"/>
  <c r="S52" i="53" s="1"/>
  <c r="O64" i="56"/>
  <c r="S64" i="56" s="1"/>
  <c r="O64" i="55"/>
  <c r="S64" i="55" s="1"/>
  <c r="O60" i="59"/>
  <c r="S60" i="59" s="1"/>
  <c r="O49" i="54"/>
  <c r="S49" i="54" s="1"/>
  <c r="O49" i="53"/>
  <c r="S49" i="53" s="1"/>
  <c r="O69" i="54"/>
  <c r="S69" i="54" s="1"/>
  <c r="O69" i="53"/>
  <c r="S69" i="53" s="1"/>
  <c r="O34" i="59"/>
  <c r="S34" i="59" s="1"/>
  <c r="O34" i="58"/>
  <c r="S34" i="58" s="1"/>
  <c r="O31" i="58"/>
  <c r="S31" i="58" s="1"/>
  <c r="O31" i="59"/>
  <c r="S31" i="59" s="1"/>
  <c r="O51" i="60"/>
  <c r="S51" i="60" s="1"/>
  <c r="O29" i="60"/>
  <c r="S29" i="60" s="1"/>
  <c r="O36" i="60"/>
  <c r="S36" i="60" s="1"/>
  <c r="O36" i="59"/>
  <c r="S36" i="59" s="1"/>
  <c r="O25" i="60"/>
  <c r="S25" i="60" s="1"/>
  <c r="O25" i="59"/>
  <c r="S25" i="59" s="1"/>
  <c r="O28" i="61"/>
  <c r="S28" i="61" s="1"/>
  <c r="O28" i="60"/>
  <c r="S28" i="60" s="1"/>
  <c r="O20" i="61"/>
  <c r="S20" i="61" s="1"/>
  <c r="O20" i="60"/>
  <c r="S20" i="60" s="1"/>
  <c r="O62" i="59"/>
  <c r="S62" i="59" s="1"/>
  <c r="O62" i="60"/>
  <c r="S62" i="60" s="1"/>
  <c r="O67" i="52"/>
  <c r="S67" i="52" s="1"/>
  <c r="O67" i="53"/>
  <c r="S67" i="53" s="1"/>
  <c r="O24" i="56"/>
  <c r="S24" i="56" s="1"/>
  <c r="O24" i="55"/>
  <c r="S24" i="55" s="1"/>
  <c r="O44" i="53"/>
  <c r="S44" i="53" s="1"/>
  <c r="O44" i="52"/>
  <c r="S44" i="52" s="1"/>
  <c r="O68" i="59"/>
  <c r="S68" i="59" s="1"/>
  <c r="O68" i="60"/>
  <c r="S68" i="60" s="1"/>
  <c r="O33" i="61"/>
  <c r="S33" i="61" s="1"/>
  <c r="O33" i="60"/>
  <c r="S33" i="60" s="1"/>
  <c r="O27" i="54"/>
  <c r="S27" i="54" s="1"/>
  <c r="O27" i="53"/>
  <c r="S27" i="53" s="1"/>
  <c r="O55" i="55"/>
  <c r="S55" i="55" s="1"/>
  <c r="O55" i="54"/>
  <c r="S55" i="54" s="1"/>
  <c r="O34" i="54"/>
  <c r="S34" i="54" s="1"/>
  <c r="O34" i="53"/>
  <c r="S34" i="53" s="1"/>
  <c r="O13" i="52"/>
  <c r="S13" i="52" s="1"/>
  <c r="O13" i="53"/>
  <c r="S13" i="53" s="1"/>
  <c r="O22" i="53"/>
  <c r="S22" i="53" s="1"/>
  <c r="O22" i="52"/>
  <c r="S22" i="52" s="1"/>
  <c r="O19" i="55"/>
  <c r="S19" i="55" s="1"/>
  <c r="O19" i="56"/>
  <c r="S19" i="56" s="1"/>
  <c r="O36" i="56"/>
  <c r="S36" i="56" s="1"/>
  <c r="O36" i="55"/>
  <c r="S36" i="55" s="1"/>
  <c r="O46" i="56"/>
  <c r="S46" i="56" s="1"/>
  <c r="O46" i="55"/>
  <c r="S46" i="55" s="1"/>
  <c r="O39" i="56"/>
  <c r="S39" i="56" s="1"/>
  <c r="O39" i="55"/>
  <c r="S39" i="55" s="1"/>
  <c r="O51" i="55"/>
  <c r="S51" i="55" s="1"/>
  <c r="O51" i="56"/>
  <c r="S51" i="56" s="1"/>
  <c r="O26" i="55"/>
  <c r="S26" i="55" s="1"/>
  <c r="O26" i="56"/>
  <c r="S26" i="56" s="1"/>
  <c r="O41" i="54"/>
  <c r="S41" i="54" s="1"/>
  <c r="O41" i="53"/>
  <c r="S41" i="53" s="1"/>
  <c r="O55" i="58"/>
  <c r="S55" i="58" s="1"/>
  <c r="O55" i="57"/>
  <c r="S55" i="57" s="1"/>
  <c r="O20" i="57"/>
  <c r="S20" i="57" s="1"/>
  <c r="O20" i="58"/>
  <c r="S20" i="58" s="1"/>
  <c r="O53" i="53"/>
  <c r="S53" i="53" s="1"/>
  <c r="O53" i="52"/>
  <c r="S53" i="52" s="1"/>
  <c r="O61" i="52"/>
  <c r="S61" i="52" s="1"/>
  <c r="O61" i="53"/>
  <c r="S61" i="53" s="1"/>
  <c r="O45" i="53"/>
  <c r="S45" i="53" s="1"/>
  <c r="O45" i="52"/>
  <c r="S45" i="52" s="1"/>
  <c r="O9" i="54"/>
  <c r="S9" i="54" s="1"/>
  <c r="O9" i="53"/>
  <c r="S9" i="53" s="1"/>
  <c r="O61" i="55"/>
  <c r="S61" i="55" s="1"/>
  <c r="O61" i="56"/>
  <c r="S61" i="56" s="1"/>
  <c r="O30" i="56"/>
  <c r="S30" i="56" s="1"/>
  <c r="O30" i="55"/>
  <c r="S30" i="55" s="1"/>
  <c r="O21" i="56"/>
  <c r="S21" i="56" s="1"/>
  <c r="O21" i="55"/>
  <c r="S21" i="55" s="1"/>
  <c r="O36" i="54"/>
  <c r="S36" i="54" s="1"/>
  <c r="O36" i="53"/>
  <c r="S36" i="53" s="1"/>
  <c r="O29" i="52"/>
  <c r="S29" i="52" s="1"/>
  <c r="O17" i="59"/>
  <c r="S17" i="59" s="1"/>
  <c r="O17" i="58"/>
  <c r="S17" i="58" s="1"/>
  <c r="O22" i="59"/>
  <c r="S22" i="59" s="1"/>
  <c r="O22" i="58"/>
  <c r="S22" i="58" s="1"/>
  <c r="O65" i="61"/>
  <c r="S65" i="61" s="1"/>
  <c r="O65" i="60"/>
  <c r="S65" i="60" s="1"/>
  <c r="O32" i="57"/>
  <c r="S32" i="57" s="1"/>
  <c r="O50" i="53"/>
  <c r="S50" i="53" s="1"/>
  <c r="O38" i="53"/>
  <c r="S38" i="53" s="1"/>
  <c r="O35" i="59"/>
  <c r="S35" i="59" s="1"/>
  <c r="O35" i="58"/>
  <c r="S35" i="58" s="1"/>
  <c r="O45" i="59"/>
  <c r="S45" i="59" s="1"/>
  <c r="O45" i="58"/>
  <c r="S45" i="58" s="1"/>
  <c r="O20" i="55"/>
  <c r="S20" i="55" s="1"/>
  <c r="O59" i="59"/>
  <c r="S59" i="59" s="1"/>
  <c r="O42" i="58"/>
  <c r="S42" i="58" s="1"/>
  <c r="O61" i="58"/>
  <c r="S61" i="58" s="1"/>
  <c r="O37" i="58"/>
  <c r="S37" i="58" s="1"/>
  <c r="O37" i="57"/>
  <c r="S37" i="57" s="1"/>
  <c r="O48" i="57"/>
  <c r="S48" i="57" s="1"/>
  <c r="O48" i="58"/>
  <c r="S48" i="58" s="1"/>
  <c r="O27" i="60"/>
  <c r="S27" i="60" s="1"/>
  <c r="O27" i="61"/>
  <c r="S27" i="61" s="1"/>
  <c r="O60" i="61"/>
  <c r="S60" i="61" s="1"/>
  <c r="O52" i="54"/>
  <c r="S52" i="54" s="1"/>
  <c r="O9" i="52"/>
  <c r="S9" i="52" s="1"/>
  <c r="O48" i="54"/>
  <c r="S48" i="54" s="1"/>
  <c r="O31" i="54"/>
  <c r="S31" i="54" s="1"/>
  <c r="O49" i="59"/>
  <c r="S49" i="59" s="1"/>
  <c r="O29" i="59"/>
  <c r="S29" i="59" s="1"/>
  <c r="O53" i="59"/>
  <c r="S53" i="59" s="1"/>
  <c r="O57" i="58"/>
  <c r="S57" i="58" s="1"/>
  <c r="O51" i="58"/>
  <c r="S51" i="58" s="1"/>
  <c r="O39" i="61"/>
  <c r="S39" i="61" s="1"/>
  <c r="O45" i="61"/>
  <c r="S45" i="61" s="1"/>
  <c r="O56" i="55"/>
  <c r="S56" i="55" s="1"/>
  <c r="O61" i="57"/>
  <c r="S61" i="57" s="1"/>
  <c r="O63" i="56"/>
  <c r="S63" i="56" s="1"/>
  <c r="O39" i="60"/>
  <c r="S39" i="60" s="1"/>
  <c r="T2" i="58" l="1"/>
  <c r="T2" i="57"/>
  <c r="T2" i="55"/>
  <c r="T43" i="55" s="1"/>
  <c r="T2" i="53"/>
  <c r="T23" i="53" s="1"/>
  <c r="T2" i="60"/>
  <c r="T18" i="60" s="1"/>
  <c r="T39" i="53"/>
  <c r="T60" i="53"/>
  <c r="T51" i="53"/>
  <c r="T6" i="53"/>
  <c r="T56" i="53"/>
  <c r="T46" i="53"/>
  <c r="D4" i="50"/>
  <c r="T10" i="53"/>
  <c r="T16" i="53"/>
  <c r="T43" i="53"/>
  <c r="T25" i="53"/>
  <c r="T62" i="53"/>
  <c r="T8" i="53"/>
  <c r="T35" i="53"/>
  <c r="T31" i="53"/>
  <c r="T17" i="53"/>
  <c r="T64" i="53"/>
  <c r="T68" i="53"/>
  <c r="T63" i="53"/>
  <c r="T58" i="53"/>
  <c r="T57" i="53"/>
  <c r="T7" i="53"/>
  <c r="T48" i="55"/>
  <c r="T25" i="55"/>
  <c r="T14" i="55"/>
  <c r="T50" i="55"/>
  <c r="T54" i="55"/>
  <c r="T47" i="55"/>
  <c r="T17" i="55"/>
  <c r="T28" i="55"/>
  <c r="T18" i="55"/>
  <c r="T59" i="55"/>
  <c r="T60" i="55"/>
  <c r="T31" i="55"/>
  <c r="T65" i="55"/>
  <c r="T9" i="55"/>
  <c r="T66" i="55"/>
  <c r="T22" i="55"/>
  <c r="T11" i="55"/>
  <c r="T67" i="55"/>
  <c r="T40" i="55"/>
  <c r="T42" i="55"/>
  <c r="T10" i="55"/>
  <c r="T34" i="55"/>
  <c r="T38" i="55"/>
  <c r="T62" i="55"/>
  <c r="T16" i="55"/>
  <c r="T44" i="55"/>
  <c r="T57" i="55"/>
  <c r="T52" i="55"/>
  <c r="T15" i="55"/>
  <c r="T33" i="55"/>
  <c r="T12" i="55"/>
  <c r="T37" i="55"/>
  <c r="T29" i="55"/>
  <c r="T13" i="55"/>
  <c r="T63" i="55"/>
  <c r="T53" i="58"/>
  <c r="T29" i="58"/>
  <c r="T65" i="58"/>
  <c r="T11" i="58"/>
  <c r="T14" i="58"/>
  <c r="T19" i="58"/>
  <c r="T44" i="58"/>
  <c r="D9" i="50"/>
  <c r="T47" i="58"/>
  <c r="T32" i="58"/>
  <c r="T60" i="58"/>
  <c r="T24" i="58"/>
  <c r="T58" i="58"/>
  <c r="T46" i="58"/>
  <c r="T39" i="58"/>
  <c r="T52" i="58"/>
  <c r="T49" i="58"/>
  <c r="T67" i="58"/>
  <c r="T63" i="58"/>
  <c r="T69" i="58"/>
  <c r="T33" i="58"/>
  <c r="T68" i="58"/>
  <c r="T23" i="58"/>
  <c r="T13" i="58"/>
  <c r="T16" i="58"/>
  <c r="T40" i="58"/>
  <c r="T56" i="58"/>
  <c r="T62" i="58"/>
  <c r="T18" i="58"/>
  <c r="T12" i="58"/>
  <c r="T59" i="58"/>
  <c r="T28" i="58"/>
  <c r="T25" i="58"/>
  <c r="T41" i="58"/>
  <c r="T30" i="58"/>
  <c r="T15" i="58"/>
  <c r="T21" i="58"/>
  <c r="T64" i="58"/>
  <c r="T26" i="58"/>
  <c r="T36" i="58"/>
  <c r="T27" i="58"/>
  <c r="T50" i="58"/>
  <c r="T38" i="58"/>
  <c r="T66" i="58"/>
  <c r="T54" i="58"/>
  <c r="T65" i="57"/>
  <c r="D8" i="50"/>
  <c r="T60" i="57"/>
  <c r="T24" i="57"/>
  <c r="T63" i="57"/>
  <c r="T69" i="57"/>
  <c r="T18" i="57"/>
  <c r="T54" i="57"/>
  <c r="T68" i="57"/>
  <c r="T58" i="57"/>
  <c r="T28" i="57"/>
  <c r="T26" i="57"/>
  <c r="T62" i="57"/>
  <c r="T43" i="57"/>
  <c r="T31" i="57"/>
  <c r="T11" i="57"/>
  <c r="T42" i="57"/>
  <c r="T51" i="57"/>
  <c r="T22" i="57"/>
  <c r="T47" i="57"/>
  <c r="T52" i="57"/>
  <c r="T21" i="57"/>
  <c r="T29" i="57"/>
  <c r="T30" i="57"/>
  <c r="T40" i="57"/>
  <c r="T59" i="57"/>
  <c r="T41" i="57"/>
  <c r="T56" i="57"/>
  <c r="T19" i="57"/>
  <c r="T44" i="57"/>
  <c r="T15" i="57"/>
  <c r="T10" i="57"/>
  <c r="T17" i="57"/>
  <c r="T34" i="57"/>
  <c r="T38" i="57"/>
  <c r="T14" i="57"/>
  <c r="T23" i="57"/>
  <c r="T33" i="57"/>
  <c r="T46" i="57"/>
  <c r="T25" i="57"/>
  <c r="T16" i="57"/>
  <c r="T39" i="57"/>
  <c r="T50" i="57"/>
  <c r="T53" i="57"/>
  <c r="T67" i="57"/>
  <c r="T35" i="57"/>
  <c r="T57" i="57"/>
  <c r="T13" i="57"/>
  <c r="T64" i="57"/>
  <c r="T36" i="57"/>
  <c r="T66" i="57"/>
  <c r="T12" i="57"/>
  <c r="T27" i="57"/>
  <c r="T49" i="57"/>
  <c r="T45" i="57"/>
  <c r="T37" i="57"/>
  <c r="T35" i="58"/>
  <c r="T32" i="57"/>
  <c r="T55" i="57"/>
  <c r="T41" i="53"/>
  <c r="T46" i="55"/>
  <c r="T13" i="53"/>
  <c r="T44" i="53"/>
  <c r="T67" i="53"/>
  <c r="T31" i="58"/>
  <c r="T43" i="58"/>
  <c r="T37" i="58"/>
  <c r="T20" i="55"/>
  <c r="T17" i="58"/>
  <c r="T21" i="55"/>
  <c r="T55" i="58"/>
  <c r="T51" i="55"/>
  <c r="T19" i="55"/>
  <c r="T55" i="55"/>
  <c r="T27" i="53"/>
  <c r="T34" i="58"/>
  <c r="T49" i="53"/>
  <c r="T2" i="61"/>
  <c r="T68" i="55"/>
  <c r="T2" i="54"/>
  <c r="T48" i="54" s="1"/>
  <c r="T61" i="57"/>
  <c r="T51" i="58"/>
  <c r="T48" i="58"/>
  <c r="T61" i="58"/>
  <c r="T45" i="58"/>
  <c r="T38" i="53"/>
  <c r="T61" i="55"/>
  <c r="T45" i="53"/>
  <c r="T53" i="53"/>
  <c r="T20" i="58"/>
  <c r="T39" i="55"/>
  <c r="T36" i="55"/>
  <c r="T34" i="53"/>
  <c r="T24" i="55"/>
  <c r="T64" i="55"/>
  <c r="T52" i="53"/>
  <c r="T2" i="59"/>
  <c r="T46" i="59" s="1"/>
  <c r="T47" i="53"/>
  <c r="T66" i="53"/>
  <c r="T56" i="55"/>
  <c r="T57" i="58"/>
  <c r="T48" i="57"/>
  <c r="T42" i="58"/>
  <c r="T50" i="53"/>
  <c r="T22" i="58"/>
  <c r="T36" i="53"/>
  <c r="T30" i="55"/>
  <c r="T9" i="53"/>
  <c r="T61" i="53"/>
  <c r="T20" i="57"/>
  <c r="T26" i="55"/>
  <c r="T22" i="53"/>
  <c r="T69" i="53"/>
  <c r="T28" i="53"/>
  <c r="T2" i="56"/>
  <c r="T19" i="56" s="1"/>
  <c r="T27" i="55"/>
  <c r="T53" i="55"/>
  <c r="T2" i="52"/>
  <c r="T33" i="60" l="1"/>
  <c r="T65" i="60"/>
  <c r="T36" i="60"/>
  <c r="T55" i="60"/>
  <c r="T34" i="60"/>
  <c r="T30" i="60"/>
  <c r="T58" i="60"/>
  <c r="T63" i="60"/>
  <c r="T50" i="60"/>
  <c r="T14" i="60"/>
  <c r="T67" i="60"/>
  <c r="T31" i="60"/>
  <c r="T49" i="60"/>
  <c r="T20" i="60"/>
  <c r="T57" i="60"/>
  <c r="T28" i="60"/>
  <c r="T69" i="60"/>
  <c r="T68" i="60"/>
  <c r="T27" i="60"/>
  <c r="T39" i="60"/>
  <c r="T60" i="60"/>
  <c r="T15" i="60"/>
  <c r="T24" i="60"/>
  <c r="T43" i="60"/>
  <c r="T52" i="60"/>
  <c r="T51" i="60"/>
  <c r="T41" i="60"/>
  <c r="T42" i="60"/>
  <c r="T62" i="60"/>
  <c r="T40" i="60"/>
  <c r="T32" i="60"/>
  <c r="T37" i="60"/>
  <c r="T21" i="60"/>
  <c r="T35" i="60"/>
  <c r="T45" i="60"/>
  <c r="T26" i="60"/>
  <c r="T19" i="60"/>
  <c r="T64" i="60"/>
  <c r="T12" i="53"/>
  <c r="T30" i="53"/>
  <c r="T33" i="53"/>
  <c r="T59" i="53"/>
  <c r="T40" i="53"/>
  <c r="T26" i="53"/>
  <c r="T21" i="53"/>
  <c r="T37" i="53"/>
  <c r="T14" i="53"/>
  <c r="T11" i="53"/>
  <c r="T42" i="53"/>
  <c r="T48" i="60"/>
  <c r="T59" i="60"/>
  <c r="T53" i="60"/>
  <c r="T54" i="60"/>
  <c r="D11" i="50"/>
  <c r="T16" i="60"/>
  <c r="T66" i="60"/>
  <c r="T25" i="60"/>
  <c r="T46" i="60"/>
  <c r="T29" i="60"/>
  <c r="T61" i="60"/>
  <c r="T32" i="55"/>
  <c r="T49" i="55"/>
  <c r="T58" i="55"/>
  <c r="T35" i="55"/>
  <c r="T23" i="55"/>
  <c r="T41" i="55"/>
  <c r="T45" i="55"/>
  <c r="T8" i="55"/>
  <c r="T69" i="55"/>
  <c r="D6" i="50"/>
  <c r="T38" i="60"/>
  <c r="T44" i="60"/>
  <c r="T56" i="60"/>
  <c r="T22" i="60"/>
  <c r="T17" i="60"/>
  <c r="T47" i="60"/>
  <c r="T23" i="60"/>
  <c r="T13" i="60"/>
  <c r="T54" i="53"/>
  <c r="T65" i="53"/>
  <c r="T32" i="53"/>
  <c r="T24" i="53"/>
  <c r="T55" i="53"/>
  <c r="T20" i="53"/>
  <c r="T29" i="53"/>
  <c r="T48" i="53"/>
  <c r="T18" i="53"/>
  <c r="T19" i="53"/>
  <c r="T15" i="53"/>
  <c r="T5" i="52"/>
  <c r="T60" i="52"/>
  <c r="T54" i="52"/>
  <c r="T41" i="52"/>
  <c r="T55" i="52"/>
  <c r="T40" i="52"/>
  <c r="T18" i="52"/>
  <c r="T56" i="52"/>
  <c r="T37" i="52"/>
  <c r="T64" i="52"/>
  <c r="T43" i="52"/>
  <c r="T39" i="52"/>
  <c r="T27" i="52"/>
  <c r="T33" i="52"/>
  <c r="T51" i="52"/>
  <c r="T58" i="52"/>
  <c r="T31" i="52"/>
  <c r="T26" i="52"/>
  <c r="T38" i="52"/>
  <c r="T48" i="52"/>
  <c r="T36" i="52"/>
  <c r="D3" i="50"/>
  <c r="T68" i="52"/>
  <c r="T16" i="52"/>
  <c r="T14" i="52"/>
  <c r="T63" i="52"/>
  <c r="T25" i="52"/>
  <c r="T17" i="52"/>
  <c r="T8" i="52"/>
  <c r="T42" i="52"/>
  <c r="T6" i="52"/>
  <c r="T62" i="52"/>
  <c r="T21" i="52"/>
  <c r="T46" i="52"/>
  <c r="T49" i="52"/>
  <c r="T15" i="52"/>
  <c r="T69" i="52"/>
  <c r="T12" i="52"/>
  <c r="T11" i="52"/>
  <c r="T47" i="52"/>
  <c r="T57" i="52"/>
  <c r="T35" i="52"/>
  <c r="T20" i="52"/>
  <c r="T24" i="52"/>
  <c r="T30" i="52"/>
  <c r="T50" i="52"/>
  <c r="T10" i="52"/>
  <c r="T34" i="52"/>
  <c r="T59" i="52"/>
  <c r="T19" i="52"/>
  <c r="T32" i="52"/>
  <c r="T23" i="52"/>
  <c r="T47" i="54"/>
  <c r="T45" i="59"/>
  <c r="T31" i="54"/>
  <c r="T35" i="61"/>
  <c r="T14" i="61"/>
  <c r="T18" i="61"/>
  <c r="T31" i="61"/>
  <c r="T21" i="61"/>
  <c r="T38" i="61"/>
  <c r="T34" i="61"/>
  <c r="T61" i="61"/>
  <c r="T22" i="61"/>
  <c r="T19" i="61"/>
  <c r="T37" i="61"/>
  <c r="T16" i="61"/>
  <c r="T48" i="61"/>
  <c r="T25" i="61"/>
  <c r="T56" i="61"/>
  <c r="T62" i="61"/>
  <c r="T30" i="61"/>
  <c r="T64" i="61"/>
  <c r="D12" i="50"/>
  <c r="T69" i="61"/>
  <c r="T50" i="61"/>
  <c r="T53" i="61"/>
  <c r="T46" i="61"/>
  <c r="T41" i="61"/>
  <c r="T26" i="61"/>
  <c r="T49" i="61"/>
  <c r="T67" i="61"/>
  <c r="T59" i="61"/>
  <c r="T63" i="61"/>
  <c r="T66" i="61"/>
  <c r="T44" i="61"/>
  <c r="T29" i="61"/>
  <c r="T54" i="61"/>
  <c r="T36" i="61"/>
  <c r="T52" i="61"/>
  <c r="T15" i="61"/>
  <c r="T23" i="61"/>
  <c r="T51" i="61"/>
  <c r="T17" i="61"/>
  <c r="T55" i="61"/>
  <c r="T40" i="61"/>
  <c r="T58" i="61"/>
  <c r="T47" i="61"/>
  <c r="T24" i="61"/>
  <c r="T68" i="61"/>
  <c r="T43" i="61"/>
  <c r="T25" i="59"/>
  <c r="T29" i="59"/>
  <c r="T53" i="56"/>
  <c r="T20" i="61"/>
  <c r="T55" i="54"/>
  <c r="T51" i="56"/>
  <c r="T9" i="54"/>
  <c r="T27" i="61"/>
  <c r="S70" i="57"/>
  <c r="F11" i="50"/>
  <c r="L11" i="50"/>
  <c r="M11" i="50" s="1"/>
  <c r="S70" i="53"/>
  <c r="D10" i="50"/>
  <c r="T21" i="59"/>
  <c r="T55" i="59"/>
  <c r="T39" i="59"/>
  <c r="T23" i="59"/>
  <c r="T30" i="59"/>
  <c r="T33" i="59"/>
  <c r="T42" i="59"/>
  <c r="T15" i="59"/>
  <c r="T51" i="59"/>
  <c r="T13" i="59"/>
  <c r="T27" i="59"/>
  <c r="T24" i="59"/>
  <c r="T18" i="59"/>
  <c r="T19" i="59"/>
  <c r="T14" i="59"/>
  <c r="T47" i="59"/>
  <c r="T20" i="59"/>
  <c r="T57" i="59"/>
  <c r="T28" i="59"/>
  <c r="T12" i="59"/>
  <c r="T65" i="59"/>
  <c r="T38" i="59"/>
  <c r="T48" i="59"/>
  <c r="T58" i="59"/>
  <c r="T32" i="59"/>
  <c r="T64" i="59"/>
  <c r="T56" i="59"/>
  <c r="T44" i="59"/>
  <c r="T63" i="59"/>
  <c r="T26" i="59"/>
  <c r="T67" i="59"/>
  <c r="T50" i="59"/>
  <c r="T54" i="59"/>
  <c r="T40" i="59"/>
  <c r="T37" i="59"/>
  <c r="T28" i="52"/>
  <c r="T34" i="59"/>
  <c r="T26" i="56"/>
  <c r="T52" i="54"/>
  <c r="T57" i="61"/>
  <c r="T52" i="52"/>
  <c r="T31" i="59"/>
  <c r="T24" i="56"/>
  <c r="T36" i="56"/>
  <c r="T29" i="52"/>
  <c r="T16" i="59"/>
  <c r="T68" i="59"/>
  <c r="T22" i="52"/>
  <c r="T21" i="56"/>
  <c r="T49" i="59"/>
  <c r="T65" i="52"/>
  <c r="T66" i="59"/>
  <c r="T62" i="59"/>
  <c r="T46" i="56"/>
  <c r="T53" i="52"/>
  <c r="T39" i="61"/>
  <c r="T69" i="59"/>
  <c r="T41" i="59"/>
  <c r="T69" i="54"/>
  <c r="T30" i="56"/>
  <c r="R9" i="50"/>
  <c r="S9" i="50" s="1"/>
  <c r="F9" i="50"/>
  <c r="R10" i="50"/>
  <c r="S10" i="50" s="1"/>
  <c r="S70" i="58"/>
  <c r="O4" i="50"/>
  <c r="P4" i="50" s="1"/>
  <c r="F4" i="50"/>
  <c r="T10" i="54"/>
  <c r="T7" i="54"/>
  <c r="T21" i="54"/>
  <c r="T57" i="54"/>
  <c r="T38" i="54"/>
  <c r="T63" i="54"/>
  <c r="T43" i="54"/>
  <c r="T24" i="54"/>
  <c r="T13" i="54"/>
  <c r="T19" i="54"/>
  <c r="T59" i="54"/>
  <c r="T56" i="54"/>
  <c r="T64" i="54"/>
  <c r="T15" i="54"/>
  <c r="T29" i="54"/>
  <c r="T22" i="54"/>
  <c r="T25" i="54"/>
  <c r="T61" i="54"/>
  <c r="T16" i="54"/>
  <c r="T28" i="54"/>
  <c r="T60" i="54"/>
  <c r="T45" i="54"/>
  <c r="T20" i="54"/>
  <c r="T67" i="54"/>
  <c r="T14" i="54"/>
  <c r="D5" i="50"/>
  <c r="T11" i="54"/>
  <c r="T40" i="54"/>
  <c r="T44" i="54"/>
  <c r="T50" i="54"/>
  <c r="T65" i="54"/>
  <c r="T26" i="54"/>
  <c r="T17" i="54"/>
  <c r="T35" i="54"/>
  <c r="T46" i="54"/>
  <c r="T33" i="54"/>
  <c r="T39" i="54"/>
  <c r="T30" i="54"/>
  <c r="T18" i="54"/>
  <c r="T42" i="54"/>
  <c r="T12" i="54"/>
  <c r="T53" i="54"/>
  <c r="T8" i="54"/>
  <c r="T37" i="54"/>
  <c r="T54" i="54"/>
  <c r="T23" i="54"/>
  <c r="T51" i="54"/>
  <c r="T62" i="54"/>
  <c r="T58" i="54"/>
  <c r="T66" i="54"/>
  <c r="T66" i="52"/>
  <c r="T64" i="56"/>
  <c r="T36" i="59"/>
  <c r="T44" i="52"/>
  <c r="T39" i="56"/>
  <c r="T27" i="56"/>
  <c r="T33" i="61"/>
  <c r="T17" i="59"/>
  <c r="T52" i="59"/>
  <c r="T43" i="59"/>
  <c r="T61" i="59"/>
  <c r="T67" i="52"/>
  <c r="T45" i="52"/>
  <c r="T63" i="56"/>
  <c r="T68" i="54"/>
  <c r="T7" i="52"/>
  <c r="T36" i="54"/>
  <c r="T59" i="59"/>
  <c r="T53" i="59"/>
  <c r="O9" i="50"/>
  <c r="P9" i="50" s="1"/>
  <c r="O8" i="50"/>
  <c r="P8" i="50" s="1"/>
  <c r="O10" i="50"/>
  <c r="P10" i="50" s="1"/>
  <c r="F8" i="50"/>
  <c r="T45" i="56"/>
  <c r="D7" i="50"/>
  <c r="T69" i="56"/>
  <c r="T12" i="56"/>
  <c r="T17" i="56"/>
  <c r="T15" i="56"/>
  <c r="T66" i="56"/>
  <c r="T60" i="56"/>
  <c r="T9" i="56"/>
  <c r="T38" i="56"/>
  <c r="T33" i="56"/>
  <c r="T56" i="56"/>
  <c r="T34" i="56"/>
  <c r="T18" i="56"/>
  <c r="T47" i="56"/>
  <c r="T13" i="56"/>
  <c r="T11" i="56"/>
  <c r="T25" i="56"/>
  <c r="T55" i="56"/>
  <c r="T23" i="56"/>
  <c r="T65" i="56"/>
  <c r="T40" i="56"/>
  <c r="T20" i="56"/>
  <c r="T31" i="56"/>
  <c r="T42" i="56"/>
  <c r="T48" i="56"/>
  <c r="T59" i="56"/>
  <c r="T68" i="56"/>
  <c r="T43" i="56"/>
  <c r="T57" i="56"/>
  <c r="T50" i="56"/>
  <c r="T52" i="56"/>
  <c r="T32" i="56"/>
  <c r="T16" i="56"/>
  <c r="T58" i="56"/>
  <c r="T54" i="56"/>
  <c r="T10" i="56"/>
  <c r="T49" i="56"/>
  <c r="T29" i="56"/>
  <c r="T41" i="56"/>
  <c r="T35" i="56"/>
  <c r="T28" i="56"/>
  <c r="T37" i="56"/>
  <c r="T62" i="56"/>
  <c r="T67" i="56"/>
  <c r="T44" i="56"/>
  <c r="T14" i="56"/>
  <c r="T22" i="56"/>
  <c r="T60" i="59"/>
  <c r="T28" i="61"/>
  <c r="T34" i="54"/>
  <c r="T60" i="61"/>
  <c r="T32" i="54"/>
  <c r="T49" i="54"/>
  <c r="T27" i="54"/>
  <c r="T65" i="61"/>
  <c r="T42" i="61"/>
  <c r="T13" i="52"/>
  <c r="T41" i="54"/>
  <c r="T61" i="56"/>
  <c r="T35" i="59"/>
  <c r="T9" i="52"/>
  <c r="T32" i="61"/>
  <c r="T61" i="52"/>
  <c r="T22" i="59"/>
  <c r="T45" i="61"/>
  <c r="S70" i="55"/>
  <c r="U6" i="50"/>
  <c r="V6" i="50" s="1"/>
  <c r="G6" i="50" s="1"/>
  <c r="F6" i="50"/>
  <c r="S70" i="60"/>
  <c r="R6" i="50" l="1"/>
  <c r="S6" i="50" s="1"/>
  <c r="R5" i="50"/>
  <c r="S5" i="50" s="1"/>
  <c r="F5" i="50"/>
  <c r="O6" i="50"/>
  <c r="P6" i="50" s="1"/>
  <c r="O5" i="50"/>
  <c r="P5" i="50" s="1"/>
  <c r="G4" i="50" s="1"/>
  <c r="G9" i="50"/>
  <c r="S70" i="59"/>
  <c r="U10" i="50"/>
  <c r="V10" i="50" s="1"/>
  <c r="G10" i="50" s="1"/>
  <c r="F10" i="50"/>
  <c r="L9" i="50"/>
  <c r="M9" i="50" s="1"/>
  <c r="F7" i="50"/>
  <c r="L8" i="50"/>
  <c r="M8" i="50" s="1"/>
  <c r="L7" i="50"/>
  <c r="M7" i="50" s="1"/>
  <c r="L10" i="50"/>
  <c r="M10" i="50" s="1"/>
  <c r="F12" i="50"/>
  <c r="O12" i="50"/>
  <c r="P12" i="50" s="1"/>
  <c r="G12" i="50" s="1"/>
  <c r="F3" i="50"/>
  <c r="L5" i="50"/>
  <c r="M5" i="50" s="1"/>
  <c r="L6" i="50"/>
  <c r="M6" i="50" s="1"/>
  <c r="L3" i="50"/>
  <c r="M3" i="50" s="1"/>
  <c r="L4" i="50"/>
  <c r="M4" i="50" s="1"/>
  <c r="G8" i="50"/>
  <c r="S70" i="56"/>
  <c r="S70" i="54"/>
  <c r="L12" i="50"/>
  <c r="M12" i="50" s="1"/>
  <c r="G11" i="50" s="1"/>
  <c r="S70" i="61"/>
  <c r="S70" i="52"/>
  <c r="G5" i="50" l="1"/>
  <c r="G3" i="50"/>
  <c r="G7" i="50"/>
</calcChain>
</file>

<file path=xl/sharedStrings.xml><?xml version="1.0" encoding="utf-8"?>
<sst xmlns="http://schemas.openxmlformats.org/spreadsheetml/2006/main" count="416" uniqueCount="61">
  <si>
    <t>Age</t>
  </si>
  <si>
    <t>Experience Adjustment</t>
  </si>
  <si>
    <t>Expected Pretax Income</t>
  </si>
  <si>
    <t>Experience Premium</t>
  </si>
  <si>
    <t>Experience Normalization</t>
  </si>
  <si>
    <t>Years of Education</t>
  </si>
  <si>
    <t>Expected Compensation</t>
  </si>
  <si>
    <t>Tuition</t>
  </si>
  <si>
    <t>Completion Probability</t>
  </si>
  <si>
    <t>Unemployment Probability</t>
  </si>
  <si>
    <t>2011 Tax Table, standard deduction 5800, personal exemption 3700, 10% state taxes &amp; local taxes, FICA, $300/week unemployment benefit</t>
  </si>
  <si>
    <t>Start Age</t>
  </si>
  <si>
    <t xml:space="preserve">Taxable Income </t>
  </si>
  <si>
    <t>Return to Education</t>
  </si>
  <si>
    <t>Expected Value</t>
  </si>
  <si>
    <t>Expected Present Value</t>
  </si>
  <si>
    <t>Years of Experience</t>
  </si>
  <si>
    <t>School Happiness</t>
  </si>
  <si>
    <t xml:space="preserve">Expected After-Tax Income </t>
  </si>
  <si>
    <t xml:space="preserve">Expected Taxes </t>
  </si>
  <si>
    <t>Initial Unemployment</t>
  </si>
  <si>
    <t>Return Rate</t>
  </si>
  <si>
    <t>Year 1 Probability Distribution</t>
  </si>
  <si>
    <t>Year 2 Probability Distribution</t>
  </si>
  <si>
    <t>Year 3 Probability Distribution</t>
  </si>
  <si>
    <t>Year 4 Probability Distribution</t>
  </si>
  <si>
    <t>Year 1 Stopping Return</t>
  </si>
  <si>
    <t>Year 2 Stopping Return</t>
  </si>
  <si>
    <t>Year 3 Stopping Return</t>
  </si>
  <si>
    <t>Year 4 Stopping Return</t>
  </si>
  <si>
    <t>Year 1 Stopping Rate</t>
  </si>
  <si>
    <t>Year 2 Stopping Rate</t>
  </si>
  <si>
    <t>Year 3 Stopping Rate</t>
  </si>
  <si>
    <t>Year 4 Stopping Rate</t>
  </si>
  <si>
    <t>Degree Return</t>
  </si>
  <si>
    <t xml:space="preserve"> Pretax Income</t>
  </si>
  <si>
    <t>Benefits</t>
  </si>
  <si>
    <t xml:space="preserve"> Pretax Income if Employed (including student earnings)</t>
  </si>
  <si>
    <t xml:space="preserve"> Benefits if Employed</t>
  </si>
  <si>
    <t>High School Tuition</t>
  </si>
  <si>
    <t>College Tuition</t>
  </si>
  <si>
    <t>School Feelings</t>
  </si>
  <si>
    <t>Participation Rate</t>
  </si>
  <si>
    <t>Social Income</t>
  </si>
  <si>
    <t>Social Benefits</t>
  </si>
  <si>
    <t>Social Unemployment</t>
  </si>
  <si>
    <t>Social Participation</t>
  </si>
  <si>
    <t>Average Net Tax Rate</t>
  </si>
  <si>
    <t>Expected Productivity if Participating</t>
  </si>
  <si>
    <t>Participation</t>
  </si>
  <si>
    <t>Nonparticipation Transfers</t>
  </si>
  <si>
    <t>Crime Risk Factor</t>
  </si>
  <si>
    <t>Crime Risk Factor from crimeworksheet.xls</t>
  </si>
  <si>
    <t>Social Crime Cost</t>
  </si>
  <si>
    <t>Expected Crime Costs</t>
  </si>
  <si>
    <t>Enhanced Participation Benefit</t>
  </si>
  <si>
    <t>Initial Social Participation</t>
  </si>
  <si>
    <t>Social Return to Education</t>
  </si>
  <si>
    <t>Crime Reduction Benefit</t>
  </si>
  <si>
    <t>Expected Productivity Benefit</t>
  </si>
  <si>
    <t>All other variables from metasocial.xls and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</si>
</sst>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00"/>
    <numFmt numFmtId="166" formatCode="0.0000"/>
    <numFmt numFmtId="167" formatCode="0.0"/>
    <numFmt numFmtId="168" formatCode="0.0%"/>
  </numFmts>
  <fonts count="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3" fillId="0" borderId="0" applyFont="0" applyAlignment="0"/>
    <xf numFmtId="3" fontId="3" fillId="0" borderId="0"/>
    <xf numFmtId="1" fontId="3" fillId="0" borderId="0"/>
    <xf numFmtId="168" fontId="3" fillId="0" borderId="0"/>
    <xf numFmtId="164" fontId="6" fillId="0" borderId="0"/>
  </cellStyleXfs>
  <cellXfs count="32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" fontId="3" fillId="0" borderId="0" xfId="0" applyNumberFormat="1" applyFont="1"/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Border="1" applyAlignment="1">
      <alignment vertical="top" wrapText="1"/>
    </xf>
    <xf numFmtId="164" fontId="5" fillId="0" borderId="0" xfId="0" applyNumberFormat="1" applyFont="1"/>
    <xf numFmtId="2" fontId="0" fillId="0" borderId="0" xfId="0" applyNumberFormat="1"/>
    <xf numFmtId="0" fontId="3" fillId="0" borderId="0" xfId="0" applyNumberFormat="1" applyFont="1"/>
    <xf numFmtId="167" fontId="1" fillId="0" borderId="0" xfId="0" applyNumberFormat="1" applyFont="1"/>
    <xf numFmtId="0" fontId="3" fillId="0" borderId="0" xfId="0" applyNumberFormat="1" applyFont="1" applyBorder="1"/>
    <xf numFmtId="0" fontId="4" fillId="0" borderId="0" xfId="0" applyNumberFormat="1" applyFont="1" applyBorder="1" applyAlignment="1">
      <alignment vertical="top" wrapText="1"/>
    </xf>
    <xf numFmtId="1" fontId="1" fillId="0" borderId="0" xfId="0" applyNumberFormat="1" applyFont="1"/>
    <xf numFmtId="3" fontId="0" fillId="0" borderId="0" xfId="0" applyNumberFormat="1" applyAlignment="1">
      <alignment horizontal="right" vertical="center"/>
    </xf>
    <xf numFmtId="164" fontId="0" fillId="0" borderId="0" xfId="0" applyNumberFormat="1" applyFont="1"/>
    <xf numFmtId="3" fontId="3" fillId="0" borderId="0" xfId="2"/>
    <xf numFmtId="1" fontId="3" fillId="0" borderId="0" xfId="3"/>
    <xf numFmtId="0" fontId="0" fillId="0" borderId="0" xfId="0" applyAlignment="1">
      <alignment horizontal="right" vertical="center"/>
    </xf>
    <xf numFmtId="164" fontId="0" fillId="0" borderId="0" xfId="1" applyFont="1" applyAlignment="1">
      <alignment horizontal="right" vertical="center"/>
    </xf>
    <xf numFmtId="3" fontId="0" fillId="0" borderId="0" xfId="0" applyNumberFormat="1" applyFont="1"/>
    <xf numFmtId="164" fontId="3" fillId="0" borderId="0" xfId="1"/>
    <xf numFmtId="1" fontId="0" fillId="0" borderId="0" xfId="0" applyNumberFormat="1" applyFont="1"/>
    <xf numFmtId="0" fontId="0" fillId="0" borderId="0" xfId="0" applyNumberFormat="1" applyFont="1" applyBorder="1"/>
    <xf numFmtId="164" fontId="0" fillId="0" borderId="0" xfId="1" applyFont="1"/>
    <xf numFmtId="49" fontId="1" fillId="0" borderId="0" xfId="0" applyNumberFormat="1" applyFont="1"/>
    <xf numFmtId="0" fontId="7" fillId="0" borderId="0" xfId="0" applyFont="1" applyAlignment="1">
      <alignment horizontal="right" vertical="center"/>
    </xf>
  </cellXfs>
  <cellStyles count="6">
    <cellStyle name="3Decimals" xfId="1"/>
    <cellStyle name="NoDecimals" xfId="2"/>
    <cellStyle name="NoDecimalsNoComma" xfId="3"/>
    <cellStyle name="Normal" xfId="0" builtinId="0" customBuiltin="1"/>
    <cellStyle name="PercentOneDecimal" xfId="4"/>
    <cellStyle name="Style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C1" workbookViewId="0">
      <selection activeCell="R11" sqref="R11"/>
    </sheetView>
  </sheetViews>
  <sheetFormatPr defaultRowHeight="12.75" x14ac:dyDescent="0.2"/>
  <cols>
    <col min="1" max="1" width="9.140625" style="18"/>
    <col min="2" max="3" width="12.42578125" style="8" customWidth="1"/>
    <col min="4" max="7" width="9.140625" style="8"/>
    <col min="8" max="8" width="9.5703125" style="8" customWidth="1"/>
    <col min="9" max="10" width="9.140625" style="8"/>
    <col min="11" max="11" width="9.5703125" style="8" customWidth="1"/>
    <col min="12" max="12" width="9.140625" style="9"/>
    <col min="13" max="16384" width="9.140625" style="8"/>
  </cols>
  <sheetData>
    <row r="1" spans="1:24" x14ac:dyDescent="0.2">
      <c r="A1" s="18" t="s">
        <v>5</v>
      </c>
      <c r="B1" s="20" t="s">
        <v>35</v>
      </c>
      <c r="C1" s="20" t="s">
        <v>36</v>
      </c>
      <c r="D1" s="8" t="s">
        <v>9</v>
      </c>
      <c r="E1" s="8" t="s">
        <v>8</v>
      </c>
      <c r="F1" s="20" t="s">
        <v>42</v>
      </c>
      <c r="H1" s="8" t="s">
        <v>3</v>
      </c>
      <c r="I1" s="8" t="s">
        <v>4</v>
      </c>
      <c r="L1" s="9" t="s">
        <v>16</v>
      </c>
      <c r="M1" s="8" t="s">
        <v>1</v>
      </c>
      <c r="N1" s="20" t="s">
        <v>0</v>
      </c>
      <c r="O1" s="20" t="s">
        <v>51</v>
      </c>
      <c r="P1" s="8" t="s">
        <v>39</v>
      </c>
      <c r="Q1" s="8" t="s">
        <v>40</v>
      </c>
      <c r="R1" s="8" t="s">
        <v>41</v>
      </c>
      <c r="S1" s="20" t="s">
        <v>50</v>
      </c>
      <c r="T1" s="20" t="s">
        <v>43</v>
      </c>
      <c r="U1" s="20" t="s">
        <v>44</v>
      </c>
      <c r="V1" s="20" t="s">
        <v>45</v>
      </c>
      <c r="W1" s="20" t="s">
        <v>53</v>
      </c>
      <c r="X1" s="20" t="s">
        <v>46</v>
      </c>
    </row>
    <row r="2" spans="1:24" x14ac:dyDescent="0.2">
      <c r="A2" s="18">
        <v>8</v>
      </c>
      <c r="B2" s="19">
        <v>37694</v>
      </c>
      <c r="C2" s="19">
        <v>16965</v>
      </c>
      <c r="D2" s="24">
        <v>6.3E-2</v>
      </c>
      <c r="E2" s="24">
        <v>1</v>
      </c>
      <c r="F2" s="24">
        <v>0.60199999999999998</v>
      </c>
      <c r="H2" s="8">
        <v>2.5000000000000001E-2</v>
      </c>
      <c r="I2" s="10">
        <f>AVERAGE(M2:M53)</f>
        <v>2.0085479604911836</v>
      </c>
      <c r="J2" s="13"/>
      <c r="K2" s="18"/>
      <c r="L2" s="9">
        <v>0</v>
      </c>
      <c r="M2" s="8">
        <f t="shared" ref="M2:M33" si="0">(1+experiencepremium)^L2</f>
        <v>1</v>
      </c>
      <c r="N2" s="22">
        <v>14</v>
      </c>
      <c r="O2" s="31">
        <v>1.0940000000000001</v>
      </c>
      <c r="P2" s="25">
        <v>11298</v>
      </c>
      <c r="Q2" s="25">
        <v>8279</v>
      </c>
      <c r="R2" s="8">
        <v>0.28000000000000003</v>
      </c>
      <c r="S2" s="22">
        <f>4362+2192</f>
        <v>6554</v>
      </c>
      <c r="T2" s="19">
        <v>59342</v>
      </c>
      <c r="U2" s="19">
        <v>25820</v>
      </c>
      <c r="V2" s="23">
        <v>3.9E-2</v>
      </c>
      <c r="W2" s="19">
        <v>1113</v>
      </c>
      <c r="X2" s="24">
        <v>0.72799999999999998</v>
      </c>
    </row>
    <row r="3" spans="1:24" x14ac:dyDescent="0.2">
      <c r="A3" s="18">
        <v>9</v>
      </c>
      <c r="B3" s="19">
        <v>39271</v>
      </c>
      <c r="C3" s="19">
        <v>17675</v>
      </c>
      <c r="D3" s="24">
        <v>0.06</v>
      </c>
      <c r="E3" s="24">
        <v>0.98</v>
      </c>
      <c r="F3" s="24">
        <v>0.61799999999999999</v>
      </c>
      <c r="I3" s="10">
        <f>AVERAGE(M2:M52)</f>
        <v>1.978852107996969</v>
      </c>
      <c r="J3" s="13"/>
      <c r="K3" s="18"/>
      <c r="L3" s="9">
        <v>1</v>
      </c>
      <c r="M3" s="8">
        <f t="shared" si="0"/>
        <v>1.0249999999999999</v>
      </c>
      <c r="N3" s="22">
        <v>15</v>
      </c>
      <c r="O3" s="31">
        <v>1.8560000000000001</v>
      </c>
      <c r="Q3" s="15"/>
      <c r="R3" s="15"/>
      <c r="T3" s="19">
        <v>60459</v>
      </c>
      <c r="U3" s="19">
        <v>26306</v>
      </c>
      <c r="V3" s="23">
        <v>3.7999999999999999E-2</v>
      </c>
      <c r="W3" s="19">
        <v>1090</v>
      </c>
      <c r="X3" s="24">
        <v>0.73599999999999999</v>
      </c>
    </row>
    <row r="4" spans="1:24" x14ac:dyDescent="0.2">
      <c r="A4" s="18">
        <v>10</v>
      </c>
      <c r="B4" s="19">
        <v>40914</v>
      </c>
      <c r="C4" s="19">
        <v>18415</v>
      </c>
      <c r="D4" s="24">
        <v>5.7000000000000002E-2</v>
      </c>
      <c r="E4" s="24">
        <v>0.98</v>
      </c>
      <c r="F4" s="24">
        <v>0.63400000000000001</v>
      </c>
      <c r="I4" s="10">
        <f>AVERAGE(M2:M51)</f>
        <v>1.9496869757628374</v>
      </c>
      <c r="J4" s="13"/>
      <c r="K4" s="18"/>
      <c r="L4" s="9">
        <v>2</v>
      </c>
      <c r="M4" s="8">
        <f t="shared" si="0"/>
        <v>1.0506249999999999</v>
      </c>
      <c r="N4" s="22">
        <v>16</v>
      </c>
      <c r="O4" s="31">
        <v>2.3479999999999999</v>
      </c>
      <c r="Q4" s="15"/>
      <c r="R4" s="15"/>
      <c r="T4" s="19">
        <v>61597</v>
      </c>
      <c r="U4" s="19">
        <v>26801</v>
      </c>
      <c r="V4" s="23">
        <v>3.6999999999999998E-2</v>
      </c>
      <c r="W4" s="19">
        <v>1068</v>
      </c>
      <c r="X4" s="24">
        <v>0.745</v>
      </c>
    </row>
    <row r="5" spans="1:24" x14ac:dyDescent="0.2">
      <c r="A5" s="18">
        <v>11</v>
      </c>
      <c r="B5" s="19">
        <v>42625</v>
      </c>
      <c r="C5" s="19">
        <v>19185</v>
      </c>
      <c r="D5" s="24">
        <v>5.3999999999999999E-2</v>
      </c>
      <c r="E5" s="24">
        <v>0.98</v>
      </c>
      <c r="F5" s="24">
        <v>0.65100000000000002</v>
      </c>
      <c r="I5" s="10">
        <f>AVERAGE(M2:M50)</f>
        <v>1.9210422854781857</v>
      </c>
      <c r="J5" s="13"/>
      <c r="K5" s="18"/>
      <c r="L5" s="9">
        <v>3</v>
      </c>
      <c r="M5" s="8">
        <f t="shared" si="0"/>
        <v>1.0768906249999999</v>
      </c>
      <c r="N5" s="22">
        <v>17</v>
      </c>
      <c r="O5" s="31">
        <v>2.7120000000000002</v>
      </c>
      <c r="Q5" s="15"/>
      <c r="R5" s="15"/>
      <c r="T5" s="19">
        <v>62757</v>
      </c>
      <c r="U5" s="19">
        <v>27305</v>
      </c>
      <c r="V5" s="23">
        <v>3.6999999999999998E-2</v>
      </c>
      <c r="W5" s="19">
        <v>1046</v>
      </c>
      <c r="X5" s="24">
        <v>0.754</v>
      </c>
    </row>
    <row r="6" spans="1:24" x14ac:dyDescent="0.2">
      <c r="A6" s="18">
        <v>12</v>
      </c>
      <c r="B6" s="19">
        <v>48688</v>
      </c>
      <c r="C6" s="19">
        <v>21914</v>
      </c>
      <c r="D6" s="24">
        <v>4.4999999999999998E-2</v>
      </c>
      <c r="E6" s="24">
        <v>0.98</v>
      </c>
      <c r="F6" s="24">
        <v>0.70899999999999996</v>
      </c>
      <c r="I6" s="10">
        <f>AVERAGE(M2:M49)</f>
        <v>1.8929079672445346</v>
      </c>
      <c r="J6" s="13"/>
      <c r="K6" s="18"/>
      <c r="L6" s="9">
        <v>4</v>
      </c>
      <c r="M6" s="8">
        <f t="shared" si="0"/>
        <v>1.1038128906249998</v>
      </c>
      <c r="N6" s="22">
        <v>18</v>
      </c>
      <c r="O6" s="31">
        <v>3.2959999999999998</v>
      </c>
      <c r="Q6" s="15"/>
      <c r="R6" s="15"/>
      <c r="T6" s="19">
        <v>63938</v>
      </c>
      <c r="U6" s="19">
        <v>27819</v>
      </c>
      <c r="V6" s="23">
        <v>3.5999999999999997E-2</v>
      </c>
      <c r="W6" s="19">
        <v>1025</v>
      </c>
      <c r="X6" s="24">
        <v>0.76200000000000001</v>
      </c>
    </row>
    <row r="7" spans="1:24" x14ac:dyDescent="0.2">
      <c r="A7" s="18">
        <v>13</v>
      </c>
      <c r="B7" s="19">
        <v>50629</v>
      </c>
      <c r="C7" s="19">
        <v>22666</v>
      </c>
      <c r="D7" s="24">
        <v>4.3999999999999997E-2</v>
      </c>
      <c r="E7" s="24">
        <v>0.81200000000000006</v>
      </c>
      <c r="F7" s="24">
        <v>0.71599999999999997</v>
      </c>
      <c r="I7" s="10">
        <f>AVERAGE(M2:M48)</f>
        <v>1.8652741552202943</v>
      </c>
      <c r="J7" s="13"/>
      <c r="K7" s="18"/>
      <c r="L7" s="9">
        <v>5</v>
      </c>
      <c r="M7" s="8">
        <f t="shared" si="0"/>
        <v>1.1314082128906247</v>
      </c>
      <c r="N7" s="22">
        <v>19</v>
      </c>
      <c r="O7" s="31">
        <v>3.5230000000000001</v>
      </c>
      <c r="Q7" s="15"/>
      <c r="R7" s="15"/>
      <c r="T7" s="19">
        <v>65254</v>
      </c>
      <c r="U7" s="19">
        <v>28308</v>
      </c>
      <c r="V7" s="23">
        <v>3.5000000000000003E-2</v>
      </c>
      <c r="W7" s="19">
        <v>1017</v>
      </c>
      <c r="X7" s="24">
        <v>0.76600000000000001</v>
      </c>
    </row>
    <row r="8" spans="1:24" x14ac:dyDescent="0.2">
      <c r="A8" s="18">
        <v>14</v>
      </c>
      <c r="B8" s="19">
        <v>52647</v>
      </c>
      <c r="C8" s="19">
        <v>23444</v>
      </c>
      <c r="D8" s="24">
        <v>4.2999999999999997E-2</v>
      </c>
      <c r="E8" s="24">
        <v>0.81200000000000006</v>
      </c>
      <c r="F8" s="24">
        <v>0.72299999999999998</v>
      </c>
      <c r="I8" s="10">
        <f>AVERAGE(M2:M47)</f>
        <v>1.8381311833585117</v>
      </c>
      <c r="J8" s="13"/>
      <c r="K8" s="18"/>
      <c r="L8" s="9">
        <v>6</v>
      </c>
      <c r="M8" s="8">
        <f t="shared" si="0"/>
        <v>1.1596934182128902</v>
      </c>
      <c r="N8" s="22">
        <v>20</v>
      </c>
      <c r="O8" s="31">
        <v>3.3740000000000001</v>
      </c>
      <c r="Q8" s="15"/>
      <c r="R8" s="15"/>
      <c r="T8" s="19">
        <v>66598</v>
      </c>
      <c r="U8" s="19">
        <v>28806</v>
      </c>
      <c r="V8" s="23">
        <v>3.5000000000000003E-2</v>
      </c>
      <c r="W8" s="19">
        <v>1009</v>
      </c>
      <c r="X8" s="24">
        <v>0.77</v>
      </c>
    </row>
    <row r="9" spans="1:24" x14ac:dyDescent="0.2">
      <c r="A9" s="18">
        <v>15</v>
      </c>
      <c r="B9" s="19">
        <v>54746</v>
      </c>
      <c r="C9" s="19">
        <v>24249</v>
      </c>
      <c r="D9" s="24">
        <v>4.2000000000000003E-2</v>
      </c>
      <c r="E9" s="24">
        <v>0.81200000000000006</v>
      </c>
      <c r="F9" s="24">
        <v>0.73</v>
      </c>
      <c r="I9" s="10">
        <f>AVERAGE(M2:M46)</f>
        <v>1.8114695812355892</v>
      </c>
      <c r="J9" s="13"/>
      <c r="K9" s="18"/>
      <c r="L9" s="9">
        <v>7</v>
      </c>
      <c r="M9" s="8">
        <f t="shared" si="0"/>
        <v>1.1886857536682125</v>
      </c>
      <c r="N9" s="22">
        <v>21</v>
      </c>
      <c r="O9" s="31">
        <v>3.0640000000000001</v>
      </c>
      <c r="Q9" s="15"/>
      <c r="R9" s="15"/>
      <c r="T9" s="19">
        <v>67969</v>
      </c>
      <c r="U9" s="19">
        <v>29313</v>
      </c>
      <c r="V9" s="23">
        <v>3.4000000000000002E-2</v>
      </c>
      <c r="W9" s="19">
        <v>1001</v>
      </c>
      <c r="X9" s="24">
        <v>0.77300000000000002</v>
      </c>
    </row>
    <row r="10" spans="1:24" x14ac:dyDescent="0.2">
      <c r="A10" s="18">
        <v>16</v>
      </c>
      <c r="B10" s="19">
        <v>69369</v>
      </c>
      <c r="C10" s="19">
        <v>29828</v>
      </c>
      <c r="D10" s="24">
        <v>3.4000000000000002E-2</v>
      </c>
      <c r="E10" s="24">
        <v>0.81200000000000006</v>
      </c>
      <c r="F10" s="24">
        <v>0.77700000000000002</v>
      </c>
      <c r="I10" s="10">
        <f>AVERAGE(M2:M45)</f>
        <v>1.7852800699689915</v>
      </c>
      <c r="J10" s="13"/>
      <c r="K10" s="18"/>
      <c r="L10" s="9">
        <v>8</v>
      </c>
      <c r="M10" s="8">
        <f t="shared" si="0"/>
        <v>1.2184028975099177</v>
      </c>
      <c r="N10" s="22">
        <v>22</v>
      </c>
      <c r="O10" s="31">
        <v>2.8079999999999998</v>
      </c>
      <c r="Q10" s="15"/>
      <c r="R10" s="15"/>
      <c r="T10" s="19">
        <v>69369</v>
      </c>
      <c r="U10" s="19">
        <v>29828</v>
      </c>
      <c r="V10" s="23">
        <v>3.4000000000000002E-2</v>
      </c>
      <c r="W10" s="23">
        <v>994</v>
      </c>
      <c r="X10" s="24">
        <v>0.77700000000000002</v>
      </c>
    </row>
    <row r="11" spans="1:24" x14ac:dyDescent="0.2">
      <c r="A11" s="18">
        <v>17</v>
      </c>
      <c r="B11" s="19">
        <v>70817</v>
      </c>
      <c r="C11" s="19">
        <v>30327</v>
      </c>
      <c r="D11" s="24">
        <v>3.3000000000000002E-2</v>
      </c>
      <c r="E11" s="24">
        <v>0.57199999999999995</v>
      </c>
      <c r="F11" s="24">
        <v>0.77700000000000002</v>
      </c>
      <c r="I11" s="10">
        <f>AVERAGE(M2:M44)</f>
        <v>1.7595535582220223</v>
      </c>
      <c r="J11" s="13"/>
      <c r="K11" s="18"/>
      <c r="L11" s="9">
        <v>9</v>
      </c>
      <c r="M11" s="8">
        <f t="shared" si="0"/>
        <v>1.2488629699476654</v>
      </c>
      <c r="N11" s="22">
        <v>23</v>
      </c>
      <c r="O11" s="31">
        <v>2.6240000000000001</v>
      </c>
      <c r="Q11" s="15"/>
      <c r="R11" s="15"/>
      <c r="T11" s="19">
        <v>70495</v>
      </c>
      <c r="U11" s="19">
        <v>30215</v>
      </c>
      <c r="V11" s="23">
        <v>3.4000000000000002E-2</v>
      </c>
      <c r="W11" s="23">
        <v>994</v>
      </c>
      <c r="X11" s="24">
        <v>0.77700000000000002</v>
      </c>
    </row>
    <row r="12" spans="1:24" x14ac:dyDescent="0.2">
      <c r="A12" s="18">
        <v>18</v>
      </c>
      <c r="B12" s="19">
        <v>80726</v>
      </c>
      <c r="C12" s="19">
        <v>33722</v>
      </c>
      <c r="D12" s="24">
        <v>0.03</v>
      </c>
      <c r="E12" s="24">
        <v>0.57199999999999995</v>
      </c>
      <c r="F12" s="24">
        <v>0.77700000000000002</v>
      </c>
      <c r="I12" s="10">
        <f>AVERAGE(M2:M43)</f>
        <v>1.7342811382937739</v>
      </c>
      <c r="J12" s="13"/>
      <c r="K12" s="18"/>
      <c r="L12" s="9">
        <v>10</v>
      </c>
      <c r="M12" s="8">
        <f t="shared" si="0"/>
        <v>1.2800845441963571</v>
      </c>
      <c r="N12" s="22">
        <v>24</v>
      </c>
      <c r="O12" s="31">
        <v>2.5070000000000001</v>
      </c>
      <c r="Q12" s="15"/>
      <c r="R12" s="15"/>
      <c r="T12" s="19">
        <v>71640</v>
      </c>
      <c r="U12" s="19">
        <v>30607</v>
      </c>
      <c r="V12" s="23">
        <v>3.3000000000000002E-2</v>
      </c>
      <c r="W12" s="23">
        <v>994</v>
      </c>
      <c r="X12" s="24">
        <v>0.77700000000000002</v>
      </c>
    </row>
    <row r="13" spans="1:24" x14ac:dyDescent="0.2">
      <c r="B13"/>
      <c r="C13"/>
      <c r="F13" s="2"/>
      <c r="L13" s="9">
        <v>11</v>
      </c>
      <c r="M13" s="8">
        <f t="shared" si="0"/>
        <v>1.312086657801266</v>
      </c>
      <c r="N13" s="22">
        <v>25</v>
      </c>
      <c r="O13" s="31">
        <v>2.105</v>
      </c>
    </row>
    <row r="14" spans="1:24" x14ac:dyDescent="0.2">
      <c r="B14" s="14"/>
      <c r="C14" s="14"/>
      <c r="D14" s="16"/>
      <c r="E14" s="16"/>
      <c r="F14" s="16"/>
      <c r="L14" s="9">
        <v>12</v>
      </c>
      <c r="M14" s="8">
        <f t="shared" si="0"/>
        <v>1.3448888242462975</v>
      </c>
      <c r="N14" s="22">
        <v>26</v>
      </c>
      <c r="O14" s="31">
        <v>2.105</v>
      </c>
    </row>
    <row r="15" spans="1:24" ht="14.25" x14ac:dyDescent="0.2">
      <c r="B15" s="14"/>
      <c r="C15" s="14"/>
      <c r="D15" s="17"/>
      <c r="E15" s="17"/>
      <c r="F15" s="28"/>
      <c r="L15" s="9">
        <v>13</v>
      </c>
      <c r="M15" s="8">
        <f t="shared" si="0"/>
        <v>1.3785110448524549</v>
      </c>
      <c r="N15" s="22">
        <v>27</v>
      </c>
      <c r="O15" s="31">
        <v>2.105</v>
      </c>
    </row>
    <row r="16" spans="1:24" ht="14.25" x14ac:dyDescent="0.2">
      <c r="B16" s="14"/>
      <c r="C16" s="14"/>
      <c r="D16" s="17"/>
      <c r="E16" s="17"/>
      <c r="F16" s="16" t="s">
        <v>52</v>
      </c>
      <c r="L16" s="9">
        <v>14</v>
      </c>
      <c r="M16" s="8">
        <f t="shared" si="0"/>
        <v>1.4129738209737661</v>
      </c>
      <c r="N16" s="22">
        <v>28</v>
      </c>
      <c r="O16" s="31">
        <v>2.105</v>
      </c>
    </row>
    <row r="17" spans="2:15" ht="14.25" x14ac:dyDescent="0.2">
      <c r="B17" s="14"/>
      <c r="C17" s="14"/>
      <c r="D17" s="17"/>
      <c r="E17" s="17"/>
      <c r="F17" s="28" t="s">
        <v>60</v>
      </c>
      <c r="L17" s="9">
        <v>15</v>
      </c>
      <c r="M17" s="8">
        <f t="shared" si="0"/>
        <v>1.4482981664981105</v>
      </c>
      <c r="N17" s="22">
        <v>29</v>
      </c>
      <c r="O17" s="31">
        <v>2.105</v>
      </c>
    </row>
    <row r="18" spans="2:15" ht="14.25" x14ac:dyDescent="0.2">
      <c r="B18" s="14"/>
      <c r="C18" s="14"/>
      <c r="D18" s="17"/>
      <c r="E18" s="17"/>
      <c r="F18" s="16"/>
      <c r="L18" s="9">
        <v>16</v>
      </c>
      <c r="M18" s="8">
        <f t="shared" si="0"/>
        <v>1.4845056206605631</v>
      </c>
      <c r="N18" s="22">
        <v>30</v>
      </c>
      <c r="O18" s="31">
        <v>1.6970000000000001</v>
      </c>
    </row>
    <row r="19" spans="2:15" ht="14.25" x14ac:dyDescent="0.2">
      <c r="B19" s="14"/>
      <c r="C19" s="14"/>
      <c r="D19" s="17"/>
      <c r="E19" s="17"/>
      <c r="F19" s="16"/>
      <c r="L19" s="9">
        <v>17</v>
      </c>
      <c r="M19" s="8">
        <f t="shared" si="0"/>
        <v>1.521618261177077</v>
      </c>
      <c r="N19" s="22">
        <v>31</v>
      </c>
      <c r="O19" s="31">
        <v>1.6970000000000001</v>
      </c>
    </row>
    <row r="20" spans="2:15" ht="14.25" x14ac:dyDescent="0.2">
      <c r="B20" s="14"/>
      <c r="C20" s="14"/>
      <c r="D20" s="17"/>
      <c r="E20" s="17"/>
      <c r="F20" s="16"/>
      <c r="L20" s="9">
        <v>18</v>
      </c>
      <c r="M20" s="8">
        <f t="shared" si="0"/>
        <v>1.559658717706504</v>
      </c>
      <c r="N20" s="22">
        <v>32</v>
      </c>
      <c r="O20" s="31">
        <v>1.6970000000000001</v>
      </c>
    </row>
    <row r="21" spans="2:15" ht="14.25" x14ac:dyDescent="0.2">
      <c r="B21" s="14"/>
      <c r="C21" s="14"/>
      <c r="D21" s="17"/>
      <c r="E21" s="17"/>
      <c r="F21" s="16"/>
      <c r="L21" s="9">
        <v>19</v>
      </c>
      <c r="M21" s="8">
        <f t="shared" si="0"/>
        <v>1.5986501856491666</v>
      </c>
      <c r="N21" s="22">
        <v>33</v>
      </c>
      <c r="O21" s="31">
        <v>1.6970000000000001</v>
      </c>
    </row>
    <row r="22" spans="2:15" ht="14.25" x14ac:dyDescent="0.2">
      <c r="B22" s="14"/>
      <c r="C22" s="14"/>
      <c r="D22" s="17"/>
      <c r="E22" s="17"/>
      <c r="F22" s="16"/>
      <c r="L22" s="9">
        <v>20</v>
      </c>
      <c r="M22" s="8">
        <f t="shared" si="0"/>
        <v>1.6386164402903955</v>
      </c>
      <c r="N22" s="22">
        <v>34</v>
      </c>
      <c r="O22" s="31">
        <v>1.6970000000000001</v>
      </c>
    </row>
    <row r="23" spans="2:15" ht="14.25" x14ac:dyDescent="0.2">
      <c r="B23" s="14"/>
      <c r="C23" s="14"/>
      <c r="D23" s="17"/>
      <c r="E23" s="17"/>
      <c r="F23" s="16"/>
      <c r="L23" s="9">
        <v>21</v>
      </c>
      <c r="M23" s="8">
        <f t="shared" si="0"/>
        <v>1.6795818512976552</v>
      </c>
      <c r="N23" s="22">
        <v>35</v>
      </c>
      <c r="O23" s="31">
        <v>1.3169999999999999</v>
      </c>
    </row>
    <row r="24" spans="2:15" ht="14.25" x14ac:dyDescent="0.2">
      <c r="B24" s="14"/>
      <c r="C24" s="14"/>
      <c r="D24" s="17"/>
      <c r="E24" s="17"/>
      <c r="F24" s="16"/>
      <c r="L24" s="9">
        <v>22</v>
      </c>
      <c r="M24" s="8">
        <f t="shared" si="0"/>
        <v>1.7215713975800966</v>
      </c>
      <c r="N24" s="22">
        <v>36</v>
      </c>
      <c r="O24" s="31">
        <v>1.3169999999999999</v>
      </c>
    </row>
    <row r="25" spans="2:15" ht="14.25" x14ac:dyDescent="0.2">
      <c r="B25" s="14"/>
      <c r="C25" s="14"/>
      <c r="D25" s="17"/>
      <c r="E25" s="17"/>
      <c r="F25" s="16"/>
      <c r="L25" s="9">
        <v>23</v>
      </c>
      <c r="M25" s="8">
        <f t="shared" si="0"/>
        <v>1.7646106825195991</v>
      </c>
      <c r="N25" s="22">
        <v>37</v>
      </c>
      <c r="O25" s="31">
        <v>1.3169999999999999</v>
      </c>
    </row>
    <row r="26" spans="2:15" x14ac:dyDescent="0.2">
      <c r="B26" s="14"/>
      <c r="C26" s="14"/>
      <c r="D26" s="16"/>
      <c r="E26" s="16"/>
      <c r="F26" s="16"/>
      <c r="L26" s="9">
        <v>24</v>
      </c>
      <c r="M26" s="8">
        <f t="shared" si="0"/>
        <v>1.8087259495825889</v>
      </c>
      <c r="N26" s="22">
        <v>38</v>
      </c>
      <c r="O26" s="31">
        <v>1.3169999999999999</v>
      </c>
    </row>
    <row r="27" spans="2:15" x14ac:dyDescent="0.2">
      <c r="B27" s="2"/>
      <c r="C27" s="2"/>
      <c r="D27" s="2"/>
      <c r="E27" s="2"/>
      <c r="F27" s="2"/>
      <c r="L27" s="9">
        <v>25</v>
      </c>
      <c r="M27" s="8">
        <f t="shared" si="0"/>
        <v>1.8539440983221533</v>
      </c>
      <c r="N27" s="22">
        <v>39</v>
      </c>
      <c r="O27" s="31">
        <v>1.3169999999999999</v>
      </c>
    </row>
    <row r="28" spans="2:15" x14ac:dyDescent="0.2">
      <c r="B28" s="2"/>
      <c r="C28" s="2"/>
      <c r="D28" s="2"/>
      <c r="E28" s="2"/>
      <c r="F28" s="2"/>
      <c r="L28" s="9">
        <v>26</v>
      </c>
      <c r="M28" s="8">
        <f t="shared" si="0"/>
        <v>1.9002927007802071</v>
      </c>
      <c r="N28" s="22">
        <v>40</v>
      </c>
      <c r="O28" s="31">
        <v>1.1519999999999999</v>
      </c>
    </row>
    <row r="29" spans="2:15" x14ac:dyDescent="0.2">
      <c r="L29" s="9">
        <v>27</v>
      </c>
      <c r="M29" s="8">
        <f t="shared" si="0"/>
        <v>1.9478000182997122</v>
      </c>
      <c r="N29" s="22">
        <v>41</v>
      </c>
      <c r="O29" s="31">
        <v>1.1519999999999999</v>
      </c>
    </row>
    <row r="30" spans="2:15" x14ac:dyDescent="0.2">
      <c r="L30" s="9">
        <v>28</v>
      </c>
      <c r="M30" s="8">
        <f t="shared" si="0"/>
        <v>1.9964950187572048</v>
      </c>
      <c r="N30" s="22">
        <v>42</v>
      </c>
      <c r="O30" s="31">
        <v>1.1519999999999999</v>
      </c>
    </row>
    <row r="31" spans="2:15" x14ac:dyDescent="0.2">
      <c r="L31" s="9">
        <v>29</v>
      </c>
      <c r="M31" s="8">
        <f t="shared" si="0"/>
        <v>2.0464073942261352</v>
      </c>
      <c r="N31" s="22">
        <v>43</v>
      </c>
      <c r="O31" s="31">
        <v>1.1519999999999999</v>
      </c>
    </row>
    <row r="32" spans="2:15" x14ac:dyDescent="0.2">
      <c r="L32" s="9">
        <v>30</v>
      </c>
      <c r="M32" s="8">
        <f t="shared" si="0"/>
        <v>2.097567579081788</v>
      </c>
      <c r="N32" s="22">
        <v>44</v>
      </c>
      <c r="O32" s="31">
        <v>1.1519999999999999</v>
      </c>
    </row>
    <row r="33" spans="12:15" x14ac:dyDescent="0.2">
      <c r="L33" s="9">
        <v>31</v>
      </c>
      <c r="M33" s="8">
        <f t="shared" si="0"/>
        <v>2.1500067685588333</v>
      </c>
      <c r="N33" s="22">
        <v>45</v>
      </c>
      <c r="O33" s="31">
        <v>0.93100000000000005</v>
      </c>
    </row>
    <row r="34" spans="12:15" x14ac:dyDescent="0.2">
      <c r="L34" s="9">
        <v>32</v>
      </c>
      <c r="M34" s="8">
        <f t="shared" ref="M34:M53" si="1">(1+experiencepremium)^L34</f>
        <v>2.2037569377728037</v>
      </c>
      <c r="N34" s="22">
        <v>46</v>
      </c>
      <c r="O34" s="31">
        <v>0.93100000000000005</v>
      </c>
    </row>
    <row r="35" spans="12:15" x14ac:dyDescent="0.2">
      <c r="L35" s="9">
        <v>33</v>
      </c>
      <c r="M35" s="8">
        <f t="shared" si="1"/>
        <v>2.2588508612171236</v>
      </c>
      <c r="N35" s="22">
        <v>47</v>
      </c>
      <c r="O35" s="31">
        <v>0.93100000000000005</v>
      </c>
    </row>
    <row r="36" spans="12:15" x14ac:dyDescent="0.2">
      <c r="L36" s="9">
        <v>34</v>
      </c>
      <c r="M36" s="8">
        <f t="shared" si="1"/>
        <v>2.3153221327475517</v>
      </c>
      <c r="N36" s="22">
        <v>48</v>
      </c>
      <c r="O36" s="31">
        <v>0.93100000000000005</v>
      </c>
    </row>
    <row r="37" spans="12:15" x14ac:dyDescent="0.2">
      <c r="L37" s="9">
        <v>35</v>
      </c>
      <c r="M37" s="8">
        <f t="shared" si="1"/>
        <v>2.3732051860662402</v>
      </c>
      <c r="N37" s="22">
        <v>49</v>
      </c>
      <c r="O37" s="31">
        <v>0.93100000000000005</v>
      </c>
    </row>
    <row r="38" spans="12:15" x14ac:dyDescent="0.2">
      <c r="L38" s="9">
        <v>36</v>
      </c>
      <c r="M38" s="8">
        <f t="shared" si="1"/>
        <v>2.4325353157178964</v>
      </c>
      <c r="N38" s="22">
        <v>50</v>
      </c>
      <c r="O38" s="31">
        <v>0.622</v>
      </c>
    </row>
    <row r="39" spans="12:15" x14ac:dyDescent="0.2">
      <c r="L39" s="9">
        <v>37</v>
      </c>
      <c r="M39" s="8">
        <f t="shared" si="1"/>
        <v>2.4933486986108435</v>
      </c>
      <c r="N39" s="22">
        <v>51</v>
      </c>
      <c r="O39" s="31">
        <v>0.622</v>
      </c>
    </row>
    <row r="40" spans="12:15" x14ac:dyDescent="0.2">
      <c r="L40" s="9">
        <v>38</v>
      </c>
      <c r="M40" s="8">
        <f t="shared" si="1"/>
        <v>2.555682416076114</v>
      </c>
      <c r="N40" s="22">
        <v>52</v>
      </c>
      <c r="O40" s="31">
        <v>0.622</v>
      </c>
    </row>
    <row r="41" spans="12:15" x14ac:dyDescent="0.2">
      <c r="L41" s="9">
        <v>39</v>
      </c>
      <c r="M41" s="8">
        <f t="shared" si="1"/>
        <v>2.6195744764780171</v>
      </c>
      <c r="N41" s="22">
        <v>53</v>
      </c>
      <c r="O41" s="31">
        <v>0.622</v>
      </c>
    </row>
    <row r="42" spans="12:15" x14ac:dyDescent="0.2">
      <c r="L42" s="9">
        <v>40</v>
      </c>
      <c r="M42" s="8">
        <f t="shared" si="1"/>
        <v>2.6850638383899672</v>
      </c>
      <c r="N42" s="22">
        <v>54</v>
      </c>
      <c r="O42" s="31">
        <v>0.622</v>
      </c>
    </row>
    <row r="43" spans="12:15" x14ac:dyDescent="0.2">
      <c r="L43" s="9">
        <v>41</v>
      </c>
      <c r="M43" s="8">
        <f t="shared" si="1"/>
        <v>2.7521904343497163</v>
      </c>
      <c r="N43" s="22">
        <v>55</v>
      </c>
      <c r="O43" s="31">
        <v>0.34499999999999997</v>
      </c>
    </row>
    <row r="44" spans="12:15" x14ac:dyDescent="0.2">
      <c r="L44" s="9">
        <v>42</v>
      </c>
      <c r="M44" s="8">
        <f t="shared" si="1"/>
        <v>2.8209951952084591</v>
      </c>
      <c r="N44" s="22">
        <v>56</v>
      </c>
      <c r="O44" s="31">
        <v>0.34499999999999997</v>
      </c>
    </row>
    <row r="45" spans="12:15" x14ac:dyDescent="0.2">
      <c r="L45" s="9">
        <v>43</v>
      </c>
      <c r="M45" s="8">
        <f t="shared" si="1"/>
        <v>2.8915200750886707</v>
      </c>
      <c r="N45" s="22">
        <v>57</v>
      </c>
      <c r="O45" s="31">
        <v>0.34499999999999997</v>
      </c>
    </row>
    <row r="46" spans="12:15" x14ac:dyDescent="0.2">
      <c r="L46" s="9">
        <v>44</v>
      </c>
      <c r="M46" s="8">
        <f t="shared" si="1"/>
        <v>2.9638080769658868</v>
      </c>
      <c r="N46" s="22">
        <v>58</v>
      </c>
      <c r="O46" s="31">
        <v>0.34499999999999997</v>
      </c>
    </row>
    <row r="47" spans="12:15" x14ac:dyDescent="0.2">
      <c r="L47" s="9">
        <v>45</v>
      </c>
      <c r="M47" s="8">
        <f t="shared" si="1"/>
        <v>3.0379032788900342</v>
      </c>
      <c r="N47" s="22">
        <v>59</v>
      </c>
      <c r="O47" s="31">
        <v>0.34499999999999997</v>
      </c>
    </row>
    <row r="48" spans="12:15" x14ac:dyDescent="0.2">
      <c r="L48" s="9">
        <v>46</v>
      </c>
      <c r="M48" s="8">
        <f t="shared" si="1"/>
        <v>3.1138508608622844</v>
      </c>
      <c r="N48" s="22">
        <v>60</v>
      </c>
      <c r="O48" s="31">
        <v>0.182</v>
      </c>
    </row>
    <row r="49" spans="12:15" x14ac:dyDescent="0.2">
      <c r="L49" s="9">
        <v>47</v>
      </c>
      <c r="M49" s="8">
        <f t="shared" si="1"/>
        <v>3.1916971323838421</v>
      </c>
      <c r="N49" s="22">
        <v>61</v>
      </c>
      <c r="O49" s="31">
        <v>0.182</v>
      </c>
    </row>
    <row r="50" spans="12:15" x14ac:dyDescent="0.2">
      <c r="L50" s="9">
        <v>48</v>
      </c>
      <c r="M50" s="8">
        <f t="shared" si="1"/>
        <v>3.2714895606934378</v>
      </c>
      <c r="N50" s="22">
        <v>62</v>
      </c>
      <c r="O50" s="31">
        <v>0.182</v>
      </c>
    </row>
    <row r="51" spans="12:15" x14ac:dyDescent="0.2">
      <c r="L51" s="9">
        <v>49</v>
      </c>
      <c r="M51" s="8">
        <f t="shared" si="1"/>
        <v>3.3532767997107733</v>
      </c>
      <c r="N51" s="22">
        <v>63</v>
      </c>
      <c r="O51" s="31">
        <v>0.182</v>
      </c>
    </row>
    <row r="52" spans="12:15" x14ac:dyDescent="0.2">
      <c r="L52" s="9">
        <v>50</v>
      </c>
      <c r="M52" s="8">
        <f t="shared" si="1"/>
        <v>3.4371087197035428</v>
      </c>
      <c r="N52" s="22">
        <v>64</v>
      </c>
      <c r="O52" s="31">
        <v>0.182</v>
      </c>
    </row>
    <row r="53" spans="12:15" x14ac:dyDescent="0.2">
      <c r="L53" s="9">
        <v>51</v>
      </c>
      <c r="M53" s="8">
        <f t="shared" si="1"/>
        <v>3.5230364376961316</v>
      </c>
      <c r="N53" s="22">
        <v>65</v>
      </c>
      <c r="O53" s="31">
        <v>5.5E-2</v>
      </c>
    </row>
    <row r="54" spans="12:15" x14ac:dyDescent="0.2">
      <c r="N54" s="22">
        <v>66</v>
      </c>
      <c r="O54" s="31">
        <v>5.5E-2</v>
      </c>
    </row>
    <row r="55" spans="12:15" x14ac:dyDescent="0.2">
      <c r="N55" s="22">
        <v>67</v>
      </c>
      <c r="O55" s="31">
        <v>5.5E-2</v>
      </c>
    </row>
    <row r="56" spans="12:15" x14ac:dyDescent="0.2">
      <c r="N56" s="22">
        <v>68</v>
      </c>
      <c r="O56" s="31">
        <v>5.5E-2</v>
      </c>
    </row>
    <row r="57" spans="12:15" x14ac:dyDescent="0.2">
      <c r="N57" s="22">
        <v>69</v>
      </c>
      <c r="O57" s="31">
        <v>5.5E-2</v>
      </c>
    </row>
    <row r="58" spans="12:15" x14ac:dyDescent="0.2">
      <c r="N58" s="22">
        <v>70</v>
      </c>
      <c r="O58" s="31">
        <v>5.5E-2</v>
      </c>
    </row>
    <row r="59" spans="12:15" x14ac:dyDescent="0.2">
      <c r="N59" s="22">
        <v>71</v>
      </c>
      <c r="O59" s="31">
        <v>5.5E-2</v>
      </c>
    </row>
    <row r="60" spans="12:15" x14ac:dyDescent="0.2">
      <c r="N60" s="22">
        <v>72</v>
      </c>
      <c r="O60" s="31">
        <v>5.5E-2</v>
      </c>
    </row>
    <row r="61" spans="12:15" x14ac:dyDescent="0.2">
      <c r="N61" s="22">
        <v>73</v>
      </c>
      <c r="O61" s="31">
        <v>5.5E-2</v>
      </c>
    </row>
    <row r="62" spans="12:15" x14ac:dyDescent="0.2">
      <c r="N62" s="22">
        <v>74</v>
      </c>
      <c r="O62" s="31">
        <v>5.5E-2</v>
      </c>
    </row>
    <row r="63" spans="12:15" x14ac:dyDescent="0.2">
      <c r="N63" s="22">
        <v>75</v>
      </c>
      <c r="O63" s="31">
        <v>5.5E-2</v>
      </c>
    </row>
    <row r="64" spans="12:15" x14ac:dyDescent="0.2">
      <c r="N64" s="22">
        <v>76</v>
      </c>
      <c r="O64" s="31">
        <v>5.5E-2</v>
      </c>
    </row>
    <row r="65" spans="14:15" x14ac:dyDescent="0.2">
      <c r="N65" s="22">
        <v>77</v>
      </c>
      <c r="O65" s="31">
        <v>5.5E-2</v>
      </c>
    </row>
    <row r="66" spans="14:15" x14ac:dyDescent="0.2">
      <c r="N66" s="22">
        <v>78</v>
      </c>
      <c r="O66" s="31">
        <v>5.5E-2</v>
      </c>
    </row>
    <row r="67" spans="14:15" x14ac:dyDescent="0.2">
      <c r="N67" s="22">
        <v>79</v>
      </c>
      <c r="O67" s="31">
        <v>5.5E-2</v>
      </c>
    </row>
    <row r="68" spans="14:15" x14ac:dyDescent="0.2">
      <c r="N68" s="22">
        <v>80</v>
      </c>
      <c r="O68" s="31">
        <v>5.5E-2</v>
      </c>
    </row>
    <row r="69" spans="14:15" x14ac:dyDescent="0.2">
      <c r="N69" s="22">
        <v>81</v>
      </c>
      <c r="O69" s="31">
        <v>5.5E-2</v>
      </c>
    </row>
    <row r="70" spans="14:15" x14ac:dyDescent="0.2">
      <c r="N70" s="22">
        <v>82</v>
      </c>
      <c r="O70" s="31">
        <v>5.5E-2</v>
      </c>
    </row>
    <row r="71" spans="14:15" x14ac:dyDescent="0.2">
      <c r="N71" s="22">
        <v>83</v>
      </c>
      <c r="O71" s="31">
        <v>5.5E-2</v>
      </c>
    </row>
    <row r="72" spans="14:15" x14ac:dyDescent="0.2">
      <c r="N72" s="22">
        <v>84</v>
      </c>
      <c r="O72" s="31">
        <v>5.5E-2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Q2" sqref="Q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Meta!A9+6</f>
        <v>21</v>
      </c>
      <c r="C2" s="7">
        <f>Meta!B9</f>
        <v>54746</v>
      </c>
      <c r="D2" s="7">
        <f>Meta!C9</f>
        <v>24249</v>
      </c>
      <c r="E2" s="1">
        <f>Meta!D9</f>
        <v>4.2000000000000003E-2</v>
      </c>
      <c r="F2" s="1">
        <f>Meta!F9</f>
        <v>0.73</v>
      </c>
      <c r="G2" s="1">
        <f>Meta!I9</f>
        <v>1.8114695812355892</v>
      </c>
      <c r="H2" s="1">
        <f>Meta!E9</f>
        <v>0.81200000000000006</v>
      </c>
      <c r="I2" s="13"/>
      <c r="J2" s="1">
        <f>Meta!X8</f>
        <v>0.77</v>
      </c>
      <c r="K2" s="1">
        <f>Meta!D8</f>
        <v>4.2999999999999997E-2</v>
      </c>
      <c r="L2" s="29"/>
      <c r="N2" s="22">
        <f>Meta!T9</f>
        <v>67969</v>
      </c>
      <c r="O2" s="22">
        <f>Meta!U9</f>
        <v>29313</v>
      </c>
      <c r="P2" s="1">
        <f>Meta!V9</f>
        <v>3.4000000000000002E-2</v>
      </c>
      <c r="Q2" s="1">
        <f>Meta!X9</f>
        <v>0.77300000000000002</v>
      </c>
      <c r="R2" s="22">
        <f>Meta!W9</f>
        <v>1001</v>
      </c>
      <c r="T2" s="12">
        <f>IRR(S5:S69)+1</f>
        <v>0.98059235410591672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B11" s="1">
        <v>1</v>
      </c>
      <c r="C11" s="5">
        <f>0.1*Grade14!C11</f>
        <v>2864.1590152345325</v>
      </c>
      <c r="D11" s="5">
        <f t="shared" ref="D11:D36" si="0">IF(A11&lt;startage,1,0)*(C11*(1-initialunempprob))+IF(A11=startage,1,0)*(C11*(1-unempprob))+IF(A11&gt;startage,1,0)*(C11*(1-unempprob)+unempprob*300*52)</f>
        <v>2741.0001775794476</v>
      </c>
      <c r="E11" s="5">
        <f t="shared" ref="E11:E56" si="1">IF(D11-9500&gt;0,1,0)*(D11-9500)</f>
        <v>0</v>
      </c>
      <c r="F11" s="5">
        <f t="shared" ref="F11:F56" si="2">IF(E11&lt;=8500,1,0)*(0.1*E11+0.1*E11+0.0765*D11)+IF(AND(E11&gt;8500,E11&lt;=34500),1,0)*(850+0.15*(E11-8500)+0.1*E11+0.0765*D11)+IF(AND(E11&gt;34500,E11&lt;=83600),1,0)*(4750+0.25*(E11-34500)+0.1*E11+0.0765*D11)+IF(AND(E11&gt;83600,E11&lt;=174400,D11&lt;=106800),1,0)*(17025+0.28*(E11-83600)+0.1*E11+0.0765*D11)+IF(AND(E11&gt;83600,E11&lt;=174400,D11&gt;106800),1,0)*(17025+0.28*(E11-83600)+0.1*E11+8170.2+0.0145*(D11-106800))+IF(AND(E11&gt;174400,E11&lt;=379150),1,0)*(42449+0.33*(E11-174400)+0.1*E11+8170.2+0.0145*(D11-106800))+IF(E11&gt;379150,1,0)*(110016.5+0.35*(E11-379150)+0.1*E11+8170.2+0.0145*(D11-106800))</f>
        <v>209.68651358482774</v>
      </c>
      <c r="G11" s="5">
        <f t="shared" ref="G11:G56" si="3">D11-F11</f>
        <v>2531.3136639946197</v>
      </c>
      <c r="H11" s="22">
        <f>0.1*Grade14!H11</f>
        <v>1275.4258353402545</v>
      </c>
      <c r="I11" s="5">
        <f t="shared" ref="I11:I36" si="4">G11+IF(A11&lt;startage,1,0)*(H11*(1-initialunempprob))+IF(A11&gt;=startage,1,0)*(H11*(1-unempprob))</f>
        <v>3751.8961884152432</v>
      </c>
      <c r="J11" s="26">
        <f t="shared" ref="J11:J56" si="5">(F11-(IF(A11&gt;startage,1,0)*(unempprob*300*52)))/(IF(A11&lt;startage,1,0)*((C11+H11)*(1-initialunempprob))+IF(A11&gt;=startage,1,0)*((C11+H11)*(1-unempprob)))</f>
        <v>5.2929985149360634E-2</v>
      </c>
      <c r="L11" s="22">
        <f>0.1*Grade14!L11</f>
        <v>5008.612053019262</v>
      </c>
      <c r="M11" s="5">
        <f>scrimecost*Meta!O8</f>
        <v>3377.3740000000003</v>
      </c>
      <c r="N11" s="5">
        <f>L11-Grade14!L11</f>
        <v>-45077.508477173353</v>
      </c>
      <c r="O11" s="5"/>
      <c r="P11" s="22"/>
      <c r="Q11" s="22">
        <f>0.05*feel*Grade14!G11</f>
        <v>297.64890674396611</v>
      </c>
      <c r="R11" s="22">
        <f>coltuition</f>
        <v>8279</v>
      </c>
      <c r="S11" s="22">
        <f t="shared" ref="S11:S42" si="6">IF(A11&lt;startage,1,0)*(N11-Q11-R11)+IF(A11&gt;=startage,1,0)*completionprob*(N11*spart+O11+P11)</f>
        <v>-53654.157383917322</v>
      </c>
      <c r="T11" s="22">
        <f t="shared" ref="T11:T42" si="7">S11/sreturn^(A11-startage+1)</f>
        <v>-53654.157383917322</v>
      </c>
    </row>
    <row r="12" spans="1:20" x14ac:dyDescent="0.2">
      <c r="A12" s="5">
        <v>21</v>
      </c>
      <c r="B12" s="1">
        <f t="shared" ref="B12:B36" si="8">(1+experiencepremium)^(A12-startage)</f>
        <v>1</v>
      </c>
      <c r="C12" s="5">
        <f t="shared" ref="C12:C36" si="9">pretaxincome*B12/expnorm</f>
        <v>30221.870997501479</v>
      </c>
      <c r="D12" s="5">
        <f t="shared" si="0"/>
        <v>28952.552415606417</v>
      </c>
      <c r="E12" s="5">
        <f t="shared" si="1"/>
        <v>19452.552415606417</v>
      </c>
      <c r="F12" s="5">
        <f t="shared" si="2"/>
        <v>6653.0083636954951</v>
      </c>
      <c r="G12" s="5">
        <f t="shared" si="3"/>
        <v>22299.544051910922</v>
      </c>
      <c r="H12" s="22">
        <f t="shared" ref="H12:H36" si="10">benefits*B12/expnorm</f>
        <v>13386.368863814951</v>
      </c>
      <c r="I12" s="5">
        <f t="shared" si="4"/>
        <v>35123.68542344564</v>
      </c>
      <c r="J12" s="26">
        <f t="shared" si="5"/>
        <v>0.15925167265733439</v>
      </c>
      <c r="L12" s="22">
        <f t="shared" ref="L12:L36" si="11">(sincome+sbenefits)*(1-sunemp)*B12/expnorm</f>
        <v>51877.444133453675</v>
      </c>
      <c r="M12" s="5">
        <f>scrimecost*Meta!O9</f>
        <v>3067.0639999999999</v>
      </c>
      <c r="N12" s="5">
        <f>L12-Grade14!L12</f>
        <v>539.17059000624431</v>
      </c>
      <c r="O12" s="5">
        <f>Grade14!M12-M12</f>
        <v>24.512000000000171</v>
      </c>
      <c r="P12" s="22">
        <f t="shared" ref="P12:P56" si="12">(spart-initialspart)*(L12*J12+nptrans)</f>
        <v>44.446709254319785</v>
      </c>
      <c r="Q12" s="22"/>
      <c r="R12" s="22"/>
      <c r="S12" s="22">
        <f t="shared" si="6"/>
        <v>394.41891116726725</v>
      </c>
      <c r="T12" s="22">
        <f t="shared" si="7"/>
        <v>402.22515453619872</v>
      </c>
    </row>
    <row r="13" spans="1:20" x14ac:dyDescent="0.2">
      <c r="A13" s="5">
        <v>22</v>
      </c>
      <c r="B13" s="1">
        <f t="shared" si="8"/>
        <v>1.0249999999999999</v>
      </c>
      <c r="C13" s="5">
        <f t="shared" si="9"/>
        <v>30977.41777243901</v>
      </c>
      <c r="D13" s="5">
        <f t="shared" si="0"/>
        <v>30331.566225996572</v>
      </c>
      <c r="E13" s="5">
        <f t="shared" si="1"/>
        <v>20831.566225996572</v>
      </c>
      <c r="F13" s="5">
        <f t="shared" si="2"/>
        <v>7103.2563727878796</v>
      </c>
      <c r="G13" s="5">
        <f t="shared" si="3"/>
        <v>23228.309853208691</v>
      </c>
      <c r="H13" s="22">
        <f t="shared" si="10"/>
        <v>13721.028085410324</v>
      </c>
      <c r="I13" s="5">
        <f t="shared" si="4"/>
        <v>36373.05475903178</v>
      </c>
      <c r="J13" s="26">
        <f t="shared" si="5"/>
        <v>0.15058124841595796</v>
      </c>
      <c r="L13" s="22">
        <f t="shared" si="11"/>
        <v>53174.380236790006</v>
      </c>
      <c r="M13" s="5">
        <f>scrimecost*Meta!O10</f>
        <v>2810.808</v>
      </c>
      <c r="N13" s="5">
        <f>L13-Grade14!L13</f>
        <v>552.64985475638969</v>
      </c>
      <c r="O13" s="5">
        <f>Grade14!M13-M13</f>
        <v>22.463999999999942</v>
      </c>
      <c r="P13" s="22">
        <f t="shared" si="12"/>
        <v>43.683193679402081</v>
      </c>
      <c r="Q13" s="22"/>
      <c r="R13" s="22"/>
      <c r="S13" s="22">
        <f t="shared" si="6"/>
        <v>400.5965715017461</v>
      </c>
      <c r="T13" s="22">
        <f t="shared" si="7"/>
        <v>416.61051089599368</v>
      </c>
    </row>
    <row r="14" spans="1:20" x14ac:dyDescent="0.2">
      <c r="A14" s="5">
        <v>23</v>
      </c>
      <c r="B14" s="1">
        <f t="shared" si="8"/>
        <v>1.0506249999999999</v>
      </c>
      <c r="C14" s="5">
        <f t="shared" si="9"/>
        <v>31751.853216749987</v>
      </c>
      <c r="D14" s="5">
        <f t="shared" si="0"/>
        <v>31073.475381646487</v>
      </c>
      <c r="E14" s="5">
        <f t="shared" si="1"/>
        <v>21573.475381646487</v>
      </c>
      <c r="F14" s="5">
        <f t="shared" si="2"/>
        <v>7345.4897121075774</v>
      </c>
      <c r="G14" s="5">
        <f t="shared" si="3"/>
        <v>23727.98566953891</v>
      </c>
      <c r="H14" s="22">
        <f t="shared" si="10"/>
        <v>14064.053787545581</v>
      </c>
      <c r="I14" s="5">
        <f t="shared" si="4"/>
        <v>37201.349198007578</v>
      </c>
      <c r="J14" s="26">
        <f t="shared" si="5"/>
        <v>0.15242742987584704</v>
      </c>
      <c r="L14" s="22">
        <f t="shared" si="11"/>
        <v>54503.73974270976</v>
      </c>
      <c r="M14" s="5">
        <f>scrimecost*Meta!O11</f>
        <v>2626.6240000000003</v>
      </c>
      <c r="N14" s="5">
        <f>L14-Grade14!L14</f>
        <v>566.4661011253047</v>
      </c>
      <c r="O14" s="5">
        <f>Grade14!M14-M14</f>
        <v>20.991999999999734</v>
      </c>
      <c r="P14" s="22">
        <f t="shared" si="12"/>
        <v>44.585594902809966</v>
      </c>
      <c r="Q14" s="22"/>
      <c r="R14" s="22"/>
      <c r="S14" s="22">
        <f t="shared" si="6"/>
        <v>408.8061835510083</v>
      </c>
      <c r="T14" s="22">
        <f t="shared" si="7"/>
        <v>433.56273611643883</v>
      </c>
    </row>
    <row r="15" spans="1:20" x14ac:dyDescent="0.2">
      <c r="A15" s="5">
        <v>24</v>
      </c>
      <c r="B15" s="1">
        <f t="shared" si="8"/>
        <v>1.0768906249999999</v>
      </c>
      <c r="C15" s="5">
        <f t="shared" si="9"/>
        <v>32545.649547168738</v>
      </c>
      <c r="D15" s="5">
        <f t="shared" si="0"/>
        <v>31833.93226618765</v>
      </c>
      <c r="E15" s="5">
        <f t="shared" si="1"/>
        <v>22333.93226618765</v>
      </c>
      <c r="F15" s="5">
        <f t="shared" si="2"/>
        <v>7593.7788849102672</v>
      </c>
      <c r="G15" s="5">
        <f t="shared" si="3"/>
        <v>24240.153381277385</v>
      </c>
      <c r="H15" s="22">
        <f t="shared" si="10"/>
        <v>14415.655132234222</v>
      </c>
      <c r="I15" s="5">
        <f t="shared" si="4"/>
        <v>38050.350997957765</v>
      </c>
      <c r="J15" s="26">
        <f t="shared" si="5"/>
        <v>0.15422858251964128</v>
      </c>
      <c r="L15" s="22">
        <f t="shared" si="11"/>
        <v>55866.333236277496</v>
      </c>
      <c r="M15" s="5">
        <f>scrimecost*Meta!O12</f>
        <v>2509.5070000000001</v>
      </c>
      <c r="N15" s="5">
        <f>L15-Grade14!L15</f>
        <v>580.62775365343259</v>
      </c>
      <c r="O15" s="5">
        <f>Grade14!M15-M15</f>
        <v>20.05600000000004</v>
      </c>
      <c r="P15" s="22">
        <f t="shared" si="12"/>
        <v>45.510556156803048</v>
      </c>
      <c r="Q15" s="22"/>
      <c r="R15" s="22"/>
      <c r="S15" s="22">
        <f t="shared" si="6"/>
        <v>417.68614950149612</v>
      </c>
      <c r="T15" s="22">
        <f t="shared" si="7"/>
        <v>451.74781820469934</v>
      </c>
    </row>
    <row r="16" spans="1:20" x14ac:dyDescent="0.2">
      <c r="A16" s="5">
        <v>25</v>
      </c>
      <c r="B16" s="1">
        <f t="shared" si="8"/>
        <v>1.1038128906249998</v>
      </c>
      <c r="C16" s="5">
        <f t="shared" si="9"/>
        <v>33359.290785847952</v>
      </c>
      <c r="D16" s="5">
        <f t="shared" si="0"/>
        <v>32613.400572842336</v>
      </c>
      <c r="E16" s="5">
        <f t="shared" si="1"/>
        <v>23113.400572842336</v>
      </c>
      <c r="F16" s="5">
        <f t="shared" si="2"/>
        <v>7848.2752870330223</v>
      </c>
      <c r="G16" s="5">
        <f t="shared" si="3"/>
        <v>24765.125285809314</v>
      </c>
      <c r="H16" s="22">
        <f t="shared" si="10"/>
        <v>14776.046510540076</v>
      </c>
      <c r="I16" s="5">
        <f t="shared" si="4"/>
        <v>38920.577842906707</v>
      </c>
      <c r="J16" s="26">
        <f t="shared" si="5"/>
        <v>0.1559858046111478</v>
      </c>
      <c r="L16" s="22">
        <f t="shared" si="11"/>
        <v>57262.991567184436</v>
      </c>
      <c r="M16" s="5">
        <f>scrimecost*Meta!O13</f>
        <v>2107.105</v>
      </c>
      <c r="N16" s="5">
        <f>L16-Grade14!L16</f>
        <v>595.14344749478187</v>
      </c>
      <c r="O16" s="5">
        <f>Grade14!M16-M16</f>
        <v>16.840000000000146</v>
      </c>
      <c r="P16" s="22">
        <f t="shared" si="12"/>
        <v>46.458641442145947</v>
      </c>
      <c r="Q16" s="22"/>
      <c r="R16" s="22"/>
      <c r="S16" s="22">
        <f t="shared" si="6"/>
        <v>424.95575540075737</v>
      </c>
      <c r="T16" s="22">
        <f t="shared" si="7"/>
        <v>468.70674389577471</v>
      </c>
    </row>
    <row r="17" spans="1:20" x14ac:dyDescent="0.2">
      <c r="A17" s="5">
        <v>26</v>
      </c>
      <c r="B17" s="1">
        <f t="shared" si="8"/>
        <v>1.1314082128906247</v>
      </c>
      <c r="C17" s="5">
        <f t="shared" si="9"/>
        <v>34193.273055494145</v>
      </c>
      <c r="D17" s="5">
        <f t="shared" si="0"/>
        <v>33412.355587163387</v>
      </c>
      <c r="E17" s="5">
        <f t="shared" si="1"/>
        <v>23912.355587163387</v>
      </c>
      <c r="F17" s="5">
        <f t="shared" si="2"/>
        <v>8109.1340992088462</v>
      </c>
      <c r="G17" s="5">
        <f t="shared" si="3"/>
        <v>25303.221487954543</v>
      </c>
      <c r="H17" s="22">
        <f t="shared" si="10"/>
        <v>15145.447673303575</v>
      </c>
      <c r="I17" s="5">
        <f t="shared" si="4"/>
        <v>39812.560358979368</v>
      </c>
      <c r="J17" s="26">
        <f t="shared" si="5"/>
        <v>0.15770016762725172</v>
      </c>
      <c r="L17" s="22">
        <f t="shared" si="11"/>
        <v>58694.566356364041</v>
      </c>
      <c r="M17" s="5">
        <f>scrimecost*Meta!O14</f>
        <v>2107.105</v>
      </c>
      <c r="N17" s="5">
        <f>L17-Grade14!L17</f>
        <v>610.02203368215123</v>
      </c>
      <c r="O17" s="5">
        <f>Grade14!M17-M17</f>
        <v>16.840000000000146</v>
      </c>
      <c r="P17" s="22">
        <f t="shared" si="12"/>
        <v>47.430428859622417</v>
      </c>
      <c r="Q17" s="22"/>
      <c r="R17" s="22"/>
      <c r="S17" s="22">
        <f t="shared" si="6"/>
        <v>435.08377824749152</v>
      </c>
      <c r="T17" s="22">
        <f t="shared" si="7"/>
        <v>489.37510824900198</v>
      </c>
    </row>
    <row r="18" spans="1:20" x14ac:dyDescent="0.2">
      <c r="A18" s="5">
        <v>27</v>
      </c>
      <c r="B18" s="1">
        <f t="shared" si="8"/>
        <v>1.1596934182128902</v>
      </c>
      <c r="C18" s="5">
        <f t="shared" si="9"/>
        <v>35048.104881881496</v>
      </c>
      <c r="D18" s="5">
        <f t="shared" si="0"/>
        <v>34231.284476842469</v>
      </c>
      <c r="E18" s="5">
        <f t="shared" si="1"/>
        <v>24731.284476842469</v>
      </c>
      <c r="F18" s="5">
        <f t="shared" si="2"/>
        <v>8376.5143816890668</v>
      </c>
      <c r="G18" s="5">
        <f t="shared" si="3"/>
        <v>25854.770095153403</v>
      </c>
      <c r="H18" s="22">
        <f t="shared" si="10"/>
        <v>15524.083865136163</v>
      </c>
      <c r="I18" s="5">
        <f t="shared" si="4"/>
        <v>40726.842437953848</v>
      </c>
      <c r="J18" s="26">
        <f t="shared" si="5"/>
        <v>0.1593727169112556</v>
      </c>
      <c r="L18" s="22">
        <f t="shared" si="11"/>
        <v>60161.930515273132</v>
      </c>
      <c r="M18" s="5">
        <f>scrimecost*Meta!O15</f>
        <v>2107.105</v>
      </c>
      <c r="N18" s="5">
        <f>L18-Grade14!L18</f>
        <v>625.27258452419483</v>
      </c>
      <c r="O18" s="5">
        <f>Grade14!M18-M18</f>
        <v>16.840000000000146</v>
      </c>
      <c r="P18" s="22">
        <f t="shared" si="12"/>
        <v>48.426510962535808</v>
      </c>
      <c r="Q18" s="22"/>
      <c r="R18" s="22"/>
      <c r="S18" s="22">
        <f t="shared" si="6"/>
        <v>445.46500166538777</v>
      </c>
      <c r="T18" s="22">
        <f t="shared" si="7"/>
        <v>510.96843273805069</v>
      </c>
    </row>
    <row r="19" spans="1:20" x14ac:dyDescent="0.2">
      <c r="A19" s="5">
        <v>28</v>
      </c>
      <c r="B19" s="1">
        <f t="shared" si="8"/>
        <v>1.1886857536682125</v>
      </c>
      <c r="C19" s="5">
        <f t="shared" si="9"/>
        <v>35924.307503928532</v>
      </c>
      <c r="D19" s="5">
        <f t="shared" si="0"/>
        <v>35070.686588763529</v>
      </c>
      <c r="E19" s="5">
        <f t="shared" si="1"/>
        <v>25570.686588763529</v>
      </c>
      <c r="F19" s="5">
        <f t="shared" si="2"/>
        <v>8650.579171231293</v>
      </c>
      <c r="G19" s="5">
        <f t="shared" si="3"/>
        <v>26420.107417532236</v>
      </c>
      <c r="H19" s="22">
        <f t="shared" si="10"/>
        <v>15912.18596176457</v>
      </c>
      <c r="I19" s="5">
        <f t="shared" si="4"/>
        <v>41663.981568902695</v>
      </c>
      <c r="J19" s="26">
        <f t="shared" si="5"/>
        <v>0.16100447231028372</v>
      </c>
      <c r="L19" s="22">
        <f t="shared" si="11"/>
        <v>61665.978778154968</v>
      </c>
      <c r="M19" s="5">
        <f>scrimecost*Meta!O16</f>
        <v>2107.105</v>
      </c>
      <c r="N19" s="5">
        <f>L19-Grade14!L19</f>
        <v>640.90439913731097</v>
      </c>
      <c r="O19" s="5">
        <f>Grade14!M19-M19</f>
        <v>16.840000000000146</v>
      </c>
      <c r="P19" s="22">
        <f t="shared" si="12"/>
        <v>49.447495118022033</v>
      </c>
      <c r="Q19" s="22"/>
      <c r="R19" s="22"/>
      <c r="S19" s="22">
        <f t="shared" si="6"/>
        <v>456.10575566874479</v>
      </c>
      <c r="T19" s="22">
        <f t="shared" si="7"/>
        <v>533.52838714017219</v>
      </c>
    </row>
    <row r="20" spans="1:20" x14ac:dyDescent="0.2">
      <c r="A20" s="5">
        <v>29</v>
      </c>
      <c r="B20" s="1">
        <f t="shared" si="8"/>
        <v>1.2184028975099177</v>
      </c>
      <c r="C20" s="5">
        <f t="shared" si="9"/>
        <v>36822.415191526743</v>
      </c>
      <c r="D20" s="5">
        <f t="shared" si="0"/>
        <v>35931.073753482618</v>
      </c>
      <c r="E20" s="5">
        <f t="shared" si="1"/>
        <v>26431.073753482618</v>
      </c>
      <c r="F20" s="5">
        <f t="shared" si="2"/>
        <v>8931.4955805120753</v>
      </c>
      <c r="G20" s="5">
        <f t="shared" si="3"/>
        <v>26999.578172970541</v>
      </c>
      <c r="H20" s="22">
        <f t="shared" si="10"/>
        <v>16309.990610808682</v>
      </c>
      <c r="I20" s="5">
        <f t="shared" si="4"/>
        <v>42624.549178125257</v>
      </c>
      <c r="J20" s="26">
        <f t="shared" si="5"/>
        <v>0.16259642879714045</v>
      </c>
      <c r="L20" s="22">
        <f t="shared" si="11"/>
        <v>63207.628247608838</v>
      </c>
      <c r="M20" s="5">
        <f>scrimecost*Meta!O17</f>
        <v>2107.105</v>
      </c>
      <c r="N20" s="5">
        <f>L20-Grade14!L20</f>
        <v>656.9270091157523</v>
      </c>
      <c r="O20" s="5">
        <f>Grade14!M20-M20</f>
        <v>16.840000000000146</v>
      </c>
      <c r="P20" s="22">
        <f t="shared" si="12"/>
        <v>50.4940038773954</v>
      </c>
      <c r="Q20" s="22"/>
      <c r="R20" s="22"/>
      <c r="S20" s="22">
        <f t="shared" si="6"/>
        <v>467.01252852218414</v>
      </c>
      <c r="T20" s="22">
        <f t="shared" si="7"/>
        <v>557.09852398902979</v>
      </c>
    </row>
    <row r="21" spans="1:20" x14ac:dyDescent="0.2">
      <c r="A21" s="5">
        <v>30</v>
      </c>
      <c r="B21" s="1">
        <f t="shared" si="8"/>
        <v>1.2488629699476654</v>
      </c>
      <c r="C21" s="5">
        <f t="shared" si="9"/>
        <v>37742.975571314913</v>
      </c>
      <c r="D21" s="5">
        <f t="shared" si="0"/>
        <v>36812.970597319683</v>
      </c>
      <c r="E21" s="5">
        <f t="shared" si="1"/>
        <v>27312.970597319683</v>
      </c>
      <c r="F21" s="5">
        <f t="shared" si="2"/>
        <v>9219.4349000248767</v>
      </c>
      <c r="G21" s="5">
        <f t="shared" si="3"/>
        <v>27593.535697294807</v>
      </c>
      <c r="H21" s="22">
        <f t="shared" si="10"/>
        <v>16717.740376078895</v>
      </c>
      <c r="I21" s="5">
        <f t="shared" si="4"/>
        <v>43609.130977578388</v>
      </c>
      <c r="J21" s="26">
        <f t="shared" si="5"/>
        <v>0.16414955707700066</v>
      </c>
      <c r="L21" s="22">
        <f t="shared" si="11"/>
        <v>64787.818953799047</v>
      </c>
      <c r="M21" s="5">
        <f>scrimecost*Meta!O18</f>
        <v>1698.6970000000001</v>
      </c>
      <c r="N21" s="5">
        <f>L21-Grade14!L21</f>
        <v>673.35018434363155</v>
      </c>
      <c r="O21" s="5">
        <f>Grade14!M21-M21</f>
        <v>13.576000000000022</v>
      </c>
      <c r="P21" s="22">
        <f t="shared" si="12"/>
        <v>51.566675355753105</v>
      </c>
      <c r="Q21" s="22"/>
      <c r="R21" s="22"/>
      <c r="S21" s="22">
        <f t="shared" si="6"/>
        <v>475.54160269694484</v>
      </c>
      <c r="T21" s="22">
        <f t="shared" si="7"/>
        <v>578.5001698452586</v>
      </c>
    </row>
    <row r="22" spans="1:20" x14ac:dyDescent="0.2">
      <c r="A22" s="5">
        <v>31</v>
      </c>
      <c r="B22" s="1">
        <f t="shared" si="8"/>
        <v>1.2800845441963571</v>
      </c>
      <c r="C22" s="5">
        <f t="shared" si="9"/>
        <v>38686.549960597782</v>
      </c>
      <c r="D22" s="5">
        <f t="shared" si="0"/>
        <v>37716.91486225267</v>
      </c>
      <c r="E22" s="5">
        <f t="shared" si="1"/>
        <v>28216.91486225267</v>
      </c>
      <c r="F22" s="5">
        <f t="shared" si="2"/>
        <v>9514.5727025254964</v>
      </c>
      <c r="G22" s="5">
        <f t="shared" si="3"/>
        <v>28202.342159727174</v>
      </c>
      <c r="H22" s="22">
        <f t="shared" si="10"/>
        <v>17135.683885480867</v>
      </c>
      <c r="I22" s="5">
        <f t="shared" si="4"/>
        <v>44618.327322017838</v>
      </c>
      <c r="J22" s="26">
        <f t="shared" si="5"/>
        <v>0.16566480417930329</v>
      </c>
      <c r="L22" s="22">
        <f t="shared" si="11"/>
        <v>66407.514427644026</v>
      </c>
      <c r="M22" s="5">
        <f>scrimecost*Meta!O19</f>
        <v>1698.6970000000001</v>
      </c>
      <c r="N22" s="5">
        <f>L22-Grade14!L22</f>
        <v>690.18393895222107</v>
      </c>
      <c r="O22" s="5">
        <f>Grade14!M22-M22</f>
        <v>13.576000000000022</v>
      </c>
      <c r="P22" s="22">
        <f t="shared" si="12"/>
        <v>52.666163621069764</v>
      </c>
      <c r="Q22" s="22"/>
      <c r="R22" s="22"/>
      <c r="S22" s="22">
        <f t="shared" si="6"/>
        <v>487.000530926083</v>
      </c>
      <c r="T22" s="22">
        <f t="shared" si="7"/>
        <v>604.1654774966371</v>
      </c>
    </row>
    <row r="23" spans="1:20" x14ac:dyDescent="0.2">
      <c r="A23" s="5">
        <v>32</v>
      </c>
      <c r="B23" s="1">
        <f t="shared" si="8"/>
        <v>1.312086657801266</v>
      </c>
      <c r="C23" s="5">
        <f t="shared" si="9"/>
        <v>39653.713709612726</v>
      </c>
      <c r="D23" s="5">
        <f t="shared" si="0"/>
        <v>38643.457733808988</v>
      </c>
      <c r="E23" s="5">
        <f t="shared" si="1"/>
        <v>29143.457733808988</v>
      </c>
      <c r="F23" s="5">
        <f t="shared" si="2"/>
        <v>9817.0889500886333</v>
      </c>
      <c r="G23" s="5">
        <f t="shared" si="3"/>
        <v>28826.368783720354</v>
      </c>
      <c r="H23" s="22">
        <f t="shared" si="10"/>
        <v>17564.075982617891</v>
      </c>
      <c r="I23" s="5">
        <f t="shared" si="4"/>
        <v>45652.753575068295</v>
      </c>
      <c r="J23" s="26">
        <f t="shared" si="5"/>
        <v>0.1671430940352083</v>
      </c>
      <c r="L23" s="22">
        <f t="shared" si="11"/>
        <v>68067.702288335116</v>
      </c>
      <c r="M23" s="5">
        <f>scrimecost*Meta!O20</f>
        <v>1698.6970000000001</v>
      </c>
      <c r="N23" s="5">
        <f>L23-Grade14!L23</f>
        <v>707.43853742601641</v>
      </c>
      <c r="O23" s="5">
        <f>Grade14!M23-M23</f>
        <v>13.576000000000022</v>
      </c>
      <c r="P23" s="22">
        <f t="shared" si="12"/>
        <v>53.793139093019327</v>
      </c>
      <c r="Q23" s="22"/>
      <c r="R23" s="22"/>
      <c r="S23" s="22">
        <f t="shared" si="6"/>
        <v>498.74593236094404</v>
      </c>
      <c r="T23" s="22">
        <f t="shared" si="7"/>
        <v>630.98253000655404</v>
      </c>
    </row>
    <row r="24" spans="1:20" x14ac:dyDescent="0.2">
      <c r="A24" s="5">
        <v>33</v>
      </c>
      <c r="B24" s="1">
        <f t="shared" si="8"/>
        <v>1.3448888242462975</v>
      </c>
      <c r="C24" s="5">
        <f t="shared" si="9"/>
        <v>40645.056552353046</v>
      </c>
      <c r="D24" s="5">
        <f t="shared" si="0"/>
        <v>39593.164177154213</v>
      </c>
      <c r="E24" s="5">
        <f t="shared" si="1"/>
        <v>30093.164177154213</v>
      </c>
      <c r="F24" s="5">
        <f t="shared" si="2"/>
        <v>10127.16810384085</v>
      </c>
      <c r="G24" s="5">
        <f t="shared" si="3"/>
        <v>29465.996073313363</v>
      </c>
      <c r="H24" s="22">
        <f t="shared" si="10"/>
        <v>18003.177882183336</v>
      </c>
      <c r="I24" s="5">
        <f t="shared" si="4"/>
        <v>46713.040484444995</v>
      </c>
      <c r="J24" s="26">
        <f t="shared" si="5"/>
        <v>0.16858532804096932</v>
      </c>
      <c r="L24" s="22">
        <f t="shared" si="11"/>
        <v>69769.394845543502</v>
      </c>
      <c r="M24" s="5">
        <f>scrimecost*Meta!O21</f>
        <v>1698.6970000000001</v>
      </c>
      <c r="N24" s="5">
        <f>L24-Grade14!L24</f>
        <v>725.12450086168246</v>
      </c>
      <c r="O24" s="5">
        <f>Grade14!M24-M24</f>
        <v>13.576000000000022</v>
      </c>
      <c r="P24" s="22">
        <f t="shared" si="12"/>
        <v>54.948288951767644</v>
      </c>
      <c r="Q24" s="22"/>
      <c r="R24" s="22"/>
      <c r="S24" s="22">
        <f t="shared" si="6"/>
        <v>510.78496883169277</v>
      </c>
      <c r="T24" s="22">
        <f t="shared" si="7"/>
        <v>659.00327715599087</v>
      </c>
    </row>
    <row r="25" spans="1:20" x14ac:dyDescent="0.2">
      <c r="A25" s="5">
        <v>34</v>
      </c>
      <c r="B25" s="1">
        <f t="shared" si="8"/>
        <v>1.3785110448524549</v>
      </c>
      <c r="C25" s="5">
        <f t="shared" si="9"/>
        <v>41661.182966161861</v>
      </c>
      <c r="D25" s="5">
        <f t="shared" si="0"/>
        <v>40566.613281583057</v>
      </c>
      <c r="E25" s="5">
        <f t="shared" si="1"/>
        <v>31066.613281583057</v>
      </c>
      <c r="F25" s="5">
        <f t="shared" si="2"/>
        <v>10444.999236436868</v>
      </c>
      <c r="G25" s="5">
        <f t="shared" si="3"/>
        <v>30121.614045146191</v>
      </c>
      <c r="H25" s="22">
        <f t="shared" si="10"/>
        <v>18453.257329237917</v>
      </c>
      <c r="I25" s="5">
        <f t="shared" si="4"/>
        <v>47799.834566556114</v>
      </c>
      <c r="J25" s="26">
        <f t="shared" si="5"/>
        <v>0.16999238560756541</v>
      </c>
      <c r="L25" s="22">
        <f t="shared" si="11"/>
        <v>71513.629716682073</v>
      </c>
      <c r="M25" s="5">
        <f>scrimecost*Meta!O22</f>
        <v>1698.6970000000001</v>
      </c>
      <c r="N25" s="5">
        <f>L25-Grade14!L25</f>
        <v>743.25261338321434</v>
      </c>
      <c r="O25" s="5">
        <f>Grade14!M25-M25</f>
        <v>13.576000000000022</v>
      </c>
      <c r="P25" s="22">
        <f t="shared" si="12"/>
        <v>56.132317556984653</v>
      </c>
      <c r="Q25" s="22"/>
      <c r="R25" s="22"/>
      <c r="S25" s="22">
        <f t="shared" si="6"/>
        <v>523.12498121419401</v>
      </c>
      <c r="T25" s="22">
        <f t="shared" si="7"/>
        <v>688.2820172203219</v>
      </c>
    </row>
    <row r="26" spans="1:20" x14ac:dyDescent="0.2">
      <c r="A26" s="5">
        <v>35</v>
      </c>
      <c r="B26" s="1">
        <f t="shared" si="8"/>
        <v>1.4129738209737661</v>
      </c>
      <c r="C26" s="5">
        <f t="shared" si="9"/>
        <v>42702.712540315901</v>
      </c>
      <c r="D26" s="5">
        <f t="shared" si="0"/>
        <v>41564.39861362263</v>
      </c>
      <c r="E26" s="5">
        <f t="shared" si="1"/>
        <v>32064.39861362263</v>
      </c>
      <c r="F26" s="5">
        <f t="shared" si="2"/>
        <v>10770.776147347788</v>
      </c>
      <c r="G26" s="5">
        <f t="shared" si="3"/>
        <v>30793.622466274843</v>
      </c>
      <c r="H26" s="22">
        <f t="shared" si="10"/>
        <v>18914.588762468866</v>
      </c>
      <c r="I26" s="5">
        <f t="shared" si="4"/>
        <v>48913.798500720019</v>
      </c>
      <c r="J26" s="26">
        <f t="shared" si="5"/>
        <v>0.17136512469692744</v>
      </c>
      <c r="L26" s="22">
        <f t="shared" si="11"/>
        <v>73301.470459599121</v>
      </c>
      <c r="M26" s="5">
        <f>scrimecost*Meta!O23</f>
        <v>1318.317</v>
      </c>
      <c r="N26" s="5">
        <f>L26-Grade14!L26</f>
        <v>761.83392871778051</v>
      </c>
      <c r="O26" s="5">
        <f>Grade14!M26-M26</f>
        <v>10.535999999999831</v>
      </c>
      <c r="P26" s="22">
        <f t="shared" si="12"/>
        <v>57.345946877332082</v>
      </c>
      <c r="Q26" s="22"/>
      <c r="R26" s="22"/>
      <c r="S26" s="22">
        <f t="shared" si="6"/>
        <v>533.30501390625511</v>
      </c>
      <c r="T26" s="22">
        <f t="shared" si="7"/>
        <v>715.56341367064283</v>
      </c>
    </row>
    <row r="27" spans="1:20" x14ac:dyDescent="0.2">
      <c r="A27" s="5">
        <v>36</v>
      </c>
      <c r="B27" s="1">
        <f t="shared" si="8"/>
        <v>1.4482981664981105</v>
      </c>
      <c r="C27" s="5">
        <f t="shared" si="9"/>
        <v>43770.280353823808</v>
      </c>
      <c r="D27" s="5">
        <f t="shared" si="0"/>
        <v>42587.128578963202</v>
      </c>
      <c r="E27" s="5">
        <f t="shared" si="1"/>
        <v>33087.128578963202</v>
      </c>
      <c r="F27" s="5">
        <f t="shared" si="2"/>
        <v>11104.697481031486</v>
      </c>
      <c r="G27" s="5">
        <f t="shared" si="3"/>
        <v>31482.431097931716</v>
      </c>
      <c r="H27" s="22">
        <f t="shared" si="10"/>
        <v>19387.453481530585</v>
      </c>
      <c r="I27" s="5">
        <f t="shared" si="4"/>
        <v>50055.611533238014</v>
      </c>
      <c r="J27" s="26">
        <f t="shared" si="5"/>
        <v>0.17270438234508559</v>
      </c>
      <c r="L27" s="22">
        <f t="shared" si="11"/>
        <v>75134.007221089123</v>
      </c>
      <c r="M27" s="5">
        <f>scrimecost*Meta!O24</f>
        <v>1318.317</v>
      </c>
      <c r="N27" s="5">
        <f>L27-Grade14!L27</f>
        <v>780.87977693576249</v>
      </c>
      <c r="O27" s="5">
        <f>Grade14!M27-M27</f>
        <v>10.535999999999831</v>
      </c>
      <c r="P27" s="22">
        <f t="shared" si="12"/>
        <v>58.589916930688247</v>
      </c>
      <c r="Q27" s="22"/>
      <c r="R27" s="22"/>
      <c r="S27" s="22">
        <f t="shared" si="6"/>
        <v>546.26973941565041</v>
      </c>
      <c r="T27" s="22">
        <f t="shared" si="7"/>
        <v>747.46541247423954</v>
      </c>
    </row>
    <row r="28" spans="1:20" x14ac:dyDescent="0.2">
      <c r="A28" s="5">
        <v>37</v>
      </c>
      <c r="B28" s="1">
        <f t="shared" si="8"/>
        <v>1.4845056206605631</v>
      </c>
      <c r="C28" s="5">
        <f t="shared" si="9"/>
        <v>44864.537362669405</v>
      </c>
      <c r="D28" s="5">
        <f t="shared" si="0"/>
        <v>43635.426793437284</v>
      </c>
      <c r="E28" s="5">
        <f t="shared" si="1"/>
        <v>34135.426793437284</v>
      </c>
      <c r="F28" s="5">
        <f t="shared" si="2"/>
        <v>11446.966848057273</v>
      </c>
      <c r="G28" s="5">
        <f t="shared" si="3"/>
        <v>32188.459945380011</v>
      </c>
      <c r="H28" s="22">
        <f t="shared" si="10"/>
        <v>19872.139818568849</v>
      </c>
      <c r="I28" s="5">
        <f t="shared" si="4"/>
        <v>51225.969891568966</v>
      </c>
      <c r="J28" s="26">
        <f t="shared" si="5"/>
        <v>0.1740109751725569</v>
      </c>
      <c r="L28" s="22">
        <f t="shared" si="11"/>
        <v>77012.357401616333</v>
      </c>
      <c r="M28" s="5">
        <f>scrimecost*Meta!O25</f>
        <v>1318.317</v>
      </c>
      <c r="N28" s="5">
        <f>L28-Grade14!L28</f>
        <v>800.40177135914564</v>
      </c>
      <c r="O28" s="5">
        <f>Grade14!M28-M28</f>
        <v>10.535999999999831</v>
      </c>
      <c r="P28" s="22">
        <f t="shared" si="12"/>
        <v>59.864986235378268</v>
      </c>
      <c r="Q28" s="22"/>
      <c r="R28" s="22"/>
      <c r="S28" s="22">
        <f t="shared" si="6"/>
        <v>559.55858306275024</v>
      </c>
      <c r="T28" s="22">
        <f t="shared" si="7"/>
        <v>780.80217960289986</v>
      </c>
    </row>
    <row r="29" spans="1:20" x14ac:dyDescent="0.2">
      <c r="A29" s="5">
        <v>38</v>
      </c>
      <c r="B29" s="1">
        <f t="shared" si="8"/>
        <v>1.521618261177077</v>
      </c>
      <c r="C29" s="5">
        <f t="shared" si="9"/>
        <v>45986.150796736125</v>
      </c>
      <c r="D29" s="5">
        <f t="shared" si="0"/>
        <v>44709.932463273202</v>
      </c>
      <c r="E29" s="5">
        <f t="shared" si="1"/>
        <v>35209.932463273202</v>
      </c>
      <c r="F29" s="5">
        <f t="shared" si="2"/>
        <v>11868.786195586021</v>
      </c>
      <c r="G29" s="5">
        <f t="shared" si="3"/>
        <v>32841.146267687182</v>
      </c>
      <c r="H29" s="22">
        <f t="shared" si="10"/>
        <v>20368.943314033069</v>
      </c>
      <c r="I29" s="5">
        <f t="shared" si="4"/>
        <v>52354.59396253086</v>
      </c>
      <c r="J29" s="26">
        <f t="shared" si="5"/>
        <v>0.17640250464452192</v>
      </c>
      <c r="L29" s="22">
        <f t="shared" si="11"/>
        <v>78937.666336656737</v>
      </c>
      <c r="M29" s="5">
        <f>scrimecost*Meta!O26</f>
        <v>1318.317</v>
      </c>
      <c r="N29" s="5">
        <f>L29-Grade14!L29</f>
        <v>820.41181564312137</v>
      </c>
      <c r="O29" s="5">
        <f>Grade14!M29-M29</f>
        <v>10.535999999999831</v>
      </c>
      <c r="P29" s="22">
        <f t="shared" si="12"/>
        <v>61.436406157739491</v>
      </c>
      <c r="Q29" s="22"/>
      <c r="R29" s="22"/>
      <c r="S29" s="22">
        <f t="shared" si="6"/>
        <v>573.39440059569631</v>
      </c>
      <c r="T29" s="22">
        <f t="shared" si="7"/>
        <v>815.944088248203</v>
      </c>
    </row>
    <row r="30" spans="1:20" x14ac:dyDescent="0.2">
      <c r="A30" s="5">
        <v>39</v>
      </c>
      <c r="B30" s="1">
        <f t="shared" si="8"/>
        <v>1.559658717706504</v>
      </c>
      <c r="C30" s="5">
        <f t="shared" si="9"/>
        <v>47135.804566654537</v>
      </c>
      <c r="D30" s="5">
        <f t="shared" si="0"/>
        <v>45811.300774855044</v>
      </c>
      <c r="E30" s="5">
        <f t="shared" si="1"/>
        <v>36311.300774855044</v>
      </c>
      <c r="F30" s="5">
        <f t="shared" si="2"/>
        <v>12338.519780475675</v>
      </c>
      <c r="G30" s="5">
        <f t="shared" si="3"/>
        <v>33472.780994379369</v>
      </c>
      <c r="H30" s="22">
        <f t="shared" si="10"/>
        <v>20878.166896883897</v>
      </c>
      <c r="I30" s="5">
        <f t="shared" si="4"/>
        <v>53474.064881594139</v>
      </c>
      <c r="J30" s="26">
        <f t="shared" si="5"/>
        <v>0.17930921937812072</v>
      </c>
      <c r="L30" s="22">
        <f t="shared" si="11"/>
        <v>80911.107995073151</v>
      </c>
      <c r="M30" s="5">
        <f>scrimecost*Meta!O27</f>
        <v>1318.317</v>
      </c>
      <c r="N30" s="5">
        <f>L30-Grade14!L30</f>
        <v>840.92211103418958</v>
      </c>
      <c r="O30" s="5">
        <f>Grade14!M30-M30</f>
        <v>10.535999999999831</v>
      </c>
      <c r="P30" s="22">
        <f t="shared" si="12"/>
        <v>63.186322840846223</v>
      </c>
      <c r="Q30" s="22"/>
      <c r="R30" s="22"/>
      <c r="S30" s="22">
        <f t="shared" si="6"/>
        <v>587.68915311226294</v>
      </c>
      <c r="T30" s="22">
        <f t="shared" si="7"/>
        <v>852.83717919365836</v>
      </c>
    </row>
    <row r="31" spans="1:20" x14ac:dyDescent="0.2">
      <c r="A31" s="5">
        <v>40</v>
      </c>
      <c r="B31" s="1">
        <f t="shared" si="8"/>
        <v>1.5986501856491666</v>
      </c>
      <c r="C31" s="5">
        <f t="shared" si="9"/>
        <v>48314.199680820901</v>
      </c>
      <c r="D31" s="5">
        <f t="shared" si="0"/>
        <v>46940.20329422642</v>
      </c>
      <c r="E31" s="5">
        <f t="shared" si="1"/>
        <v>37440.20329422642</v>
      </c>
      <c r="F31" s="5">
        <f t="shared" si="2"/>
        <v>12819.996704987567</v>
      </c>
      <c r="G31" s="5">
        <f t="shared" si="3"/>
        <v>34120.206589238849</v>
      </c>
      <c r="H31" s="22">
        <f t="shared" si="10"/>
        <v>21400.121069305995</v>
      </c>
      <c r="I31" s="5">
        <f t="shared" si="4"/>
        <v>54621.522573633993</v>
      </c>
      <c r="J31" s="26">
        <f t="shared" si="5"/>
        <v>0.18214503863041218</v>
      </c>
      <c r="L31" s="22">
        <f t="shared" si="11"/>
        <v>82933.88569494999</v>
      </c>
      <c r="M31" s="5">
        <f>scrimecost*Meta!O28</f>
        <v>1153.1519999999998</v>
      </c>
      <c r="N31" s="5">
        <f>L31-Grade14!L31</f>
        <v>861.94516381005815</v>
      </c>
      <c r="O31" s="5">
        <f>Grade14!M31-M31</f>
        <v>9.2160000000001219</v>
      </c>
      <c r="P31" s="22">
        <f t="shared" si="12"/>
        <v>64.979987441030616</v>
      </c>
      <c r="Q31" s="22"/>
      <c r="R31" s="22"/>
      <c r="S31" s="22">
        <f t="shared" si="6"/>
        <v>601.26943444175913</v>
      </c>
      <c r="T31" s="22">
        <f t="shared" si="7"/>
        <v>889.81367188994045</v>
      </c>
    </row>
    <row r="32" spans="1:20" x14ac:dyDescent="0.2">
      <c r="A32" s="5">
        <v>41</v>
      </c>
      <c r="B32" s="1">
        <f t="shared" si="8"/>
        <v>1.6386164402903955</v>
      </c>
      <c r="C32" s="5">
        <f t="shared" si="9"/>
        <v>49522.054672841419</v>
      </c>
      <c r="D32" s="5">
        <f t="shared" si="0"/>
        <v>48097.328376582074</v>
      </c>
      <c r="E32" s="5">
        <f t="shared" si="1"/>
        <v>38597.328376582074</v>
      </c>
      <c r="F32" s="5">
        <f t="shared" si="2"/>
        <v>13313.510552612255</v>
      </c>
      <c r="G32" s="5">
        <f t="shared" si="3"/>
        <v>34783.817823969817</v>
      </c>
      <c r="H32" s="22">
        <f t="shared" si="10"/>
        <v>21935.124096038646</v>
      </c>
      <c r="I32" s="5">
        <f t="shared" si="4"/>
        <v>55797.666707974844</v>
      </c>
      <c r="J32" s="26">
        <f t="shared" si="5"/>
        <v>0.18491169155947704</v>
      </c>
      <c r="L32" s="22">
        <f t="shared" si="11"/>
        <v>85007.232837323711</v>
      </c>
      <c r="M32" s="5">
        <f>scrimecost*Meta!O29</f>
        <v>1153.1519999999998</v>
      </c>
      <c r="N32" s="5">
        <f>L32-Grade14!L32</f>
        <v>883.4937929052976</v>
      </c>
      <c r="O32" s="5">
        <f>Grade14!M32-M32</f>
        <v>9.2160000000001219</v>
      </c>
      <c r="P32" s="22">
        <f t="shared" si="12"/>
        <v>66.818493656219601</v>
      </c>
      <c r="Q32" s="22"/>
      <c r="R32" s="22"/>
      <c r="S32" s="22">
        <f t="shared" si="6"/>
        <v>616.28785880447606</v>
      </c>
      <c r="T32" s="22">
        <f t="shared" si="7"/>
        <v>930.09017487424103</v>
      </c>
    </row>
    <row r="33" spans="1:20" x14ac:dyDescent="0.2">
      <c r="A33" s="5">
        <v>42</v>
      </c>
      <c r="B33" s="1">
        <f t="shared" si="8"/>
        <v>1.6795818512976552</v>
      </c>
      <c r="C33" s="5">
        <f t="shared" si="9"/>
        <v>50760.106039662453</v>
      </c>
      <c r="D33" s="5">
        <f t="shared" si="0"/>
        <v>49283.381585996627</v>
      </c>
      <c r="E33" s="5">
        <f t="shared" si="1"/>
        <v>39783.381585996627</v>
      </c>
      <c r="F33" s="5">
        <f t="shared" si="2"/>
        <v>13819.362246427561</v>
      </c>
      <c r="G33" s="5">
        <f t="shared" si="3"/>
        <v>35464.019339569066</v>
      </c>
      <c r="H33" s="22">
        <f t="shared" si="10"/>
        <v>22483.502198439604</v>
      </c>
      <c r="I33" s="5">
        <f t="shared" si="4"/>
        <v>57003.21444567421</v>
      </c>
      <c r="J33" s="26">
        <f t="shared" si="5"/>
        <v>0.18761086514880859</v>
      </c>
      <c r="L33" s="22">
        <f t="shared" si="11"/>
        <v>87132.413658256803</v>
      </c>
      <c r="M33" s="5">
        <f>scrimecost*Meta!O30</f>
        <v>1153.1519999999998</v>
      </c>
      <c r="N33" s="5">
        <f>L33-Grade14!L33</f>
        <v>905.58113772793149</v>
      </c>
      <c r="O33" s="5">
        <f>Grade14!M33-M33</f>
        <v>9.2160000000001219</v>
      </c>
      <c r="P33" s="22">
        <f t="shared" si="12"/>
        <v>68.70296252678834</v>
      </c>
      <c r="Q33" s="22"/>
      <c r="R33" s="22"/>
      <c r="S33" s="22">
        <f t="shared" si="6"/>
        <v>631.6817437762694</v>
      </c>
      <c r="T33" s="22">
        <f t="shared" si="7"/>
        <v>972.19026416906866</v>
      </c>
    </row>
    <row r="34" spans="1:20" x14ac:dyDescent="0.2">
      <c r="A34" s="5">
        <v>43</v>
      </c>
      <c r="B34" s="1">
        <f t="shared" si="8"/>
        <v>1.7215713975800966</v>
      </c>
      <c r="C34" s="5">
        <f t="shared" si="9"/>
        <v>52029.108690654</v>
      </c>
      <c r="D34" s="5">
        <f t="shared" si="0"/>
        <v>50499.086125646529</v>
      </c>
      <c r="E34" s="5">
        <f t="shared" si="1"/>
        <v>40999.086125646529</v>
      </c>
      <c r="F34" s="5">
        <f t="shared" si="2"/>
        <v>14337.860232588246</v>
      </c>
      <c r="G34" s="5">
        <f t="shared" si="3"/>
        <v>36161.225893058283</v>
      </c>
      <c r="H34" s="22">
        <f t="shared" si="10"/>
        <v>23045.589753400593</v>
      </c>
      <c r="I34" s="5">
        <f t="shared" si="4"/>
        <v>58238.900876816049</v>
      </c>
      <c r="J34" s="26">
        <f t="shared" si="5"/>
        <v>0.19024420523596131</v>
      </c>
      <c r="L34" s="22">
        <f t="shared" si="11"/>
        <v>89310.723999713213</v>
      </c>
      <c r="M34" s="5">
        <f>scrimecost*Meta!O31</f>
        <v>1153.1519999999998</v>
      </c>
      <c r="N34" s="5">
        <f>L34-Grade14!L34</f>
        <v>928.22066617110977</v>
      </c>
      <c r="O34" s="5">
        <f>Grade14!M34-M34</f>
        <v>9.2160000000001219</v>
      </c>
      <c r="P34" s="22">
        <f t="shared" si="12"/>
        <v>70.634543119121261</v>
      </c>
      <c r="Q34" s="22"/>
      <c r="R34" s="22"/>
      <c r="S34" s="22">
        <f t="shared" si="6"/>
        <v>647.46047587234409</v>
      </c>
      <c r="T34" s="22">
        <f t="shared" si="7"/>
        <v>1016.1965158399713</v>
      </c>
    </row>
    <row r="35" spans="1:20" x14ac:dyDescent="0.2">
      <c r="A35" s="5">
        <v>44</v>
      </c>
      <c r="B35" s="1">
        <f t="shared" si="8"/>
        <v>1.7646106825195991</v>
      </c>
      <c r="C35" s="5">
        <f t="shared" si="9"/>
        <v>53329.83640792036</v>
      </c>
      <c r="D35" s="5">
        <f t="shared" si="0"/>
        <v>51745.183278787699</v>
      </c>
      <c r="E35" s="5">
        <f t="shared" si="1"/>
        <v>42245.183278787699</v>
      </c>
      <c r="F35" s="5">
        <f t="shared" si="2"/>
        <v>14869.320668402954</v>
      </c>
      <c r="G35" s="5">
        <f t="shared" si="3"/>
        <v>36875.862610384749</v>
      </c>
      <c r="H35" s="22">
        <f t="shared" si="10"/>
        <v>23621.729497235614</v>
      </c>
      <c r="I35" s="5">
        <f t="shared" si="4"/>
        <v>59505.479468736463</v>
      </c>
      <c r="J35" s="26">
        <f t="shared" si="5"/>
        <v>0.19281331751611031</v>
      </c>
      <c r="L35" s="22">
        <f t="shared" si="11"/>
        <v>91543.492099706054</v>
      </c>
      <c r="M35" s="5">
        <f>scrimecost*Meta!O32</f>
        <v>1153.1519999999998</v>
      </c>
      <c r="N35" s="5">
        <f>L35-Grade14!L35</f>
        <v>951.42618282540934</v>
      </c>
      <c r="O35" s="5">
        <f>Grade14!M35-M35</f>
        <v>9.2160000000001219</v>
      </c>
      <c r="P35" s="22">
        <f t="shared" si="12"/>
        <v>72.614413226262542</v>
      </c>
      <c r="Q35" s="22"/>
      <c r="R35" s="22"/>
      <c r="S35" s="22">
        <f t="shared" si="6"/>
        <v>663.63367627084688</v>
      </c>
      <c r="T35" s="22">
        <f t="shared" si="7"/>
        <v>1062.1952453820704</v>
      </c>
    </row>
    <row r="36" spans="1:20" x14ac:dyDescent="0.2">
      <c r="A36" s="5">
        <v>45</v>
      </c>
      <c r="B36" s="1">
        <f t="shared" si="8"/>
        <v>1.8087259495825889</v>
      </c>
      <c r="C36" s="5">
        <f t="shared" si="9"/>
        <v>54663.082318118366</v>
      </c>
      <c r="D36" s="5">
        <f t="shared" si="0"/>
        <v>53022.432860757392</v>
      </c>
      <c r="E36" s="5">
        <f t="shared" si="1"/>
        <v>43522.432860757392</v>
      </c>
      <c r="F36" s="5">
        <f t="shared" si="2"/>
        <v>15414.067615113026</v>
      </c>
      <c r="G36" s="5">
        <f t="shared" si="3"/>
        <v>37608.365245644367</v>
      </c>
      <c r="H36" s="22">
        <f t="shared" si="10"/>
        <v>24212.272734666501</v>
      </c>
      <c r="I36" s="5">
        <f t="shared" si="4"/>
        <v>60803.722525454876</v>
      </c>
      <c r="J36" s="26">
        <f t="shared" si="5"/>
        <v>0.19531976852113375</v>
      </c>
      <c r="L36" s="22">
        <f t="shared" si="11"/>
        <v>93832.079402198695</v>
      </c>
      <c r="M36" s="5">
        <f>scrimecost*Meta!O33</f>
        <v>931.93100000000004</v>
      </c>
      <c r="N36" s="5">
        <f>L36-Grade14!L36</f>
        <v>975.21183739605476</v>
      </c>
      <c r="O36" s="5">
        <f>Grade14!M36-M36</f>
        <v>7.4479999999999791</v>
      </c>
      <c r="P36" s="22">
        <f t="shared" si="12"/>
        <v>74.643780086082344</v>
      </c>
      <c r="Q36" s="22"/>
      <c r="R36" s="22"/>
      <c r="S36" s="22">
        <f t="shared" si="6"/>
        <v>678.77559067930497</v>
      </c>
      <c r="T36" s="22">
        <f t="shared" si="7"/>
        <v>1107.9333887628145</v>
      </c>
    </row>
    <row r="37" spans="1:20" x14ac:dyDescent="0.2">
      <c r="A37" s="5">
        <v>46</v>
      </c>
      <c r="B37" s="1">
        <f t="shared" ref="B37:B56" si="13">(1+experiencepremium)^(A37-startage)</f>
        <v>1.8539440983221533</v>
      </c>
      <c r="C37" s="5">
        <f t="shared" ref="C37:C56" si="14">pretaxincome*B37/expnorm</f>
        <v>56029.659376071315</v>
      </c>
      <c r="D37" s="5">
        <f t="shared" ref="D37:D56" si="15">IF(A37&lt;startage,1,0)*(C37*(1-initialunempprob))+IF(A37=startage,1,0)*(C37*(1-unempprob))+IF(A37&gt;startage,1,0)*(C37*(1-unempprob)+unempprob*300*52)</f>
        <v>54331.613682276315</v>
      </c>
      <c r="E37" s="5">
        <f t="shared" si="1"/>
        <v>44831.613682276315</v>
      </c>
      <c r="F37" s="5">
        <f t="shared" si="2"/>
        <v>15972.433235490847</v>
      </c>
      <c r="G37" s="5">
        <f t="shared" si="3"/>
        <v>38359.180446785467</v>
      </c>
      <c r="H37" s="22">
        <f t="shared" ref="H37:H56" si="16">benefits*B37/expnorm</f>
        <v>24817.579553033156</v>
      </c>
      <c r="I37" s="5">
        <f t="shared" ref="I37:I56" si="17">G37+IF(A37&lt;startage,1,0)*(H37*(1-initialunempprob))+IF(A37&gt;=startage,1,0)*(H37*(1-unempprob))</f>
        <v>62134.421658591229</v>
      </c>
      <c r="J37" s="26">
        <f t="shared" si="5"/>
        <v>0.19776508657481515</v>
      </c>
      <c r="L37" s="22">
        <f t="shared" ref="L37:L56" si="18">(sincome+sbenefits)*(1-sunemp)*B37/expnorm</f>
        <v>96177.881387253656</v>
      </c>
      <c r="M37" s="5">
        <f>scrimecost*Meta!O34</f>
        <v>931.93100000000004</v>
      </c>
      <c r="N37" s="5">
        <f>L37-Grade14!L37</f>
        <v>999.59213333095249</v>
      </c>
      <c r="O37" s="5">
        <f>Grade14!M37-M37</f>
        <v>7.4479999999999791</v>
      </c>
      <c r="P37" s="22">
        <f t="shared" si="12"/>
        <v>76.723881117397625</v>
      </c>
      <c r="Q37" s="22"/>
      <c r="R37" s="22"/>
      <c r="S37" s="22">
        <f t="shared" si="6"/>
        <v>695.76755934796574</v>
      </c>
      <c r="T37" s="22">
        <f t="shared" si="7"/>
        <v>1158.1454548397501</v>
      </c>
    </row>
    <row r="38" spans="1:20" x14ac:dyDescent="0.2">
      <c r="A38" s="5">
        <v>47</v>
      </c>
      <c r="B38" s="1">
        <f t="shared" si="13"/>
        <v>1.9002927007802071</v>
      </c>
      <c r="C38" s="5">
        <f t="shared" si="14"/>
        <v>57430.400860473092</v>
      </c>
      <c r="D38" s="5">
        <f t="shared" si="15"/>
        <v>55673.524024333215</v>
      </c>
      <c r="E38" s="5">
        <f t="shared" si="1"/>
        <v>46173.524024333215</v>
      </c>
      <c r="F38" s="5">
        <f t="shared" si="2"/>
        <v>16544.757996378117</v>
      </c>
      <c r="G38" s="5">
        <f t="shared" si="3"/>
        <v>39128.766027955098</v>
      </c>
      <c r="H38" s="22">
        <f t="shared" si="16"/>
        <v>25438.019041858988</v>
      </c>
      <c r="I38" s="5">
        <f t="shared" si="17"/>
        <v>63498.388270056006</v>
      </c>
      <c r="J38" s="26">
        <f t="shared" si="5"/>
        <v>0.20015076272474819</v>
      </c>
      <c r="L38" s="22">
        <f t="shared" si="18"/>
        <v>98582.328421934988</v>
      </c>
      <c r="M38" s="5">
        <f>scrimecost*Meta!O35</f>
        <v>931.93100000000004</v>
      </c>
      <c r="N38" s="5">
        <f>L38-Grade14!L38</f>
        <v>1024.5819366642245</v>
      </c>
      <c r="O38" s="5">
        <f>Grade14!M38-M38</f>
        <v>7.4479999999999791</v>
      </c>
      <c r="P38" s="22">
        <f t="shared" si="12"/>
        <v>78.855984674495801</v>
      </c>
      <c r="Q38" s="22"/>
      <c r="R38" s="22"/>
      <c r="S38" s="22">
        <f t="shared" si="6"/>
        <v>713.18432723334445</v>
      </c>
      <c r="T38" s="22">
        <f t="shared" si="7"/>
        <v>1210.6321960714242</v>
      </c>
    </row>
    <row r="39" spans="1:20" x14ac:dyDescent="0.2">
      <c r="A39" s="5">
        <v>48</v>
      </c>
      <c r="B39" s="1">
        <f t="shared" si="13"/>
        <v>1.9478000182997122</v>
      </c>
      <c r="C39" s="5">
        <f t="shared" si="14"/>
        <v>58866.160881984921</v>
      </c>
      <c r="D39" s="5">
        <f t="shared" si="15"/>
        <v>57048.982124941547</v>
      </c>
      <c r="E39" s="5">
        <f t="shared" si="1"/>
        <v>47548.982124941547</v>
      </c>
      <c r="F39" s="5">
        <f t="shared" si="2"/>
        <v>17131.390876287573</v>
      </c>
      <c r="G39" s="5">
        <f t="shared" si="3"/>
        <v>39917.591248653975</v>
      </c>
      <c r="H39" s="22">
        <f t="shared" si="16"/>
        <v>26073.969517905458</v>
      </c>
      <c r="I39" s="5">
        <f t="shared" si="17"/>
        <v>64896.454046807397</v>
      </c>
      <c r="J39" s="26">
        <f t="shared" si="5"/>
        <v>0.2024782516515122</v>
      </c>
      <c r="L39" s="22">
        <f t="shared" si="18"/>
        <v>101046.88663248337</v>
      </c>
      <c r="M39" s="5">
        <f>scrimecost*Meta!O36</f>
        <v>931.93100000000004</v>
      </c>
      <c r="N39" s="5">
        <f>L39-Grade14!L39</f>
        <v>1050.1964850808436</v>
      </c>
      <c r="O39" s="5">
        <f>Grade14!M39-M39</f>
        <v>7.4479999999999791</v>
      </c>
      <c r="P39" s="22">
        <f t="shared" si="12"/>
        <v>81.041390820521443</v>
      </c>
      <c r="Q39" s="22"/>
      <c r="R39" s="22"/>
      <c r="S39" s="22">
        <f t="shared" si="6"/>
        <v>731.03651431586707</v>
      </c>
      <c r="T39" s="22">
        <f t="shared" si="7"/>
        <v>1265.4966393729349</v>
      </c>
    </row>
    <row r="40" spans="1:20" x14ac:dyDescent="0.2">
      <c r="A40" s="5">
        <v>49</v>
      </c>
      <c r="B40" s="1">
        <f t="shared" si="13"/>
        <v>1.9964950187572048</v>
      </c>
      <c r="C40" s="5">
        <f t="shared" si="14"/>
        <v>60337.814904034538</v>
      </c>
      <c r="D40" s="5">
        <f t="shared" si="15"/>
        <v>58458.826678065081</v>
      </c>
      <c r="E40" s="5">
        <f t="shared" si="1"/>
        <v>48958.826678065081</v>
      </c>
      <c r="F40" s="5">
        <f t="shared" si="2"/>
        <v>17732.689578194757</v>
      </c>
      <c r="G40" s="5">
        <f t="shared" si="3"/>
        <v>40726.137099870321</v>
      </c>
      <c r="H40" s="22">
        <f t="shared" si="16"/>
        <v>26725.818755853092</v>
      </c>
      <c r="I40" s="5">
        <f t="shared" si="17"/>
        <v>66329.471467977579</v>
      </c>
      <c r="J40" s="26">
        <f t="shared" si="5"/>
        <v>0.20474897255567215</v>
      </c>
      <c r="L40" s="22">
        <f t="shared" si="18"/>
        <v>103573.05879829545</v>
      </c>
      <c r="M40" s="5">
        <f>scrimecost*Meta!O37</f>
        <v>931.93100000000004</v>
      </c>
      <c r="N40" s="5">
        <f>L40-Grade14!L40</f>
        <v>1076.4513972078421</v>
      </c>
      <c r="O40" s="5">
        <f>Grade14!M40-M40</f>
        <v>7.4479999999999791</v>
      </c>
      <c r="P40" s="22">
        <f t="shared" si="12"/>
        <v>83.281432120197707</v>
      </c>
      <c r="Q40" s="22"/>
      <c r="R40" s="22"/>
      <c r="S40" s="22">
        <f t="shared" si="6"/>
        <v>749.3350060754301</v>
      </c>
      <c r="T40" s="22">
        <f t="shared" si="7"/>
        <v>1322.846477684355</v>
      </c>
    </row>
    <row r="41" spans="1:20" x14ac:dyDescent="0.2">
      <c r="A41" s="5">
        <v>50</v>
      </c>
      <c r="B41" s="1">
        <f t="shared" si="13"/>
        <v>2.0464073942261352</v>
      </c>
      <c r="C41" s="5">
        <f t="shared" si="14"/>
        <v>61846.260276635403</v>
      </c>
      <c r="D41" s="5">
        <f t="shared" si="15"/>
        <v>59903.917345016707</v>
      </c>
      <c r="E41" s="5">
        <f t="shared" si="1"/>
        <v>50403.917345016707</v>
      </c>
      <c r="F41" s="5">
        <f t="shared" si="2"/>
        <v>18349.020747649625</v>
      </c>
      <c r="G41" s="5">
        <f t="shared" si="3"/>
        <v>41554.896597367086</v>
      </c>
      <c r="H41" s="22">
        <f t="shared" si="16"/>
        <v>27393.964224749423</v>
      </c>
      <c r="I41" s="5">
        <f t="shared" si="17"/>
        <v>67798.314324677034</v>
      </c>
      <c r="J41" s="26">
        <f t="shared" si="5"/>
        <v>0.20696431002314525</v>
      </c>
      <c r="L41" s="22">
        <f t="shared" si="18"/>
        <v>106162.38526825284</v>
      </c>
      <c r="M41" s="5">
        <f>scrimecost*Meta!O38</f>
        <v>622.62199999999996</v>
      </c>
      <c r="N41" s="5">
        <f>L41-Grade14!L41</f>
        <v>1103.3626821380749</v>
      </c>
      <c r="O41" s="5">
        <f>Grade14!M41-M41</f>
        <v>4.9759999999999991</v>
      </c>
      <c r="P41" s="22">
        <f t="shared" si="12"/>
        <v>85.577474452365877</v>
      </c>
      <c r="Q41" s="22"/>
      <c r="R41" s="22"/>
      <c r="S41" s="22">
        <f t="shared" si="6"/>
        <v>766.08369612901947</v>
      </c>
      <c r="T41" s="22">
        <f t="shared" si="7"/>
        <v>1379.1806035770519</v>
      </c>
    </row>
    <row r="42" spans="1:20" x14ac:dyDescent="0.2">
      <c r="A42" s="5">
        <v>51</v>
      </c>
      <c r="B42" s="1">
        <f t="shared" si="13"/>
        <v>2.097567579081788</v>
      </c>
      <c r="C42" s="5">
        <f t="shared" si="14"/>
        <v>63392.416783551278</v>
      </c>
      <c r="D42" s="5">
        <f t="shared" si="15"/>
        <v>61385.135278642119</v>
      </c>
      <c r="E42" s="5">
        <f t="shared" si="1"/>
        <v>51885.135278642119</v>
      </c>
      <c r="F42" s="5">
        <f t="shared" si="2"/>
        <v>18980.760196340863</v>
      </c>
      <c r="G42" s="5">
        <f t="shared" si="3"/>
        <v>42404.375082301252</v>
      </c>
      <c r="H42" s="22">
        <f t="shared" si="16"/>
        <v>28078.813330368153</v>
      </c>
      <c r="I42" s="5">
        <f t="shared" si="17"/>
        <v>69303.878252793947</v>
      </c>
      <c r="J42" s="26">
        <f t="shared" si="5"/>
        <v>0.20912561486946052</v>
      </c>
      <c r="L42" s="22">
        <f t="shared" si="18"/>
        <v>108816.44489995913</v>
      </c>
      <c r="M42" s="5">
        <f>scrimecost*Meta!O39</f>
        <v>622.62199999999996</v>
      </c>
      <c r="N42" s="5">
        <f>L42-Grade14!L42</f>
        <v>1130.9467491914693</v>
      </c>
      <c r="O42" s="5">
        <f>Grade14!M42-M42</f>
        <v>4.9759999999999991</v>
      </c>
      <c r="P42" s="22">
        <f t="shared" si="12"/>
        <v>87.930917842838255</v>
      </c>
      <c r="Q42" s="22"/>
      <c r="R42" s="22"/>
      <c r="S42" s="22">
        <f t="shared" si="6"/>
        <v>785.30854903388945</v>
      </c>
      <c r="T42" s="22">
        <f t="shared" si="7"/>
        <v>1441.7725199362449</v>
      </c>
    </row>
    <row r="43" spans="1:20" x14ac:dyDescent="0.2">
      <c r="A43" s="5">
        <v>52</v>
      </c>
      <c r="B43" s="1">
        <f t="shared" si="13"/>
        <v>2.1500067685588333</v>
      </c>
      <c r="C43" s="5">
        <f t="shared" si="14"/>
        <v>64977.227203140072</v>
      </c>
      <c r="D43" s="5">
        <f t="shared" si="15"/>
        <v>62903.383660608182</v>
      </c>
      <c r="E43" s="5">
        <f t="shared" si="1"/>
        <v>53403.383660608182</v>
      </c>
      <c r="F43" s="5">
        <f t="shared" si="2"/>
        <v>19628.293131249389</v>
      </c>
      <c r="G43" s="5">
        <f t="shared" si="3"/>
        <v>43275.090529358793</v>
      </c>
      <c r="H43" s="22">
        <f t="shared" si="16"/>
        <v>28780.783663627364</v>
      </c>
      <c r="I43" s="5">
        <f t="shared" si="17"/>
        <v>70847.081279113801</v>
      </c>
      <c r="J43" s="26">
        <f t="shared" si="5"/>
        <v>0.21123420496342665</v>
      </c>
      <c r="L43" s="22">
        <f t="shared" si="18"/>
        <v>111536.85602245815</v>
      </c>
      <c r="M43" s="5">
        <f>scrimecost*Meta!O40</f>
        <v>622.62199999999996</v>
      </c>
      <c r="N43" s="5">
        <f>L43-Grade14!L43</f>
        <v>1159.2204179213004</v>
      </c>
      <c r="O43" s="5">
        <f>Grade14!M43-M43</f>
        <v>4.9759999999999991</v>
      </c>
      <c r="P43" s="22">
        <f t="shared" si="12"/>
        <v>90.34319731807247</v>
      </c>
      <c r="Q43" s="22"/>
      <c r="R43" s="22"/>
      <c r="S43" s="22">
        <f t="shared" ref="S43:S69" si="19">IF(A43&lt;startage,1,0)*(N43-Q43-R43)+IF(A43&gt;=startage,1,0)*completionprob*(N43*spart+O43+P43)</f>
        <v>805.01402326144512</v>
      </c>
      <c r="T43" s="22">
        <f t="shared" ref="T43:T69" si="20">S43/sreturn^(A43-startage+1)</f>
        <v>1507.2016521711023</v>
      </c>
    </row>
    <row r="44" spans="1:20" x14ac:dyDescent="0.2">
      <c r="A44" s="5">
        <v>53</v>
      </c>
      <c r="B44" s="1">
        <f t="shared" si="13"/>
        <v>2.2037569377728037</v>
      </c>
      <c r="C44" s="5">
        <f t="shared" si="14"/>
        <v>66601.657883218562</v>
      </c>
      <c r="D44" s="5">
        <f t="shared" si="15"/>
        <v>64459.58825212338</v>
      </c>
      <c r="E44" s="5">
        <f t="shared" si="1"/>
        <v>54959.58825212338</v>
      </c>
      <c r="F44" s="5">
        <f t="shared" si="2"/>
        <v>20292.014389530621</v>
      </c>
      <c r="G44" s="5">
        <f t="shared" si="3"/>
        <v>44167.573862592762</v>
      </c>
      <c r="H44" s="22">
        <f t="shared" si="16"/>
        <v>29500.303255218045</v>
      </c>
      <c r="I44" s="5">
        <f t="shared" si="17"/>
        <v>72428.86438109164</v>
      </c>
      <c r="J44" s="26">
        <f t="shared" si="5"/>
        <v>0.21329136603071067</v>
      </c>
      <c r="L44" s="22">
        <f t="shared" si="18"/>
        <v>114325.27742301956</v>
      </c>
      <c r="M44" s="5">
        <f>scrimecost*Meta!O41</f>
        <v>622.62199999999996</v>
      </c>
      <c r="N44" s="5">
        <f>L44-Grade14!L44</f>
        <v>1188.2009283693187</v>
      </c>
      <c r="O44" s="5">
        <f>Grade14!M44-M44</f>
        <v>4.9759999999999991</v>
      </c>
      <c r="P44" s="22">
        <f t="shared" si="12"/>
        <v>92.815783780187502</v>
      </c>
      <c r="Q44" s="22"/>
      <c r="R44" s="22"/>
      <c r="S44" s="22">
        <f t="shared" si="19"/>
        <v>825.21213434465278</v>
      </c>
      <c r="T44" s="22">
        <f t="shared" si="20"/>
        <v>1575.5965403299765</v>
      </c>
    </row>
    <row r="45" spans="1:20" x14ac:dyDescent="0.2">
      <c r="A45" s="5">
        <v>54</v>
      </c>
      <c r="B45" s="1">
        <f t="shared" si="13"/>
        <v>2.2588508612171236</v>
      </c>
      <c r="C45" s="5">
        <f t="shared" si="14"/>
        <v>68266.699330299016</v>
      </c>
      <c r="D45" s="5">
        <f t="shared" si="15"/>
        <v>66054.697958426448</v>
      </c>
      <c r="E45" s="5">
        <f t="shared" si="1"/>
        <v>56554.697958426448</v>
      </c>
      <c r="F45" s="5">
        <f t="shared" si="2"/>
        <v>20972.328679268881</v>
      </c>
      <c r="G45" s="5">
        <f t="shared" si="3"/>
        <v>45082.369279157567</v>
      </c>
      <c r="H45" s="22">
        <f t="shared" si="16"/>
        <v>30237.810836598492</v>
      </c>
      <c r="I45" s="5">
        <f t="shared" si="17"/>
        <v>74050.192060618923</v>
      </c>
      <c r="J45" s="26">
        <f t="shared" si="5"/>
        <v>0.21529835243781695</v>
      </c>
      <c r="L45" s="22">
        <f t="shared" si="18"/>
        <v>117183.40935859503</v>
      </c>
      <c r="M45" s="5">
        <f>scrimecost*Meta!O42</f>
        <v>622.62199999999996</v>
      </c>
      <c r="N45" s="5">
        <f>L45-Grade14!L45</f>
        <v>1217.9059515785339</v>
      </c>
      <c r="O45" s="5">
        <f>Grade14!M45-M45</f>
        <v>4.9759999999999991</v>
      </c>
      <c r="P45" s="22">
        <f t="shared" si="12"/>
        <v>95.350184903855407</v>
      </c>
      <c r="Q45" s="22"/>
      <c r="R45" s="22"/>
      <c r="S45" s="22">
        <f t="shared" si="19"/>
        <v>845.91519820493852</v>
      </c>
      <c r="T45" s="22">
        <f t="shared" si="20"/>
        <v>1647.0915466325903</v>
      </c>
    </row>
    <row r="46" spans="1:20" x14ac:dyDescent="0.2">
      <c r="A46" s="5">
        <v>55</v>
      </c>
      <c r="B46" s="1">
        <f t="shared" si="13"/>
        <v>2.3153221327475517</v>
      </c>
      <c r="C46" s="5">
        <f t="shared" si="14"/>
        <v>69973.366813556495</v>
      </c>
      <c r="D46" s="5">
        <f t="shared" si="15"/>
        <v>67689.685407387122</v>
      </c>
      <c r="E46" s="5">
        <f t="shared" si="1"/>
        <v>58189.685407387122</v>
      </c>
      <c r="F46" s="5">
        <f t="shared" si="2"/>
        <v>21669.650826250607</v>
      </c>
      <c r="G46" s="5">
        <f t="shared" si="3"/>
        <v>46020.034581136511</v>
      </c>
      <c r="H46" s="22">
        <f t="shared" si="16"/>
        <v>30993.756107513454</v>
      </c>
      <c r="I46" s="5">
        <f t="shared" si="17"/>
        <v>75712.052932134393</v>
      </c>
      <c r="J46" s="26">
        <f t="shared" si="5"/>
        <v>0.21725638795694516</v>
      </c>
      <c r="L46" s="22">
        <f t="shared" si="18"/>
        <v>120112.99459255992</v>
      </c>
      <c r="M46" s="5">
        <f>scrimecost*Meta!O43</f>
        <v>345.34499999999997</v>
      </c>
      <c r="N46" s="5">
        <f>L46-Grade14!L46</f>
        <v>1248.3536003680201</v>
      </c>
      <c r="O46" s="5">
        <f>Grade14!M46-M46</f>
        <v>2.7599999999999909</v>
      </c>
      <c r="P46" s="22">
        <f t="shared" si="12"/>
        <v>97.947946055615049</v>
      </c>
      <c r="Q46" s="22"/>
      <c r="R46" s="22"/>
      <c r="S46" s="22">
        <f t="shared" si="19"/>
        <v>865.33644666175701</v>
      </c>
      <c r="T46" s="22">
        <f t="shared" si="20"/>
        <v>1718.2541588363281</v>
      </c>
    </row>
    <row r="47" spans="1:20" x14ac:dyDescent="0.2">
      <c r="A47" s="5">
        <v>56</v>
      </c>
      <c r="B47" s="1">
        <f t="shared" si="13"/>
        <v>2.3732051860662402</v>
      </c>
      <c r="C47" s="5">
        <f t="shared" si="14"/>
        <v>71722.700983895396</v>
      </c>
      <c r="D47" s="5">
        <f t="shared" si="15"/>
        <v>69365.547542571789</v>
      </c>
      <c r="E47" s="5">
        <f t="shared" si="1"/>
        <v>59865.547542571789</v>
      </c>
      <c r="F47" s="5">
        <f t="shared" si="2"/>
        <v>22384.406026906869</v>
      </c>
      <c r="G47" s="5">
        <f t="shared" si="3"/>
        <v>46981.141515664916</v>
      </c>
      <c r="H47" s="22">
        <f t="shared" si="16"/>
        <v>31768.600010201288</v>
      </c>
      <c r="I47" s="5">
        <f t="shared" si="17"/>
        <v>77415.460325437743</v>
      </c>
      <c r="J47" s="26">
        <f t="shared" si="5"/>
        <v>0.2191666665121921</v>
      </c>
      <c r="L47" s="22">
        <f t="shared" si="18"/>
        <v>123115.8194573739</v>
      </c>
      <c r="M47" s="5">
        <f>scrimecost*Meta!O44</f>
        <v>345.34499999999997</v>
      </c>
      <c r="N47" s="5">
        <f>L47-Grade14!L47</f>
        <v>1279.5624403771944</v>
      </c>
      <c r="O47" s="5">
        <f>Grade14!M47-M47</f>
        <v>2.7599999999999909</v>
      </c>
      <c r="P47" s="22">
        <f t="shared" si="12"/>
        <v>100.61065123616864</v>
      </c>
      <c r="Q47" s="22"/>
      <c r="R47" s="22"/>
      <c r="S47" s="22">
        <f t="shared" si="19"/>
        <v>887.08760312996492</v>
      </c>
      <c r="T47" s="22">
        <f t="shared" si="20"/>
        <v>1796.3063919809699</v>
      </c>
    </row>
    <row r="48" spans="1:20" x14ac:dyDescent="0.2">
      <c r="A48" s="5">
        <v>57</v>
      </c>
      <c r="B48" s="1">
        <f t="shared" si="13"/>
        <v>2.4325353157178964</v>
      </c>
      <c r="C48" s="5">
        <f t="shared" si="14"/>
        <v>73515.768508492794</v>
      </c>
      <c r="D48" s="5">
        <f t="shared" si="15"/>
        <v>71083.306231136085</v>
      </c>
      <c r="E48" s="5">
        <f t="shared" si="1"/>
        <v>61583.306231136085</v>
      </c>
      <c r="F48" s="5">
        <f t="shared" si="2"/>
        <v>23117.03010757954</v>
      </c>
      <c r="G48" s="5">
        <f t="shared" si="3"/>
        <v>47966.276123556541</v>
      </c>
      <c r="H48" s="22">
        <f t="shared" si="16"/>
        <v>32562.815010456321</v>
      </c>
      <c r="I48" s="5">
        <f t="shared" si="17"/>
        <v>79161.452903573692</v>
      </c>
      <c r="J48" s="26">
        <f t="shared" si="5"/>
        <v>0.22103035290755496</v>
      </c>
      <c r="L48" s="22">
        <f t="shared" si="18"/>
        <v>126193.71494380826</v>
      </c>
      <c r="M48" s="5">
        <f>scrimecost*Meta!O45</f>
        <v>345.34499999999997</v>
      </c>
      <c r="N48" s="5">
        <f>L48-Grade14!L48</f>
        <v>1311.5515013866388</v>
      </c>
      <c r="O48" s="5">
        <f>Grade14!M48-M48</f>
        <v>2.7599999999999909</v>
      </c>
      <c r="P48" s="22">
        <f t="shared" si="12"/>
        <v>103.33992404623609</v>
      </c>
      <c r="Q48" s="22"/>
      <c r="R48" s="22"/>
      <c r="S48" s="22">
        <f t="shared" si="19"/>
        <v>909.38253850990361</v>
      </c>
      <c r="T48" s="22">
        <f t="shared" si="20"/>
        <v>1877.8980604933861</v>
      </c>
    </row>
    <row r="49" spans="1:20" x14ac:dyDescent="0.2">
      <c r="A49" s="5">
        <v>58</v>
      </c>
      <c r="B49" s="1">
        <f t="shared" si="13"/>
        <v>2.4933486986108435</v>
      </c>
      <c r="C49" s="5">
        <f t="shared" si="14"/>
        <v>75353.662721205095</v>
      </c>
      <c r="D49" s="5">
        <f t="shared" si="15"/>
        <v>72844.008886914482</v>
      </c>
      <c r="E49" s="5">
        <f t="shared" si="1"/>
        <v>63344.008886914482</v>
      </c>
      <c r="F49" s="5">
        <f t="shared" si="2"/>
        <v>23867.969790269028</v>
      </c>
      <c r="G49" s="5">
        <f t="shared" si="3"/>
        <v>48976.039096645458</v>
      </c>
      <c r="H49" s="22">
        <f t="shared" si="16"/>
        <v>33376.885385717724</v>
      </c>
      <c r="I49" s="5">
        <f t="shared" si="17"/>
        <v>80951.095296163039</v>
      </c>
      <c r="J49" s="26">
        <f t="shared" si="5"/>
        <v>0.22284858353717735</v>
      </c>
      <c r="L49" s="22">
        <f t="shared" si="18"/>
        <v>129348.55781740345</v>
      </c>
      <c r="M49" s="5">
        <f>scrimecost*Meta!O46</f>
        <v>345.34499999999997</v>
      </c>
      <c r="N49" s="5">
        <f>L49-Grade14!L49</f>
        <v>1344.3402889213176</v>
      </c>
      <c r="O49" s="5">
        <f>Grade14!M49-M49</f>
        <v>2.7599999999999909</v>
      </c>
      <c r="P49" s="22">
        <f t="shared" si="12"/>
        <v>106.13742867655523</v>
      </c>
      <c r="Q49" s="22"/>
      <c r="R49" s="22"/>
      <c r="S49" s="22">
        <f t="shared" si="19"/>
        <v>932.23484727433981</v>
      </c>
      <c r="T49" s="22">
        <f t="shared" si="20"/>
        <v>1963.1895465902373</v>
      </c>
    </row>
    <row r="50" spans="1:20" x14ac:dyDescent="0.2">
      <c r="A50" s="5">
        <v>59</v>
      </c>
      <c r="B50" s="1">
        <f t="shared" si="13"/>
        <v>2.555682416076114</v>
      </c>
      <c r="C50" s="5">
        <f t="shared" si="14"/>
        <v>77237.504289235207</v>
      </c>
      <c r="D50" s="5">
        <f t="shared" si="15"/>
        <v>74648.729109087319</v>
      </c>
      <c r="E50" s="5">
        <f t="shared" si="1"/>
        <v>65148.729109087319</v>
      </c>
      <c r="F50" s="5">
        <f t="shared" si="2"/>
        <v>24637.682965025742</v>
      </c>
      <c r="G50" s="5">
        <f t="shared" si="3"/>
        <v>50011.046144061576</v>
      </c>
      <c r="H50" s="22">
        <f t="shared" si="16"/>
        <v>34211.307520360657</v>
      </c>
      <c r="I50" s="5">
        <f t="shared" si="17"/>
        <v>82785.478748567082</v>
      </c>
      <c r="J50" s="26">
        <f t="shared" si="5"/>
        <v>0.2246224670782723</v>
      </c>
      <c r="L50" s="22">
        <f t="shared" si="18"/>
        <v>132582.2717628385</v>
      </c>
      <c r="M50" s="5">
        <f>scrimecost*Meta!O47</f>
        <v>345.34499999999997</v>
      </c>
      <c r="N50" s="5">
        <f>L50-Grade14!L50</f>
        <v>1377.9487961443083</v>
      </c>
      <c r="O50" s="5">
        <f>Grade14!M50-M50</f>
        <v>2.7599999999999909</v>
      </c>
      <c r="P50" s="22">
        <f t="shared" si="12"/>
        <v>109.00487092263232</v>
      </c>
      <c r="Q50" s="22"/>
      <c r="R50" s="22"/>
      <c r="S50" s="22">
        <f t="shared" si="19"/>
        <v>955.65846375785236</v>
      </c>
      <c r="T50" s="22">
        <f t="shared" si="20"/>
        <v>2052.3484974941002</v>
      </c>
    </row>
    <row r="51" spans="1:20" x14ac:dyDescent="0.2">
      <c r="A51" s="5">
        <v>60</v>
      </c>
      <c r="B51" s="1">
        <f t="shared" si="13"/>
        <v>2.6195744764780171</v>
      </c>
      <c r="C51" s="5">
        <f t="shared" si="14"/>
        <v>79168.441896466102</v>
      </c>
      <c r="D51" s="5">
        <f t="shared" si="15"/>
        <v>76498.567336814522</v>
      </c>
      <c r="E51" s="5">
        <f t="shared" si="1"/>
        <v>66998.567336814522</v>
      </c>
      <c r="F51" s="5">
        <f t="shared" si="2"/>
        <v>25426.638969151394</v>
      </c>
      <c r="G51" s="5">
        <f t="shared" si="3"/>
        <v>51071.928367663131</v>
      </c>
      <c r="H51" s="22">
        <f t="shared" si="16"/>
        <v>35066.590208369678</v>
      </c>
      <c r="I51" s="5">
        <f t="shared" si="17"/>
        <v>84665.721787281276</v>
      </c>
      <c r="J51" s="26">
        <f t="shared" si="5"/>
        <v>0.22635308516714545</v>
      </c>
      <c r="L51" s="22">
        <f t="shared" si="18"/>
        <v>135896.82855690949</v>
      </c>
      <c r="M51" s="5">
        <f>scrimecost*Meta!O48</f>
        <v>182.18199999999999</v>
      </c>
      <c r="N51" s="5">
        <f>L51-Grade14!L51</f>
        <v>1412.3975160479604</v>
      </c>
      <c r="O51" s="5">
        <f>Grade14!M51-M51</f>
        <v>1.4560000000000173</v>
      </c>
      <c r="P51" s="22">
        <f t="shared" si="12"/>
        <v>111.9439992248614</v>
      </c>
      <c r="Q51" s="22"/>
      <c r="R51" s="22"/>
      <c r="S51" s="22">
        <f t="shared" si="19"/>
        <v>978.60882265350733</v>
      </c>
      <c r="T51" s="22">
        <f t="shared" si="20"/>
        <v>2143.2311931009835</v>
      </c>
    </row>
    <row r="52" spans="1:20" x14ac:dyDescent="0.2">
      <c r="A52" s="5">
        <v>61</v>
      </c>
      <c r="B52" s="1">
        <f t="shared" si="13"/>
        <v>2.6850638383899672</v>
      </c>
      <c r="C52" s="5">
        <f t="shared" si="14"/>
        <v>81147.652943877751</v>
      </c>
      <c r="D52" s="5">
        <f t="shared" si="15"/>
        <v>78394.651520234882</v>
      </c>
      <c r="E52" s="5">
        <f t="shared" si="1"/>
        <v>68894.651520234882</v>
      </c>
      <c r="F52" s="5">
        <f t="shared" si="2"/>
        <v>26235.318873380176</v>
      </c>
      <c r="G52" s="5">
        <f t="shared" si="3"/>
        <v>52159.332646854702</v>
      </c>
      <c r="H52" s="22">
        <f t="shared" si="16"/>
        <v>35943.254963578918</v>
      </c>
      <c r="I52" s="5">
        <f t="shared" si="17"/>
        <v>86592.970901963301</v>
      </c>
      <c r="J52" s="26">
        <f t="shared" si="5"/>
        <v>0.22804149305872901</v>
      </c>
      <c r="L52" s="22">
        <f t="shared" si="18"/>
        <v>139294.2492708322</v>
      </c>
      <c r="M52" s="5">
        <f>scrimecost*Meta!O49</f>
        <v>182.18199999999999</v>
      </c>
      <c r="N52" s="5">
        <f>L52-Grade14!L52</f>
        <v>1447.7074539491441</v>
      </c>
      <c r="O52" s="5">
        <f>Grade14!M52-M52</f>
        <v>1.4560000000000173</v>
      </c>
      <c r="P52" s="22">
        <f t="shared" si="12"/>
        <v>114.95660573464615</v>
      </c>
      <c r="Q52" s="22"/>
      <c r="R52" s="22"/>
      <c r="S52" s="22">
        <f t="shared" si="19"/>
        <v>1003.2182597215158</v>
      </c>
      <c r="T52" s="22">
        <f t="shared" si="20"/>
        <v>2240.6128391101897</v>
      </c>
    </row>
    <row r="53" spans="1:20" x14ac:dyDescent="0.2">
      <c r="A53" s="5">
        <v>62</v>
      </c>
      <c r="B53" s="1">
        <f t="shared" si="13"/>
        <v>2.7521904343497163</v>
      </c>
      <c r="C53" s="5">
        <f t="shared" si="14"/>
        <v>83176.344267474691</v>
      </c>
      <c r="D53" s="5">
        <f t="shared" si="15"/>
        <v>80338.137808240746</v>
      </c>
      <c r="E53" s="5">
        <f t="shared" si="1"/>
        <v>70838.137808240746</v>
      </c>
      <c r="F53" s="5">
        <f t="shared" si="2"/>
        <v>27064.215775214678</v>
      </c>
      <c r="G53" s="5">
        <f t="shared" si="3"/>
        <v>53273.922033026072</v>
      </c>
      <c r="H53" s="22">
        <f t="shared" si="16"/>
        <v>36841.836337668392</v>
      </c>
      <c r="I53" s="5">
        <f t="shared" si="17"/>
        <v>88568.401244512381</v>
      </c>
      <c r="J53" s="26">
        <f t="shared" si="5"/>
        <v>0.22968872027003001</v>
      </c>
      <c r="L53" s="22">
        <f t="shared" si="18"/>
        <v>142776.60550260299</v>
      </c>
      <c r="M53" s="5">
        <f>scrimecost*Meta!O50</f>
        <v>182.18199999999999</v>
      </c>
      <c r="N53" s="5">
        <f>L53-Grade14!L53</f>
        <v>1483.9001402978611</v>
      </c>
      <c r="O53" s="5">
        <f>Grade14!M53-M53</f>
        <v>1.4560000000000173</v>
      </c>
      <c r="P53" s="22">
        <f t="shared" si="12"/>
        <v>118.04452740717554</v>
      </c>
      <c r="Q53" s="22"/>
      <c r="R53" s="22"/>
      <c r="S53" s="22">
        <f t="shared" si="19"/>
        <v>1028.442932716227</v>
      </c>
      <c r="T53" s="22">
        <f t="shared" si="20"/>
        <v>2342.4109388824522</v>
      </c>
    </row>
    <row r="54" spans="1:20" x14ac:dyDescent="0.2">
      <c r="A54" s="5">
        <v>63</v>
      </c>
      <c r="B54" s="1">
        <f t="shared" si="13"/>
        <v>2.8209951952084591</v>
      </c>
      <c r="C54" s="5">
        <f t="shared" si="14"/>
        <v>85255.752874161553</v>
      </c>
      <c r="D54" s="5">
        <f t="shared" si="15"/>
        <v>82330.21125344676</v>
      </c>
      <c r="E54" s="5">
        <f t="shared" si="1"/>
        <v>72830.21125344676</v>
      </c>
      <c r="F54" s="5">
        <f t="shared" si="2"/>
        <v>27913.835099595042</v>
      </c>
      <c r="G54" s="5">
        <f t="shared" si="3"/>
        <v>54416.376153851714</v>
      </c>
      <c r="H54" s="22">
        <f t="shared" si="16"/>
        <v>37762.882246110101</v>
      </c>
      <c r="I54" s="5">
        <f t="shared" si="17"/>
        <v>90593.217345625191</v>
      </c>
      <c r="J54" s="26">
        <f t="shared" si="5"/>
        <v>0.23129577120788464</v>
      </c>
      <c r="L54" s="22">
        <f t="shared" si="18"/>
        <v>146346.02064016808</v>
      </c>
      <c r="M54" s="5">
        <f>scrimecost*Meta!O51</f>
        <v>182.18199999999999</v>
      </c>
      <c r="N54" s="5">
        <f>L54-Grade14!L54</f>
        <v>1520.9976438053127</v>
      </c>
      <c r="O54" s="5">
        <f>Grade14!M54-M54</f>
        <v>1.4560000000000173</v>
      </c>
      <c r="P54" s="22">
        <f t="shared" si="12"/>
        <v>121.20964712151813</v>
      </c>
      <c r="Q54" s="22"/>
      <c r="R54" s="22"/>
      <c r="S54" s="22">
        <f t="shared" si="19"/>
        <v>1054.2982225358162</v>
      </c>
      <c r="T54" s="22">
        <f t="shared" si="20"/>
        <v>2448.8256245471462</v>
      </c>
    </row>
    <row r="55" spans="1:20" x14ac:dyDescent="0.2">
      <c r="A55" s="5">
        <v>64</v>
      </c>
      <c r="B55" s="1">
        <f t="shared" si="13"/>
        <v>2.8915200750886707</v>
      </c>
      <c r="C55" s="5">
        <f t="shared" si="14"/>
        <v>87387.146696015596</v>
      </c>
      <c r="D55" s="5">
        <f t="shared" si="15"/>
        <v>84372.086534782939</v>
      </c>
      <c r="E55" s="5">
        <f t="shared" si="1"/>
        <v>74872.086534782939</v>
      </c>
      <c r="F55" s="5">
        <f t="shared" si="2"/>
        <v>28784.694907084922</v>
      </c>
      <c r="G55" s="5">
        <f t="shared" si="3"/>
        <v>55587.391627698016</v>
      </c>
      <c r="H55" s="22">
        <f t="shared" si="16"/>
        <v>38706.954302262857</v>
      </c>
      <c r="I55" s="5">
        <f t="shared" si="17"/>
        <v>92668.653849265829</v>
      </c>
      <c r="J55" s="26">
        <f t="shared" si="5"/>
        <v>0.23286362578140143</v>
      </c>
      <c r="L55" s="22">
        <f t="shared" si="18"/>
        <v>150004.67115617229</v>
      </c>
      <c r="M55" s="5">
        <f>scrimecost*Meta!O52</f>
        <v>182.18199999999999</v>
      </c>
      <c r="N55" s="5">
        <f>L55-Grade14!L55</f>
        <v>1559.0225849004928</v>
      </c>
      <c r="O55" s="5">
        <f>Grade14!M55-M55</f>
        <v>1.4560000000000173</v>
      </c>
      <c r="P55" s="22">
        <f t="shared" si="12"/>
        <v>124.45389482871937</v>
      </c>
      <c r="Q55" s="22"/>
      <c r="R55" s="22"/>
      <c r="S55" s="22">
        <f t="shared" si="19"/>
        <v>1080.7998946009218</v>
      </c>
      <c r="T55" s="22">
        <f t="shared" si="20"/>
        <v>2560.0660940247212</v>
      </c>
    </row>
    <row r="56" spans="1:20" x14ac:dyDescent="0.2">
      <c r="A56" s="5">
        <v>65</v>
      </c>
      <c r="B56" s="1">
        <f t="shared" si="13"/>
        <v>2.9638080769658868</v>
      </c>
      <c r="C56" s="5">
        <f t="shared" si="14"/>
        <v>89571.825363415963</v>
      </c>
      <c r="D56" s="5">
        <f t="shared" si="15"/>
        <v>86465.00869815248</v>
      </c>
      <c r="E56" s="5">
        <f t="shared" si="1"/>
        <v>76965.00869815248</v>
      </c>
      <c r="F56" s="5">
        <f t="shared" si="2"/>
        <v>29677.326209762032</v>
      </c>
      <c r="G56" s="5">
        <f t="shared" si="3"/>
        <v>56787.682488390448</v>
      </c>
      <c r="H56" s="22">
        <f t="shared" si="16"/>
        <v>39674.628159819411</v>
      </c>
      <c r="I56" s="5">
        <f t="shared" si="17"/>
        <v>94795.976265497447</v>
      </c>
      <c r="J56" s="26">
        <f t="shared" si="5"/>
        <v>0.23439323999946649</v>
      </c>
      <c r="L56" s="22">
        <f t="shared" si="18"/>
        <v>153754.78793507654</v>
      </c>
      <c r="M56" s="5">
        <f>scrimecost*Meta!O53</f>
        <v>55.055</v>
      </c>
      <c r="N56" s="5">
        <f>L56-Grade14!L56</f>
        <v>1597.9981495229295</v>
      </c>
      <c r="O56" s="5">
        <f>Grade14!M56-M56</f>
        <v>0.43999999999999773</v>
      </c>
      <c r="P56" s="22">
        <f t="shared" si="12"/>
        <v>127.77924872860052</v>
      </c>
      <c r="Q56" s="22"/>
      <c r="R56" s="22"/>
      <c r="S56" s="22">
        <f t="shared" si="19"/>
        <v>1107.1391164675781</v>
      </c>
      <c r="T56" s="22">
        <f t="shared" si="20"/>
        <v>2674.3582060139665</v>
      </c>
    </row>
    <row r="57" spans="1:20" x14ac:dyDescent="0.2">
      <c r="A57" s="5">
        <v>66</v>
      </c>
      <c r="C57" s="5"/>
      <c r="H57" s="21"/>
      <c r="I57" s="5"/>
      <c r="M57" s="5">
        <f>scrimecost*Meta!O54</f>
        <v>55.055</v>
      </c>
      <c r="N57" s="5">
        <f>L57-Grade14!L57</f>
        <v>0</v>
      </c>
      <c r="O57" s="5">
        <f>Grade14!M57-M57</f>
        <v>0.43999999999999773</v>
      </c>
      <c r="Q57" s="22"/>
      <c r="R57" s="22"/>
      <c r="S57" s="22">
        <f t="shared" si="19"/>
        <v>0.35727999999999815</v>
      </c>
      <c r="T57" s="22">
        <f t="shared" si="20"/>
        <v>0.88011127469278083</v>
      </c>
    </row>
    <row r="58" spans="1:20" x14ac:dyDescent="0.2">
      <c r="A58" s="5">
        <v>67</v>
      </c>
      <c r="C58" s="5"/>
      <c r="H58" s="21"/>
      <c r="I58" s="5"/>
      <c r="M58" s="5">
        <f>scrimecost*Meta!O55</f>
        <v>55.055</v>
      </c>
      <c r="N58" s="5">
        <f>L58-Grade14!L58</f>
        <v>0</v>
      </c>
      <c r="O58" s="5">
        <f>Grade14!M58-M58</f>
        <v>0.43999999999999773</v>
      </c>
      <c r="Q58" s="22"/>
      <c r="R58" s="22"/>
      <c r="S58" s="22">
        <f t="shared" si="19"/>
        <v>0.35727999999999815</v>
      </c>
      <c r="T58" s="22">
        <f t="shared" si="20"/>
        <v>0.89753022344871081</v>
      </c>
    </row>
    <row r="59" spans="1:20" x14ac:dyDescent="0.2">
      <c r="A59" s="5">
        <v>68</v>
      </c>
      <c r="H59" s="21"/>
      <c r="I59" s="5"/>
      <c r="M59" s="5">
        <f>scrimecost*Meta!O56</f>
        <v>55.055</v>
      </c>
      <c r="N59" s="5">
        <f>L59-Grade14!L59</f>
        <v>0</v>
      </c>
      <c r="O59" s="5">
        <f>Grade14!M59-M59</f>
        <v>0.43999999999999773</v>
      </c>
      <c r="Q59" s="22"/>
      <c r="R59" s="22"/>
      <c r="S59" s="22">
        <f t="shared" si="19"/>
        <v>0.35727999999999815</v>
      </c>
      <c r="T59" s="22">
        <f t="shared" si="20"/>
        <v>0.91529392381104147</v>
      </c>
    </row>
    <row r="60" spans="1:20" x14ac:dyDescent="0.2">
      <c r="A60" s="5">
        <v>69</v>
      </c>
      <c r="H60" s="21"/>
      <c r="I60" s="5"/>
      <c r="M60" s="5">
        <f>scrimecost*Meta!O57</f>
        <v>55.055</v>
      </c>
      <c r="N60" s="5">
        <f>L60-Grade14!L60</f>
        <v>0</v>
      </c>
      <c r="O60" s="5">
        <f>Grade14!M60-M60</f>
        <v>0.43999999999999773</v>
      </c>
      <c r="Q60" s="22"/>
      <c r="R60" s="22"/>
      <c r="S60" s="22">
        <f t="shared" si="19"/>
        <v>0.35727999999999815</v>
      </c>
      <c r="T60" s="22">
        <f t="shared" si="20"/>
        <v>0.93340919901989949</v>
      </c>
    </row>
    <row r="61" spans="1:20" x14ac:dyDescent="0.2">
      <c r="A61" s="5">
        <v>70</v>
      </c>
      <c r="H61" s="21"/>
      <c r="I61" s="5"/>
      <c r="M61" s="5">
        <f>scrimecost*Meta!O58</f>
        <v>55.055</v>
      </c>
      <c r="N61" s="5">
        <f>L61-Grade14!L61</f>
        <v>0</v>
      </c>
      <c r="O61" s="5">
        <f>Grade14!M61-M61</f>
        <v>0.43999999999999773</v>
      </c>
      <c r="Q61" s="22"/>
      <c r="R61" s="22"/>
      <c r="S61" s="22">
        <f t="shared" si="19"/>
        <v>0.35727999999999815</v>
      </c>
      <c r="T61" s="22">
        <f t="shared" si="20"/>
        <v>0.95188300735932441</v>
      </c>
    </row>
    <row r="62" spans="1:20" x14ac:dyDescent="0.2">
      <c r="A62" s="5">
        <v>71</v>
      </c>
      <c r="H62" s="21"/>
      <c r="I62" s="5"/>
      <c r="M62" s="5">
        <f>scrimecost*Meta!O59</f>
        <v>55.055</v>
      </c>
      <c r="N62" s="5">
        <f>L62-Grade14!L62</f>
        <v>0</v>
      </c>
      <c r="O62" s="5">
        <f>Grade14!M62-M62</f>
        <v>0.43999999999999773</v>
      </c>
      <c r="Q62" s="22"/>
      <c r="R62" s="22"/>
      <c r="S62" s="22">
        <f t="shared" si="19"/>
        <v>0.35727999999999815</v>
      </c>
      <c r="T62" s="22">
        <f t="shared" si="20"/>
        <v>0.97072244483002434</v>
      </c>
    </row>
    <row r="63" spans="1:20" x14ac:dyDescent="0.2">
      <c r="A63" s="5">
        <v>72</v>
      </c>
      <c r="H63" s="21"/>
      <c r="M63" s="5">
        <f>scrimecost*Meta!O60</f>
        <v>55.055</v>
      </c>
      <c r="N63" s="5">
        <f>L63-Grade14!L63</f>
        <v>0</v>
      </c>
      <c r="O63" s="5">
        <f>Grade14!M63-M63</f>
        <v>0.43999999999999773</v>
      </c>
      <c r="Q63" s="22"/>
      <c r="R63" s="22"/>
      <c r="S63" s="22">
        <f t="shared" si="19"/>
        <v>0.35727999999999815</v>
      </c>
      <c r="T63" s="22">
        <f t="shared" si="20"/>
        <v>0.98993474787503155</v>
      </c>
    </row>
    <row r="64" spans="1:20" x14ac:dyDescent="0.2">
      <c r="A64" s="5">
        <v>73</v>
      </c>
      <c r="H64" s="21"/>
      <c r="M64" s="5">
        <f>scrimecost*Meta!O61</f>
        <v>55.055</v>
      </c>
      <c r="N64" s="5">
        <f>L64-Grade14!L64</f>
        <v>0</v>
      </c>
      <c r="O64" s="5">
        <f>Grade14!M64-M64</f>
        <v>0.43999999999999773</v>
      </c>
      <c r="Q64" s="22"/>
      <c r="R64" s="22"/>
      <c r="S64" s="22">
        <f t="shared" si="19"/>
        <v>0.35727999999999815</v>
      </c>
      <c r="T64" s="22">
        <f t="shared" si="20"/>
        <v>1.0095272961593027</v>
      </c>
    </row>
    <row r="65" spans="1:20" x14ac:dyDescent="0.2">
      <c r="A65" s="5">
        <v>74</v>
      </c>
      <c r="H65" s="21"/>
      <c r="M65" s="5">
        <f>scrimecost*Meta!O62</f>
        <v>55.055</v>
      </c>
      <c r="N65" s="5">
        <f>L65-Grade14!L65</f>
        <v>0</v>
      </c>
      <c r="O65" s="5">
        <f>Grade14!M65-M65</f>
        <v>0.43999999999999773</v>
      </c>
      <c r="Q65" s="22"/>
      <c r="R65" s="22"/>
      <c r="S65" s="22">
        <f t="shared" si="19"/>
        <v>0.35727999999999815</v>
      </c>
      <c r="T65" s="22">
        <f t="shared" si="20"/>
        <v>1.0295076154043321</v>
      </c>
    </row>
    <row r="66" spans="1:20" x14ac:dyDescent="0.2">
      <c r="A66" s="5">
        <v>75</v>
      </c>
      <c r="H66" s="21"/>
      <c r="M66" s="5">
        <f>scrimecost*Meta!O63</f>
        <v>55.055</v>
      </c>
      <c r="N66" s="5">
        <f>L66-Grade14!L66</f>
        <v>0</v>
      </c>
      <c r="O66" s="5">
        <f>Grade14!M66-M66</f>
        <v>0.43999999999999773</v>
      </c>
      <c r="Q66" s="22"/>
      <c r="R66" s="22"/>
      <c r="S66" s="22">
        <f t="shared" si="19"/>
        <v>0.35727999999999815</v>
      </c>
      <c r="T66" s="22">
        <f t="shared" si="20"/>
        <v>1.0498833802788674</v>
      </c>
    </row>
    <row r="67" spans="1:20" x14ac:dyDescent="0.2">
      <c r="A67" s="5">
        <v>76</v>
      </c>
      <c r="H67" s="21"/>
      <c r="M67" s="5">
        <f>scrimecost*Meta!O64</f>
        <v>55.055</v>
      </c>
      <c r="N67" s="5">
        <f>L67-Grade14!L67</f>
        <v>0</v>
      </c>
      <c r="O67" s="5">
        <f>Grade14!M67-M67</f>
        <v>0.43999999999999773</v>
      </c>
      <c r="Q67" s="22"/>
      <c r="R67" s="22"/>
      <c r="S67" s="22">
        <f t="shared" si="19"/>
        <v>0.35727999999999815</v>
      </c>
      <c r="T67" s="22">
        <f t="shared" si="20"/>
        <v>1.0706624173468382</v>
      </c>
    </row>
    <row r="68" spans="1:20" x14ac:dyDescent="0.2">
      <c r="A68" s="5">
        <v>77</v>
      </c>
      <c r="H68" s="21"/>
      <c r="M68" s="5">
        <f>scrimecost*Meta!O65</f>
        <v>55.055</v>
      </c>
      <c r="N68" s="5">
        <f>L68-Grade14!L68</f>
        <v>0</v>
      </c>
      <c r="O68" s="5">
        <f>Grade14!M68-M68</f>
        <v>0.43999999999999773</v>
      </c>
      <c r="Q68" s="22"/>
      <c r="R68" s="22"/>
      <c r="S68" s="22">
        <f t="shared" si="19"/>
        <v>0.35727999999999815</v>
      </c>
      <c r="T68" s="22">
        <f t="shared" si="20"/>
        <v>1.0918527080736269</v>
      </c>
    </row>
    <row r="69" spans="1:20" x14ac:dyDescent="0.2">
      <c r="A69" s="5">
        <v>78</v>
      </c>
      <c r="H69" s="21"/>
      <c r="M69" s="5">
        <f>scrimecost*Meta!O66</f>
        <v>55.055</v>
      </c>
      <c r="N69" s="5">
        <f>L69-Grade14!L69</f>
        <v>0</v>
      </c>
      <c r="O69" s="5">
        <f>Grade14!M69-M69</f>
        <v>0.43999999999999773</v>
      </c>
      <c r="Q69" s="22"/>
      <c r="R69" s="22"/>
      <c r="S69" s="22">
        <f t="shared" si="19"/>
        <v>0.35727999999999815</v>
      </c>
      <c r="T69" s="22">
        <f t="shared" si="20"/>
        <v>1.1134623918918429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6.5975891416769628E-10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S12" sqref="S1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Meta!A10+6</f>
        <v>22</v>
      </c>
      <c r="C2" s="7">
        <f>Meta!B10</f>
        <v>69369</v>
      </c>
      <c r="D2" s="7">
        <f>Meta!C10</f>
        <v>29828</v>
      </c>
      <c r="E2" s="1">
        <f>Meta!D10</f>
        <v>3.4000000000000002E-2</v>
      </c>
      <c r="F2" s="1">
        <f>Meta!F10</f>
        <v>0.77700000000000002</v>
      </c>
      <c r="G2" s="1">
        <f>Meta!I10</f>
        <v>1.7852800699689915</v>
      </c>
      <c r="H2" s="1">
        <f>Meta!E10</f>
        <v>0.81200000000000006</v>
      </c>
      <c r="I2" s="13"/>
      <c r="J2" s="1">
        <f>Meta!X9</f>
        <v>0.77300000000000002</v>
      </c>
      <c r="K2" s="1">
        <f>Meta!D9</f>
        <v>4.2000000000000003E-2</v>
      </c>
      <c r="L2" s="29"/>
      <c r="N2" s="22">
        <f>Meta!T10</f>
        <v>69369</v>
      </c>
      <c r="O2" s="22">
        <f>Meta!U10</f>
        <v>29828</v>
      </c>
      <c r="P2" s="1">
        <f>Meta!V10</f>
        <v>3.4000000000000002E-2</v>
      </c>
      <c r="Q2" s="1">
        <f>Meta!X10</f>
        <v>0.77700000000000002</v>
      </c>
      <c r="R2" s="22">
        <f>Meta!W10</f>
        <v>994</v>
      </c>
      <c r="T2" s="12">
        <f>IRR(S5:S69)+1</f>
        <v>0.97727147357756428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6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B12" s="1">
        <v>1</v>
      </c>
      <c r="C12" s="5">
        <f>0.1*Grade15!C12</f>
        <v>3022.1870997501483</v>
      </c>
      <c r="D12" s="5">
        <f t="shared" ref="D12:D36" si="0">IF(A12&lt;startage,1,0)*(C12*(1-initialunempprob))+IF(A12=startage,1,0)*(C12*(1-unempprob))+IF(A12&gt;startage,1,0)*(C12*(1-unempprob)+unempprob*300*52)</f>
        <v>2895.2552415606419</v>
      </c>
      <c r="E12" s="5">
        <f t="shared" ref="E12:E56" si="1">IF(D12-9500&gt;0,1,0)*(D12-9500)</f>
        <v>0</v>
      </c>
      <c r="F12" s="5">
        <f t="shared" ref="F12:F56" si="2">IF(E12&lt;=8500,1,0)*(0.1*E12+0.1*E12+0.0765*D12)+IF(AND(E12&gt;8500,E12&lt;=34500),1,0)*(850+0.15*(E12-8500)+0.1*E12+0.0765*D12)+IF(AND(E12&gt;34500,E12&lt;=83600),1,0)*(4750+0.25*(E12-34500)+0.1*E12+0.0765*D12)+IF(AND(E12&gt;83600,E12&lt;=174400,D12&lt;=106800),1,0)*(17025+0.28*(E12-83600)+0.1*E12+0.0765*D12)+IF(AND(E12&gt;83600,E12&lt;=174400,D12&gt;106800),1,0)*(17025+0.28*(E12-83600)+0.1*E12+8170.2+0.0145*(D12-106800))+IF(AND(E12&gt;174400,E12&lt;=379150),1,0)*(42449+0.33*(E12-174400)+0.1*E12+8170.2+0.0145*(D12-106800))+IF(E12&gt;379150,1,0)*(110016.5+0.35*(E12-379150)+0.1*E12+8170.2+0.0145*(D12-106800))</f>
        <v>221.4870259793891</v>
      </c>
      <c r="G12" s="5">
        <f t="shared" ref="G12:G56" si="3">D12-F12</f>
        <v>2673.7682155812527</v>
      </c>
      <c r="H12" s="22">
        <f>0.1*Grade15!H12</f>
        <v>1338.6368863814951</v>
      </c>
      <c r="I12" s="5">
        <f t="shared" ref="I12:I36" si="4">G12+IF(A12&lt;startage,1,0)*(H12*(1-initialunempprob))+IF(A12&gt;=startage,1,0)*(H12*(1-unempprob))</f>
        <v>3956.1823527347251</v>
      </c>
      <c r="J12" s="26">
        <f t="shared" ref="J12:J56" si="5">(F12-(IF(A12&gt;startage,1,0)*(unempprob*300*52)))/(IF(A12&lt;startage,1,0)*((C12+H12)*(1-initialunempprob))+IF(A12&gt;=startage,1,0)*((C12+H12)*(1-unempprob)))</f>
        <v>5.3016887144756004E-2</v>
      </c>
      <c r="L12" s="22">
        <f>0.1*Grade15!L12</f>
        <v>5187.7444133453682</v>
      </c>
      <c r="M12" s="5">
        <f>scrimecost*Meta!O9</f>
        <v>3045.616</v>
      </c>
      <c r="N12" s="5">
        <f>L12-Grade15!L12</f>
        <v>-46689.699720108307</v>
      </c>
      <c r="O12" s="5"/>
      <c r="P12" s="22"/>
      <c r="Q12" s="22">
        <f>0.05*feel*Grade15!G12</f>
        <v>312.19361672675296</v>
      </c>
      <c r="R12" s="22">
        <f>coltuition</f>
        <v>8279</v>
      </c>
      <c r="S12" s="22">
        <f t="shared" ref="S12:S43" si="6">IF(A12&lt;startage,1,0)*(N12-Q12-R12)+IF(A12&gt;=startage,1,0)*completionprob*(N12*spart+O12+P12)</f>
        <v>-55280.893336835063</v>
      </c>
      <c r="T12" s="22">
        <f t="shared" ref="T12:T43" si="7">S12/sreturn^(A12-startage+1)</f>
        <v>-55280.893336835063</v>
      </c>
    </row>
    <row r="13" spans="1:20" x14ac:dyDescent="0.2">
      <c r="A13" s="5">
        <v>22</v>
      </c>
      <c r="B13" s="1">
        <f t="shared" ref="B13:B36" si="8">(1+experiencepremium)^(A13-startage)</f>
        <v>1</v>
      </c>
      <c r="C13" s="5">
        <f t="shared" ref="C13:C36" si="9">pretaxincome*B13/expnorm</f>
        <v>38856.088278185322</v>
      </c>
      <c r="D13" s="5">
        <f t="shared" si="0"/>
        <v>37534.98127672702</v>
      </c>
      <c r="E13" s="5">
        <f t="shared" si="1"/>
        <v>28034.98127672702</v>
      </c>
      <c r="F13" s="5">
        <f t="shared" si="2"/>
        <v>9455.1713868513725</v>
      </c>
      <c r="G13" s="5">
        <f t="shared" si="3"/>
        <v>28079.809889875647</v>
      </c>
      <c r="H13" s="22">
        <f t="shared" ref="H13:H36" si="10">benefits*B13/expnorm</f>
        <v>16707.74266836356</v>
      </c>
      <c r="I13" s="5">
        <f t="shared" si="4"/>
        <v>44219.489307514843</v>
      </c>
      <c r="J13" s="26">
        <f t="shared" si="5"/>
        <v>0.17615707793088672</v>
      </c>
      <c r="L13" s="22">
        <f t="shared" ref="L13:L36" si="11">(sincome+sbenefits)*(1-sunemp)*B13/expnorm</f>
        <v>53674.660694366219</v>
      </c>
      <c r="M13" s="5">
        <f>scrimecost*Meta!O10</f>
        <v>2791.152</v>
      </c>
      <c r="N13" s="5">
        <f>L13-Grade15!L13</f>
        <v>500.28045757621294</v>
      </c>
      <c r="O13" s="5">
        <f>Grade15!M13-M13</f>
        <v>19.655999999999949</v>
      </c>
      <c r="P13" s="22">
        <f t="shared" ref="P13:P56" si="12">(spart-initialspart)*(L13*J13+nptrans)</f>
        <v>64.03668554740554</v>
      </c>
      <c r="Q13" s="22"/>
      <c r="R13" s="22"/>
      <c r="S13" s="22">
        <f t="shared" si="6"/>
        <v>383.59740808030784</v>
      </c>
      <c r="T13" s="22">
        <f t="shared" si="7"/>
        <v>392.5187815787221</v>
      </c>
    </row>
    <row r="14" spans="1:20" x14ac:dyDescent="0.2">
      <c r="A14" s="5">
        <v>23</v>
      </c>
      <c r="B14" s="1">
        <f t="shared" si="8"/>
        <v>1.0249999999999999</v>
      </c>
      <c r="C14" s="5">
        <f t="shared" si="9"/>
        <v>39827.490485139948</v>
      </c>
      <c r="D14" s="5">
        <f t="shared" si="0"/>
        <v>39003.75580864519</v>
      </c>
      <c r="E14" s="5">
        <f t="shared" si="1"/>
        <v>29503.75580864519</v>
      </c>
      <c r="F14" s="5">
        <f t="shared" si="2"/>
        <v>9934.7262715226534</v>
      </c>
      <c r="G14" s="5">
        <f t="shared" si="3"/>
        <v>29069.029537122537</v>
      </c>
      <c r="H14" s="22">
        <f t="shared" si="10"/>
        <v>17125.436235072648</v>
      </c>
      <c r="I14" s="5">
        <f t="shared" si="4"/>
        <v>45612.200940202718</v>
      </c>
      <c r="J14" s="26">
        <f t="shared" si="5"/>
        <v>0.17093638490359608</v>
      </c>
      <c r="L14" s="22">
        <f t="shared" si="11"/>
        <v>55016.527211725363</v>
      </c>
      <c r="M14" s="5">
        <f>scrimecost*Meta!O11</f>
        <v>2608.2560000000003</v>
      </c>
      <c r="N14" s="5">
        <f>L14-Grade15!L14</f>
        <v>512.78746901560226</v>
      </c>
      <c r="O14" s="5">
        <f>Grade15!M14-M14</f>
        <v>18.367999999999938</v>
      </c>
      <c r="P14" s="22">
        <f t="shared" si="12"/>
        <v>63.833305086090675</v>
      </c>
      <c r="Q14" s="22"/>
      <c r="R14" s="22"/>
      <c r="S14" s="22">
        <f t="shared" si="6"/>
        <v>390.27738083110546</v>
      </c>
      <c r="T14" s="22">
        <f t="shared" si="7"/>
        <v>408.64194044239571</v>
      </c>
    </row>
    <row r="15" spans="1:20" x14ac:dyDescent="0.2">
      <c r="A15" s="5">
        <v>24</v>
      </c>
      <c r="B15" s="1">
        <f t="shared" si="8"/>
        <v>1.0506249999999999</v>
      </c>
      <c r="C15" s="5">
        <f t="shared" si="9"/>
        <v>40823.177747268448</v>
      </c>
      <c r="D15" s="5">
        <f t="shared" si="0"/>
        <v>39965.589703861318</v>
      </c>
      <c r="E15" s="5">
        <f t="shared" si="1"/>
        <v>30465.589703861318</v>
      </c>
      <c r="F15" s="5">
        <f t="shared" si="2"/>
        <v>10248.765038310721</v>
      </c>
      <c r="G15" s="5">
        <f t="shared" si="3"/>
        <v>29716.824665550597</v>
      </c>
      <c r="H15" s="22">
        <f t="shared" si="10"/>
        <v>17553.572140949462</v>
      </c>
      <c r="I15" s="5">
        <f t="shared" si="4"/>
        <v>46673.575353707776</v>
      </c>
      <c r="J15" s="26">
        <f t="shared" si="5"/>
        <v>0.17233606381961319</v>
      </c>
      <c r="L15" s="22">
        <f t="shared" si="11"/>
        <v>56391.940392018507</v>
      </c>
      <c r="M15" s="5">
        <f>scrimecost*Meta!O12</f>
        <v>2491.9580000000001</v>
      </c>
      <c r="N15" s="5">
        <f>L15-Grade15!L15</f>
        <v>525.6071557410105</v>
      </c>
      <c r="O15" s="5">
        <f>Grade15!M15-M15</f>
        <v>17.548999999999978</v>
      </c>
      <c r="P15" s="22">
        <f t="shared" si="12"/>
        <v>65.089460153242953</v>
      </c>
      <c r="Q15" s="22"/>
      <c r="R15" s="22"/>
      <c r="S15" s="22">
        <f t="shared" si="6"/>
        <v>398.72059877317457</v>
      </c>
      <c r="T15" s="22">
        <f t="shared" si="7"/>
        <v>427.19189757931366</v>
      </c>
    </row>
    <row r="16" spans="1:20" x14ac:dyDescent="0.2">
      <c r="A16" s="5">
        <v>25</v>
      </c>
      <c r="B16" s="1">
        <f t="shared" si="8"/>
        <v>1.0768906249999999</v>
      </c>
      <c r="C16" s="5">
        <f t="shared" si="9"/>
        <v>41843.757190950157</v>
      </c>
      <c r="D16" s="5">
        <f t="shared" si="0"/>
        <v>40951.46944645785</v>
      </c>
      <c r="E16" s="5">
        <f t="shared" si="1"/>
        <v>31451.46944645785</v>
      </c>
      <c r="F16" s="5">
        <f t="shared" si="2"/>
        <v>10570.654774268489</v>
      </c>
      <c r="G16" s="5">
        <f t="shared" si="3"/>
        <v>30380.814672189361</v>
      </c>
      <c r="H16" s="22">
        <f t="shared" si="10"/>
        <v>17992.4114444732</v>
      </c>
      <c r="I16" s="5">
        <f t="shared" si="4"/>
        <v>47761.484127550473</v>
      </c>
      <c r="J16" s="26">
        <f t="shared" si="5"/>
        <v>0.1737016042254835</v>
      </c>
      <c r="L16" s="22">
        <f t="shared" si="11"/>
        <v>57801.738901818964</v>
      </c>
      <c r="M16" s="5">
        <f>scrimecost*Meta!O13</f>
        <v>2092.37</v>
      </c>
      <c r="N16" s="5">
        <f>L16-Grade15!L16</f>
        <v>538.74733463452867</v>
      </c>
      <c r="O16" s="5">
        <f>Grade15!M16-M16</f>
        <v>14.735000000000127</v>
      </c>
      <c r="P16" s="22">
        <f t="shared" si="12"/>
        <v>66.377019097074026</v>
      </c>
      <c r="Q16" s="22"/>
      <c r="R16" s="22"/>
      <c r="S16" s="22">
        <f t="shared" si="6"/>
        <v>405.7715828637796</v>
      </c>
      <c r="T16" s="22">
        <f t="shared" si="7"/>
        <v>444.85732011671678</v>
      </c>
    </row>
    <row r="17" spans="1:20" x14ac:dyDescent="0.2">
      <c r="A17" s="5">
        <v>26</v>
      </c>
      <c r="B17" s="1">
        <f t="shared" si="8"/>
        <v>1.1038128906249998</v>
      </c>
      <c r="C17" s="5">
        <f t="shared" si="9"/>
        <v>42889.851120723913</v>
      </c>
      <c r="D17" s="5">
        <f t="shared" si="0"/>
        <v>41961.996182619303</v>
      </c>
      <c r="E17" s="5">
        <f t="shared" si="1"/>
        <v>32461.996182619303</v>
      </c>
      <c r="F17" s="5">
        <f t="shared" si="2"/>
        <v>10900.591753625202</v>
      </c>
      <c r="G17" s="5">
        <f t="shared" si="3"/>
        <v>31061.404428994101</v>
      </c>
      <c r="H17" s="22">
        <f t="shared" si="10"/>
        <v>18442.221730585028</v>
      </c>
      <c r="I17" s="5">
        <f t="shared" si="4"/>
        <v>48876.59062073924</v>
      </c>
      <c r="J17" s="26">
        <f t="shared" si="5"/>
        <v>0.17503383876779599</v>
      </c>
      <c r="L17" s="22">
        <f t="shared" si="11"/>
        <v>59246.782374364426</v>
      </c>
      <c r="M17" s="5">
        <f>scrimecost*Meta!O14</f>
        <v>2092.37</v>
      </c>
      <c r="N17" s="5">
        <f>L17-Grade15!L17</f>
        <v>552.21601800038479</v>
      </c>
      <c r="O17" s="5">
        <f>Grade15!M17-M17</f>
        <v>14.735000000000127</v>
      </c>
      <c r="P17" s="22">
        <f t="shared" si="12"/>
        <v>67.696767014500864</v>
      </c>
      <c r="Q17" s="22"/>
      <c r="R17" s="22"/>
      <c r="S17" s="22">
        <f t="shared" si="6"/>
        <v>415.34093375664963</v>
      </c>
      <c r="T17" s="22">
        <f t="shared" si="7"/>
        <v>465.93852996032655</v>
      </c>
    </row>
    <row r="18" spans="1:20" x14ac:dyDescent="0.2">
      <c r="A18" s="5">
        <v>27</v>
      </c>
      <c r="B18" s="1">
        <f t="shared" si="8"/>
        <v>1.1314082128906247</v>
      </c>
      <c r="C18" s="5">
        <f t="shared" si="9"/>
        <v>43962.097398742007</v>
      </c>
      <c r="D18" s="5">
        <f t="shared" si="0"/>
        <v>42997.786087184781</v>
      </c>
      <c r="E18" s="5">
        <f t="shared" si="1"/>
        <v>33497.786087184781</v>
      </c>
      <c r="F18" s="5">
        <f t="shared" si="2"/>
        <v>11238.777157465831</v>
      </c>
      <c r="G18" s="5">
        <f t="shared" si="3"/>
        <v>31759.008929718948</v>
      </c>
      <c r="H18" s="22">
        <f t="shared" si="10"/>
        <v>18903.27727384965</v>
      </c>
      <c r="I18" s="5">
        <f t="shared" si="4"/>
        <v>50019.574776257708</v>
      </c>
      <c r="J18" s="26">
        <f t="shared" si="5"/>
        <v>0.17633357978468625</v>
      </c>
      <c r="L18" s="22">
        <f t="shared" si="11"/>
        <v>60727.951933723532</v>
      </c>
      <c r="M18" s="5">
        <f>scrimecost*Meta!O15</f>
        <v>2092.37</v>
      </c>
      <c r="N18" s="5">
        <f>L18-Grade15!L18</f>
        <v>566.02141845040023</v>
      </c>
      <c r="O18" s="5">
        <f>Grade15!M18-M18</f>
        <v>14.735000000000127</v>
      </c>
      <c r="P18" s="22">
        <f t="shared" si="12"/>
        <v>69.049508629863382</v>
      </c>
      <c r="Q18" s="22"/>
      <c r="R18" s="22"/>
      <c r="S18" s="22">
        <f t="shared" si="6"/>
        <v>425.14951842184951</v>
      </c>
      <c r="T18" s="22">
        <f t="shared" si="7"/>
        <v>488.0343152734319</v>
      </c>
    </row>
    <row r="19" spans="1:20" x14ac:dyDescent="0.2">
      <c r="A19" s="5">
        <v>28</v>
      </c>
      <c r="B19" s="1">
        <f t="shared" si="8"/>
        <v>1.1596934182128902</v>
      </c>
      <c r="C19" s="5">
        <f t="shared" si="9"/>
        <v>45061.149833710551</v>
      </c>
      <c r="D19" s="5">
        <f t="shared" si="0"/>
        <v>44059.470739364391</v>
      </c>
      <c r="E19" s="5">
        <f t="shared" si="1"/>
        <v>34559.470739364391</v>
      </c>
      <c r="F19" s="5">
        <f t="shared" si="2"/>
        <v>11591.364270338912</v>
      </c>
      <c r="G19" s="5">
        <f t="shared" si="3"/>
        <v>32468.106469025479</v>
      </c>
      <c r="H19" s="22">
        <f t="shared" si="10"/>
        <v>19375.859205695891</v>
      </c>
      <c r="I19" s="5">
        <f t="shared" si="4"/>
        <v>51185.18646172771</v>
      </c>
      <c r="J19" s="26">
        <f t="shared" si="5"/>
        <v>0.17769716103329686</v>
      </c>
      <c r="L19" s="22">
        <f t="shared" si="11"/>
        <v>62246.150732066621</v>
      </c>
      <c r="M19" s="5">
        <f>scrimecost*Meta!O16</f>
        <v>2092.37</v>
      </c>
      <c r="N19" s="5">
        <f>L19-Grade15!L19</f>
        <v>580.17195391165296</v>
      </c>
      <c r="O19" s="5">
        <f>Grade15!M19-M19</f>
        <v>14.735000000000127</v>
      </c>
      <c r="P19" s="22">
        <f t="shared" si="12"/>
        <v>70.459857081355707</v>
      </c>
      <c r="Q19" s="22"/>
      <c r="R19" s="22"/>
      <c r="S19" s="22">
        <f t="shared" si="6"/>
        <v>435.22263379981672</v>
      </c>
      <c r="T19" s="22">
        <f t="shared" si="7"/>
        <v>511.21656645733935</v>
      </c>
    </row>
    <row r="20" spans="1:20" x14ac:dyDescent="0.2">
      <c r="A20" s="5">
        <v>29</v>
      </c>
      <c r="B20" s="1">
        <f t="shared" si="8"/>
        <v>1.1886857536682125</v>
      </c>
      <c r="C20" s="5">
        <f t="shared" si="9"/>
        <v>46187.678579553314</v>
      </c>
      <c r="D20" s="5">
        <f t="shared" si="0"/>
        <v>45147.697507848505</v>
      </c>
      <c r="E20" s="5">
        <f t="shared" si="1"/>
        <v>35647.697507848505</v>
      </c>
      <c r="F20" s="5">
        <f t="shared" si="2"/>
        <v>12055.492987097388</v>
      </c>
      <c r="G20" s="5">
        <f t="shared" si="3"/>
        <v>33092.204520751118</v>
      </c>
      <c r="H20" s="22">
        <f t="shared" si="10"/>
        <v>19860.255685838289</v>
      </c>
      <c r="I20" s="5">
        <f t="shared" si="4"/>
        <v>52277.2115132709</v>
      </c>
      <c r="J20" s="26">
        <f t="shared" si="5"/>
        <v>0.18063756595235303</v>
      </c>
      <c r="L20" s="22">
        <f t="shared" si="11"/>
        <v>63802.304500368293</v>
      </c>
      <c r="M20" s="5">
        <f>scrimecost*Meta!O17</f>
        <v>2092.37</v>
      </c>
      <c r="N20" s="5">
        <f>L20-Grade15!L20</f>
        <v>594.67625275945466</v>
      </c>
      <c r="O20" s="5">
        <f>Grade15!M20-M20</f>
        <v>14.735000000000127</v>
      </c>
      <c r="P20" s="22">
        <f t="shared" si="12"/>
        <v>72.316371948389616</v>
      </c>
      <c r="Q20" s="22"/>
      <c r="R20" s="22"/>
      <c r="S20" s="22">
        <f t="shared" si="6"/>
        <v>445.88123411809869</v>
      </c>
      <c r="T20" s="22">
        <f t="shared" si="7"/>
        <v>535.91685831450047</v>
      </c>
    </row>
    <row r="21" spans="1:20" x14ac:dyDescent="0.2">
      <c r="A21" s="5">
        <v>30</v>
      </c>
      <c r="B21" s="1">
        <f t="shared" si="8"/>
        <v>1.2184028975099177</v>
      </c>
      <c r="C21" s="5">
        <f t="shared" si="9"/>
        <v>47342.37054404214</v>
      </c>
      <c r="D21" s="5">
        <f t="shared" si="0"/>
        <v>46263.129945544708</v>
      </c>
      <c r="E21" s="5">
        <f t="shared" si="1"/>
        <v>36763.129945544708</v>
      </c>
      <c r="F21" s="5">
        <f t="shared" si="2"/>
        <v>12531.224921774818</v>
      </c>
      <c r="G21" s="5">
        <f t="shared" si="3"/>
        <v>33731.90502376989</v>
      </c>
      <c r="H21" s="22">
        <f t="shared" si="10"/>
        <v>20356.762077984244</v>
      </c>
      <c r="I21" s="5">
        <f t="shared" si="4"/>
        <v>53396.537191102674</v>
      </c>
      <c r="J21" s="26">
        <f t="shared" si="5"/>
        <v>0.1835062536782614</v>
      </c>
      <c r="L21" s="22">
        <f t="shared" si="11"/>
        <v>65397.36211287749</v>
      </c>
      <c r="M21" s="5">
        <f>scrimecost*Meta!O18</f>
        <v>1686.818</v>
      </c>
      <c r="N21" s="5">
        <f>L21-Grade15!L21</f>
        <v>609.54315907844284</v>
      </c>
      <c r="O21" s="5">
        <f>Grade15!M21-M21</f>
        <v>11.879000000000133</v>
      </c>
      <c r="P21" s="22">
        <f t="shared" si="12"/>
        <v>74.219299687099337</v>
      </c>
      <c r="Q21" s="22"/>
      <c r="R21" s="22"/>
      <c r="S21" s="22">
        <f t="shared" si="6"/>
        <v>454.48722744433229</v>
      </c>
      <c r="T21" s="22">
        <f t="shared" si="7"/>
        <v>558.96509004329596</v>
      </c>
    </row>
    <row r="22" spans="1:20" x14ac:dyDescent="0.2">
      <c r="A22" s="5">
        <v>31</v>
      </c>
      <c r="B22" s="1">
        <f t="shared" si="8"/>
        <v>1.2488629699476654</v>
      </c>
      <c r="C22" s="5">
        <f t="shared" si="9"/>
        <v>48525.929807643188</v>
      </c>
      <c r="D22" s="5">
        <f t="shared" si="0"/>
        <v>47406.448194183322</v>
      </c>
      <c r="E22" s="5">
        <f t="shared" si="1"/>
        <v>37906.448194183322</v>
      </c>
      <c r="F22" s="5">
        <f t="shared" si="2"/>
        <v>13018.850154819187</v>
      </c>
      <c r="G22" s="5">
        <f t="shared" si="3"/>
        <v>34387.598039364137</v>
      </c>
      <c r="H22" s="22">
        <f t="shared" si="10"/>
        <v>20865.681129933848</v>
      </c>
      <c r="I22" s="5">
        <f t="shared" si="4"/>
        <v>54543.846010880232</v>
      </c>
      <c r="J22" s="26">
        <f t="shared" si="5"/>
        <v>0.186304973410855</v>
      </c>
      <c r="L22" s="22">
        <f t="shared" si="11"/>
        <v>67032.296165699416</v>
      </c>
      <c r="M22" s="5">
        <f>scrimecost*Meta!O19</f>
        <v>1686.818</v>
      </c>
      <c r="N22" s="5">
        <f>L22-Grade15!L22</f>
        <v>624.78173805538972</v>
      </c>
      <c r="O22" s="5">
        <f>Grade15!M22-M22</f>
        <v>11.879000000000133</v>
      </c>
      <c r="P22" s="22">
        <f t="shared" si="12"/>
        <v>76.169800619276813</v>
      </c>
      <c r="Q22" s="22"/>
      <c r="R22" s="22"/>
      <c r="S22" s="22">
        <f t="shared" si="6"/>
        <v>465.68541940371159</v>
      </c>
      <c r="T22" s="22">
        <f t="shared" si="7"/>
        <v>586.05776000015624</v>
      </c>
    </row>
    <row r="23" spans="1:20" x14ac:dyDescent="0.2">
      <c r="A23" s="5">
        <v>32</v>
      </c>
      <c r="B23" s="1">
        <f t="shared" si="8"/>
        <v>1.2800845441963571</v>
      </c>
      <c r="C23" s="5">
        <f t="shared" si="9"/>
        <v>49739.078052834266</v>
      </c>
      <c r="D23" s="5">
        <f t="shared" si="0"/>
        <v>48578.349399037899</v>
      </c>
      <c r="E23" s="5">
        <f t="shared" si="1"/>
        <v>39078.349399037899</v>
      </c>
      <c r="F23" s="5">
        <f t="shared" si="2"/>
        <v>13518.666018689664</v>
      </c>
      <c r="G23" s="5">
        <f t="shared" si="3"/>
        <v>35059.683380348237</v>
      </c>
      <c r="H23" s="22">
        <f t="shared" si="10"/>
        <v>21387.323158182193</v>
      </c>
      <c r="I23" s="5">
        <f t="shared" si="4"/>
        <v>55719.837551152232</v>
      </c>
      <c r="J23" s="26">
        <f t="shared" si="5"/>
        <v>0.18903543168655604</v>
      </c>
      <c r="L23" s="22">
        <f t="shared" si="11"/>
        <v>68708.1035698419</v>
      </c>
      <c r="M23" s="5">
        <f>scrimecost*Meta!O20</f>
        <v>1686.818</v>
      </c>
      <c r="N23" s="5">
        <f>L23-Grade15!L23</f>
        <v>640.40128150678356</v>
      </c>
      <c r="O23" s="5">
        <f>Grade15!M23-M23</f>
        <v>11.879000000000133</v>
      </c>
      <c r="P23" s="22">
        <f t="shared" si="12"/>
        <v>78.169064074758722</v>
      </c>
      <c r="Q23" s="22"/>
      <c r="R23" s="22"/>
      <c r="S23" s="22">
        <f t="shared" si="6"/>
        <v>477.16356616209015</v>
      </c>
      <c r="T23" s="22">
        <f t="shared" si="7"/>
        <v>614.4687970622374</v>
      </c>
    </row>
    <row r="24" spans="1:20" x14ac:dyDescent="0.2">
      <c r="A24" s="5">
        <v>33</v>
      </c>
      <c r="B24" s="1">
        <f t="shared" si="8"/>
        <v>1.312086657801266</v>
      </c>
      <c r="C24" s="5">
        <f t="shared" si="9"/>
        <v>50982.555004155125</v>
      </c>
      <c r="D24" s="5">
        <f t="shared" si="0"/>
        <v>49779.54813401385</v>
      </c>
      <c r="E24" s="5">
        <f t="shared" si="1"/>
        <v>40279.54813401385</v>
      </c>
      <c r="F24" s="5">
        <f t="shared" si="2"/>
        <v>14030.977279156908</v>
      </c>
      <c r="G24" s="5">
        <f t="shared" si="3"/>
        <v>35748.570854856938</v>
      </c>
      <c r="H24" s="22">
        <f t="shared" si="10"/>
        <v>21922.006237136746</v>
      </c>
      <c r="I24" s="5">
        <f t="shared" si="4"/>
        <v>56925.228879931034</v>
      </c>
      <c r="J24" s="26">
        <f t="shared" si="5"/>
        <v>0.19169929341894731</v>
      </c>
      <c r="L24" s="22">
        <f t="shared" si="11"/>
        <v>70425.806159087952</v>
      </c>
      <c r="M24" s="5">
        <f>scrimecost*Meta!O21</f>
        <v>1686.818</v>
      </c>
      <c r="N24" s="5">
        <f>L24-Grade15!L24</f>
        <v>656.41131354444951</v>
      </c>
      <c r="O24" s="5">
        <f>Grade15!M24-M24</f>
        <v>11.879000000000133</v>
      </c>
      <c r="P24" s="22">
        <f t="shared" si="12"/>
        <v>80.218309116627708</v>
      </c>
      <c r="Q24" s="22"/>
      <c r="R24" s="22"/>
      <c r="S24" s="22">
        <f t="shared" si="6"/>
        <v>488.92866658942012</v>
      </c>
      <c r="T24" s="22">
        <f t="shared" si="7"/>
        <v>644.26247674544106</v>
      </c>
    </row>
    <row r="25" spans="1:20" x14ac:dyDescent="0.2">
      <c r="A25" s="5">
        <v>34</v>
      </c>
      <c r="B25" s="1">
        <f t="shared" si="8"/>
        <v>1.3448888242462975</v>
      </c>
      <c r="C25" s="5">
        <f t="shared" si="9"/>
        <v>52257.118879258996</v>
      </c>
      <c r="D25" s="5">
        <f t="shared" si="0"/>
        <v>51010.776837364188</v>
      </c>
      <c r="E25" s="5">
        <f t="shared" si="1"/>
        <v>41510.776837364188</v>
      </c>
      <c r="F25" s="5">
        <f t="shared" si="2"/>
        <v>14556.096321135827</v>
      </c>
      <c r="G25" s="5">
        <f t="shared" si="3"/>
        <v>36454.680516228364</v>
      </c>
      <c r="H25" s="22">
        <f t="shared" si="10"/>
        <v>22470.056393065166</v>
      </c>
      <c r="I25" s="5">
        <f t="shared" si="4"/>
        <v>58160.754991929309</v>
      </c>
      <c r="J25" s="26">
        <f t="shared" si="5"/>
        <v>0.19429818291396314</v>
      </c>
      <c r="L25" s="22">
        <f t="shared" si="11"/>
        <v>72186.451313065147</v>
      </c>
      <c r="M25" s="5">
        <f>scrimecost*Meta!O22</f>
        <v>1686.818</v>
      </c>
      <c r="N25" s="5">
        <f>L25-Grade15!L25</f>
        <v>672.82159638307348</v>
      </c>
      <c r="O25" s="5">
        <f>Grade15!M25-M25</f>
        <v>11.879000000000133</v>
      </c>
      <c r="P25" s="22">
        <f t="shared" si="12"/>
        <v>82.318785284543381</v>
      </c>
      <c r="Q25" s="22"/>
      <c r="R25" s="22"/>
      <c r="S25" s="22">
        <f t="shared" si="6"/>
        <v>500.98789452744364</v>
      </c>
      <c r="T25" s="22">
        <f t="shared" si="7"/>
        <v>675.50621109287704</v>
      </c>
    </row>
    <row r="26" spans="1:20" x14ac:dyDescent="0.2">
      <c r="A26" s="5">
        <v>35</v>
      </c>
      <c r="B26" s="1">
        <f t="shared" si="8"/>
        <v>1.3785110448524549</v>
      </c>
      <c r="C26" s="5">
        <f t="shared" si="9"/>
        <v>53563.546851240477</v>
      </c>
      <c r="D26" s="5">
        <f t="shared" si="0"/>
        <v>52272.7862582983</v>
      </c>
      <c r="E26" s="5">
        <f t="shared" si="1"/>
        <v>42772.7862582983</v>
      </c>
      <c r="F26" s="5">
        <f t="shared" si="2"/>
        <v>15094.343339164225</v>
      </c>
      <c r="G26" s="5">
        <f t="shared" si="3"/>
        <v>37178.442919134075</v>
      </c>
      <c r="H26" s="22">
        <f t="shared" si="10"/>
        <v>23031.807802891795</v>
      </c>
      <c r="I26" s="5">
        <f t="shared" si="4"/>
        <v>59427.169256727546</v>
      </c>
      <c r="J26" s="26">
        <f t="shared" si="5"/>
        <v>0.19683368486032016</v>
      </c>
      <c r="L26" s="22">
        <f t="shared" si="11"/>
        <v>73991.112595891769</v>
      </c>
      <c r="M26" s="5">
        <f>scrimecost*Meta!O23</f>
        <v>1309.098</v>
      </c>
      <c r="N26" s="5">
        <f>L26-Grade15!L26</f>
        <v>689.6421362926485</v>
      </c>
      <c r="O26" s="5">
        <f>Grade15!M26-M26</f>
        <v>9.2190000000000509</v>
      </c>
      <c r="P26" s="22">
        <f t="shared" si="12"/>
        <v>84.471773356656968</v>
      </c>
      <c r="Q26" s="22"/>
      <c r="R26" s="22"/>
      <c r="S26" s="22">
        <f t="shared" si="6"/>
        <v>511.18868316390854</v>
      </c>
      <c r="T26" s="22">
        <f t="shared" si="7"/>
        <v>705.29064488368817</v>
      </c>
    </row>
    <row r="27" spans="1:20" x14ac:dyDescent="0.2">
      <c r="A27" s="5">
        <v>36</v>
      </c>
      <c r="B27" s="1">
        <f t="shared" si="8"/>
        <v>1.4129738209737661</v>
      </c>
      <c r="C27" s="5">
        <f t="shared" si="9"/>
        <v>54902.635522521479</v>
      </c>
      <c r="D27" s="5">
        <f t="shared" si="0"/>
        <v>53566.345914755751</v>
      </c>
      <c r="E27" s="5">
        <f t="shared" si="1"/>
        <v>44066.345914755751</v>
      </c>
      <c r="F27" s="5">
        <f t="shared" si="2"/>
        <v>15646.046532643328</v>
      </c>
      <c r="G27" s="5">
        <f t="shared" si="3"/>
        <v>37920.299382112426</v>
      </c>
      <c r="H27" s="22">
        <f t="shared" si="10"/>
        <v>23607.602997964088</v>
      </c>
      <c r="I27" s="5">
        <f t="shared" si="4"/>
        <v>60725.243878145731</v>
      </c>
      <c r="J27" s="26">
        <f t="shared" si="5"/>
        <v>0.19930734529579033</v>
      </c>
      <c r="L27" s="22">
        <f t="shared" si="11"/>
        <v>75840.890410789056</v>
      </c>
      <c r="M27" s="5">
        <f>scrimecost*Meta!O24</f>
        <v>1309.098</v>
      </c>
      <c r="N27" s="5">
        <f>L27-Grade15!L27</f>
        <v>706.8831896999327</v>
      </c>
      <c r="O27" s="5">
        <f>Grade15!M27-M27</f>
        <v>9.2190000000000509</v>
      </c>
      <c r="P27" s="22">
        <f t="shared" si="12"/>
        <v>86.678586130573393</v>
      </c>
      <c r="Q27" s="22"/>
      <c r="R27" s="22"/>
      <c r="S27" s="22">
        <f t="shared" si="6"/>
        <v>523.85840951626597</v>
      </c>
      <c r="T27" s="22">
        <f t="shared" si="7"/>
        <v>739.58073632863875</v>
      </c>
    </row>
    <row r="28" spans="1:20" x14ac:dyDescent="0.2">
      <c r="A28" s="5">
        <v>37</v>
      </c>
      <c r="B28" s="1">
        <f t="shared" si="8"/>
        <v>1.4482981664981105</v>
      </c>
      <c r="C28" s="5">
        <f t="shared" si="9"/>
        <v>56275.201410584523</v>
      </c>
      <c r="D28" s="5">
        <f t="shared" si="0"/>
        <v>54892.244562624648</v>
      </c>
      <c r="E28" s="5">
        <f t="shared" si="1"/>
        <v>45392.244562624648</v>
      </c>
      <c r="F28" s="5">
        <f t="shared" si="2"/>
        <v>16211.542305959414</v>
      </c>
      <c r="G28" s="5">
        <f t="shared" si="3"/>
        <v>38680.70225666523</v>
      </c>
      <c r="H28" s="22">
        <f t="shared" si="10"/>
        <v>24197.793072913191</v>
      </c>
      <c r="I28" s="5">
        <f t="shared" si="4"/>
        <v>62055.770365099372</v>
      </c>
      <c r="J28" s="26">
        <f t="shared" si="5"/>
        <v>0.20172067254990758</v>
      </c>
      <c r="L28" s="22">
        <f t="shared" si="11"/>
        <v>77736.912671058788</v>
      </c>
      <c r="M28" s="5">
        <f>scrimecost*Meta!O25</f>
        <v>1309.098</v>
      </c>
      <c r="N28" s="5">
        <f>L28-Grade15!L28</f>
        <v>724.55526944245503</v>
      </c>
      <c r="O28" s="5">
        <f>Grade15!M28-M28</f>
        <v>9.2190000000000509</v>
      </c>
      <c r="P28" s="22">
        <f t="shared" si="12"/>
        <v>88.940569223837713</v>
      </c>
      <c r="Q28" s="22"/>
      <c r="R28" s="22"/>
      <c r="S28" s="22">
        <f t="shared" si="6"/>
        <v>536.84487902746775</v>
      </c>
      <c r="T28" s="22">
        <f t="shared" si="7"/>
        <v>775.54189481572973</v>
      </c>
    </row>
    <row r="29" spans="1:20" x14ac:dyDescent="0.2">
      <c r="A29" s="5">
        <v>38</v>
      </c>
      <c r="B29" s="1">
        <f t="shared" si="8"/>
        <v>1.4845056206605631</v>
      </c>
      <c r="C29" s="5">
        <f t="shared" si="9"/>
        <v>57682.08144584913</v>
      </c>
      <c r="D29" s="5">
        <f t="shared" si="0"/>
        <v>56251.29067669026</v>
      </c>
      <c r="E29" s="5">
        <f t="shared" si="1"/>
        <v>46751.29067669026</v>
      </c>
      <c r="F29" s="5">
        <f t="shared" si="2"/>
        <v>16791.175473608397</v>
      </c>
      <c r="G29" s="5">
        <f t="shared" si="3"/>
        <v>39460.115203081863</v>
      </c>
      <c r="H29" s="22">
        <f t="shared" si="10"/>
        <v>24802.737899736021</v>
      </c>
      <c r="I29" s="5">
        <f t="shared" si="4"/>
        <v>63419.560014226859</v>
      </c>
      <c r="J29" s="26">
        <f t="shared" si="5"/>
        <v>0.20407513816368053</v>
      </c>
      <c r="L29" s="22">
        <f t="shared" si="11"/>
        <v>79680.33548783524</v>
      </c>
      <c r="M29" s="5">
        <f>scrimecost*Meta!O26</f>
        <v>1309.098</v>
      </c>
      <c r="N29" s="5">
        <f>L29-Grade15!L29</f>
        <v>742.66915117850294</v>
      </c>
      <c r="O29" s="5">
        <f>Grade15!M29-M29</f>
        <v>9.2190000000000509</v>
      </c>
      <c r="P29" s="22">
        <f t="shared" si="12"/>
        <v>91.259101894433655</v>
      </c>
      <c r="Q29" s="22"/>
      <c r="R29" s="22"/>
      <c r="S29" s="22">
        <f t="shared" si="6"/>
        <v>550.15601027642606</v>
      </c>
      <c r="T29" s="22">
        <f t="shared" si="7"/>
        <v>813.25564885182416</v>
      </c>
    </row>
    <row r="30" spans="1:20" x14ac:dyDescent="0.2">
      <c r="A30" s="5">
        <v>39</v>
      </c>
      <c r="B30" s="1">
        <f t="shared" si="8"/>
        <v>1.521618261177077</v>
      </c>
      <c r="C30" s="5">
        <f t="shared" si="9"/>
        <v>59124.133481995348</v>
      </c>
      <c r="D30" s="5">
        <f t="shared" si="0"/>
        <v>57644.312943607503</v>
      </c>
      <c r="E30" s="5">
        <f t="shared" si="1"/>
        <v>48144.312943607503</v>
      </c>
      <c r="F30" s="5">
        <f t="shared" si="2"/>
        <v>17385.299470448597</v>
      </c>
      <c r="G30" s="5">
        <f t="shared" si="3"/>
        <v>40259.013473158906</v>
      </c>
      <c r="H30" s="22">
        <f t="shared" si="10"/>
        <v>25422.806347229416</v>
      </c>
      <c r="I30" s="5">
        <f t="shared" si="4"/>
        <v>64817.444404582522</v>
      </c>
      <c r="J30" s="26">
        <f t="shared" si="5"/>
        <v>0.20637217778687356</v>
      </c>
      <c r="L30" s="22">
        <f t="shared" si="11"/>
        <v>81672.343875031132</v>
      </c>
      <c r="M30" s="5">
        <f>scrimecost*Meta!O27</f>
        <v>1309.098</v>
      </c>
      <c r="N30" s="5">
        <f>L30-Grade15!L30</f>
        <v>761.23587995798152</v>
      </c>
      <c r="O30" s="5">
        <f>Grade15!M30-M30</f>
        <v>9.2190000000000509</v>
      </c>
      <c r="P30" s="22">
        <f t="shared" si="12"/>
        <v>93.635597881794482</v>
      </c>
      <c r="Q30" s="22"/>
      <c r="R30" s="22"/>
      <c r="S30" s="22">
        <f t="shared" si="6"/>
        <v>563.7999198066268</v>
      </c>
      <c r="T30" s="22">
        <f t="shared" si="7"/>
        <v>852.80750672496083</v>
      </c>
    </row>
    <row r="31" spans="1:20" x14ac:dyDescent="0.2">
      <c r="A31" s="5">
        <v>40</v>
      </c>
      <c r="B31" s="1">
        <f t="shared" si="8"/>
        <v>1.559658717706504</v>
      </c>
      <c r="C31" s="5">
        <f t="shared" si="9"/>
        <v>60602.23681904524</v>
      </c>
      <c r="D31" s="5">
        <f t="shared" si="0"/>
        <v>59072.160767197704</v>
      </c>
      <c r="E31" s="5">
        <f t="shared" si="1"/>
        <v>49572.160767197704</v>
      </c>
      <c r="F31" s="5">
        <f t="shared" si="2"/>
        <v>17994.276567209821</v>
      </c>
      <c r="G31" s="5">
        <f t="shared" si="3"/>
        <v>41077.884199987879</v>
      </c>
      <c r="H31" s="22">
        <f t="shared" si="10"/>
        <v>26058.376505910153</v>
      </c>
      <c r="I31" s="5">
        <f t="shared" si="4"/>
        <v>66250.27590469709</v>
      </c>
      <c r="J31" s="26">
        <f t="shared" si="5"/>
        <v>0.20861319205340351</v>
      </c>
      <c r="L31" s="22">
        <f t="shared" si="11"/>
        <v>83714.152471906898</v>
      </c>
      <c r="M31" s="5">
        <f>scrimecost*Meta!O28</f>
        <v>1145.088</v>
      </c>
      <c r="N31" s="5">
        <f>L31-Grade15!L31</f>
        <v>780.26677695690887</v>
      </c>
      <c r="O31" s="5">
        <f>Grade15!M31-M31</f>
        <v>8.0639999999998508</v>
      </c>
      <c r="P31" s="22">
        <f t="shared" si="12"/>
        <v>96.071506268839343</v>
      </c>
      <c r="Q31" s="22"/>
      <c r="R31" s="22"/>
      <c r="S31" s="22">
        <f t="shared" si="6"/>
        <v>576.84706707505825</v>
      </c>
      <c r="T31" s="22">
        <f t="shared" si="7"/>
        <v>892.83554468622197</v>
      </c>
    </row>
    <row r="32" spans="1:20" x14ac:dyDescent="0.2">
      <c r="A32" s="5">
        <v>41</v>
      </c>
      <c r="B32" s="1">
        <f t="shared" si="8"/>
        <v>1.5986501856491666</v>
      </c>
      <c r="C32" s="5">
        <f t="shared" si="9"/>
        <v>62117.29273952137</v>
      </c>
      <c r="D32" s="5">
        <f t="shared" si="0"/>
        <v>60535.704786377646</v>
      </c>
      <c r="E32" s="5">
        <f t="shared" si="1"/>
        <v>51035.704786377646</v>
      </c>
      <c r="F32" s="5">
        <f t="shared" si="2"/>
        <v>18618.478091390065</v>
      </c>
      <c r="G32" s="5">
        <f t="shared" si="3"/>
        <v>41917.226694987578</v>
      </c>
      <c r="H32" s="22">
        <f t="shared" si="10"/>
        <v>26709.835918557907</v>
      </c>
      <c r="I32" s="5">
        <f t="shared" si="4"/>
        <v>67718.928192314517</v>
      </c>
      <c r="J32" s="26">
        <f t="shared" si="5"/>
        <v>0.21079954743538384</v>
      </c>
      <c r="L32" s="22">
        <f t="shared" si="11"/>
        <v>85807.00628370457</v>
      </c>
      <c r="M32" s="5">
        <f>scrimecost*Meta!O29</f>
        <v>1145.088</v>
      </c>
      <c r="N32" s="5">
        <f>L32-Grade15!L32</f>
        <v>799.77344638085924</v>
      </c>
      <c r="O32" s="5">
        <f>Grade15!M32-M32</f>
        <v>8.0639999999998508</v>
      </c>
      <c r="P32" s="22">
        <f t="shared" si="12"/>
        <v>98.568312365560331</v>
      </c>
      <c r="Q32" s="22"/>
      <c r="R32" s="22"/>
      <c r="S32" s="22">
        <f t="shared" si="6"/>
        <v>591.18169952523215</v>
      </c>
      <c r="T32" s="22">
        <f t="shared" si="7"/>
        <v>936.30327512959161</v>
      </c>
    </row>
    <row r="33" spans="1:20" x14ac:dyDescent="0.2">
      <c r="A33" s="5">
        <v>42</v>
      </c>
      <c r="B33" s="1">
        <f t="shared" si="8"/>
        <v>1.6386164402903955</v>
      </c>
      <c r="C33" s="5">
        <f t="shared" si="9"/>
        <v>63670.22505800939</v>
      </c>
      <c r="D33" s="5">
        <f t="shared" si="0"/>
        <v>62035.83740603707</v>
      </c>
      <c r="E33" s="5">
        <f t="shared" si="1"/>
        <v>52535.83740603707</v>
      </c>
      <c r="F33" s="5">
        <f t="shared" si="2"/>
        <v>19258.284653674811</v>
      </c>
      <c r="G33" s="5">
        <f t="shared" si="3"/>
        <v>42777.552752362259</v>
      </c>
      <c r="H33" s="22">
        <f t="shared" si="10"/>
        <v>27377.581816521852</v>
      </c>
      <c r="I33" s="5">
        <f t="shared" si="4"/>
        <v>69224.296787122366</v>
      </c>
      <c r="J33" s="26">
        <f t="shared" si="5"/>
        <v>0.21293257707634031</v>
      </c>
      <c r="L33" s="22">
        <f t="shared" si="11"/>
        <v>87952.181440797183</v>
      </c>
      <c r="M33" s="5">
        <f>scrimecost*Meta!O30</f>
        <v>1145.088</v>
      </c>
      <c r="N33" s="5">
        <f>L33-Grade15!L33</f>
        <v>819.76778254038072</v>
      </c>
      <c r="O33" s="5">
        <f>Grade15!M33-M33</f>
        <v>8.0639999999998508</v>
      </c>
      <c r="P33" s="22">
        <f t="shared" si="12"/>
        <v>101.12753861469935</v>
      </c>
      <c r="Q33" s="22"/>
      <c r="R33" s="22"/>
      <c r="S33" s="22">
        <f t="shared" si="6"/>
        <v>605.87469778664297</v>
      </c>
      <c r="T33" s="22">
        <f t="shared" si="7"/>
        <v>981.89071891835397</v>
      </c>
    </row>
    <row r="34" spans="1:20" x14ac:dyDescent="0.2">
      <c r="A34" s="5">
        <v>43</v>
      </c>
      <c r="B34" s="1">
        <f t="shared" si="8"/>
        <v>1.6795818512976552</v>
      </c>
      <c r="C34" s="5">
        <f t="shared" si="9"/>
        <v>65261.980684459624</v>
      </c>
      <c r="D34" s="5">
        <f t="shared" si="0"/>
        <v>63573.473341187993</v>
      </c>
      <c r="E34" s="5">
        <f t="shared" si="1"/>
        <v>54073.473341187993</v>
      </c>
      <c r="F34" s="5">
        <f t="shared" si="2"/>
        <v>19914.086380016681</v>
      </c>
      <c r="G34" s="5">
        <f t="shared" si="3"/>
        <v>43659.386961171316</v>
      </c>
      <c r="H34" s="22">
        <f t="shared" si="10"/>
        <v>28062.021361934894</v>
      </c>
      <c r="I34" s="5">
        <f t="shared" si="4"/>
        <v>70767.299596800425</v>
      </c>
      <c r="J34" s="26">
        <f t="shared" si="5"/>
        <v>0.21501358160410267</v>
      </c>
      <c r="L34" s="22">
        <f t="shared" si="11"/>
        <v>90150.985976817086</v>
      </c>
      <c r="M34" s="5">
        <f>scrimecost*Meta!O31</f>
        <v>1145.088</v>
      </c>
      <c r="N34" s="5">
        <f>L34-Grade15!L34</f>
        <v>840.26197710387351</v>
      </c>
      <c r="O34" s="5">
        <f>Grade15!M34-M34</f>
        <v>8.0639999999998508</v>
      </c>
      <c r="P34" s="22">
        <f t="shared" si="12"/>
        <v>103.7507455200668</v>
      </c>
      <c r="Q34" s="22"/>
      <c r="R34" s="22"/>
      <c r="S34" s="22">
        <f t="shared" si="6"/>
        <v>620.93502100457852</v>
      </c>
      <c r="T34" s="22">
        <f t="shared" si="7"/>
        <v>1029.7013256500722</v>
      </c>
    </row>
    <row r="35" spans="1:20" x14ac:dyDescent="0.2">
      <c r="A35" s="5">
        <v>44</v>
      </c>
      <c r="B35" s="1">
        <f t="shared" si="8"/>
        <v>1.7215713975800966</v>
      </c>
      <c r="C35" s="5">
        <f t="shared" si="9"/>
        <v>66893.530201571106</v>
      </c>
      <c r="D35" s="5">
        <f t="shared" si="0"/>
        <v>65149.55017471769</v>
      </c>
      <c r="E35" s="5">
        <f t="shared" si="1"/>
        <v>55649.55017471769</v>
      </c>
      <c r="F35" s="5">
        <f t="shared" si="2"/>
        <v>20586.283149517094</v>
      </c>
      <c r="G35" s="5">
        <f t="shared" si="3"/>
        <v>44563.267025200592</v>
      </c>
      <c r="H35" s="22">
        <f t="shared" si="10"/>
        <v>28763.571895983263</v>
      </c>
      <c r="I35" s="5">
        <f t="shared" si="4"/>
        <v>72348.87747672043</v>
      </c>
      <c r="J35" s="26">
        <f t="shared" si="5"/>
        <v>0.21704382992387083</v>
      </c>
      <c r="L35" s="22">
        <f t="shared" si="11"/>
        <v>92404.760626237534</v>
      </c>
      <c r="M35" s="5">
        <f>scrimecost*Meta!O32</f>
        <v>1145.088</v>
      </c>
      <c r="N35" s="5">
        <f>L35-Grade15!L35</f>
        <v>861.26852653147944</v>
      </c>
      <c r="O35" s="5">
        <f>Grade15!M35-M35</f>
        <v>8.0639999999998508</v>
      </c>
      <c r="P35" s="22">
        <f t="shared" si="12"/>
        <v>106.43953259806848</v>
      </c>
      <c r="Q35" s="22"/>
      <c r="R35" s="22"/>
      <c r="S35" s="22">
        <f t="shared" si="6"/>
        <v>636.37185230297871</v>
      </c>
      <c r="T35" s="22">
        <f t="shared" si="7"/>
        <v>1079.8435955269279</v>
      </c>
    </row>
    <row r="36" spans="1:20" x14ac:dyDescent="0.2">
      <c r="A36" s="5">
        <v>45</v>
      </c>
      <c r="B36" s="1">
        <f t="shared" si="8"/>
        <v>1.7646106825195991</v>
      </c>
      <c r="C36" s="5">
        <f t="shared" si="9"/>
        <v>68565.868456610391</v>
      </c>
      <c r="D36" s="5">
        <f t="shared" si="0"/>
        <v>66765.028929085631</v>
      </c>
      <c r="E36" s="5">
        <f t="shared" si="1"/>
        <v>57265.028929085631</v>
      </c>
      <c r="F36" s="5">
        <f t="shared" si="2"/>
        <v>21275.284838255022</v>
      </c>
      <c r="G36" s="5">
        <f t="shared" si="3"/>
        <v>45489.744090830609</v>
      </c>
      <c r="H36" s="22">
        <f t="shared" si="10"/>
        <v>29482.661193382846</v>
      </c>
      <c r="I36" s="5">
        <f t="shared" si="4"/>
        <v>73969.99480363843</v>
      </c>
      <c r="J36" s="26">
        <f t="shared" si="5"/>
        <v>0.21902455999193737</v>
      </c>
      <c r="L36" s="22">
        <f t="shared" si="11"/>
        <v>94714.879641893465</v>
      </c>
      <c r="M36" s="5">
        <f>scrimecost*Meta!O33</f>
        <v>925.4140000000001</v>
      </c>
      <c r="N36" s="5">
        <f>L36-Grade15!L36</f>
        <v>882.80023969477043</v>
      </c>
      <c r="O36" s="5">
        <f>Grade15!M36-M36</f>
        <v>6.5169999999999391</v>
      </c>
      <c r="P36" s="22">
        <f t="shared" si="12"/>
        <v>109.19553935302019</v>
      </c>
      <c r="Q36" s="22"/>
      <c r="R36" s="22"/>
      <c r="S36" s="22">
        <f t="shared" si="6"/>
        <v>650.93844038383577</v>
      </c>
      <c r="T36" s="22">
        <f t="shared" si="7"/>
        <v>1130.2501986680338</v>
      </c>
    </row>
    <row r="37" spans="1:20" x14ac:dyDescent="0.2">
      <c r="A37" s="5">
        <v>46</v>
      </c>
      <c r="B37" s="1">
        <f t="shared" ref="B37:B56" si="13">(1+experiencepremium)^(A37-startage)</f>
        <v>1.8087259495825889</v>
      </c>
      <c r="C37" s="5">
        <f t="shared" ref="C37:C56" si="14">pretaxincome*B37/expnorm</f>
        <v>70280.015168025639</v>
      </c>
      <c r="D37" s="5">
        <f t="shared" ref="D37:D56" si="15">IF(A37&lt;startage,1,0)*(C37*(1-initialunempprob))+IF(A37=startage,1,0)*(C37*(1-unempprob))+IF(A37&gt;startage,1,0)*(C37*(1-unempprob)+unempprob*300*52)</f>
        <v>68420.894652312752</v>
      </c>
      <c r="E37" s="5">
        <f t="shared" si="1"/>
        <v>58920.894652312752</v>
      </c>
      <c r="F37" s="5">
        <f t="shared" si="2"/>
        <v>21981.511569211387</v>
      </c>
      <c r="G37" s="5">
        <f t="shared" si="3"/>
        <v>46439.383083101362</v>
      </c>
      <c r="H37" s="22">
        <f t="shared" ref="H37:H56" si="16">benefits*B37/expnorm</f>
        <v>30219.727723217416</v>
      </c>
      <c r="I37" s="5">
        <f t="shared" ref="I37:I56" si="17">G37+IF(A37&lt;startage,1,0)*(H37*(1-initialunempprob))+IF(A37&gt;=startage,1,0)*(H37*(1-unempprob))</f>
        <v>75631.640063729385</v>
      </c>
      <c r="J37" s="26">
        <f t="shared" si="5"/>
        <v>0.22095697957053878</v>
      </c>
      <c r="L37" s="22">
        <f t="shared" ref="L37:L56" si="18">(sincome+sbenefits)*(1-sunemp)*B37/expnorm</f>
        <v>97082.751632940795</v>
      </c>
      <c r="M37" s="5">
        <f>scrimecost*Meta!O34</f>
        <v>925.4140000000001</v>
      </c>
      <c r="N37" s="5">
        <f>L37-Grade15!L37</f>
        <v>904.87024568713969</v>
      </c>
      <c r="O37" s="5">
        <f>Grade15!M37-M37</f>
        <v>6.5169999999999391</v>
      </c>
      <c r="P37" s="22">
        <f t="shared" si="12"/>
        <v>112.02044627684566</v>
      </c>
      <c r="Q37" s="22"/>
      <c r="R37" s="22"/>
      <c r="S37" s="22">
        <f t="shared" si="6"/>
        <v>667.15676126671156</v>
      </c>
      <c r="T37" s="22">
        <f t="shared" si="7"/>
        <v>1185.3520162702137</v>
      </c>
    </row>
    <row r="38" spans="1:20" x14ac:dyDescent="0.2">
      <c r="A38" s="5">
        <v>47</v>
      </c>
      <c r="B38" s="1">
        <f t="shared" si="13"/>
        <v>1.8539440983221533</v>
      </c>
      <c r="C38" s="5">
        <f t="shared" si="14"/>
        <v>72037.01554722627</v>
      </c>
      <c r="D38" s="5">
        <f t="shared" si="15"/>
        <v>70118.157018620564</v>
      </c>
      <c r="E38" s="5">
        <f t="shared" si="1"/>
        <v>60618.157018620564</v>
      </c>
      <c r="F38" s="5">
        <f t="shared" si="2"/>
        <v>22705.393968441673</v>
      </c>
      <c r="G38" s="5">
        <f t="shared" si="3"/>
        <v>47412.763050178895</v>
      </c>
      <c r="H38" s="22">
        <f t="shared" si="16"/>
        <v>30975.220916297847</v>
      </c>
      <c r="I38" s="5">
        <f t="shared" si="17"/>
        <v>77334.826455322618</v>
      </c>
      <c r="J38" s="26">
        <f t="shared" si="5"/>
        <v>0.22284226696429635</v>
      </c>
      <c r="L38" s="22">
        <f t="shared" si="18"/>
        <v>99509.820423764308</v>
      </c>
      <c r="M38" s="5">
        <f>scrimecost*Meta!O35</f>
        <v>925.4140000000001</v>
      </c>
      <c r="N38" s="5">
        <f>L38-Grade15!L38</f>
        <v>927.49200182931963</v>
      </c>
      <c r="O38" s="5">
        <f>Grade15!M38-M38</f>
        <v>6.5169999999999391</v>
      </c>
      <c r="P38" s="22">
        <f t="shared" si="12"/>
        <v>114.9159758737668</v>
      </c>
      <c r="Q38" s="22"/>
      <c r="R38" s="22"/>
      <c r="S38" s="22">
        <f t="shared" si="6"/>
        <v>683.78054017166039</v>
      </c>
      <c r="T38" s="22">
        <f t="shared" si="7"/>
        <v>1243.1426485414997</v>
      </c>
    </row>
    <row r="39" spans="1:20" x14ac:dyDescent="0.2">
      <c r="A39" s="5">
        <v>48</v>
      </c>
      <c r="B39" s="1">
        <f t="shared" si="13"/>
        <v>1.9002927007802071</v>
      </c>
      <c r="C39" s="5">
        <f t="shared" si="14"/>
        <v>73837.94093590694</v>
      </c>
      <c r="D39" s="5">
        <f t="shared" si="15"/>
        <v>71857.850944086094</v>
      </c>
      <c r="E39" s="5">
        <f t="shared" si="1"/>
        <v>62357.850944086094</v>
      </c>
      <c r="F39" s="5">
        <f t="shared" si="2"/>
        <v>23447.373427652718</v>
      </c>
      <c r="G39" s="5">
        <f t="shared" si="3"/>
        <v>48410.477516433377</v>
      </c>
      <c r="H39" s="22">
        <f t="shared" si="16"/>
        <v>31749.601439205289</v>
      </c>
      <c r="I39" s="5">
        <f t="shared" si="17"/>
        <v>79080.592506705681</v>
      </c>
      <c r="J39" s="26">
        <f t="shared" si="5"/>
        <v>0.22468157173869396</v>
      </c>
      <c r="L39" s="22">
        <f t="shared" si="18"/>
        <v>101997.5659343584</v>
      </c>
      <c r="M39" s="5">
        <f>scrimecost*Meta!O36</f>
        <v>925.4140000000001</v>
      </c>
      <c r="N39" s="5">
        <f>L39-Grade15!L39</f>
        <v>950.67930187503225</v>
      </c>
      <c r="O39" s="5">
        <f>Grade15!M39-M39</f>
        <v>6.5169999999999391</v>
      </c>
      <c r="P39" s="22">
        <f t="shared" si="12"/>
        <v>117.88389371061095</v>
      </c>
      <c r="Q39" s="22"/>
      <c r="R39" s="22"/>
      <c r="S39" s="22">
        <f t="shared" si="6"/>
        <v>700.81991354921888</v>
      </c>
      <c r="T39" s="22">
        <f t="shared" si="7"/>
        <v>1303.7533603137836</v>
      </c>
    </row>
    <row r="40" spans="1:20" x14ac:dyDescent="0.2">
      <c r="A40" s="5">
        <v>49</v>
      </c>
      <c r="B40" s="1">
        <f t="shared" si="13"/>
        <v>1.9478000182997122</v>
      </c>
      <c r="C40" s="5">
        <f t="shared" si="14"/>
        <v>75683.889459304599</v>
      </c>
      <c r="D40" s="5">
        <f t="shared" si="15"/>
        <v>73641.037217688237</v>
      </c>
      <c r="E40" s="5">
        <f t="shared" si="1"/>
        <v>64141.037217688237</v>
      </c>
      <c r="F40" s="5">
        <f t="shared" si="2"/>
        <v>24207.902373344034</v>
      </c>
      <c r="G40" s="5">
        <f t="shared" si="3"/>
        <v>49433.134844344204</v>
      </c>
      <c r="H40" s="22">
        <f t="shared" si="16"/>
        <v>32543.341475185425</v>
      </c>
      <c r="I40" s="5">
        <f t="shared" si="17"/>
        <v>80870.002709373322</v>
      </c>
      <c r="J40" s="26">
        <f t="shared" si="5"/>
        <v>0.22647601542103307</v>
      </c>
      <c r="L40" s="22">
        <f t="shared" si="18"/>
        <v>104547.50508271735</v>
      </c>
      <c r="M40" s="5">
        <f>scrimecost*Meta!O37</f>
        <v>925.4140000000001</v>
      </c>
      <c r="N40" s="5">
        <f>L40-Grade15!L40</f>
        <v>974.44628442190879</v>
      </c>
      <c r="O40" s="5">
        <f>Grade15!M40-M40</f>
        <v>6.5169999999999391</v>
      </c>
      <c r="P40" s="22">
        <f t="shared" si="12"/>
        <v>120.92600949337623</v>
      </c>
      <c r="Q40" s="22"/>
      <c r="R40" s="22"/>
      <c r="S40" s="22">
        <f t="shared" si="6"/>
        <v>718.28527126122992</v>
      </c>
      <c r="T40" s="22">
        <f t="shared" si="7"/>
        <v>1367.3218259713119</v>
      </c>
    </row>
    <row r="41" spans="1:20" x14ac:dyDescent="0.2">
      <c r="A41" s="5">
        <v>50</v>
      </c>
      <c r="B41" s="1">
        <f t="shared" si="13"/>
        <v>1.9964950187572048</v>
      </c>
      <c r="C41" s="5">
        <f t="shared" si="14"/>
        <v>77575.986695787215</v>
      </c>
      <c r="D41" s="5">
        <f t="shared" si="15"/>
        <v>75468.803148130435</v>
      </c>
      <c r="E41" s="5">
        <f t="shared" si="1"/>
        <v>65968.803148130435</v>
      </c>
      <c r="F41" s="5">
        <f t="shared" si="2"/>
        <v>24987.444542677629</v>
      </c>
      <c r="G41" s="5">
        <f t="shared" si="3"/>
        <v>50481.358605452806</v>
      </c>
      <c r="H41" s="22">
        <f t="shared" si="16"/>
        <v>33356.925012065054</v>
      </c>
      <c r="I41" s="5">
        <f t="shared" si="17"/>
        <v>82704.148167107647</v>
      </c>
      <c r="J41" s="26">
        <f t="shared" si="5"/>
        <v>0.22822669218429073</v>
      </c>
      <c r="L41" s="22">
        <f t="shared" si="18"/>
        <v>107161.19270978527</v>
      </c>
      <c r="M41" s="5">
        <f>scrimecost*Meta!O38</f>
        <v>618.26800000000003</v>
      </c>
      <c r="N41" s="5">
        <f>L41-Grade15!L41</f>
        <v>998.80744153243722</v>
      </c>
      <c r="O41" s="5">
        <f>Grade15!M41-M41</f>
        <v>4.3539999999999281</v>
      </c>
      <c r="P41" s="22">
        <f t="shared" si="12"/>
        <v>124.04417817071061</v>
      </c>
      <c r="Q41" s="22"/>
      <c r="R41" s="22"/>
      <c r="S41" s="22">
        <f t="shared" si="6"/>
        <v>734.43090691602833</v>
      </c>
      <c r="T41" s="22">
        <f t="shared" si="7"/>
        <v>1430.571300366508</v>
      </c>
    </row>
    <row r="42" spans="1:20" x14ac:dyDescent="0.2">
      <c r="A42" s="5">
        <v>51</v>
      </c>
      <c r="B42" s="1">
        <f t="shared" si="13"/>
        <v>2.0464073942261352</v>
      </c>
      <c r="C42" s="5">
        <f t="shared" si="14"/>
        <v>79515.386363181897</v>
      </c>
      <c r="D42" s="5">
        <f t="shared" si="15"/>
        <v>77342.263226833704</v>
      </c>
      <c r="E42" s="5">
        <f t="shared" si="1"/>
        <v>67842.263226833704</v>
      </c>
      <c r="F42" s="5">
        <f t="shared" si="2"/>
        <v>25786.475266244575</v>
      </c>
      <c r="G42" s="5">
        <f t="shared" si="3"/>
        <v>51555.787960589128</v>
      </c>
      <c r="H42" s="22">
        <f t="shared" si="16"/>
        <v>34190.848137366687</v>
      </c>
      <c r="I42" s="5">
        <f t="shared" si="17"/>
        <v>84584.147261285339</v>
      </c>
      <c r="J42" s="26">
        <f t="shared" si="5"/>
        <v>0.22993466951429828</v>
      </c>
      <c r="L42" s="22">
        <f t="shared" si="18"/>
        <v>109840.22252752993</v>
      </c>
      <c r="M42" s="5">
        <f>scrimecost*Meta!O39</f>
        <v>618.26800000000003</v>
      </c>
      <c r="N42" s="5">
        <f>L42-Grade15!L42</f>
        <v>1023.777627570802</v>
      </c>
      <c r="O42" s="5">
        <f>Grade15!M42-M42</f>
        <v>4.3539999999999281</v>
      </c>
      <c r="P42" s="22">
        <f t="shared" si="12"/>
        <v>127.24030106497841</v>
      </c>
      <c r="Q42" s="22"/>
      <c r="R42" s="22"/>
      <c r="S42" s="22">
        <f t="shared" si="6"/>
        <v>752.78044836224319</v>
      </c>
      <c r="T42" s="22">
        <f t="shared" si="7"/>
        <v>1500.4159495305028</v>
      </c>
    </row>
    <row r="43" spans="1:20" x14ac:dyDescent="0.2">
      <c r="A43" s="5">
        <v>52</v>
      </c>
      <c r="B43" s="1">
        <f t="shared" si="13"/>
        <v>2.097567579081788</v>
      </c>
      <c r="C43" s="5">
        <f t="shared" si="14"/>
        <v>81503.271022261411</v>
      </c>
      <c r="D43" s="5">
        <f t="shared" si="15"/>
        <v>79262.559807504513</v>
      </c>
      <c r="E43" s="5">
        <f t="shared" si="1"/>
        <v>69762.559807504513</v>
      </c>
      <c r="F43" s="5">
        <f t="shared" si="2"/>
        <v>26605.481757900674</v>
      </c>
      <c r="G43" s="5">
        <f t="shared" si="3"/>
        <v>52657.078049603835</v>
      </c>
      <c r="H43" s="22">
        <f t="shared" si="16"/>
        <v>35045.619340800848</v>
      </c>
      <c r="I43" s="5">
        <f t="shared" si="17"/>
        <v>86511.146332817443</v>
      </c>
      <c r="J43" s="26">
        <f t="shared" si="5"/>
        <v>0.23160098886064698</v>
      </c>
      <c r="L43" s="22">
        <f t="shared" si="18"/>
        <v>112586.22809071814</v>
      </c>
      <c r="M43" s="5">
        <f>scrimecost*Meta!O40</f>
        <v>618.26800000000003</v>
      </c>
      <c r="N43" s="5">
        <f>L43-Grade15!L43</f>
        <v>1049.372068259996</v>
      </c>
      <c r="O43" s="5">
        <f>Grade15!M43-M43</f>
        <v>4.3539999999999281</v>
      </c>
      <c r="P43" s="22">
        <f t="shared" si="12"/>
        <v>130.5163270316028</v>
      </c>
      <c r="Q43" s="22"/>
      <c r="R43" s="22"/>
      <c r="S43" s="22">
        <f t="shared" si="6"/>
        <v>771.58872834453121</v>
      </c>
      <c r="T43" s="22">
        <f t="shared" si="7"/>
        <v>1573.6711897935295</v>
      </c>
    </row>
    <row r="44" spans="1:20" x14ac:dyDescent="0.2">
      <c r="A44" s="5">
        <v>53</v>
      </c>
      <c r="B44" s="1">
        <f t="shared" si="13"/>
        <v>2.1500067685588333</v>
      </c>
      <c r="C44" s="5">
        <f t="shared" si="14"/>
        <v>83540.852797817977</v>
      </c>
      <c r="D44" s="5">
        <f t="shared" si="15"/>
        <v>81230.863802692154</v>
      </c>
      <c r="E44" s="5">
        <f t="shared" si="1"/>
        <v>71730.863802692154</v>
      </c>
      <c r="F44" s="5">
        <f t="shared" si="2"/>
        <v>27444.963411848203</v>
      </c>
      <c r="G44" s="5">
        <f t="shared" si="3"/>
        <v>53785.900390843948</v>
      </c>
      <c r="H44" s="22">
        <f t="shared" si="16"/>
        <v>35921.759824320878</v>
      </c>
      <c r="I44" s="5">
        <f t="shared" si="17"/>
        <v>88486.320381137921</v>
      </c>
      <c r="J44" s="26">
        <f t="shared" si="5"/>
        <v>0.23322666627171898</v>
      </c>
      <c r="L44" s="22">
        <f t="shared" si="18"/>
        <v>115400.88379298613</v>
      </c>
      <c r="M44" s="5">
        <f>scrimecost*Meta!O41</f>
        <v>618.26800000000003</v>
      </c>
      <c r="N44" s="5">
        <f>L44-Grade15!L44</f>
        <v>1075.6063699665683</v>
      </c>
      <c r="O44" s="5">
        <f>Grade15!M44-M44</f>
        <v>4.3539999999999281</v>
      </c>
      <c r="P44" s="22">
        <f t="shared" si="12"/>
        <v>133.87425364739292</v>
      </c>
      <c r="Q44" s="22"/>
      <c r="R44" s="22"/>
      <c r="S44" s="22">
        <f t="shared" ref="S44:S69" si="19">IF(A44&lt;startage,1,0)*(N44-Q44-R44)+IF(A44&gt;=startage,1,0)*completionprob*(N44*spart+O44+P44)</f>
        <v>790.86721532647016</v>
      </c>
      <c r="T44" s="22">
        <f t="shared" ref="T44:T69" si="20">S44/sreturn^(A44-startage+1)</f>
        <v>1650.5035773879722</v>
      </c>
    </row>
    <row r="45" spans="1:20" x14ac:dyDescent="0.2">
      <c r="A45" s="5">
        <v>54</v>
      </c>
      <c r="B45" s="1">
        <f t="shared" si="13"/>
        <v>2.2037569377728037</v>
      </c>
      <c r="C45" s="5">
        <f t="shared" si="14"/>
        <v>85629.374117763422</v>
      </c>
      <c r="D45" s="5">
        <f t="shared" si="15"/>
        <v>83248.375397759461</v>
      </c>
      <c r="E45" s="5">
        <f t="shared" si="1"/>
        <v>73748.375397759461</v>
      </c>
      <c r="F45" s="5">
        <f t="shared" si="2"/>
        <v>28305.432107144406</v>
      </c>
      <c r="G45" s="5">
        <f t="shared" si="3"/>
        <v>54942.943290615054</v>
      </c>
      <c r="H45" s="22">
        <f t="shared" si="16"/>
        <v>36819.803819928886</v>
      </c>
      <c r="I45" s="5">
        <f t="shared" si="17"/>
        <v>90510.873780666356</v>
      </c>
      <c r="J45" s="26">
        <f t="shared" si="5"/>
        <v>0.23481269301422827</v>
      </c>
      <c r="L45" s="22">
        <f t="shared" si="18"/>
        <v>118285.90588781078</v>
      </c>
      <c r="M45" s="5">
        <f>scrimecost*Meta!O42</f>
        <v>618.26800000000003</v>
      </c>
      <c r="N45" s="5">
        <f>L45-Grade15!L45</f>
        <v>1102.4965292157431</v>
      </c>
      <c r="O45" s="5">
        <f>Grade15!M45-M45</f>
        <v>4.3539999999999281</v>
      </c>
      <c r="P45" s="22">
        <f t="shared" si="12"/>
        <v>137.31612842857774</v>
      </c>
      <c r="Q45" s="22"/>
      <c r="R45" s="22"/>
      <c r="S45" s="22">
        <f t="shared" si="19"/>
        <v>810.62766448291859</v>
      </c>
      <c r="T45" s="22">
        <f t="shared" si="20"/>
        <v>1731.0878026296612</v>
      </c>
    </row>
    <row r="46" spans="1:20" x14ac:dyDescent="0.2">
      <c r="A46" s="5">
        <v>55</v>
      </c>
      <c r="B46" s="1">
        <f t="shared" si="13"/>
        <v>2.2588508612171236</v>
      </c>
      <c r="C46" s="5">
        <f t="shared" si="14"/>
        <v>87770.108470707506</v>
      </c>
      <c r="D46" s="5">
        <f t="shared" si="15"/>
        <v>85316.324782703436</v>
      </c>
      <c r="E46" s="5">
        <f t="shared" si="1"/>
        <v>75816.324782703436</v>
      </c>
      <c r="F46" s="5">
        <f t="shared" si="2"/>
        <v>29187.412519823018</v>
      </c>
      <c r="G46" s="5">
        <f t="shared" si="3"/>
        <v>56128.912262880418</v>
      </c>
      <c r="H46" s="22">
        <f t="shared" si="16"/>
        <v>37740.298915427105</v>
      </c>
      <c r="I46" s="5">
        <f t="shared" si="17"/>
        <v>92586.041015183</v>
      </c>
      <c r="J46" s="26">
        <f t="shared" si="5"/>
        <v>0.23636003617765194</v>
      </c>
      <c r="L46" s="22">
        <f t="shared" si="18"/>
        <v>121243.05353500602</v>
      </c>
      <c r="M46" s="5">
        <f>scrimecost*Meta!O43</f>
        <v>342.92999999999995</v>
      </c>
      <c r="N46" s="5">
        <f>L46-Grade15!L46</f>
        <v>1130.0589424461068</v>
      </c>
      <c r="O46" s="5">
        <f>Grade15!M46-M46</f>
        <v>2.4150000000000205</v>
      </c>
      <c r="P46" s="22">
        <f t="shared" si="12"/>
        <v>140.8440500792922</v>
      </c>
      <c r="Q46" s="22"/>
      <c r="R46" s="22"/>
      <c r="S46" s="22">
        <f t="shared" si="19"/>
        <v>829.30765686825293</v>
      </c>
      <c r="T46" s="22">
        <f t="shared" si="20"/>
        <v>1812.1666289214957</v>
      </c>
    </row>
    <row r="47" spans="1:20" x14ac:dyDescent="0.2">
      <c r="A47" s="5">
        <v>56</v>
      </c>
      <c r="B47" s="1">
        <f t="shared" si="13"/>
        <v>2.3153221327475517</v>
      </c>
      <c r="C47" s="5">
        <f t="shared" si="14"/>
        <v>89964.361182475172</v>
      </c>
      <c r="D47" s="5">
        <f t="shared" si="15"/>
        <v>87435.972902271009</v>
      </c>
      <c r="E47" s="5">
        <f t="shared" si="1"/>
        <v>77935.972902271009</v>
      </c>
      <c r="F47" s="5">
        <f t="shared" si="2"/>
        <v>30091.442442818588</v>
      </c>
      <c r="G47" s="5">
        <f t="shared" si="3"/>
        <v>57344.53045945242</v>
      </c>
      <c r="H47" s="22">
        <f t="shared" si="16"/>
        <v>38683.806388312791</v>
      </c>
      <c r="I47" s="5">
        <f t="shared" si="17"/>
        <v>94713.087430562577</v>
      </c>
      <c r="J47" s="26">
        <f t="shared" si="5"/>
        <v>0.23786963926391891</v>
      </c>
      <c r="L47" s="22">
        <f t="shared" si="18"/>
        <v>124274.12987338119</v>
      </c>
      <c r="M47" s="5">
        <f>scrimecost*Meta!O44</f>
        <v>342.92999999999995</v>
      </c>
      <c r="N47" s="5">
        <f>L47-Grade15!L47</f>
        <v>1158.3104160072835</v>
      </c>
      <c r="O47" s="5">
        <f>Grade15!M47-M47</f>
        <v>2.4150000000000205</v>
      </c>
      <c r="P47" s="22">
        <f t="shared" si="12"/>
        <v>144.46016977127451</v>
      </c>
      <c r="Q47" s="22"/>
      <c r="R47" s="22"/>
      <c r="S47" s="22">
        <f t="shared" si="19"/>
        <v>850.06847876325423</v>
      </c>
      <c r="T47" s="22">
        <f t="shared" si="20"/>
        <v>1900.7331272220056</v>
      </c>
    </row>
    <row r="48" spans="1:20" x14ac:dyDescent="0.2">
      <c r="A48" s="5">
        <v>57</v>
      </c>
      <c r="B48" s="1">
        <f t="shared" si="13"/>
        <v>2.3732051860662402</v>
      </c>
      <c r="C48" s="5">
        <f t="shared" si="14"/>
        <v>92213.470212037049</v>
      </c>
      <c r="D48" s="5">
        <f t="shared" si="15"/>
        <v>89608.612224827782</v>
      </c>
      <c r="E48" s="5">
        <f t="shared" si="1"/>
        <v>80108.612224827782</v>
      </c>
      <c r="F48" s="5">
        <f t="shared" si="2"/>
        <v>31018.073113889048</v>
      </c>
      <c r="G48" s="5">
        <f t="shared" si="3"/>
        <v>58590.539110938735</v>
      </c>
      <c r="H48" s="22">
        <f t="shared" si="16"/>
        <v>39650.9015480206</v>
      </c>
      <c r="I48" s="5">
        <f t="shared" si="17"/>
        <v>96893.310006326632</v>
      </c>
      <c r="J48" s="26">
        <f t="shared" si="5"/>
        <v>0.23934242276271597</v>
      </c>
      <c r="L48" s="22">
        <f t="shared" si="18"/>
        <v>127380.98312021569</v>
      </c>
      <c r="M48" s="5">
        <f>scrimecost*Meta!O45</f>
        <v>342.92999999999995</v>
      </c>
      <c r="N48" s="5">
        <f>L48-Grade15!L48</f>
        <v>1187.2681764074368</v>
      </c>
      <c r="O48" s="5">
        <f>Grade15!M48-M48</f>
        <v>2.4150000000000205</v>
      </c>
      <c r="P48" s="22">
        <f t="shared" si="12"/>
        <v>148.16669245555633</v>
      </c>
      <c r="Q48" s="22"/>
      <c r="R48" s="22"/>
      <c r="S48" s="22">
        <f t="shared" si="19"/>
        <v>871.34832120559759</v>
      </c>
      <c r="T48" s="22">
        <f t="shared" si="20"/>
        <v>1993.6265481554374</v>
      </c>
    </row>
    <row r="49" spans="1:20" x14ac:dyDescent="0.2">
      <c r="A49" s="5">
        <v>58</v>
      </c>
      <c r="B49" s="1">
        <f t="shared" si="13"/>
        <v>2.4325353157178964</v>
      </c>
      <c r="C49" s="5">
        <f t="shared" si="14"/>
        <v>94518.80696733798</v>
      </c>
      <c r="D49" s="5">
        <f t="shared" si="15"/>
        <v>91835.567530448476</v>
      </c>
      <c r="E49" s="5">
        <f t="shared" si="1"/>
        <v>82335.567530448476</v>
      </c>
      <c r="F49" s="5">
        <f t="shared" si="2"/>
        <v>31967.869551736276</v>
      </c>
      <c r="G49" s="5">
        <f t="shared" si="3"/>
        <v>59867.697978712196</v>
      </c>
      <c r="H49" s="22">
        <f t="shared" si="16"/>
        <v>40642.174086721119</v>
      </c>
      <c r="I49" s="5">
        <f t="shared" si="17"/>
        <v>99128.038146484789</v>
      </c>
      <c r="J49" s="26">
        <f t="shared" si="5"/>
        <v>0.24077928471276183</v>
      </c>
      <c r="L49" s="22">
        <f t="shared" si="18"/>
        <v>130565.50769822109</v>
      </c>
      <c r="M49" s="5">
        <f>scrimecost*Meta!O46</f>
        <v>342.92999999999995</v>
      </c>
      <c r="N49" s="5">
        <f>L49-Grade15!L49</f>
        <v>1216.9498808176431</v>
      </c>
      <c r="O49" s="5">
        <f>Grade15!M49-M49</f>
        <v>2.4150000000000205</v>
      </c>
      <c r="P49" s="22">
        <f t="shared" si="12"/>
        <v>151.96587820694521</v>
      </c>
      <c r="Q49" s="22"/>
      <c r="R49" s="22"/>
      <c r="S49" s="22">
        <f t="shared" si="19"/>
        <v>893.16015970903038</v>
      </c>
      <c r="T49" s="22">
        <f t="shared" si="20"/>
        <v>2091.0582463918158</v>
      </c>
    </row>
    <row r="50" spans="1:20" x14ac:dyDescent="0.2">
      <c r="A50" s="5">
        <v>59</v>
      </c>
      <c r="B50" s="1">
        <f t="shared" si="13"/>
        <v>2.4933486986108435</v>
      </c>
      <c r="C50" s="5">
        <f t="shared" si="14"/>
        <v>96881.777141521423</v>
      </c>
      <c r="D50" s="5">
        <f t="shared" si="15"/>
        <v>94118.196718709689</v>
      </c>
      <c r="E50" s="5">
        <f t="shared" si="1"/>
        <v>84618.196718709689</v>
      </c>
      <c r="F50" s="5">
        <f t="shared" si="2"/>
        <v>32971.956802090972</v>
      </c>
      <c r="G50" s="5">
        <f t="shared" si="3"/>
        <v>61146.239916618717</v>
      </c>
      <c r="H50" s="22">
        <f t="shared" si="16"/>
        <v>41658.228438889142</v>
      </c>
      <c r="I50" s="5">
        <f t="shared" si="17"/>
        <v>101388.08858858563</v>
      </c>
      <c r="J50" s="26">
        <f t="shared" si="5"/>
        <v>0.24240934590678553</v>
      </c>
      <c r="L50" s="22">
        <f t="shared" si="18"/>
        <v>133829.6453906766</v>
      </c>
      <c r="M50" s="5">
        <f>scrimecost*Meta!O47</f>
        <v>342.92999999999995</v>
      </c>
      <c r="N50" s="5">
        <f>L50-Grade15!L50</f>
        <v>1247.3736278380966</v>
      </c>
      <c r="O50" s="5">
        <f>Grade15!M50-M50</f>
        <v>2.4150000000000205</v>
      </c>
      <c r="P50" s="22">
        <f t="shared" si="12"/>
        <v>155.98222720836401</v>
      </c>
      <c r="Q50" s="22"/>
      <c r="R50" s="22"/>
      <c r="S50" s="22">
        <f t="shared" si="19"/>
        <v>915.61650726331493</v>
      </c>
      <c r="T50" s="22">
        <f t="shared" si="20"/>
        <v>2193.4875784969172</v>
      </c>
    </row>
    <row r="51" spans="1:20" x14ac:dyDescent="0.2">
      <c r="A51" s="5">
        <v>60</v>
      </c>
      <c r="B51" s="1">
        <f t="shared" si="13"/>
        <v>2.555682416076114</v>
      </c>
      <c r="C51" s="5">
        <f t="shared" si="14"/>
        <v>99303.82157005943</v>
      </c>
      <c r="D51" s="5">
        <f t="shared" si="15"/>
        <v>96457.891636677406</v>
      </c>
      <c r="E51" s="5">
        <f t="shared" si="1"/>
        <v>86957.891636677406</v>
      </c>
      <c r="F51" s="5">
        <f t="shared" si="2"/>
        <v>34040.027532143235</v>
      </c>
      <c r="G51" s="5">
        <f t="shared" si="3"/>
        <v>62417.864104534172</v>
      </c>
      <c r="H51" s="22">
        <f t="shared" si="16"/>
        <v>42699.684149861358</v>
      </c>
      <c r="I51" s="5">
        <f t="shared" si="17"/>
        <v>103665.75899330025</v>
      </c>
      <c r="J51" s="26">
        <f t="shared" si="5"/>
        <v>0.24428309174786117</v>
      </c>
      <c r="L51" s="22">
        <f t="shared" si="18"/>
        <v>137175.38652544349</v>
      </c>
      <c r="M51" s="5">
        <f>scrimecost*Meta!O48</f>
        <v>180.90799999999999</v>
      </c>
      <c r="N51" s="5">
        <f>L51-Grade15!L51</f>
        <v>1278.5579685340053</v>
      </c>
      <c r="O51" s="5">
        <f>Grade15!M51-M51</f>
        <v>1.2740000000000009</v>
      </c>
      <c r="P51" s="22">
        <f t="shared" si="12"/>
        <v>160.25451012857309</v>
      </c>
      <c r="Q51" s="22"/>
      <c r="R51" s="22"/>
      <c r="S51" s="22">
        <f t="shared" si="19"/>
        <v>937.83405796375007</v>
      </c>
      <c r="T51" s="22">
        <f t="shared" si="20"/>
        <v>2298.9649177235196</v>
      </c>
    </row>
    <row r="52" spans="1:20" x14ac:dyDescent="0.2">
      <c r="A52" s="5">
        <v>61</v>
      </c>
      <c r="B52" s="1">
        <f t="shared" si="13"/>
        <v>2.6195744764780171</v>
      </c>
      <c r="C52" s="5">
        <f t="shared" si="14"/>
        <v>101786.41710931093</v>
      </c>
      <c r="D52" s="5">
        <f t="shared" si="15"/>
        <v>98856.078927594353</v>
      </c>
      <c r="E52" s="5">
        <f t="shared" si="1"/>
        <v>89356.078927594353</v>
      </c>
      <c r="F52" s="5">
        <f t="shared" si="2"/>
        <v>35134.800030446822</v>
      </c>
      <c r="G52" s="5">
        <f t="shared" si="3"/>
        <v>63721.278897147531</v>
      </c>
      <c r="H52" s="22">
        <f t="shared" si="16"/>
        <v>43767.176253607904</v>
      </c>
      <c r="I52" s="5">
        <f t="shared" si="17"/>
        <v>106000.37115813277</v>
      </c>
      <c r="J52" s="26">
        <f t="shared" si="5"/>
        <v>0.24611113647086189</v>
      </c>
      <c r="L52" s="22">
        <f t="shared" si="18"/>
        <v>140604.77118857959</v>
      </c>
      <c r="M52" s="5">
        <f>scrimecost*Meta!O49</f>
        <v>180.90799999999999</v>
      </c>
      <c r="N52" s="5">
        <f>L52-Grade15!L52</f>
        <v>1310.5219177473919</v>
      </c>
      <c r="O52" s="5">
        <f>Grade15!M52-M52</f>
        <v>1.2740000000000009</v>
      </c>
      <c r="P52" s="22">
        <f t="shared" si="12"/>
        <v>164.63360012178742</v>
      </c>
      <c r="Q52" s="22"/>
      <c r="R52" s="22"/>
      <c r="S52" s="22">
        <f t="shared" si="19"/>
        <v>961.5567017317469</v>
      </c>
      <c r="T52" s="22">
        <f t="shared" si="20"/>
        <v>2411.9373386418074</v>
      </c>
    </row>
    <row r="53" spans="1:20" x14ac:dyDescent="0.2">
      <c r="A53" s="5">
        <v>62</v>
      </c>
      <c r="B53" s="1">
        <f t="shared" si="13"/>
        <v>2.6850638383899672</v>
      </c>
      <c r="C53" s="5">
        <f t="shared" si="14"/>
        <v>104331.07753704369</v>
      </c>
      <c r="D53" s="5">
        <f t="shared" si="15"/>
        <v>101314.22090078419</v>
      </c>
      <c r="E53" s="5">
        <f t="shared" si="1"/>
        <v>91814.220900784188</v>
      </c>
      <c r="F53" s="5">
        <f t="shared" si="2"/>
        <v>36256.941841207983</v>
      </c>
      <c r="G53" s="5">
        <f t="shared" si="3"/>
        <v>65057.279059576205</v>
      </c>
      <c r="H53" s="22">
        <f t="shared" si="16"/>
        <v>44861.355659948087</v>
      </c>
      <c r="I53" s="5">
        <f t="shared" si="17"/>
        <v>108393.34862708606</v>
      </c>
      <c r="J53" s="26">
        <f t="shared" si="5"/>
        <v>0.24789459473720402</v>
      </c>
      <c r="L53" s="22">
        <f t="shared" si="18"/>
        <v>144119.89046829406</v>
      </c>
      <c r="M53" s="5">
        <f>scrimecost*Meta!O50</f>
        <v>180.90799999999999</v>
      </c>
      <c r="N53" s="5">
        <f>L53-Grade15!L53</f>
        <v>1343.2849656910694</v>
      </c>
      <c r="O53" s="5">
        <f>Grade15!M53-M53</f>
        <v>1.2740000000000009</v>
      </c>
      <c r="P53" s="22">
        <f t="shared" si="12"/>
        <v>169.12216736483211</v>
      </c>
      <c r="Q53" s="22"/>
      <c r="R53" s="22"/>
      <c r="S53" s="22">
        <f t="shared" si="19"/>
        <v>985.87241159391601</v>
      </c>
      <c r="T53" s="22">
        <f t="shared" si="20"/>
        <v>2530.4433166788958</v>
      </c>
    </row>
    <row r="54" spans="1:20" x14ac:dyDescent="0.2">
      <c r="A54" s="5">
        <v>63</v>
      </c>
      <c r="B54" s="1">
        <f t="shared" si="13"/>
        <v>2.7521904343497163</v>
      </c>
      <c r="C54" s="5">
        <f t="shared" si="14"/>
        <v>106939.35447546978</v>
      </c>
      <c r="D54" s="5">
        <f t="shared" si="15"/>
        <v>103833.8164233038</v>
      </c>
      <c r="E54" s="5">
        <f t="shared" si="1"/>
        <v>94333.816423303797</v>
      </c>
      <c r="F54" s="5">
        <f t="shared" si="2"/>
        <v>37407.137197238182</v>
      </c>
      <c r="G54" s="5">
        <f t="shared" si="3"/>
        <v>66426.679226065608</v>
      </c>
      <c r="H54" s="22">
        <f t="shared" si="16"/>
        <v>45982.889551446795</v>
      </c>
      <c r="I54" s="5">
        <f t="shared" si="17"/>
        <v>110846.15053276322</v>
      </c>
      <c r="J54" s="26">
        <f t="shared" si="5"/>
        <v>0.24963455402144019</v>
      </c>
      <c r="L54" s="22">
        <f t="shared" si="18"/>
        <v>147722.88773000138</v>
      </c>
      <c r="M54" s="5">
        <f>scrimecost*Meta!O51</f>
        <v>180.90799999999999</v>
      </c>
      <c r="N54" s="5">
        <f>L54-Grade15!L54</f>
        <v>1376.8670898333075</v>
      </c>
      <c r="O54" s="5">
        <f>Grade15!M54-M54</f>
        <v>1.2740000000000009</v>
      </c>
      <c r="P54" s="22">
        <f t="shared" si="12"/>
        <v>173.72294878895283</v>
      </c>
      <c r="Q54" s="22"/>
      <c r="R54" s="22"/>
      <c r="S54" s="22">
        <f t="shared" si="19"/>
        <v>1010.7960142026196</v>
      </c>
      <c r="T54" s="22">
        <f t="shared" si="20"/>
        <v>2654.7534783083438</v>
      </c>
    </row>
    <row r="55" spans="1:20" x14ac:dyDescent="0.2">
      <c r="A55" s="5">
        <v>64</v>
      </c>
      <c r="B55" s="1">
        <f t="shared" si="13"/>
        <v>2.8209951952084591</v>
      </c>
      <c r="C55" s="5">
        <f t="shared" si="14"/>
        <v>109612.83833735652</v>
      </c>
      <c r="D55" s="5">
        <f t="shared" si="15"/>
        <v>106416.40183388638</v>
      </c>
      <c r="E55" s="5">
        <f t="shared" si="1"/>
        <v>96916.401833886383</v>
      </c>
      <c r="F55" s="5">
        <f t="shared" si="2"/>
        <v>38586.087437169132</v>
      </c>
      <c r="G55" s="5">
        <f t="shared" si="3"/>
        <v>67830.314396717251</v>
      </c>
      <c r="H55" s="22">
        <f t="shared" si="16"/>
        <v>47132.461790232956</v>
      </c>
      <c r="I55" s="5">
        <f t="shared" si="17"/>
        <v>113360.27248608228</v>
      </c>
      <c r="J55" s="26">
        <f t="shared" si="5"/>
        <v>0.25133207527435358</v>
      </c>
      <c r="L55" s="22">
        <f t="shared" si="18"/>
        <v>151415.95992325142</v>
      </c>
      <c r="M55" s="5">
        <f>scrimecost*Meta!O52</f>
        <v>180.90799999999999</v>
      </c>
      <c r="N55" s="5">
        <f>L55-Grade15!L55</f>
        <v>1411.2887670791242</v>
      </c>
      <c r="O55" s="5">
        <f>Grade15!M55-M55</f>
        <v>1.2740000000000009</v>
      </c>
      <c r="P55" s="22">
        <f t="shared" si="12"/>
        <v>178.43874974867668</v>
      </c>
      <c r="Q55" s="22"/>
      <c r="R55" s="22"/>
      <c r="S55" s="22">
        <f t="shared" si="19"/>
        <v>1036.342706876555</v>
      </c>
      <c r="T55" s="22">
        <f t="shared" si="20"/>
        <v>2785.1516757436452</v>
      </c>
    </row>
    <row r="56" spans="1:20" x14ac:dyDescent="0.2">
      <c r="A56" s="5">
        <v>65</v>
      </c>
      <c r="B56" s="1">
        <f t="shared" si="13"/>
        <v>2.8915200750886707</v>
      </c>
      <c r="C56" s="5">
        <f t="shared" si="14"/>
        <v>112353.15929579044</v>
      </c>
      <c r="D56" s="5">
        <f t="shared" si="15"/>
        <v>109063.55187973355</v>
      </c>
      <c r="E56" s="5">
        <f t="shared" si="1"/>
        <v>99563.551879733554</v>
      </c>
      <c r="F56" s="5">
        <f t="shared" si="2"/>
        <v>39654.171216554882</v>
      </c>
      <c r="G56" s="5">
        <f t="shared" si="3"/>
        <v>69409.380663178672</v>
      </c>
      <c r="H56" s="22">
        <f t="shared" si="16"/>
        <v>48310.773334988786</v>
      </c>
      <c r="I56" s="5">
        <f t="shared" si="17"/>
        <v>116077.58770477783</v>
      </c>
      <c r="J56" s="26">
        <f t="shared" si="5"/>
        <v>0.25208394751482582</v>
      </c>
      <c r="L56" s="22">
        <f t="shared" si="18"/>
        <v>155201.35892133272</v>
      </c>
      <c r="M56" s="5">
        <f>scrimecost*Meta!O53</f>
        <v>54.67</v>
      </c>
      <c r="N56" s="5">
        <f>L56-Grade15!L56</f>
        <v>1446.570986256178</v>
      </c>
      <c r="O56" s="5">
        <f>Grade15!M56-M56</f>
        <v>0.38499999999999801</v>
      </c>
      <c r="P56" s="22">
        <f t="shared" si="12"/>
        <v>182.71108486621969</v>
      </c>
      <c r="Q56" s="22"/>
      <c r="R56" s="22"/>
      <c r="S56" s="22">
        <f t="shared" si="19"/>
        <v>1061.3503738440631</v>
      </c>
      <c r="T56" s="22">
        <f t="shared" si="20"/>
        <v>2918.6969955979002</v>
      </c>
    </row>
    <row r="57" spans="1:20" x14ac:dyDescent="0.2">
      <c r="A57" s="5">
        <v>66</v>
      </c>
      <c r="C57" s="5"/>
      <c r="H57" s="21"/>
      <c r="I57" s="5"/>
      <c r="M57" s="5">
        <f>scrimecost*Meta!O54</f>
        <v>54.67</v>
      </c>
      <c r="N57" s="5">
        <f>L57-Grade15!L57</f>
        <v>0</v>
      </c>
      <c r="O57" s="5">
        <f>Grade15!M57-M57</f>
        <v>0.38499999999999801</v>
      </c>
      <c r="Q57" s="22"/>
      <c r="R57" s="22"/>
      <c r="S57" s="22">
        <f t="shared" si="19"/>
        <v>0.3126199999999984</v>
      </c>
      <c r="T57" s="22">
        <f t="shared" si="20"/>
        <v>0.87969428517600479</v>
      </c>
    </row>
    <row r="58" spans="1:20" x14ac:dyDescent="0.2">
      <c r="A58" s="5">
        <v>67</v>
      </c>
      <c r="C58" s="5"/>
      <c r="H58" s="21"/>
      <c r="I58" s="5"/>
      <c r="M58" s="5">
        <f>scrimecost*Meta!O55</f>
        <v>54.67</v>
      </c>
      <c r="N58" s="5">
        <f>L58-Grade15!L58</f>
        <v>0</v>
      </c>
      <c r="O58" s="5">
        <f>Grade15!M58-M58</f>
        <v>0.38499999999999801</v>
      </c>
      <c r="Q58" s="22"/>
      <c r="R58" s="22"/>
      <c r="S58" s="22">
        <f t="shared" si="19"/>
        <v>0.3126199999999984</v>
      </c>
      <c r="T58" s="22">
        <f t="shared" si="20"/>
        <v>0.9001534465706319</v>
      </c>
    </row>
    <row r="59" spans="1:20" x14ac:dyDescent="0.2">
      <c r="A59" s="5">
        <v>68</v>
      </c>
      <c r="H59" s="21"/>
      <c r="I59" s="5"/>
      <c r="M59" s="5">
        <f>scrimecost*Meta!O56</f>
        <v>54.67</v>
      </c>
      <c r="N59" s="5">
        <f>L59-Grade15!L59</f>
        <v>0</v>
      </c>
      <c r="O59" s="5">
        <f>Grade15!M59-M59</f>
        <v>0.38499999999999801</v>
      </c>
      <c r="Q59" s="22"/>
      <c r="R59" s="22"/>
      <c r="S59" s="22">
        <f t="shared" si="19"/>
        <v>0.3126199999999984</v>
      </c>
      <c r="T59" s="22">
        <f t="shared" si="20"/>
        <v>0.9210884292727578</v>
      </c>
    </row>
    <row r="60" spans="1:20" x14ac:dyDescent="0.2">
      <c r="A60" s="5">
        <v>69</v>
      </c>
      <c r="H60" s="21"/>
      <c r="I60" s="5"/>
      <c r="M60" s="5">
        <f>scrimecost*Meta!O57</f>
        <v>54.67</v>
      </c>
      <c r="N60" s="5">
        <f>L60-Grade15!L60</f>
        <v>0</v>
      </c>
      <c r="O60" s="5">
        <f>Grade15!M60-M60</f>
        <v>0.38499999999999801</v>
      </c>
      <c r="Q60" s="22"/>
      <c r="R60" s="22"/>
      <c r="S60" s="22">
        <f t="shared" si="19"/>
        <v>0.3126199999999984</v>
      </c>
      <c r="T60" s="22">
        <f t="shared" si="20"/>
        <v>0.94251029951878817</v>
      </c>
    </row>
    <row r="61" spans="1:20" x14ac:dyDescent="0.2">
      <c r="A61" s="5">
        <v>70</v>
      </c>
      <c r="H61" s="21"/>
      <c r="I61" s="5"/>
      <c r="M61" s="5">
        <f>scrimecost*Meta!O58</f>
        <v>54.67</v>
      </c>
      <c r="N61" s="5">
        <f>L61-Grade15!L61</f>
        <v>0</v>
      </c>
      <c r="O61" s="5">
        <f>Grade15!M61-M61</f>
        <v>0.38499999999999801</v>
      </c>
      <c r="Q61" s="22"/>
      <c r="R61" s="22"/>
      <c r="S61" s="22">
        <f t="shared" si="19"/>
        <v>0.3126199999999984</v>
      </c>
      <c r="T61" s="22">
        <f t="shared" si="20"/>
        <v>0.96443038091399169</v>
      </c>
    </row>
    <row r="62" spans="1:20" x14ac:dyDescent="0.2">
      <c r="A62" s="5">
        <v>71</v>
      </c>
      <c r="H62" s="21"/>
      <c r="I62" s="5"/>
      <c r="M62" s="5">
        <f>scrimecost*Meta!O59</f>
        <v>54.67</v>
      </c>
      <c r="N62" s="5">
        <f>L62-Grade15!L62</f>
        <v>0</v>
      </c>
      <c r="O62" s="5">
        <f>Grade15!M62-M62</f>
        <v>0.38499999999999801</v>
      </c>
      <c r="Q62" s="22"/>
      <c r="R62" s="22"/>
      <c r="S62" s="22">
        <f t="shared" si="19"/>
        <v>0.3126199999999984</v>
      </c>
      <c r="T62" s="22">
        <f t="shared" si="20"/>
        <v>0.98686026041815766</v>
      </c>
    </row>
    <row r="63" spans="1:20" x14ac:dyDescent="0.2">
      <c r="A63" s="5">
        <v>72</v>
      </c>
      <c r="H63" s="21"/>
      <c r="M63" s="5">
        <f>scrimecost*Meta!O60</f>
        <v>54.67</v>
      </c>
      <c r="N63" s="5">
        <f>L63-Grade15!L63</f>
        <v>0</v>
      </c>
      <c r="O63" s="5">
        <f>Grade15!M63-M63</f>
        <v>0.38499999999999801</v>
      </c>
      <c r="Q63" s="22"/>
      <c r="R63" s="22"/>
      <c r="S63" s="22">
        <f t="shared" si="19"/>
        <v>0.3126199999999984</v>
      </c>
      <c r="T63" s="22">
        <f t="shared" si="20"/>
        <v>1.0098117944704668</v>
      </c>
    </row>
    <row r="64" spans="1:20" x14ac:dyDescent="0.2">
      <c r="A64" s="5">
        <v>73</v>
      </c>
      <c r="H64" s="21"/>
      <c r="M64" s="5">
        <f>scrimecost*Meta!O61</f>
        <v>54.67</v>
      </c>
      <c r="N64" s="5">
        <f>L64-Grade15!L64</f>
        <v>0</v>
      </c>
      <c r="O64" s="5">
        <f>Grade15!M64-M64</f>
        <v>0.38499999999999801</v>
      </c>
      <c r="Q64" s="22"/>
      <c r="R64" s="22"/>
      <c r="S64" s="22">
        <f t="shared" si="19"/>
        <v>0.3126199999999984</v>
      </c>
      <c r="T64" s="22">
        <f t="shared" si="20"/>
        <v>1.0332971152568078</v>
      </c>
    </row>
    <row r="65" spans="1:20" x14ac:dyDescent="0.2">
      <c r="A65" s="5">
        <v>74</v>
      </c>
      <c r="H65" s="21"/>
      <c r="M65" s="5">
        <f>scrimecost*Meta!O62</f>
        <v>54.67</v>
      </c>
      <c r="N65" s="5">
        <f>L65-Grade15!L65</f>
        <v>0</v>
      </c>
      <c r="O65" s="5">
        <f>Grade15!M65-M65</f>
        <v>0.38499999999999801</v>
      </c>
      <c r="Q65" s="22"/>
      <c r="R65" s="22"/>
      <c r="S65" s="22">
        <f t="shared" si="19"/>
        <v>0.3126199999999984</v>
      </c>
      <c r="T65" s="22">
        <f t="shared" si="20"/>
        <v>1.0573286371228525</v>
      </c>
    </row>
    <row r="66" spans="1:20" x14ac:dyDescent="0.2">
      <c r="A66" s="5">
        <v>75</v>
      </c>
      <c r="H66" s="21"/>
      <c r="M66" s="5">
        <f>scrimecost*Meta!O63</f>
        <v>54.67</v>
      </c>
      <c r="N66" s="5">
        <f>L66-Grade15!L66</f>
        <v>0</v>
      </c>
      <c r="O66" s="5">
        <f>Grade15!M66-M66</f>
        <v>0.38499999999999801</v>
      </c>
      <c r="Q66" s="22"/>
      <c r="R66" s="22"/>
      <c r="S66" s="22">
        <f t="shared" si="19"/>
        <v>0.3126199999999984</v>
      </c>
      <c r="T66" s="22">
        <f t="shared" si="20"/>
        <v>1.0819190631362823</v>
      </c>
    </row>
    <row r="67" spans="1:20" x14ac:dyDescent="0.2">
      <c r="A67" s="5">
        <v>76</v>
      </c>
      <c r="H67" s="21"/>
      <c r="M67" s="5">
        <f>scrimecost*Meta!O64</f>
        <v>54.67</v>
      </c>
      <c r="N67" s="5">
        <f>L67-Grade15!L67</f>
        <v>0</v>
      </c>
      <c r="O67" s="5">
        <f>Grade15!M67-M67</f>
        <v>0.38499999999999801</v>
      </c>
      <c r="Q67" s="22"/>
      <c r="R67" s="22"/>
      <c r="S67" s="22">
        <f t="shared" si="19"/>
        <v>0.3126199999999984</v>
      </c>
      <c r="T67" s="22">
        <f t="shared" si="20"/>
        <v>1.1070813918016327</v>
      </c>
    </row>
    <row r="68" spans="1:20" x14ac:dyDescent="0.2">
      <c r="A68" s="5">
        <v>77</v>
      </c>
      <c r="H68" s="21"/>
      <c r="M68" s="5">
        <f>scrimecost*Meta!O65</f>
        <v>54.67</v>
      </c>
      <c r="N68" s="5">
        <f>L68-Grade15!L68</f>
        <v>0</v>
      </c>
      <c r="O68" s="5">
        <f>Grade15!M68-M68</f>
        <v>0.38499999999999801</v>
      </c>
      <c r="Q68" s="22"/>
      <c r="R68" s="22"/>
      <c r="S68" s="22">
        <f t="shared" si="19"/>
        <v>0.3126199999999984</v>
      </c>
      <c r="T68" s="22">
        <f t="shared" si="20"/>
        <v>1.132828923931305</v>
      </c>
    </row>
    <row r="69" spans="1:20" x14ac:dyDescent="0.2">
      <c r="A69" s="5">
        <v>78</v>
      </c>
      <c r="H69" s="21"/>
      <c r="M69" s="5">
        <f>scrimecost*Meta!O66</f>
        <v>54.67</v>
      </c>
      <c r="N69" s="5">
        <f>L69-Grade15!L69</f>
        <v>0</v>
      </c>
      <c r="O69" s="5">
        <f>Grade15!M69-M69</f>
        <v>0.38499999999999801</v>
      </c>
      <c r="Q69" s="22"/>
      <c r="R69" s="22"/>
      <c r="S69" s="22">
        <f t="shared" si="19"/>
        <v>0.3126199999999984</v>
      </c>
      <c r="T69" s="22">
        <f t="shared" si="20"/>
        <v>1.1591752696763782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-2.3652901859350095E-10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S14" sqref="S14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Meta!A11+6</f>
        <v>23</v>
      </c>
      <c r="C2" s="7">
        <f>Meta!B11</f>
        <v>70817</v>
      </c>
      <c r="D2" s="7">
        <f>Meta!C11</f>
        <v>30327</v>
      </c>
      <c r="E2" s="1">
        <f>Meta!D11</f>
        <v>3.3000000000000002E-2</v>
      </c>
      <c r="F2" s="1">
        <f>Meta!F11</f>
        <v>0.77700000000000002</v>
      </c>
      <c r="G2" s="1">
        <f>Meta!I11</f>
        <v>1.7595535582220223</v>
      </c>
      <c r="H2" s="1">
        <f>Meta!E11</f>
        <v>0.57199999999999995</v>
      </c>
      <c r="I2" s="13"/>
      <c r="J2" s="1">
        <f>Meta!X10</f>
        <v>0.77700000000000002</v>
      </c>
      <c r="K2" s="1">
        <f>Meta!D10</f>
        <v>3.4000000000000002E-2</v>
      </c>
      <c r="L2" s="29"/>
      <c r="N2" s="22">
        <f>Meta!T11</f>
        <v>70495</v>
      </c>
      <c r="O2" s="22">
        <f>Meta!U11</f>
        <v>30215</v>
      </c>
      <c r="P2" s="1">
        <f>Meta!V11</f>
        <v>3.4000000000000002E-2</v>
      </c>
      <c r="Q2" s="1">
        <f>Meta!X11</f>
        <v>0.77700000000000002</v>
      </c>
      <c r="R2" s="22">
        <f>Meta!W11</f>
        <v>994</v>
      </c>
      <c r="T2" s="12">
        <f>IRR(S5:S69)+1</f>
        <v>0.94037570053205821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6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C12" s="5"/>
      <c r="D12" s="5"/>
      <c r="E12" s="5"/>
      <c r="F12" s="5"/>
      <c r="G12" s="5"/>
      <c r="H12" s="22"/>
      <c r="I12" s="5"/>
      <c r="J12" s="26"/>
      <c r="L12" s="22"/>
      <c r="M12" s="5"/>
      <c r="N12" s="5"/>
      <c r="O12" s="5"/>
      <c r="P12" s="22"/>
      <c r="Q12" s="22"/>
      <c r="R12" s="22"/>
      <c r="S12" s="22"/>
      <c r="T12" s="22"/>
    </row>
    <row r="13" spans="1:20" x14ac:dyDescent="0.2">
      <c r="A13" s="5">
        <v>22</v>
      </c>
      <c r="B13" s="1">
        <v>1</v>
      </c>
      <c r="C13" s="5">
        <f>0.1*Grade16!C13</f>
        <v>3885.6088278185325</v>
      </c>
      <c r="D13" s="5">
        <f t="shared" ref="D13:D36" si="0">IF(A13&lt;startage,1,0)*(C13*(1-initialunempprob))+IF(A13=startage,1,0)*(C13*(1-unempprob))+IF(A13&gt;startage,1,0)*(C13*(1-unempprob)+unempprob*300*52)</f>
        <v>3753.4981276727021</v>
      </c>
      <c r="E13" s="5">
        <f t="shared" ref="E13:E56" si="1">IF(D13-9500&gt;0,1,0)*(D13-9500)</f>
        <v>0</v>
      </c>
      <c r="F13" s="5">
        <f t="shared" ref="F13:F56" si="2">IF(E13&lt;=8500,1,0)*(0.1*E13+0.1*E13+0.0765*D13)+IF(AND(E13&gt;8500,E13&lt;=34500),1,0)*(850+0.15*(E13-8500)+0.1*E13+0.0765*D13)+IF(AND(E13&gt;34500,E13&lt;=83600),1,0)*(4750+0.25*(E13-34500)+0.1*E13+0.0765*D13)+IF(AND(E13&gt;83600,E13&lt;=174400,D13&lt;=106800),1,0)*(17025+0.28*(E13-83600)+0.1*E13+0.0765*D13)+IF(AND(E13&gt;83600,E13&lt;=174400,D13&gt;106800),1,0)*(17025+0.28*(E13-83600)+0.1*E13+8170.2+0.0145*(D13-106800))+IF(AND(E13&gt;174400,E13&lt;=379150),1,0)*(42449+0.33*(E13-174400)+0.1*E13+8170.2+0.0145*(D13-106800))+IF(E13&gt;379150,1,0)*(110016.5+0.35*(E13-379150)+0.1*E13+8170.2+0.0145*(D13-106800))</f>
        <v>287.14260676696171</v>
      </c>
      <c r="G13" s="5">
        <f t="shared" ref="G13:G56" si="3">D13-F13</f>
        <v>3466.3555209057404</v>
      </c>
      <c r="H13" s="22">
        <f>0.1*Grade16!H13</f>
        <v>1670.7742668363562</v>
      </c>
      <c r="I13" s="5">
        <f t="shared" ref="I13:I36" si="4">G13+IF(A13&lt;startage,1,0)*(H13*(1-initialunempprob))+IF(A13&gt;=startage,1,0)*(H13*(1-unempprob))</f>
        <v>5080.3234626696603</v>
      </c>
      <c r="J13" s="26">
        <f t="shared" ref="J13:J56" si="5">(F13-(IF(A13&gt;startage,1,0)*(unempprob*300*52)))/(IF(A13&lt;startage,1,0)*((C13+H13)*(1-initialunempprob))+IF(A13&gt;=startage,1,0)*((C13+H13)*(1-unempprob)))</f>
        <v>5.3496864824541066E-2</v>
      </c>
      <c r="L13" s="22">
        <f>0.1*Grade16!L13</f>
        <v>5367.4660694366221</v>
      </c>
      <c r="M13" s="5">
        <f>scrimecost*Meta!O10</f>
        <v>2791.152</v>
      </c>
      <c r="N13" s="5">
        <f>L13-Grade16!L13</f>
        <v>-48307.194624929594</v>
      </c>
      <c r="O13" s="5"/>
      <c r="P13" s="22"/>
      <c r="Q13" s="22">
        <f>0.05*feel*Grade16!G13</f>
        <v>393.1173384582591</v>
      </c>
      <c r="R13" s="22">
        <f>coltuition</f>
        <v>8279</v>
      </c>
      <c r="S13" s="22">
        <f t="shared" ref="S13:S44" si="6">IF(A13&lt;startage,1,0)*(N13-Q13-R13)+IF(A13&gt;=startage,1,0)*completionprob*(N13*spart+O13+P13)</f>
        <v>-56979.311963387852</v>
      </c>
      <c r="T13" s="22">
        <f t="shared" ref="T13:T44" si="7">S13/sreturn^(A13-startage+1)</f>
        <v>-56979.311963387852</v>
      </c>
    </row>
    <row r="14" spans="1:20" x14ac:dyDescent="0.2">
      <c r="A14" s="5">
        <v>23</v>
      </c>
      <c r="B14" s="1">
        <f t="shared" ref="B14:B36" si="8">(1+experiencepremium)^(A14-startage)</f>
        <v>1</v>
      </c>
      <c r="C14" s="5">
        <f t="shared" ref="C14:C36" si="9">pretaxincome*B14/expnorm</f>
        <v>40247.1409120155</v>
      </c>
      <c r="D14" s="5">
        <f t="shared" si="0"/>
        <v>38918.985261918984</v>
      </c>
      <c r="E14" s="5">
        <f t="shared" si="1"/>
        <v>29418.985261918984</v>
      </c>
      <c r="F14" s="5">
        <f t="shared" si="2"/>
        <v>9907.0486880165481</v>
      </c>
      <c r="G14" s="5">
        <f t="shared" si="3"/>
        <v>29011.936573902436</v>
      </c>
      <c r="H14" s="22">
        <f t="shared" ref="H14:H36" si="10">benefits*B14/expnorm</f>
        <v>17235.621989616815</v>
      </c>
      <c r="I14" s="5">
        <f t="shared" si="4"/>
        <v>45678.783037861896</v>
      </c>
      <c r="J14" s="26">
        <f t="shared" si="5"/>
        <v>0.17822974632948127</v>
      </c>
      <c r="L14" s="22">
        <f t="shared" ref="L14:L36" si="11">(sincome+sbenefits)*(1-sunemp)*B14/expnorm</f>
        <v>55290.081705898476</v>
      </c>
      <c r="M14" s="5">
        <f>scrimecost*Meta!O11</f>
        <v>2608.2560000000003</v>
      </c>
      <c r="N14" s="5">
        <f>L14-Grade16!L14</f>
        <v>273.5544941731132</v>
      </c>
      <c r="O14" s="5">
        <f>Grade16!M14-M14</f>
        <v>0</v>
      </c>
      <c r="P14" s="22">
        <f t="shared" ref="P14:P56" si="12">(spart-initialspart)*(L14*J14+nptrans)</f>
        <v>0</v>
      </c>
      <c r="Q14" s="22"/>
      <c r="R14" s="22"/>
      <c r="S14" s="22">
        <f t="shared" si="6"/>
        <v>121.57965360827511</v>
      </c>
      <c r="T14" s="22">
        <f t="shared" si="7"/>
        <v>129.28838286600362</v>
      </c>
    </row>
    <row r="15" spans="1:20" x14ac:dyDescent="0.2">
      <c r="A15" s="5">
        <v>24</v>
      </c>
      <c r="B15" s="1">
        <f t="shared" si="8"/>
        <v>1.0249999999999999</v>
      </c>
      <c r="C15" s="5">
        <f t="shared" si="9"/>
        <v>41253.31943481588</v>
      </c>
      <c r="D15" s="5">
        <f t="shared" si="0"/>
        <v>40406.759893466959</v>
      </c>
      <c r="E15" s="5">
        <f t="shared" si="1"/>
        <v>30906.759893466959</v>
      </c>
      <c r="F15" s="5">
        <f t="shared" si="2"/>
        <v>10392.807105216962</v>
      </c>
      <c r="G15" s="5">
        <f t="shared" si="3"/>
        <v>30013.952788249997</v>
      </c>
      <c r="H15" s="22">
        <f t="shared" si="10"/>
        <v>17666.512539357234</v>
      </c>
      <c r="I15" s="5">
        <f t="shared" si="4"/>
        <v>47097.470413808442</v>
      </c>
      <c r="J15" s="26">
        <f t="shared" si="5"/>
        <v>0.17337295860168042</v>
      </c>
      <c r="L15" s="22">
        <f t="shared" si="11"/>
        <v>56672.333748545927</v>
      </c>
      <c r="M15" s="5">
        <f>scrimecost*Meta!O12</f>
        <v>2491.9580000000001</v>
      </c>
      <c r="N15" s="5">
        <f>L15-Grade16!L15</f>
        <v>280.39335652742011</v>
      </c>
      <c r="O15" s="5">
        <f>Grade16!M15-M15</f>
        <v>0</v>
      </c>
      <c r="P15" s="22">
        <f t="shared" si="12"/>
        <v>0</v>
      </c>
      <c r="Q15" s="22"/>
      <c r="R15" s="22"/>
      <c r="S15" s="22">
        <f t="shared" si="6"/>
        <v>124.61914494847269</v>
      </c>
      <c r="T15" s="22">
        <f t="shared" si="7"/>
        <v>140.92302934100124</v>
      </c>
    </row>
    <row r="16" spans="1:20" x14ac:dyDescent="0.2">
      <c r="A16" s="5">
        <v>25</v>
      </c>
      <c r="B16" s="1">
        <f t="shared" si="8"/>
        <v>1.0506249999999999</v>
      </c>
      <c r="C16" s="5">
        <f t="shared" si="9"/>
        <v>42284.652420686281</v>
      </c>
      <c r="D16" s="5">
        <f t="shared" si="0"/>
        <v>41404.058890803637</v>
      </c>
      <c r="E16" s="5">
        <f t="shared" si="1"/>
        <v>31904.058890803637</v>
      </c>
      <c r="F16" s="5">
        <f t="shared" si="2"/>
        <v>10718.425227847387</v>
      </c>
      <c r="G16" s="5">
        <f t="shared" si="3"/>
        <v>30685.63366295625</v>
      </c>
      <c r="H16" s="22">
        <f t="shared" si="10"/>
        <v>18108.175352841165</v>
      </c>
      <c r="I16" s="5">
        <f t="shared" si="4"/>
        <v>48196.239229153653</v>
      </c>
      <c r="J16" s="26">
        <f t="shared" si="5"/>
        <v>0.17472001558086092</v>
      </c>
      <c r="L16" s="22">
        <f t="shared" si="11"/>
        <v>58089.142092259579</v>
      </c>
      <c r="M16" s="5">
        <f>scrimecost*Meta!O13</f>
        <v>2092.37</v>
      </c>
      <c r="N16" s="5">
        <f>L16-Grade16!L16</f>
        <v>287.40319044061471</v>
      </c>
      <c r="O16" s="5">
        <f>Grade16!M16-M16</f>
        <v>0</v>
      </c>
      <c r="P16" s="22">
        <f t="shared" si="12"/>
        <v>0</v>
      </c>
      <c r="Q16" s="22"/>
      <c r="R16" s="22"/>
      <c r="S16" s="22">
        <f t="shared" si="6"/>
        <v>127.73462357218855</v>
      </c>
      <c r="T16" s="22">
        <f t="shared" si="7"/>
        <v>153.60467629353266</v>
      </c>
    </row>
    <row r="17" spans="1:20" x14ac:dyDescent="0.2">
      <c r="A17" s="5">
        <v>26</v>
      </c>
      <c r="B17" s="1">
        <f t="shared" si="8"/>
        <v>1.0768906249999999</v>
      </c>
      <c r="C17" s="5">
        <f t="shared" si="9"/>
        <v>43341.76873120344</v>
      </c>
      <c r="D17" s="5">
        <f t="shared" si="0"/>
        <v>42426.290363073727</v>
      </c>
      <c r="E17" s="5">
        <f t="shared" si="1"/>
        <v>32926.290363073727</v>
      </c>
      <c r="F17" s="5">
        <f t="shared" si="2"/>
        <v>11052.183803543572</v>
      </c>
      <c r="G17" s="5">
        <f t="shared" si="3"/>
        <v>31374.106559530155</v>
      </c>
      <c r="H17" s="22">
        <f t="shared" si="10"/>
        <v>18560.879736662195</v>
      </c>
      <c r="I17" s="5">
        <f t="shared" si="4"/>
        <v>49322.477264882502</v>
      </c>
      <c r="J17" s="26">
        <f t="shared" si="5"/>
        <v>0.17603421751176876</v>
      </c>
      <c r="L17" s="22">
        <f t="shared" si="11"/>
        <v>59541.370644566072</v>
      </c>
      <c r="M17" s="5">
        <f>scrimecost*Meta!O14</f>
        <v>2092.37</v>
      </c>
      <c r="N17" s="5">
        <f>L17-Grade16!L17</f>
        <v>294.58827020164608</v>
      </c>
      <c r="O17" s="5">
        <f>Grade16!M17-M17</f>
        <v>0</v>
      </c>
      <c r="P17" s="22">
        <f t="shared" si="12"/>
        <v>0</v>
      </c>
      <c r="Q17" s="22"/>
      <c r="R17" s="22"/>
      <c r="S17" s="22">
        <f t="shared" si="6"/>
        <v>130.92798916150039</v>
      </c>
      <c r="T17" s="22">
        <f t="shared" si="7"/>
        <v>167.42754317428489</v>
      </c>
    </row>
    <row r="18" spans="1:20" x14ac:dyDescent="0.2">
      <c r="A18" s="5">
        <v>27</v>
      </c>
      <c r="B18" s="1">
        <f t="shared" si="8"/>
        <v>1.1038128906249998</v>
      </c>
      <c r="C18" s="5">
        <f t="shared" si="9"/>
        <v>44425.312949483523</v>
      </c>
      <c r="D18" s="5">
        <f t="shared" si="0"/>
        <v>43474.077622150566</v>
      </c>
      <c r="E18" s="5">
        <f t="shared" si="1"/>
        <v>33974.077622150566</v>
      </c>
      <c r="F18" s="5">
        <f t="shared" si="2"/>
        <v>11394.28634363216</v>
      </c>
      <c r="G18" s="5">
        <f t="shared" si="3"/>
        <v>32079.791278518405</v>
      </c>
      <c r="H18" s="22">
        <f t="shared" si="10"/>
        <v>19024.901730078749</v>
      </c>
      <c r="I18" s="5">
        <f t="shared" si="4"/>
        <v>50476.871251504555</v>
      </c>
      <c r="J18" s="26">
        <f t="shared" si="5"/>
        <v>0.17731636573704471</v>
      </c>
      <c r="L18" s="22">
        <f t="shared" si="11"/>
        <v>61029.904910680212</v>
      </c>
      <c r="M18" s="5">
        <f>scrimecost*Meta!O15</f>
        <v>2092.37</v>
      </c>
      <c r="N18" s="5">
        <f>L18-Grade16!L18</f>
        <v>301.95297695667978</v>
      </c>
      <c r="O18" s="5">
        <f>Grade16!M18-M18</f>
        <v>0</v>
      </c>
      <c r="P18" s="22">
        <f t="shared" si="12"/>
        <v>0</v>
      </c>
      <c r="Q18" s="22"/>
      <c r="R18" s="22"/>
      <c r="S18" s="22">
        <f t="shared" si="6"/>
        <v>134.20118889053458</v>
      </c>
      <c r="T18" s="22">
        <f t="shared" si="7"/>
        <v>182.49432823130178</v>
      </c>
    </row>
    <row r="19" spans="1:20" x14ac:dyDescent="0.2">
      <c r="A19" s="5">
        <v>28</v>
      </c>
      <c r="B19" s="1">
        <f t="shared" si="8"/>
        <v>1.1314082128906247</v>
      </c>
      <c r="C19" s="5">
        <f t="shared" si="9"/>
        <v>45535.945773220606</v>
      </c>
      <c r="D19" s="5">
        <f t="shared" si="0"/>
        <v>44548.059562704329</v>
      </c>
      <c r="E19" s="5">
        <f t="shared" si="1"/>
        <v>35048.059562704329</v>
      </c>
      <c r="F19" s="5">
        <f t="shared" si="2"/>
        <v>11799.747403493397</v>
      </c>
      <c r="G19" s="5">
        <f t="shared" si="3"/>
        <v>32748.312159210931</v>
      </c>
      <c r="H19" s="22">
        <f t="shared" si="10"/>
        <v>19500.524273330713</v>
      </c>
      <c r="I19" s="5">
        <f t="shared" si="4"/>
        <v>51605.319131521726</v>
      </c>
      <c r="J19" s="26">
        <f t="shared" si="5"/>
        <v>0.17943869576717933</v>
      </c>
      <c r="L19" s="22">
        <f t="shared" si="11"/>
        <v>62555.652533447217</v>
      </c>
      <c r="M19" s="5">
        <f>scrimecost*Meta!O16</f>
        <v>2092.37</v>
      </c>
      <c r="N19" s="5">
        <f>L19-Grade16!L19</f>
        <v>309.50180138059659</v>
      </c>
      <c r="O19" s="5">
        <f>Grade16!M19-M19</f>
        <v>0</v>
      </c>
      <c r="P19" s="22">
        <f t="shared" si="12"/>
        <v>0</v>
      </c>
      <c r="Q19" s="22"/>
      <c r="R19" s="22"/>
      <c r="S19" s="22">
        <f t="shared" si="6"/>
        <v>137.55621861279786</v>
      </c>
      <c r="T19" s="22">
        <f t="shared" si="7"/>
        <v>198.91697151601088</v>
      </c>
    </row>
    <row r="20" spans="1:20" x14ac:dyDescent="0.2">
      <c r="A20" s="5">
        <v>29</v>
      </c>
      <c r="B20" s="1">
        <f t="shared" si="8"/>
        <v>1.1596934182128902</v>
      </c>
      <c r="C20" s="5">
        <f t="shared" si="9"/>
        <v>46674.34441755111</v>
      </c>
      <c r="D20" s="5">
        <f t="shared" si="0"/>
        <v>45648.891051771927</v>
      </c>
      <c r="E20" s="5">
        <f t="shared" si="1"/>
        <v>36148.891051771927</v>
      </c>
      <c r="F20" s="5">
        <f t="shared" si="2"/>
        <v>12269.252033580728</v>
      </c>
      <c r="G20" s="5">
        <f t="shared" si="3"/>
        <v>33379.639018191199</v>
      </c>
      <c r="H20" s="22">
        <f t="shared" si="10"/>
        <v>19988.03738016398</v>
      </c>
      <c r="I20" s="5">
        <f t="shared" si="4"/>
        <v>52708.071164809764</v>
      </c>
      <c r="J20" s="26">
        <f t="shared" si="5"/>
        <v>0.18234551566349819</v>
      </c>
      <c r="L20" s="22">
        <f t="shared" si="11"/>
        <v>64119.543846783388</v>
      </c>
      <c r="M20" s="5">
        <f>scrimecost*Meta!O17</f>
        <v>2092.37</v>
      </c>
      <c r="N20" s="5">
        <f>L20-Grade16!L20</f>
        <v>317.2393464150955</v>
      </c>
      <c r="O20" s="5">
        <f>Grade16!M20-M20</f>
        <v>0</v>
      </c>
      <c r="P20" s="22">
        <f t="shared" si="12"/>
        <v>0</v>
      </c>
      <c r="Q20" s="22"/>
      <c r="R20" s="22"/>
      <c r="S20" s="22">
        <f t="shared" si="6"/>
        <v>140.99512407811068</v>
      </c>
      <c r="T20" s="22">
        <f t="shared" si="7"/>
        <v>216.81748655196142</v>
      </c>
    </row>
    <row r="21" spans="1:20" x14ac:dyDescent="0.2">
      <c r="A21" s="5">
        <v>30</v>
      </c>
      <c r="B21" s="1">
        <f t="shared" si="8"/>
        <v>1.1886857536682125</v>
      </c>
      <c r="C21" s="5">
        <f t="shared" si="9"/>
        <v>47841.20302798989</v>
      </c>
      <c r="D21" s="5">
        <f t="shared" si="0"/>
        <v>46777.243328066223</v>
      </c>
      <c r="E21" s="5">
        <f t="shared" si="1"/>
        <v>37277.243328066223</v>
      </c>
      <c r="F21" s="5">
        <f t="shared" si="2"/>
        <v>12750.494279420243</v>
      </c>
      <c r="G21" s="5">
        <f t="shared" si="3"/>
        <v>34026.749048645979</v>
      </c>
      <c r="H21" s="22">
        <f t="shared" si="10"/>
        <v>20487.73831466808</v>
      </c>
      <c r="I21" s="5">
        <f t="shared" si="4"/>
        <v>53838.391998930012</v>
      </c>
      <c r="J21" s="26">
        <f t="shared" si="5"/>
        <v>0.18518143751356536</v>
      </c>
      <c r="L21" s="22">
        <f t="shared" si="11"/>
        <v>65722.532442952972</v>
      </c>
      <c r="M21" s="5">
        <f>scrimecost*Meta!O18</f>
        <v>1686.818</v>
      </c>
      <c r="N21" s="5">
        <f>L21-Grade16!L21</f>
        <v>325.17033007548162</v>
      </c>
      <c r="O21" s="5">
        <f>Grade16!M21-M21</f>
        <v>0</v>
      </c>
      <c r="P21" s="22">
        <f t="shared" si="12"/>
        <v>0</v>
      </c>
      <c r="Q21" s="22"/>
      <c r="R21" s="22"/>
      <c r="S21" s="22">
        <f t="shared" si="6"/>
        <v>144.52000218006734</v>
      </c>
      <c r="T21" s="22">
        <f t="shared" si="7"/>
        <v>236.32886684548072</v>
      </c>
    </row>
    <row r="22" spans="1:20" x14ac:dyDescent="0.2">
      <c r="A22" s="5">
        <v>31</v>
      </c>
      <c r="B22" s="1">
        <f t="shared" si="8"/>
        <v>1.2184028975099177</v>
      </c>
      <c r="C22" s="5">
        <f t="shared" si="9"/>
        <v>49037.233103689643</v>
      </c>
      <c r="D22" s="5">
        <f t="shared" si="0"/>
        <v>47933.804411267884</v>
      </c>
      <c r="E22" s="5">
        <f t="shared" si="1"/>
        <v>38433.804411267884</v>
      </c>
      <c r="F22" s="5">
        <f t="shared" si="2"/>
        <v>13243.767581405753</v>
      </c>
      <c r="G22" s="5">
        <f t="shared" si="3"/>
        <v>34690.036829862132</v>
      </c>
      <c r="H22" s="22">
        <f t="shared" si="10"/>
        <v>20999.931772534783</v>
      </c>
      <c r="I22" s="5">
        <f t="shared" si="4"/>
        <v>54996.970853903265</v>
      </c>
      <c r="J22" s="26">
        <f t="shared" si="5"/>
        <v>0.1879481905380212</v>
      </c>
      <c r="L22" s="22">
        <f t="shared" si="11"/>
        <v>67365.595754026785</v>
      </c>
      <c r="M22" s="5">
        <f>scrimecost*Meta!O19</f>
        <v>1686.818</v>
      </c>
      <c r="N22" s="5">
        <f>L22-Grade16!L22</f>
        <v>333.29958832736884</v>
      </c>
      <c r="O22" s="5">
        <f>Grade16!M22-M22</f>
        <v>0</v>
      </c>
      <c r="P22" s="22">
        <f t="shared" si="12"/>
        <v>0</v>
      </c>
      <c r="Q22" s="22"/>
      <c r="R22" s="22"/>
      <c r="S22" s="22">
        <f t="shared" si="6"/>
        <v>148.13300223456909</v>
      </c>
      <c r="T22" s="22">
        <f t="shared" si="7"/>
        <v>257.5960739729469</v>
      </c>
    </row>
    <row r="23" spans="1:20" x14ac:dyDescent="0.2">
      <c r="A23" s="5">
        <v>32</v>
      </c>
      <c r="B23" s="1">
        <f t="shared" si="8"/>
        <v>1.2488629699476654</v>
      </c>
      <c r="C23" s="5">
        <f t="shared" si="9"/>
        <v>50263.163931281873</v>
      </c>
      <c r="D23" s="5">
        <f t="shared" si="0"/>
        <v>49119.279521549572</v>
      </c>
      <c r="E23" s="5">
        <f t="shared" si="1"/>
        <v>39619.279521549572</v>
      </c>
      <c r="F23" s="5">
        <f t="shared" si="2"/>
        <v>13749.372715940894</v>
      </c>
      <c r="G23" s="5">
        <f t="shared" si="3"/>
        <v>35369.906805608676</v>
      </c>
      <c r="H23" s="22">
        <f t="shared" si="10"/>
        <v>21524.930066848148</v>
      </c>
      <c r="I23" s="5">
        <f t="shared" si="4"/>
        <v>56184.51418025083</v>
      </c>
      <c r="J23" s="26">
        <f t="shared" si="5"/>
        <v>0.19064746178139275</v>
      </c>
      <c r="L23" s="22">
        <f t="shared" si="11"/>
        <v>69049.73564787746</v>
      </c>
      <c r="M23" s="5">
        <f>scrimecost*Meta!O20</f>
        <v>1686.818</v>
      </c>
      <c r="N23" s="5">
        <f>L23-Grade16!L23</f>
        <v>341.63207803555997</v>
      </c>
      <c r="O23" s="5">
        <f>Grade16!M23-M23</f>
        <v>0</v>
      </c>
      <c r="P23" s="22">
        <f t="shared" si="12"/>
        <v>0</v>
      </c>
      <c r="Q23" s="22"/>
      <c r="R23" s="22"/>
      <c r="S23" s="22">
        <f t="shared" si="6"/>
        <v>151.83632729043643</v>
      </c>
      <c r="T23" s="22">
        <f t="shared" si="7"/>
        <v>280.77711458610236</v>
      </c>
    </row>
    <row r="24" spans="1:20" x14ac:dyDescent="0.2">
      <c r="A24" s="5">
        <v>33</v>
      </c>
      <c r="B24" s="1">
        <f t="shared" si="8"/>
        <v>1.2800845441963571</v>
      </c>
      <c r="C24" s="5">
        <f t="shared" si="9"/>
        <v>51519.743029563921</v>
      </c>
      <c r="D24" s="5">
        <f t="shared" si="0"/>
        <v>50334.391509588313</v>
      </c>
      <c r="E24" s="5">
        <f t="shared" si="1"/>
        <v>40834.391509588313</v>
      </c>
      <c r="F24" s="5">
        <f t="shared" si="2"/>
        <v>14267.617978839415</v>
      </c>
      <c r="G24" s="5">
        <f t="shared" si="3"/>
        <v>36066.773530748898</v>
      </c>
      <c r="H24" s="22">
        <f t="shared" si="10"/>
        <v>22063.053318519349</v>
      </c>
      <c r="I24" s="5">
        <f t="shared" si="4"/>
        <v>57401.746089757107</v>
      </c>
      <c r="J24" s="26">
        <f t="shared" si="5"/>
        <v>0.19328089714077959</v>
      </c>
      <c r="L24" s="22">
        <f t="shared" si="11"/>
        <v>70775.979039074387</v>
      </c>
      <c r="M24" s="5">
        <f>scrimecost*Meta!O21</f>
        <v>1686.818</v>
      </c>
      <c r="N24" s="5">
        <f>L24-Grade16!L24</f>
        <v>350.17287998643587</v>
      </c>
      <c r="O24" s="5">
        <f>Grade16!M24-M24</f>
        <v>0</v>
      </c>
      <c r="P24" s="22">
        <f t="shared" si="12"/>
        <v>0</v>
      </c>
      <c r="Q24" s="22"/>
      <c r="R24" s="22"/>
      <c r="S24" s="22">
        <f t="shared" si="6"/>
        <v>155.63223547269149</v>
      </c>
      <c r="T24" s="22">
        <f t="shared" si="7"/>
        <v>306.04421433679192</v>
      </c>
    </row>
    <row r="25" spans="1:20" x14ac:dyDescent="0.2">
      <c r="A25" s="5">
        <v>34</v>
      </c>
      <c r="B25" s="1">
        <f t="shared" si="8"/>
        <v>1.312086657801266</v>
      </c>
      <c r="C25" s="5">
        <f t="shared" si="9"/>
        <v>52807.736605303013</v>
      </c>
      <c r="D25" s="5">
        <f t="shared" si="0"/>
        <v>51579.881297328015</v>
      </c>
      <c r="E25" s="5">
        <f t="shared" si="1"/>
        <v>42079.881297328015</v>
      </c>
      <c r="F25" s="5">
        <f t="shared" si="2"/>
        <v>14798.8193733104</v>
      </c>
      <c r="G25" s="5">
        <f t="shared" si="3"/>
        <v>36781.061924017617</v>
      </c>
      <c r="H25" s="22">
        <f t="shared" si="10"/>
        <v>22614.629651482337</v>
      </c>
      <c r="I25" s="5">
        <f t="shared" si="4"/>
        <v>58649.408797001037</v>
      </c>
      <c r="J25" s="26">
        <f t="shared" si="5"/>
        <v>0.19585010236944972</v>
      </c>
      <c r="L25" s="22">
        <f t="shared" si="11"/>
        <v>72545.378515051256</v>
      </c>
      <c r="M25" s="5">
        <f>scrimecost*Meta!O22</f>
        <v>1686.818</v>
      </c>
      <c r="N25" s="5">
        <f>L25-Grade16!L25</f>
        <v>358.92720198610914</v>
      </c>
      <c r="O25" s="5">
        <f>Grade16!M25-M25</f>
        <v>0</v>
      </c>
      <c r="P25" s="22">
        <f t="shared" si="12"/>
        <v>0</v>
      </c>
      <c r="Q25" s="22"/>
      <c r="R25" s="22"/>
      <c r="S25" s="22">
        <f t="shared" si="6"/>
        <v>159.52304135951431</v>
      </c>
      <c r="T25" s="22">
        <f t="shared" si="7"/>
        <v>333.58509744321969</v>
      </c>
    </row>
    <row r="26" spans="1:20" x14ac:dyDescent="0.2">
      <c r="A26" s="5">
        <v>35</v>
      </c>
      <c r="B26" s="1">
        <f t="shared" si="8"/>
        <v>1.3448888242462975</v>
      </c>
      <c r="C26" s="5">
        <f t="shared" si="9"/>
        <v>54127.930020435582</v>
      </c>
      <c r="D26" s="5">
        <f t="shared" si="0"/>
        <v>52856.508329761207</v>
      </c>
      <c r="E26" s="5">
        <f t="shared" si="1"/>
        <v>43356.508329761207</v>
      </c>
      <c r="F26" s="5">
        <f t="shared" si="2"/>
        <v>15343.300802643156</v>
      </c>
      <c r="G26" s="5">
        <f t="shared" si="3"/>
        <v>37513.207527118051</v>
      </c>
      <c r="H26" s="22">
        <f t="shared" si="10"/>
        <v>23179.99539276939</v>
      </c>
      <c r="I26" s="5">
        <f t="shared" si="4"/>
        <v>59928.263071926049</v>
      </c>
      <c r="J26" s="26">
        <f t="shared" si="5"/>
        <v>0.19835664405595713</v>
      </c>
      <c r="L26" s="22">
        <f t="shared" si="11"/>
        <v>74359.012977927516</v>
      </c>
      <c r="M26" s="5">
        <f>scrimecost*Meta!O23</f>
        <v>1309.098</v>
      </c>
      <c r="N26" s="5">
        <f>L26-Grade16!L26</f>
        <v>367.90038203574659</v>
      </c>
      <c r="O26" s="5">
        <f>Grade16!M26-M26</f>
        <v>0</v>
      </c>
      <c r="P26" s="22">
        <f t="shared" si="12"/>
        <v>0</v>
      </c>
      <c r="Q26" s="22"/>
      <c r="R26" s="22"/>
      <c r="S26" s="22">
        <f t="shared" si="6"/>
        <v>163.51111739349537</v>
      </c>
      <c r="T26" s="22">
        <f t="shared" si="7"/>
        <v>363.60438140397213</v>
      </c>
    </row>
    <row r="27" spans="1:20" x14ac:dyDescent="0.2">
      <c r="A27" s="5">
        <v>36</v>
      </c>
      <c r="B27" s="1">
        <f t="shared" si="8"/>
        <v>1.3785110448524549</v>
      </c>
      <c r="C27" s="5">
        <f t="shared" si="9"/>
        <v>55481.128270946472</v>
      </c>
      <c r="D27" s="5">
        <f t="shared" si="0"/>
        <v>54165.051038005236</v>
      </c>
      <c r="E27" s="5">
        <f t="shared" si="1"/>
        <v>44665.051038005236</v>
      </c>
      <c r="F27" s="5">
        <f t="shared" si="2"/>
        <v>15901.394267709235</v>
      </c>
      <c r="G27" s="5">
        <f t="shared" si="3"/>
        <v>38263.656770296002</v>
      </c>
      <c r="H27" s="22">
        <f t="shared" si="10"/>
        <v>23759.495277588623</v>
      </c>
      <c r="I27" s="5">
        <f t="shared" si="4"/>
        <v>61239.088703724199</v>
      </c>
      <c r="J27" s="26">
        <f t="shared" si="5"/>
        <v>0.200802050579379</v>
      </c>
      <c r="L27" s="22">
        <f t="shared" si="11"/>
        <v>76217.988302375699</v>
      </c>
      <c r="M27" s="5">
        <f>scrimecost*Meta!O24</f>
        <v>1309.098</v>
      </c>
      <c r="N27" s="5">
        <f>L27-Grade16!L27</f>
        <v>377.09789158664353</v>
      </c>
      <c r="O27" s="5">
        <f>Grade16!M27-M27</f>
        <v>0</v>
      </c>
      <c r="P27" s="22">
        <f t="shared" si="12"/>
        <v>0</v>
      </c>
      <c r="Q27" s="22"/>
      <c r="R27" s="22"/>
      <c r="S27" s="22">
        <f t="shared" si="6"/>
        <v>167.59889532833418</v>
      </c>
      <c r="T27" s="22">
        <f t="shared" si="7"/>
        <v>396.32509722253201</v>
      </c>
    </row>
    <row r="28" spans="1:20" x14ac:dyDescent="0.2">
      <c r="A28" s="5">
        <v>37</v>
      </c>
      <c r="B28" s="1">
        <f t="shared" si="8"/>
        <v>1.4129738209737661</v>
      </c>
      <c r="C28" s="5">
        <f t="shared" si="9"/>
        <v>56868.156477720127</v>
      </c>
      <c r="D28" s="5">
        <f t="shared" si="0"/>
        <v>55506.307313955367</v>
      </c>
      <c r="E28" s="5">
        <f t="shared" si="1"/>
        <v>46006.307313955367</v>
      </c>
      <c r="F28" s="5">
        <f t="shared" si="2"/>
        <v>16473.440069401964</v>
      </c>
      <c r="G28" s="5">
        <f t="shared" si="3"/>
        <v>39032.867244553403</v>
      </c>
      <c r="H28" s="22">
        <f t="shared" si="10"/>
        <v>24353.482659528338</v>
      </c>
      <c r="I28" s="5">
        <f t="shared" si="4"/>
        <v>62582.684976317309</v>
      </c>
      <c r="J28" s="26">
        <f t="shared" si="5"/>
        <v>0.203187813041254</v>
      </c>
      <c r="L28" s="22">
        <f t="shared" si="11"/>
        <v>78123.438009935082</v>
      </c>
      <c r="M28" s="5">
        <f>scrimecost*Meta!O25</f>
        <v>1309.098</v>
      </c>
      <c r="N28" s="5">
        <f>L28-Grade16!L28</f>
        <v>386.52533887629397</v>
      </c>
      <c r="O28" s="5">
        <f>Grade16!M28-M28</f>
        <v>0</v>
      </c>
      <c r="P28" s="22">
        <f t="shared" si="12"/>
        <v>0</v>
      </c>
      <c r="Q28" s="22"/>
      <c r="R28" s="22"/>
      <c r="S28" s="22">
        <f t="shared" si="6"/>
        <v>171.78886771153557</v>
      </c>
      <c r="T28" s="22">
        <f t="shared" si="7"/>
        <v>431.99034643625396</v>
      </c>
    </row>
    <row r="29" spans="1:20" x14ac:dyDescent="0.2">
      <c r="A29" s="5">
        <v>38</v>
      </c>
      <c r="B29" s="1">
        <f t="shared" si="8"/>
        <v>1.4482981664981105</v>
      </c>
      <c r="C29" s="5">
        <f t="shared" si="9"/>
        <v>58289.860389663139</v>
      </c>
      <c r="D29" s="5">
        <f t="shared" si="0"/>
        <v>56881.094996804255</v>
      </c>
      <c r="E29" s="5">
        <f t="shared" si="1"/>
        <v>47381.094996804255</v>
      </c>
      <c r="F29" s="5">
        <f t="shared" si="2"/>
        <v>17059.787016137016</v>
      </c>
      <c r="G29" s="5">
        <f t="shared" si="3"/>
        <v>39821.307980667239</v>
      </c>
      <c r="H29" s="22">
        <f t="shared" si="10"/>
        <v>24962.319726016547</v>
      </c>
      <c r="I29" s="5">
        <f t="shared" si="4"/>
        <v>63959.871155725239</v>
      </c>
      <c r="J29" s="26">
        <f t="shared" si="5"/>
        <v>0.20551538617479057</v>
      </c>
      <c r="L29" s="22">
        <f t="shared" si="11"/>
        <v>80076.523960183491</v>
      </c>
      <c r="M29" s="5">
        <f>scrimecost*Meta!O26</f>
        <v>1309.098</v>
      </c>
      <c r="N29" s="5">
        <f>L29-Grade16!L29</f>
        <v>396.1884723482508</v>
      </c>
      <c r="O29" s="5">
        <f>Grade16!M29-M29</f>
        <v>0</v>
      </c>
      <c r="P29" s="22">
        <f t="shared" si="12"/>
        <v>0</v>
      </c>
      <c r="Q29" s="22"/>
      <c r="R29" s="22"/>
      <c r="S29" s="22">
        <f t="shared" si="6"/>
        <v>176.08358940434599</v>
      </c>
      <c r="T29" s="22">
        <f t="shared" si="7"/>
        <v>470.86510726158497</v>
      </c>
    </row>
    <row r="30" spans="1:20" x14ac:dyDescent="0.2">
      <c r="A30" s="5">
        <v>39</v>
      </c>
      <c r="B30" s="1">
        <f t="shared" si="8"/>
        <v>1.4845056206605631</v>
      </c>
      <c r="C30" s="5">
        <f t="shared" si="9"/>
        <v>59747.106899404709</v>
      </c>
      <c r="D30" s="5">
        <f t="shared" si="0"/>
        <v>58290.252371724353</v>
      </c>
      <c r="E30" s="5">
        <f t="shared" si="1"/>
        <v>48790.252371724353</v>
      </c>
      <c r="F30" s="5">
        <f t="shared" si="2"/>
        <v>17660.792636540438</v>
      </c>
      <c r="G30" s="5">
        <f t="shared" si="3"/>
        <v>40629.459735183918</v>
      </c>
      <c r="H30" s="22">
        <f t="shared" si="10"/>
        <v>25586.377719166958</v>
      </c>
      <c r="I30" s="5">
        <f t="shared" si="4"/>
        <v>65371.486989618366</v>
      </c>
      <c r="J30" s="26">
        <f t="shared" si="5"/>
        <v>0.20778618923189943</v>
      </c>
      <c r="L30" s="22">
        <f t="shared" si="11"/>
        <v>82078.437059188058</v>
      </c>
      <c r="M30" s="5">
        <f>scrimecost*Meta!O27</f>
        <v>1309.098</v>
      </c>
      <c r="N30" s="5">
        <f>L30-Grade16!L30</f>
        <v>406.09318415692542</v>
      </c>
      <c r="O30" s="5">
        <f>Grade16!M30-M30</f>
        <v>0</v>
      </c>
      <c r="P30" s="22">
        <f t="shared" si="12"/>
        <v>0</v>
      </c>
      <c r="Q30" s="22"/>
      <c r="R30" s="22"/>
      <c r="S30" s="22">
        <f t="shared" si="6"/>
        <v>180.48567913944055</v>
      </c>
      <c r="T30" s="22">
        <f t="shared" si="7"/>
        <v>513.23820327345163</v>
      </c>
    </row>
    <row r="31" spans="1:20" x14ac:dyDescent="0.2">
      <c r="A31" s="5">
        <v>40</v>
      </c>
      <c r="B31" s="1">
        <f t="shared" si="8"/>
        <v>1.521618261177077</v>
      </c>
      <c r="C31" s="5">
        <f t="shared" si="9"/>
        <v>61240.784571889817</v>
      </c>
      <c r="D31" s="5">
        <f t="shared" si="0"/>
        <v>59734.638681017452</v>
      </c>
      <c r="E31" s="5">
        <f t="shared" si="1"/>
        <v>50234.638681017452</v>
      </c>
      <c r="F31" s="5">
        <f t="shared" si="2"/>
        <v>18276.823397453943</v>
      </c>
      <c r="G31" s="5">
        <f t="shared" si="3"/>
        <v>41457.815283563512</v>
      </c>
      <c r="H31" s="22">
        <f t="shared" si="10"/>
        <v>26226.037162146131</v>
      </c>
      <c r="I31" s="5">
        <f t="shared" si="4"/>
        <v>66818.393219358812</v>
      </c>
      <c r="J31" s="26">
        <f t="shared" si="5"/>
        <v>0.21000160684859098</v>
      </c>
      <c r="L31" s="22">
        <f t="shared" si="11"/>
        <v>84130.397985667747</v>
      </c>
      <c r="M31" s="5">
        <f>scrimecost*Meta!O28</f>
        <v>1145.088</v>
      </c>
      <c r="N31" s="5">
        <f>L31-Grade16!L31</f>
        <v>416.24551376084855</v>
      </c>
      <c r="O31" s="5">
        <f>Grade16!M31-M31</f>
        <v>0</v>
      </c>
      <c r="P31" s="22">
        <f t="shared" si="12"/>
        <v>0</v>
      </c>
      <c r="Q31" s="22"/>
      <c r="R31" s="22"/>
      <c r="S31" s="22">
        <f t="shared" si="6"/>
        <v>184.99782111792655</v>
      </c>
      <c r="T31" s="22">
        <f t="shared" si="7"/>
        <v>559.42444924687175</v>
      </c>
    </row>
    <row r="32" spans="1:20" x14ac:dyDescent="0.2">
      <c r="A32" s="5">
        <v>41</v>
      </c>
      <c r="B32" s="1">
        <f t="shared" si="8"/>
        <v>1.559658717706504</v>
      </c>
      <c r="C32" s="5">
        <f t="shared" si="9"/>
        <v>62771.804186187073</v>
      </c>
      <c r="D32" s="5">
        <f t="shared" si="0"/>
        <v>61215.134648042898</v>
      </c>
      <c r="E32" s="5">
        <f t="shared" si="1"/>
        <v>51715.134648042898</v>
      </c>
      <c r="F32" s="5">
        <f t="shared" si="2"/>
        <v>18908.254927390295</v>
      </c>
      <c r="G32" s="5">
        <f t="shared" si="3"/>
        <v>42306.879720652607</v>
      </c>
      <c r="H32" s="22">
        <f t="shared" si="10"/>
        <v>26881.688091199783</v>
      </c>
      <c r="I32" s="5">
        <f t="shared" si="4"/>
        <v>68301.472104842804</v>
      </c>
      <c r="J32" s="26">
        <f t="shared" si="5"/>
        <v>0.21216298988926571</v>
      </c>
      <c r="L32" s="22">
        <f t="shared" si="11"/>
        <v>86233.657935309442</v>
      </c>
      <c r="M32" s="5">
        <f>scrimecost*Meta!O29</f>
        <v>1145.088</v>
      </c>
      <c r="N32" s="5">
        <f>L32-Grade16!L32</f>
        <v>426.65165160487231</v>
      </c>
      <c r="O32" s="5">
        <f>Grade16!M32-M32</f>
        <v>0</v>
      </c>
      <c r="P32" s="22">
        <f t="shared" si="12"/>
        <v>0</v>
      </c>
      <c r="Q32" s="22"/>
      <c r="R32" s="22"/>
      <c r="S32" s="22">
        <f t="shared" si="6"/>
        <v>189.62276664587588</v>
      </c>
      <c r="T32" s="22">
        <f t="shared" si="7"/>
        <v>609.76699010152583</v>
      </c>
    </row>
    <row r="33" spans="1:20" x14ac:dyDescent="0.2">
      <c r="A33" s="5">
        <v>42</v>
      </c>
      <c r="B33" s="1">
        <f t="shared" si="8"/>
        <v>1.5986501856491666</v>
      </c>
      <c r="C33" s="5">
        <f t="shared" si="9"/>
        <v>64341.099290841747</v>
      </c>
      <c r="D33" s="5">
        <f t="shared" si="0"/>
        <v>62732.643014243971</v>
      </c>
      <c r="E33" s="5">
        <f t="shared" si="1"/>
        <v>53232.643014243971</v>
      </c>
      <c r="F33" s="5">
        <f t="shared" si="2"/>
        <v>19555.472245575053</v>
      </c>
      <c r="G33" s="5">
        <f t="shared" si="3"/>
        <v>43177.170768668919</v>
      </c>
      <c r="H33" s="22">
        <f t="shared" si="10"/>
        <v>27553.730293479781</v>
      </c>
      <c r="I33" s="5">
        <f t="shared" si="4"/>
        <v>69821.62796246387</v>
      </c>
      <c r="J33" s="26">
        <f t="shared" si="5"/>
        <v>0.21427165627041175</v>
      </c>
      <c r="L33" s="22">
        <f t="shared" si="11"/>
        <v>88389.499383692179</v>
      </c>
      <c r="M33" s="5">
        <f>scrimecost*Meta!O30</f>
        <v>1145.088</v>
      </c>
      <c r="N33" s="5">
        <f>L33-Grade16!L33</f>
        <v>437.31794289499521</v>
      </c>
      <c r="O33" s="5">
        <f>Grade16!M33-M33</f>
        <v>0</v>
      </c>
      <c r="P33" s="22">
        <f t="shared" si="12"/>
        <v>0</v>
      </c>
      <c r="Q33" s="22"/>
      <c r="R33" s="22"/>
      <c r="S33" s="22">
        <f t="shared" si="6"/>
        <v>194.36333581202322</v>
      </c>
      <c r="T33" s="22">
        <f t="shared" si="7"/>
        <v>664.6398503283724</v>
      </c>
    </row>
    <row r="34" spans="1:20" x14ac:dyDescent="0.2">
      <c r="A34" s="5">
        <v>43</v>
      </c>
      <c r="B34" s="1">
        <f t="shared" si="8"/>
        <v>1.6386164402903955</v>
      </c>
      <c r="C34" s="5">
        <f t="shared" si="9"/>
        <v>65949.626773112774</v>
      </c>
      <c r="D34" s="5">
        <f t="shared" si="0"/>
        <v>64288.089089600056</v>
      </c>
      <c r="E34" s="5">
        <f t="shared" si="1"/>
        <v>54788.089089600056</v>
      </c>
      <c r="F34" s="5">
        <f t="shared" si="2"/>
        <v>20218.869996714424</v>
      </c>
      <c r="G34" s="5">
        <f t="shared" si="3"/>
        <v>44069.219092885629</v>
      </c>
      <c r="H34" s="22">
        <f t="shared" si="10"/>
        <v>28242.573550816771</v>
      </c>
      <c r="I34" s="5">
        <f t="shared" si="4"/>
        <v>71379.787716525447</v>
      </c>
      <c r="J34" s="26">
        <f t="shared" si="5"/>
        <v>0.2163288917642128</v>
      </c>
      <c r="L34" s="22">
        <f t="shared" si="11"/>
        <v>90599.236868284483</v>
      </c>
      <c r="M34" s="5">
        <f>scrimecost*Meta!O31</f>
        <v>1145.088</v>
      </c>
      <c r="N34" s="5">
        <f>L34-Grade16!L34</f>
        <v>448.25089146739629</v>
      </c>
      <c r="O34" s="5">
        <f>Grade16!M34-M34</f>
        <v>0</v>
      </c>
      <c r="P34" s="22">
        <f t="shared" si="12"/>
        <v>0</v>
      </c>
      <c r="Q34" s="22"/>
      <c r="R34" s="22"/>
      <c r="S34" s="22">
        <f t="shared" si="6"/>
        <v>199.22241920733546</v>
      </c>
      <c r="T34" s="22">
        <f t="shared" si="7"/>
        <v>724.4507128386789</v>
      </c>
    </row>
    <row r="35" spans="1:20" x14ac:dyDescent="0.2">
      <c r="A35" s="5">
        <v>44</v>
      </c>
      <c r="B35" s="1">
        <f t="shared" si="8"/>
        <v>1.6795818512976552</v>
      </c>
      <c r="C35" s="5">
        <f t="shared" si="9"/>
        <v>67598.367442440591</v>
      </c>
      <c r="D35" s="5">
        <f t="shared" si="0"/>
        <v>65882.421316840046</v>
      </c>
      <c r="E35" s="5">
        <f t="shared" si="1"/>
        <v>56382.421316840046</v>
      </c>
      <c r="F35" s="5">
        <f t="shared" si="2"/>
        <v>20898.852691632281</v>
      </c>
      <c r="G35" s="5">
        <f t="shared" si="3"/>
        <v>44983.568625207765</v>
      </c>
      <c r="H35" s="22">
        <f t="shared" si="10"/>
        <v>28948.637889587189</v>
      </c>
      <c r="I35" s="5">
        <f t="shared" si="4"/>
        <v>72976.901464438575</v>
      </c>
      <c r="J35" s="26">
        <f t="shared" si="5"/>
        <v>0.21833595078255522</v>
      </c>
      <c r="L35" s="22">
        <f t="shared" si="11"/>
        <v>92864.21778999157</v>
      </c>
      <c r="M35" s="5">
        <f>scrimecost*Meta!O32</f>
        <v>1145.088</v>
      </c>
      <c r="N35" s="5">
        <f>L35-Grade16!L35</f>
        <v>459.45716375403572</v>
      </c>
      <c r="O35" s="5">
        <f>Grade16!M35-M35</f>
        <v>0</v>
      </c>
      <c r="P35" s="22">
        <f t="shared" si="12"/>
        <v>0</v>
      </c>
      <c r="Q35" s="22"/>
      <c r="R35" s="22"/>
      <c r="S35" s="22">
        <f t="shared" si="6"/>
        <v>204.20297968749864</v>
      </c>
      <c r="T35" s="22">
        <f t="shared" si="7"/>
        <v>789.64394788108177</v>
      </c>
    </row>
    <row r="36" spans="1:20" x14ac:dyDescent="0.2">
      <c r="A36" s="5">
        <v>45</v>
      </c>
      <c r="B36" s="1">
        <f t="shared" si="8"/>
        <v>1.7215713975800966</v>
      </c>
      <c r="C36" s="5">
        <f t="shared" si="9"/>
        <v>69288.326628501614</v>
      </c>
      <c r="D36" s="5">
        <f t="shared" si="0"/>
        <v>67516.611849761059</v>
      </c>
      <c r="E36" s="5">
        <f t="shared" si="1"/>
        <v>58016.611849761059</v>
      </c>
      <c r="F36" s="5">
        <f t="shared" si="2"/>
        <v>21595.834953923091</v>
      </c>
      <c r="G36" s="5">
        <f t="shared" si="3"/>
        <v>45920.776895837967</v>
      </c>
      <c r="H36" s="22">
        <f t="shared" si="10"/>
        <v>29672.353836826867</v>
      </c>
      <c r="I36" s="5">
        <f t="shared" si="4"/>
        <v>74613.943056049553</v>
      </c>
      <c r="J36" s="26">
        <f t="shared" si="5"/>
        <v>0.22029405714191375</v>
      </c>
      <c r="L36" s="22">
        <f t="shared" si="11"/>
        <v>95185.823234741358</v>
      </c>
      <c r="M36" s="5">
        <f>scrimecost*Meta!O33</f>
        <v>925.4140000000001</v>
      </c>
      <c r="N36" s="5">
        <f>L36-Grade16!L36</f>
        <v>470.94359284789243</v>
      </c>
      <c r="O36" s="5">
        <f>Grade16!M36-M36</f>
        <v>0</v>
      </c>
      <c r="P36" s="22">
        <f t="shared" si="12"/>
        <v>0</v>
      </c>
      <c r="Q36" s="22"/>
      <c r="R36" s="22"/>
      <c r="S36" s="22">
        <f t="shared" si="6"/>
        <v>209.30805417968867</v>
      </c>
      <c r="T36" s="22">
        <f t="shared" si="7"/>
        <v>860.70391453136665</v>
      </c>
    </row>
    <row r="37" spans="1:20" x14ac:dyDescent="0.2">
      <c r="A37" s="5">
        <v>46</v>
      </c>
      <c r="B37" s="1">
        <f t="shared" ref="B37:B56" si="13">(1+experiencepremium)^(A37-startage)</f>
        <v>1.7646106825195991</v>
      </c>
      <c r="C37" s="5">
        <f t="shared" ref="C37:C56" si="14">pretaxincome*B37/expnorm</f>
        <v>71020.534794214152</v>
      </c>
      <c r="D37" s="5">
        <f t="shared" ref="D37:D56" si="15">IF(A37&lt;startage,1,0)*(C37*(1-initialunempprob))+IF(A37=startage,1,0)*(C37*(1-unempprob))+IF(A37&gt;startage,1,0)*(C37*(1-unempprob)+unempprob*300*52)</f>
        <v>69191.657146005091</v>
      </c>
      <c r="E37" s="5">
        <f t="shared" si="1"/>
        <v>59691.657146005091</v>
      </c>
      <c r="F37" s="5">
        <f t="shared" si="2"/>
        <v>22310.241772771173</v>
      </c>
      <c r="G37" s="5">
        <f t="shared" si="3"/>
        <v>46881.415373233918</v>
      </c>
      <c r="H37" s="22">
        <f t="shared" ref="H37:H56" si="16">benefits*B37/expnorm</f>
        <v>30414.162682747541</v>
      </c>
      <c r="I37" s="5">
        <f t="shared" ref="I37:I56" si="17">G37+IF(A37&lt;startage,1,0)*(H37*(1-initialunempprob))+IF(A37&gt;=startage,1,0)*(H37*(1-unempprob))</f>
        <v>76291.910687450785</v>
      </c>
      <c r="J37" s="26">
        <f t="shared" si="5"/>
        <v>0.22220440480958062</v>
      </c>
      <c r="L37" s="22">
        <f t="shared" ref="L37:L56" si="18">(sincome+sbenefits)*(1-sunemp)*B37/expnorm</f>
        <v>97565.4688156099</v>
      </c>
      <c r="M37" s="5">
        <f>scrimecost*Meta!O34</f>
        <v>925.4140000000001</v>
      </c>
      <c r="N37" s="5">
        <f>L37-Grade16!L37</f>
        <v>482.71718266910466</v>
      </c>
      <c r="O37" s="5">
        <f>Grade16!M37-M37</f>
        <v>0</v>
      </c>
      <c r="P37" s="22">
        <f t="shared" si="12"/>
        <v>0</v>
      </c>
      <c r="Q37" s="22"/>
      <c r="R37" s="22"/>
      <c r="S37" s="22">
        <f t="shared" si="6"/>
        <v>214.54075553418753</v>
      </c>
      <c r="T37" s="22">
        <f t="shared" si="7"/>
        <v>938.15855928170322</v>
      </c>
    </row>
    <row r="38" spans="1:20" x14ac:dyDescent="0.2">
      <c r="A38" s="5">
        <v>47</v>
      </c>
      <c r="B38" s="1">
        <f t="shared" si="13"/>
        <v>1.8087259495825889</v>
      </c>
      <c r="C38" s="5">
        <f t="shared" si="14"/>
        <v>72796.048164069507</v>
      </c>
      <c r="D38" s="5">
        <f t="shared" si="15"/>
        <v>70908.578574655214</v>
      </c>
      <c r="E38" s="5">
        <f t="shared" si="1"/>
        <v>61408.578574655214</v>
      </c>
      <c r="F38" s="5">
        <f t="shared" si="2"/>
        <v>23042.508762090449</v>
      </c>
      <c r="G38" s="5">
        <f t="shared" si="3"/>
        <v>47866.069812564761</v>
      </c>
      <c r="H38" s="22">
        <f t="shared" si="16"/>
        <v>31174.516749816223</v>
      </c>
      <c r="I38" s="5">
        <f t="shared" si="17"/>
        <v>78011.827509637049</v>
      </c>
      <c r="J38" s="26">
        <f t="shared" si="5"/>
        <v>0.2240681586316946</v>
      </c>
      <c r="L38" s="22">
        <f t="shared" si="18"/>
        <v>100004.60553600015</v>
      </c>
      <c r="M38" s="5">
        <f>scrimecost*Meta!O35</f>
        <v>925.4140000000001</v>
      </c>
      <c r="N38" s="5">
        <f>L38-Grade16!L38</f>
        <v>494.78511223584064</v>
      </c>
      <c r="O38" s="5">
        <f>Grade16!M38-M38</f>
        <v>0</v>
      </c>
      <c r="P38" s="22">
        <f t="shared" si="12"/>
        <v>0</v>
      </c>
      <c r="Q38" s="22"/>
      <c r="R38" s="22"/>
      <c r="S38" s="22">
        <f t="shared" si="6"/>
        <v>219.90427442254597</v>
      </c>
      <c r="T38" s="22">
        <f t="shared" si="7"/>
        <v>1022.5833384674746</v>
      </c>
    </row>
    <row r="39" spans="1:20" x14ac:dyDescent="0.2">
      <c r="A39" s="5">
        <v>48</v>
      </c>
      <c r="B39" s="1">
        <f t="shared" si="13"/>
        <v>1.8539440983221533</v>
      </c>
      <c r="C39" s="5">
        <f t="shared" si="14"/>
        <v>74615.949368171234</v>
      </c>
      <c r="D39" s="5">
        <f t="shared" si="15"/>
        <v>72668.423039021582</v>
      </c>
      <c r="E39" s="5">
        <f t="shared" si="1"/>
        <v>63168.423039021582</v>
      </c>
      <c r="F39" s="5">
        <f t="shared" si="2"/>
        <v>23793.082426142704</v>
      </c>
      <c r="G39" s="5">
        <f t="shared" si="3"/>
        <v>48875.340612878877</v>
      </c>
      <c r="H39" s="22">
        <f t="shared" si="16"/>
        <v>31953.879668561629</v>
      </c>
      <c r="I39" s="5">
        <f t="shared" si="17"/>
        <v>79774.742252377968</v>
      </c>
      <c r="J39" s="26">
        <f t="shared" si="5"/>
        <v>0.2258864550435131</v>
      </c>
      <c r="L39" s="22">
        <f t="shared" si="18"/>
        <v>102504.72067440013</v>
      </c>
      <c r="M39" s="5">
        <f>scrimecost*Meta!O36</f>
        <v>925.4140000000001</v>
      </c>
      <c r="N39" s="5">
        <f>L39-Grade16!L39</f>
        <v>507.15474004173302</v>
      </c>
      <c r="O39" s="5">
        <f>Grade16!M39-M39</f>
        <v>0</v>
      </c>
      <c r="P39" s="22">
        <f t="shared" si="12"/>
        <v>0</v>
      </c>
      <c r="Q39" s="22"/>
      <c r="R39" s="22"/>
      <c r="S39" s="22">
        <f t="shared" si="6"/>
        <v>225.40188128310797</v>
      </c>
      <c r="T39" s="22">
        <f t="shared" si="7"/>
        <v>1114.6054936724959</v>
      </c>
    </row>
    <row r="40" spans="1:20" x14ac:dyDescent="0.2">
      <c r="A40" s="5">
        <v>49</v>
      </c>
      <c r="B40" s="1">
        <f t="shared" si="13"/>
        <v>1.9002927007802071</v>
      </c>
      <c r="C40" s="5">
        <f t="shared" si="14"/>
        <v>76481.348102375487</v>
      </c>
      <c r="D40" s="5">
        <f t="shared" si="15"/>
        <v>74472.263614997093</v>
      </c>
      <c r="E40" s="5">
        <f t="shared" si="1"/>
        <v>64972.263614997093</v>
      </c>
      <c r="F40" s="5">
        <f t="shared" si="2"/>
        <v>24562.420431796261</v>
      </c>
      <c r="G40" s="5">
        <f t="shared" si="3"/>
        <v>49909.843183200835</v>
      </c>
      <c r="H40" s="22">
        <f t="shared" si="16"/>
        <v>32752.726660275664</v>
      </c>
      <c r="I40" s="5">
        <f t="shared" si="17"/>
        <v>81581.729863687404</v>
      </c>
      <c r="J40" s="26">
        <f t="shared" si="5"/>
        <v>0.22766040276236041</v>
      </c>
      <c r="L40" s="22">
        <f t="shared" si="18"/>
        <v>105067.33869126013</v>
      </c>
      <c r="M40" s="5">
        <f>scrimecost*Meta!O37</f>
        <v>925.4140000000001</v>
      </c>
      <c r="N40" s="5">
        <f>L40-Grade16!L40</f>
        <v>519.83360854277271</v>
      </c>
      <c r="O40" s="5">
        <f>Grade16!M40-M40</f>
        <v>0</v>
      </c>
      <c r="P40" s="22">
        <f t="shared" si="12"/>
        <v>0</v>
      </c>
      <c r="Q40" s="22"/>
      <c r="R40" s="22"/>
      <c r="S40" s="22">
        <f t="shared" si="6"/>
        <v>231.03692831518407</v>
      </c>
      <c r="T40" s="22">
        <f t="shared" si="7"/>
        <v>1214.9087118774953</v>
      </c>
    </row>
    <row r="41" spans="1:20" x14ac:dyDescent="0.2">
      <c r="A41" s="5">
        <v>50</v>
      </c>
      <c r="B41" s="1">
        <f t="shared" si="13"/>
        <v>1.9478000182997122</v>
      </c>
      <c r="C41" s="5">
        <f t="shared" si="14"/>
        <v>78393.381804934892</v>
      </c>
      <c r="D41" s="5">
        <f t="shared" si="15"/>
        <v>76321.200205372035</v>
      </c>
      <c r="E41" s="5">
        <f t="shared" si="1"/>
        <v>66821.200205372035</v>
      </c>
      <c r="F41" s="5">
        <f t="shared" si="2"/>
        <v>25350.991887591175</v>
      </c>
      <c r="G41" s="5">
        <f t="shared" si="3"/>
        <v>50970.20831778086</v>
      </c>
      <c r="H41" s="22">
        <f t="shared" si="16"/>
        <v>33571.544826782556</v>
      </c>
      <c r="I41" s="5">
        <f t="shared" si="17"/>
        <v>83433.892165279598</v>
      </c>
      <c r="J41" s="26">
        <f t="shared" si="5"/>
        <v>0.22939108346367493</v>
      </c>
      <c r="L41" s="22">
        <f t="shared" si="18"/>
        <v>107694.02215854163</v>
      </c>
      <c r="M41" s="5">
        <f>scrimecost*Meta!O38</f>
        <v>618.26800000000003</v>
      </c>
      <c r="N41" s="5">
        <f>L41-Grade16!L41</f>
        <v>532.8294487563544</v>
      </c>
      <c r="O41" s="5">
        <f>Grade16!M41-M41</f>
        <v>0</v>
      </c>
      <c r="P41" s="22">
        <f t="shared" si="12"/>
        <v>0</v>
      </c>
      <c r="Q41" s="22"/>
      <c r="R41" s="22"/>
      <c r="S41" s="22">
        <f t="shared" si="6"/>
        <v>236.81285152306916</v>
      </c>
      <c r="T41" s="22">
        <f t="shared" si="7"/>
        <v>1324.2382049747666</v>
      </c>
    </row>
    <row r="42" spans="1:20" x14ac:dyDescent="0.2">
      <c r="A42" s="5">
        <v>51</v>
      </c>
      <c r="B42" s="1">
        <f t="shared" si="13"/>
        <v>1.9964950187572048</v>
      </c>
      <c r="C42" s="5">
        <f t="shared" si="14"/>
        <v>80353.216350058254</v>
      </c>
      <c r="D42" s="5">
        <f t="shared" si="15"/>
        <v>78216.360210506333</v>
      </c>
      <c r="E42" s="5">
        <f t="shared" si="1"/>
        <v>68716.360210506333</v>
      </c>
      <c r="F42" s="5">
        <f t="shared" si="2"/>
        <v>26159.277629780951</v>
      </c>
      <c r="G42" s="5">
        <f t="shared" si="3"/>
        <v>52057.082580725386</v>
      </c>
      <c r="H42" s="22">
        <f t="shared" si="16"/>
        <v>34410.833447452118</v>
      </c>
      <c r="I42" s="5">
        <f t="shared" si="17"/>
        <v>85332.358524411582</v>
      </c>
      <c r="J42" s="26">
        <f t="shared" si="5"/>
        <v>0.23107955244056708</v>
      </c>
      <c r="L42" s="22">
        <f t="shared" si="18"/>
        <v>110386.37271250517</v>
      </c>
      <c r="M42" s="5">
        <f>scrimecost*Meta!O39</f>
        <v>618.26800000000003</v>
      </c>
      <c r="N42" s="5">
        <f>L42-Grade16!L42</f>
        <v>546.15018497523852</v>
      </c>
      <c r="O42" s="5">
        <f>Grade16!M42-M42</f>
        <v>0</v>
      </c>
      <c r="P42" s="22">
        <f t="shared" si="12"/>
        <v>0</v>
      </c>
      <c r="Q42" s="22"/>
      <c r="R42" s="22"/>
      <c r="S42" s="22">
        <f t="shared" si="6"/>
        <v>242.73317281113489</v>
      </c>
      <c r="T42" s="22">
        <f t="shared" si="7"/>
        <v>1443.406246387586</v>
      </c>
    </row>
    <row r="43" spans="1:20" x14ac:dyDescent="0.2">
      <c r="A43" s="5">
        <v>52</v>
      </c>
      <c r="B43" s="1">
        <f t="shared" si="13"/>
        <v>2.0464073942261352</v>
      </c>
      <c r="C43" s="5">
        <f t="shared" si="14"/>
        <v>82362.046758809709</v>
      </c>
      <c r="D43" s="5">
        <f t="shared" si="15"/>
        <v>80158.899215768994</v>
      </c>
      <c r="E43" s="5">
        <f t="shared" si="1"/>
        <v>70658.899215768994</v>
      </c>
      <c r="F43" s="5">
        <f t="shared" si="2"/>
        <v>26987.770515525473</v>
      </c>
      <c r="G43" s="5">
        <f t="shared" si="3"/>
        <v>53171.12870024352</v>
      </c>
      <c r="H43" s="22">
        <f t="shared" si="16"/>
        <v>35271.104283638422</v>
      </c>
      <c r="I43" s="5">
        <f t="shared" si="17"/>
        <v>87278.286542521877</v>
      </c>
      <c r="J43" s="26">
        <f t="shared" si="5"/>
        <v>0.23272683924729115</v>
      </c>
      <c r="L43" s="22">
        <f t="shared" si="18"/>
        <v>113146.0320303178</v>
      </c>
      <c r="M43" s="5">
        <f>scrimecost*Meta!O40</f>
        <v>618.26800000000003</v>
      </c>
      <c r="N43" s="5">
        <f>L43-Grade16!L43</f>
        <v>559.80393959966023</v>
      </c>
      <c r="O43" s="5">
        <f>Grade16!M43-M43</f>
        <v>0</v>
      </c>
      <c r="P43" s="22">
        <f t="shared" si="12"/>
        <v>0</v>
      </c>
      <c r="Q43" s="22"/>
      <c r="R43" s="22"/>
      <c r="S43" s="22">
        <f t="shared" si="6"/>
        <v>248.80150213143139</v>
      </c>
      <c r="T43" s="22">
        <f t="shared" si="7"/>
        <v>1573.2982059301371</v>
      </c>
    </row>
    <row r="44" spans="1:20" x14ac:dyDescent="0.2">
      <c r="A44" s="5">
        <v>53</v>
      </c>
      <c r="B44" s="1">
        <f t="shared" si="13"/>
        <v>2.097567579081788</v>
      </c>
      <c r="C44" s="5">
        <f t="shared" si="14"/>
        <v>84421.097927779934</v>
      </c>
      <c r="D44" s="5">
        <f t="shared" si="15"/>
        <v>82150.001696163192</v>
      </c>
      <c r="E44" s="5">
        <f t="shared" si="1"/>
        <v>72650.001696163192</v>
      </c>
      <c r="F44" s="5">
        <f t="shared" si="2"/>
        <v>27836.975723413601</v>
      </c>
      <c r="G44" s="5">
        <f t="shared" si="3"/>
        <v>54313.025972749587</v>
      </c>
      <c r="H44" s="22">
        <f t="shared" si="16"/>
        <v>36152.881890729375</v>
      </c>
      <c r="I44" s="5">
        <f t="shared" si="17"/>
        <v>89272.862761084893</v>
      </c>
      <c r="J44" s="26">
        <f t="shared" si="5"/>
        <v>0.23433394832702192</v>
      </c>
      <c r="L44" s="22">
        <f t="shared" si="18"/>
        <v>115974.68283107571</v>
      </c>
      <c r="M44" s="5">
        <f>scrimecost*Meta!O41</f>
        <v>618.26800000000003</v>
      </c>
      <c r="N44" s="5">
        <f>L44-Grade16!L44</f>
        <v>573.79903808957897</v>
      </c>
      <c r="O44" s="5">
        <f>Grade16!M44-M44</f>
        <v>0</v>
      </c>
      <c r="P44" s="22">
        <f t="shared" si="12"/>
        <v>0</v>
      </c>
      <c r="Q44" s="22"/>
      <c r="R44" s="22"/>
      <c r="S44" s="22">
        <f t="shared" si="6"/>
        <v>255.02153968468483</v>
      </c>
      <c r="T44" s="22">
        <f t="shared" si="7"/>
        <v>1714.8791277419975</v>
      </c>
    </row>
    <row r="45" spans="1:20" x14ac:dyDescent="0.2">
      <c r="A45" s="5">
        <v>54</v>
      </c>
      <c r="B45" s="1">
        <f t="shared" si="13"/>
        <v>2.1500067685588333</v>
      </c>
      <c r="C45" s="5">
        <f t="shared" si="14"/>
        <v>86531.625375974458</v>
      </c>
      <c r="D45" s="5">
        <f t="shared" si="15"/>
        <v>84190.881738567303</v>
      </c>
      <c r="E45" s="5">
        <f t="shared" si="1"/>
        <v>74690.881738567303</v>
      </c>
      <c r="F45" s="5">
        <f t="shared" si="2"/>
        <v>28707.411061498955</v>
      </c>
      <c r="G45" s="5">
        <f t="shared" si="3"/>
        <v>55483.470677068348</v>
      </c>
      <c r="H45" s="22">
        <f t="shared" si="16"/>
        <v>37056.70393799762</v>
      </c>
      <c r="I45" s="5">
        <f t="shared" si="17"/>
        <v>91317.303385112042</v>
      </c>
      <c r="J45" s="26">
        <f t="shared" si="5"/>
        <v>0.23590185962432028</v>
      </c>
      <c r="L45" s="22">
        <f t="shared" si="18"/>
        <v>118874.04990185265</v>
      </c>
      <c r="M45" s="5">
        <f>scrimecost*Meta!O42</f>
        <v>618.26800000000003</v>
      </c>
      <c r="N45" s="5">
        <f>L45-Grade16!L45</f>
        <v>588.14401404187083</v>
      </c>
      <c r="O45" s="5">
        <f>Grade16!M45-M45</f>
        <v>0</v>
      </c>
      <c r="P45" s="22">
        <f t="shared" si="12"/>
        <v>0</v>
      </c>
      <c r="Q45" s="22"/>
      <c r="R45" s="22"/>
      <c r="S45" s="22">
        <f t="shared" ref="S45:S69" si="19">IF(A45&lt;startage,1,0)*(N45-Q45-R45)+IF(A45&gt;=startage,1,0)*completionprob*(N45*spart+O45+P45)</f>
        <v>261.39707817682523</v>
      </c>
      <c r="T45" s="22">
        <f t="shared" ref="T45:T69" si="20">S45/sreturn^(A45-startage+1)</f>
        <v>1869.2009001733888</v>
      </c>
    </row>
    <row r="46" spans="1:20" x14ac:dyDescent="0.2">
      <c r="A46" s="5">
        <v>55</v>
      </c>
      <c r="B46" s="1">
        <f t="shared" si="13"/>
        <v>2.2037569377728037</v>
      </c>
      <c r="C46" s="5">
        <f t="shared" si="14"/>
        <v>88694.916010373796</v>
      </c>
      <c r="D46" s="5">
        <f t="shared" si="15"/>
        <v>86282.78378203146</v>
      </c>
      <c r="E46" s="5">
        <f t="shared" si="1"/>
        <v>76782.78378203146</v>
      </c>
      <c r="F46" s="5">
        <f t="shared" si="2"/>
        <v>29599.607283036421</v>
      </c>
      <c r="G46" s="5">
        <f t="shared" si="3"/>
        <v>56683.176498995039</v>
      </c>
      <c r="H46" s="22">
        <f t="shared" si="16"/>
        <v>37983.121536447557</v>
      </c>
      <c r="I46" s="5">
        <f t="shared" si="17"/>
        <v>93412.855024739823</v>
      </c>
      <c r="J46" s="26">
        <f t="shared" si="5"/>
        <v>0.23743152918266017</v>
      </c>
      <c r="L46" s="22">
        <f t="shared" si="18"/>
        <v>121845.90114939894</v>
      </c>
      <c r="M46" s="5">
        <f>scrimecost*Meta!O43</f>
        <v>342.92999999999995</v>
      </c>
      <c r="N46" s="5">
        <f>L46-Grade16!L46</f>
        <v>602.84761439291469</v>
      </c>
      <c r="O46" s="5">
        <f>Grade16!M46-M46</f>
        <v>0</v>
      </c>
      <c r="P46" s="22">
        <f t="shared" si="12"/>
        <v>0</v>
      </c>
      <c r="Q46" s="22"/>
      <c r="R46" s="22"/>
      <c r="S46" s="22">
        <f t="shared" si="19"/>
        <v>267.93200513124458</v>
      </c>
      <c r="T46" s="22">
        <f t="shared" si="20"/>
        <v>2037.4100708830454</v>
      </c>
    </row>
    <row r="47" spans="1:20" x14ac:dyDescent="0.2">
      <c r="A47" s="5">
        <v>56</v>
      </c>
      <c r="B47" s="1">
        <f t="shared" si="13"/>
        <v>2.2588508612171236</v>
      </c>
      <c r="C47" s="5">
        <f t="shared" si="14"/>
        <v>90912.288910633157</v>
      </c>
      <c r="D47" s="5">
        <f t="shared" si="15"/>
        <v>88426.98337658227</v>
      </c>
      <c r="E47" s="5">
        <f t="shared" si="1"/>
        <v>78926.98337658227</v>
      </c>
      <c r="F47" s="5">
        <f t="shared" si="2"/>
        <v>30514.108410112342</v>
      </c>
      <c r="G47" s="5">
        <f t="shared" si="3"/>
        <v>57912.874966469928</v>
      </c>
      <c r="H47" s="22">
        <f t="shared" si="16"/>
        <v>38932.699574858736</v>
      </c>
      <c r="I47" s="5">
        <f t="shared" si="17"/>
        <v>95560.795455358326</v>
      </c>
      <c r="J47" s="26">
        <f t="shared" si="5"/>
        <v>0.23892388972738202</v>
      </c>
      <c r="L47" s="22">
        <f t="shared" si="18"/>
        <v>124892.04867813391</v>
      </c>
      <c r="M47" s="5">
        <f>scrimecost*Meta!O44</f>
        <v>342.92999999999995</v>
      </c>
      <c r="N47" s="5">
        <f>L47-Grade16!L47</f>
        <v>617.91880475272774</v>
      </c>
      <c r="O47" s="5">
        <f>Grade16!M47-M47</f>
        <v>0</v>
      </c>
      <c r="P47" s="22">
        <f t="shared" si="12"/>
        <v>0</v>
      </c>
      <c r="Q47" s="22"/>
      <c r="R47" s="22"/>
      <c r="S47" s="22">
        <f t="shared" si="19"/>
        <v>274.63030525952132</v>
      </c>
      <c r="T47" s="22">
        <f t="shared" si="20"/>
        <v>2220.7563652203226</v>
      </c>
    </row>
    <row r="48" spans="1:20" x14ac:dyDescent="0.2">
      <c r="A48" s="5">
        <v>57</v>
      </c>
      <c r="B48" s="1">
        <f t="shared" si="13"/>
        <v>2.3153221327475517</v>
      </c>
      <c r="C48" s="5">
        <f t="shared" si="14"/>
        <v>93185.096133398969</v>
      </c>
      <c r="D48" s="5">
        <f t="shared" si="15"/>
        <v>90624.787960996808</v>
      </c>
      <c r="E48" s="5">
        <f t="shared" si="1"/>
        <v>81124.787960996808</v>
      </c>
      <c r="F48" s="5">
        <f t="shared" si="2"/>
        <v>31451.472065365138</v>
      </c>
      <c r="G48" s="5">
        <f t="shared" si="3"/>
        <v>59173.315895631669</v>
      </c>
      <c r="H48" s="22">
        <f t="shared" si="16"/>
        <v>39906.017064230211</v>
      </c>
      <c r="I48" s="5">
        <f t="shared" si="17"/>
        <v>97762.43439674229</v>
      </c>
      <c r="J48" s="26">
        <f t="shared" si="5"/>
        <v>0.24037985123442762</v>
      </c>
      <c r="L48" s="22">
        <f t="shared" si="18"/>
        <v>128014.34989508726</v>
      </c>
      <c r="M48" s="5">
        <f>scrimecost*Meta!O45</f>
        <v>342.92999999999995</v>
      </c>
      <c r="N48" s="5">
        <f>L48-Grade16!L48</f>
        <v>633.36677487156703</v>
      </c>
      <c r="O48" s="5">
        <f>Grade16!M48-M48</f>
        <v>0</v>
      </c>
      <c r="P48" s="22">
        <f t="shared" si="12"/>
        <v>0</v>
      </c>
      <c r="Q48" s="22"/>
      <c r="R48" s="22"/>
      <c r="S48" s="22">
        <f t="shared" si="19"/>
        <v>281.49606289101871</v>
      </c>
      <c r="T48" s="22">
        <f t="shared" si="20"/>
        <v>2420.601971172804</v>
      </c>
    </row>
    <row r="49" spans="1:20" x14ac:dyDescent="0.2">
      <c r="A49" s="5">
        <v>58</v>
      </c>
      <c r="B49" s="1">
        <f t="shared" si="13"/>
        <v>2.3732051860662402</v>
      </c>
      <c r="C49" s="5">
        <f t="shared" si="14"/>
        <v>95514.723536733931</v>
      </c>
      <c r="D49" s="5">
        <f t="shared" si="15"/>
        <v>92877.537660021713</v>
      </c>
      <c r="E49" s="5">
        <f t="shared" si="1"/>
        <v>83377.537660021713</v>
      </c>
      <c r="F49" s="5">
        <f t="shared" si="2"/>
        <v>32412.26981199926</v>
      </c>
      <c r="G49" s="5">
        <f t="shared" si="3"/>
        <v>60465.267848022457</v>
      </c>
      <c r="H49" s="22">
        <f t="shared" si="16"/>
        <v>40903.667490835964</v>
      </c>
      <c r="I49" s="5">
        <f t="shared" si="17"/>
        <v>100019.11431166083</v>
      </c>
      <c r="J49" s="26">
        <f t="shared" si="5"/>
        <v>0.24180030148520382</v>
      </c>
      <c r="L49" s="22">
        <f t="shared" si="18"/>
        <v>131214.70864246439</v>
      </c>
      <c r="M49" s="5">
        <f>scrimecost*Meta!O46</f>
        <v>342.92999999999995</v>
      </c>
      <c r="N49" s="5">
        <f>L49-Grade16!L49</f>
        <v>649.20094424330455</v>
      </c>
      <c r="O49" s="5">
        <f>Grade16!M49-M49</f>
        <v>0</v>
      </c>
      <c r="P49" s="22">
        <f t="shared" si="12"/>
        <v>0</v>
      </c>
      <c r="Q49" s="22"/>
      <c r="R49" s="22"/>
      <c r="S49" s="22">
        <f t="shared" si="19"/>
        <v>288.53346446327123</v>
      </c>
      <c r="T49" s="22">
        <f t="shared" si="20"/>
        <v>2638.4316598654427</v>
      </c>
    </row>
    <row r="50" spans="1:20" x14ac:dyDescent="0.2">
      <c r="A50" s="5">
        <v>59</v>
      </c>
      <c r="B50" s="1">
        <f t="shared" si="13"/>
        <v>2.4325353157178964</v>
      </c>
      <c r="C50" s="5">
        <f t="shared" si="14"/>
        <v>97902.591625152287</v>
      </c>
      <c r="D50" s="5">
        <f t="shared" si="15"/>
        <v>95186.606101522266</v>
      </c>
      <c r="E50" s="5">
        <f t="shared" si="1"/>
        <v>85686.606101522266</v>
      </c>
      <c r="F50" s="5">
        <f t="shared" si="2"/>
        <v>33459.685685344914</v>
      </c>
      <c r="G50" s="5">
        <f t="shared" si="3"/>
        <v>61726.920416177352</v>
      </c>
      <c r="H50" s="22">
        <f t="shared" si="16"/>
        <v>41926.259178106862</v>
      </c>
      <c r="I50" s="5">
        <f t="shared" si="17"/>
        <v>102269.61304140669</v>
      </c>
      <c r="J50" s="26">
        <f t="shared" si="5"/>
        <v>0.24364906127353714</v>
      </c>
      <c r="L50" s="22">
        <f t="shared" si="18"/>
        <v>134495.07635852604</v>
      </c>
      <c r="M50" s="5">
        <f>scrimecost*Meta!O47</f>
        <v>342.92999999999995</v>
      </c>
      <c r="N50" s="5">
        <f>L50-Grade16!L50</f>
        <v>665.43096784944646</v>
      </c>
      <c r="O50" s="5">
        <f>Grade16!M50-M50</f>
        <v>0</v>
      </c>
      <c r="P50" s="22">
        <f t="shared" si="12"/>
        <v>0</v>
      </c>
      <c r="Q50" s="22"/>
      <c r="R50" s="22"/>
      <c r="S50" s="22">
        <f t="shared" si="19"/>
        <v>295.74680107487933</v>
      </c>
      <c r="T50" s="22">
        <f t="shared" si="20"/>
        <v>2875.8638168044886</v>
      </c>
    </row>
    <row r="51" spans="1:20" x14ac:dyDescent="0.2">
      <c r="A51" s="5">
        <v>60</v>
      </c>
      <c r="B51" s="1">
        <f t="shared" si="13"/>
        <v>2.4933486986108435</v>
      </c>
      <c r="C51" s="5">
        <f t="shared" si="14"/>
        <v>100350.15641578108</v>
      </c>
      <c r="D51" s="5">
        <f t="shared" si="15"/>
        <v>97553.4012540603</v>
      </c>
      <c r="E51" s="5">
        <f t="shared" si="1"/>
        <v>88053.4012540603</v>
      </c>
      <c r="F51" s="5">
        <f t="shared" si="2"/>
        <v>34540.127672478528</v>
      </c>
      <c r="G51" s="5">
        <f t="shared" si="3"/>
        <v>63013.273581581772</v>
      </c>
      <c r="H51" s="22">
        <f t="shared" si="16"/>
        <v>42974.415657559526</v>
      </c>
      <c r="I51" s="5">
        <f t="shared" si="17"/>
        <v>104569.53352244184</v>
      </c>
      <c r="J51" s="26">
        <f t="shared" si="5"/>
        <v>0.24550208701190712</v>
      </c>
      <c r="L51" s="22">
        <f t="shared" si="18"/>
        <v>137857.45326748915</v>
      </c>
      <c r="M51" s="5">
        <f>scrimecost*Meta!O48</f>
        <v>180.90799999999999</v>
      </c>
      <c r="N51" s="5">
        <f>L51-Grade16!L51</f>
        <v>682.06674204565934</v>
      </c>
      <c r="O51" s="5">
        <f>Grade16!M51-M51</f>
        <v>0</v>
      </c>
      <c r="P51" s="22">
        <f t="shared" si="12"/>
        <v>0</v>
      </c>
      <c r="Q51" s="22"/>
      <c r="R51" s="22"/>
      <c r="S51" s="22">
        <f t="shared" si="19"/>
        <v>303.14047110174101</v>
      </c>
      <c r="T51" s="22">
        <f t="shared" si="20"/>
        <v>3134.6624658173087</v>
      </c>
    </row>
    <row r="52" spans="1:20" x14ac:dyDescent="0.2">
      <c r="A52" s="5">
        <v>61</v>
      </c>
      <c r="B52" s="1">
        <f t="shared" si="13"/>
        <v>2.555682416076114</v>
      </c>
      <c r="C52" s="5">
        <f t="shared" si="14"/>
        <v>102858.9103261756</v>
      </c>
      <c r="D52" s="5">
        <f t="shared" si="15"/>
        <v>99979.366285411801</v>
      </c>
      <c r="E52" s="5">
        <f t="shared" si="1"/>
        <v>90479.366285411801</v>
      </c>
      <c r="F52" s="5">
        <f t="shared" si="2"/>
        <v>35647.580709290487</v>
      </c>
      <c r="G52" s="5">
        <f t="shared" si="3"/>
        <v>64331.785576121314</v>
      </c>
      <c r="H52" s="22">
        <f t="shared" si="16"/>
        <v>44048.776048998508</v>
      </c>
      <c r="I52" s="5">
        <f t="shared" si="17"/>
        <v>106926.95201550287</v>
      </c>
      <c r="J52" s="26">
        <f t="shared" si="5"/>
        <v>0.24730991700056074</v>
      </c>
      <c r="L52" s="22">
        <f t="shared" si="18"/>
        <v>141303.88959917636</v>
      </c>
      <c r="M52" s="5">
        <f>scrimecost*Meta!O49</f>
        <v>180.90799999999999</v>
      </c>
      <c r="N52" s="5">
        <f>L52-Grade16!L52</f>
        <v>699.11841059676954</v>
      </c>
      <c r="O52" s="5">
        <f>Grade16!M52-M52</f>
        <v>0</v>
      </c>
      <c r="P52" s="22">
        <f t="shared" si="12"/>
        <v>0</v>
      </c>
      <c r="Q52" s="22"/>
      <c r="R52" s="22"/>
      <c r="S52" s="22">
        <f t="shared" si="19"/>
        <v>310.71898287927064</v>
      </c>
      <c r="T52" s="22">
        <f t="shared" si="20"/>
        <v>3416.7503750306255</v>
      </c>
    </row>
    <row r="53" spans="1:20" x14ac:dyDescent="0.2">
      <c r="A53" s="5">
        <v>62</v>
      </c>
      <c r="B53" s="1">
        <f t="shared" si="13"/>
        <v>2.6195744764780171</v>
      </c>
      <c r="C53" s="5">
        <f t="shared" si="14"/>
        <v>105430.38308432999</v>
      </c>
      <c r="D53" s="5">
        <f t="shared" si="15"/>
        <v>102465.98044254711</v>
      </c>
      <c r="E53" s="5">
        <f t="shared" si="1"/>
        <v>92965.980442547108</v>
      </c>
      <c r="F53" s="5">
        <f t="shared" si="2"/>
        <v>36782.720072022756</v>
      </c>
      <c r="G53" s="5">
        <f t="shared" si="3"/>
        <v>65683.260370524353</v>
      </c>
      <c r="H53" s="22">
        <f t="shared" si="16"/>
        <v>45149.995450223469</v>
      </c>
      <c r="I53" s="5">
        <f t="shared" si="17"/>
        <v>109343.30597089045</v>
      </c>
      <c r="J53" s="26">
        <f t="shared" si="5"/>
        <v>0.249073653574857</v>
      </c>
      <c r="L53" s="22">
        <f t="shared" si="18"/>
        <v>144836.48683915578</v>
      </c>
      <c r="M53" s="5">
        <f>scrimecost*Meta!O50</f>
        <v>180.90799999999999</v>
      </c>
      <c r="N53" s="5">
        <f>L53-Grade16!L53</f>
        <v>716.59637086172006</v>
      </c>
      <c r="O53" s="5">
        <f>Grade16!M53-M53</f>
        <v>0</v>
      </c>
      <c r="P53" s="22">
        <f t="shared" si="12"/>
        <v>0</v>
      </c>
      <c r="Q53" s="22"/>
      <c r="R53" s="22"/>
      <c r="S53" s="22">
        <f t="shared" si="19"/>
        <v>318.48695745126633</v>
      </c>
      <c r="T53" s="22">
        <f t="shared" si="20"/>
        <v>3724.22334225038</v>
      </c>
    </row>
    <row r="54" spans="1:20" x14ac:dyDescent="0.2">
      <c r="A54" s="5">
        <v>63</v>
      </c>
      <c r="B54" s="1">
        <f t="shared" si="13"/>
        <v>2.6850638383899672</v>
      </c>
      <c r="C54" s="5">
        <f t="shared" si="14"/>
        <v>108066.14266143822</v>
      </c>
      <c r="D54" s="5">
        <f t="shared" si="15"/>
        <v>105014.75995361076</v>
      </c>
      <c r="E54" s="5">
        <f t="shared" si="1"/>
        <v>95514.759953610759</v>
      </c>
      <c r="F54" s="5">
        <f t="shared" si="2"/>
        <v>37946.23791882331</v>
      </c>
      <c r="G54" s="5">
        <f t="shared" si="3"/>
        <v>67068.522034787457</v>
      </c>
      <c r="H54" s="22">
        <f t="shared" si="16"/>
        <v>46278.745336479049</v>
      </c>
      <c r="I54" s="5">
        <f t="shared" si="17"/>
        <v>111820.0687751627</v>
      </c>
      <c r="J54" s="26">
        <f t="shared" si="5"/>
        <v>0.25079437218392636</v>
      </c>
      <c r="L54" s="22">
        <f t="shared" si="18"/>
        <v>148457.39901013466</v>
      </c>
      <c r="M54" s="5">
        <f>scrimecost*Meta!O51</f>
        <v>180.90799999999999</v>
      </c>
      <c r="N54" s="5">
        <f>L54-Grade16!L54</f>
        <v>734.51128013327252</v>
      </c>
      <c r="O54" s="5">
        <f>Grade16!M54-M54</f>
        <v>0</v>
      </c>
      <c r="P54" s="22">
        <f t="shared" si="12"/>
        <v>0</v>
      </c>
      <c r="Q54" s="22"/>
      <c r="R54" s="22"/>
      <c r="S54" s="22">
        <f t="shared" si="19"/>
        <v>326.44913138755214</v>
      </c>
      <c r="T54" s="22">
        <f t="shared" si="20"/>
        <v>4059.3657658815187</v>
      </c>
    </row>
    <row r="55" spans="1:20" x14ac:dyDescent="0.2">
      <c r="A55" s="5">
        <v>64</v>
      </c>
      <c r="B55" s="1">
        <f t="shared" si="13"/>
        <v>2.7521904343497163</v>
      </c>
      <c r="C55" s="5">
        <f t="shared" si="14"/>
        <v>110767.79622797418</v>
      </c>
      <c r="D55" s="5">
        <f t="shared" si="15"/>
        <v>107627.25895245103</v>
      </c>
      <c r="E55" s="5">
        <f t="shared" si="1"/>
        <v>98127.258952451026</v>
      </c>
      <c r="F55" s="5">
        <f t="shared" si="2"/>
        <v>39087.553656741933</v>
      </c>
      <c r="G55" s="5">
        <f t="shared" si="3"/>
        <v>68539.705295709093</v>
      </c>
      <c r="H55" s="22">
        <f t="shared" si="16"/>
        <v>47435.713969891025</v>
      </c>
      <c r="I55" s="5">
        <f t="shared" si="17"/>
        <v>114410.0407045937</v>
      </c>
      <c r="J55" s="26">
        <f t="shared" si="5"/>
        <v>0.25213785522596444</v>
      </c>
      <c r="L55" s="22">
        <f t="shared" si="18"/>
        <v>152168.83398538805</v>
      </c>
      <c r="M55" s="5">
        <f>scrimecost*Meta!O52</f>
        <v>180.90799999999999</v>
      </c>
      <c r="N55" s="5">
        <f>L55-Grade16!L55</f>
        <v>752.87406213663053</v>
      </c>
      <c r="O55" s="5">
        <f>Grade16!M55-M55</f>
        <v>0</v>
      </c>
      <c r="P55" s="22">
        <f t="shared" si="12"/>
        <v>0</v>
      </c>
      <c r="Q55" s="22"/>
      <c r="R55" s="22"/>
      <c r="S55" s="22">
        <f t="shared" si="19"/>
        <v>334.61035967225257</v>
      </c>
      <c r="T55" s="22">
        <f t="shared" si="20"/>
        <v>4424.6676170753035</v>
      </c>
    </row>
    <row r="56" spans="1:20" x14ac:dyDescent="0.2">
      <c r="A56" s="5">
        <v>65</v>
      </c>
      <c r="B56" s="1">
        <f t="shared" si="13"/>
        <v>2.8209951952084591</v>
      </c>
      <c r="C56" s="5">
        <f t="shared" si="14"/>
        <v>113536.99113367352</v>
      </c>
      <c r="D56" s="5">
        <f t="shared" si="15"/>
        <v>110305.0704262623</v>
      </c>
      <c r="E56" s="5">
        <f t="shared" si="1"/>
        <v>100805.0704262623</v>
      </c>
      <c r="F56" s="5">
        <f t="shared" si="2"/>
        <v>40143.950283160484</v>
      </c>
      <c r="G56" s="5">
        <f t="shared" si="3"/>
        <v>70161.120143101813</v>
      </c>
      <c r="H56" s="22">
        <f t="shared" si="16"/>
        <v>48621.606819138302</v>
      </c>
      <c r="I56" s="5">
        <f t="shared" si="17"/>
        <v>117178.21393720855</v>
      </c>
      <c r="J56" s="26">
        <f t="shared" si="5"/>
        <v>0.25272505841924431</v>
      </c>
      <c r="L56" s="22">
        <f t="shared" si="18"/>
        <v>155973.05483502272</v>
      </c>
      <c r="M56" s="5">
        <f>scrimecost*Meta!O53</f>
        <v>54.67</v>
      </c>
      <c r="N56" s="5">
        <f>L56-Grade16!L56</f>
        <v>771.69591368999681</v>
      </c>
      <c r="O56" s="5">
        <f>Grade16!M56-M56</f>
        <v>0</v>
      </c>
      <c r="P56" s="22">
        <f t="shared" si="12"/>
        <v>0</v>
      </c>
      <c r="Q56" s="22"/>
      <c r="R56" s="22"/>
      <c r="S56" s="22">
        <f t="shared" si="19"/>
        <v>342.97561866403692</v>
      </c>
      <c r="T56" s="22">
        <f t="shared" si="20"/>
        <v>4822.8429391953268</v>
      </c>
    </row>
    <row r="57" spans="1:20" x14ac:dyDescent="0.2">
      <c r="A57" s="5">
        <v>66</v>
      </c>
      <c r="C57" s="5"/>
      <c r="H57" s="21"/>
      <c r="I57" s="5"/>
      <c r="M57" s="5">
        <f>scrimecost*Meta!O54</f>
        <v>54.67</v>
      </c>
      <c r="N57" s="5">
        <f>L57-Grade16!L57</f>
        <v>0</v>
      </c>
      <c r="O57" s="5">
        <f>Grade16!M57-M57</f>
        <v>0</v>
      </c>
      <c r="Q57" s="22"/>
      <c r="R57" s="22"/>
      <c r="S57" s="22">
        <f t="shared" si="19"/>
        <v>0</v>
      </c>
      <c r="T57" s="22">
        <f t="shared" si="20"/>
        <v>0</v>
      </c>
    </row>
    <row r="58" spans="1:20" x14ac:dyDescent="0.2">
      <c r="A58" s="5">
        <v>67</v>
      </c>
      <c r="C58" s="5"/>
      <c r="H58" s="21"/>
      <c r="I58" s="5"/>
      <c r="M58" s="5">
        <f>scrimecost*Meta!O55</f>
        <v>54.67</v>
      </c>
      <c r="N58" s="5">
        <f>L58-Grade16!L58</f>
        <v>0</v>
      </c>
      <c r="O58" s="5">
        <f>Grade16!M58-M58</f>
        <v>0</v>
      </c>
      <c r="Q58" s="22"/>
      <c r="R58" s="22"/>
      <c r="S58" s="22">
        <f t="shared" si="19"/>
        <v>0</v>
      </c>
      <c r="T58" s="22">
        <f t="shared" si="20"/>
        <v>0</v>
      </c>
    </row>
    <row r="59" spans="1:20" x14ac:dyDescent="0.2">
      <c r="A59" s="5">
        <v>68</v>
      </c>
      <c r="H59" s="21"/>
      <c r="I59" s="5"/>
      <c r="M59" s="5">
        <f>scrimecost*Meta!O56</f>
        <v>54.67</v>
      </c>
      <c r="N59" s="5">
        <f>L59-Grade16!L59</f>
        <v>0</v>
      </c>
      <c r="O59" s="5">
        <f>Grade16!M59-M59</f>
        <v>0</v>
      </c>
      <c r="Q59" s="22"/>
      <c r="R59" s="22"/>
      <c r="S59" s="22">
        <f t="shared" si="19"/>
        <v>0</v>
      </c>
      <c r="T59" s="22">
        <f t="shared" si="20"/>
        <v>0</v>
      </c>
    </row>
    <row r="60" spans="1:20" x14ac:dyDescent="0.2">
      <c r="A60" s="5">
        <v>69</v>
      </c>
      <c r="H60" s="21"/>
      <c r="I60" s="5"/>
      <c r="M60" s="5">
        <f>scrimecost*Meta!O57</f>
        <v>54.67</v>
      </c>
      <c r="N60" s="5">
        <f>L60-Grade16!L60</f>
        <v>0</v>
      </c>
      <c r="O60" s="5">
        <f>Grade16!M60-M60</f>
        <v>0</v>
      </c>
      <c r="Q60" s="22"/>
      <c r="R60" s="22"/>
      <c r="S60" s="22">
        <f t="shared" si="19"/>
        <v>0</v>
      </c>
      <c r="T60" s="22">
        <f t="shared" si="20"/>
        <v>0</v>
      </c>
    </row>
    <row r="61" spans="1:20" x14ac:dyDescent="0.2">
      <c r="A61" s="5">
        <v>70</v>
      </c>
      <c r="H61" s="21"/>
      <c r="I61" s="5"/>
      <c r="M61" s="5">
        <f>scrimecost*Meta!O58</f>
        <v>54.67</v>
      </c>
      <c r="N61" s="5">
        <f>L61-Grade16!L61</f>
        <v>0</v>
      </c>
      <c r="O61" s="5">
        <f>Grade16!M61-M61</f>
        <v>0</v>
      </c>
      <c r="Q61" s="22"/>
      <c r="R61" s="22"/>
      <c r="S61" s="22">
        <f t="shared" si="19"/>
        <v>0</v>
      </c>
      <c r="T61" s="22">
        <f t="shared" si="20"/>
        <v>0</v>
      </c>
    </row>
    <row r="62" spans="1:20" x14ac:dyDescent="0.2">
      <c r="A62" s="5">
        <v>71</v>
      </c>
      <c r="H62" s="21"/>
      <c r="I62" s="5"/>
      <c r="M62" s="5">
        <f>scrimecost*Meta!O59</f>
        <v>54.67</v>
      </c>
      <c r="N62" s="5">
        <f>L62-Grade16!L62</f>
        <v>0</v>
      </c>
      <c r="O62" s="5">
        <f>Grade16!M62-M62</f>
        <v>0</v>
      </c>
      <c r="Q62" s="22"/>
      <c r="R62" s="22"/>
      <c r="S62" s="22">
        <f t="shared" si="19"/>
        <v>0</v>
      </c>
      <c r="T62" s="22">
        <f t="shared" si="20"/>
        <v>0</v>
      </c>
    </row>
    <row r="63" spans="1:20" x14ac:dyDescent="0.2">
      <c r="A63" s="5">
        <v>72</v>
      </c>
      <c r="H63" s="21"/>
      <c r="M63" s="5">
        <f>scrimecost*Meta!O60</f>
        <v>54.67</v>
      </c>
      <c r="N63" s="5">
        <f>L63-Grade16!L63</f>
        <v>0</v>
      </c>
      <c r="O63" s="5">
        <f>Grade16!M63-M63</f>
        <v>0</v>
      </c>
      <c r="Q63" s="22"/>
      <c r="R63" s="22"/>
      <c r="S63" s="22">
        <f t="shared" si="19"/>
        <v>0</v>
      </c>
      <c r="T63" s="22">
        <f t="shared" si="20"/>
        <v>0</v>
      </c>
    </row>
    <row r="64" spans="1:20" x14ac:dyDescent="0.2">
      <c r="A64" s="5">
        <v>73</v>
      </c>
      <c r="H64" s="21"/>
      <c r="M64" s="5">
        <f>scrimecost*Meta!O61</f>
        <v>54.67</v>
      </c>
      <c r="N64" s="5">
        <f>L64-Grade16!L64</f>
        <v>0</v>
      </c>
      <c r="O64" s="5">
        <f>Grade16!M64-M64</f>
        <v>0</v>
      </c>
      <c r="Q64" s="22"/>
      <c r="R64" s="22"/>
      <c r="S64" s="22">
        <f t="shared" si="19"/>
        <v>0</v>
      </c>
      <c r="T64" s="22">
        <f t="shared" si="20"/>
        <v>0</v>
      </c>
    </row>
    <row r="65" spans="1:20" x14ac:dyDescent="0.2">
      <c r="A65" s="5">
        <v>74</v>
      </c>
      <c r="H65" s="21"/>
      <c r="M65" s="5">
        <f>scrimecost*Meta!O62</f>
        <v>54.67</v>
      </c>
      <c r="N65" s="5">
        <f>L65-Grade16!L65</f>
        <v>0</v>
      </c>
      <c r="O65" s="5">
        <f>Grade16!M65-M65</f>
        <v>0</v>
      </c>
      <c r="Q65" s="22"/>
      <c r="R65" s="22"/>
      <c r="S65" s="22">
        <f t="shared" si="19"/>
        <v>0</v>
      </c>
      <c r="T65" s="22">
        <f t="shared" si="20"/>
        <v>0</v>
      </c>
    </row>
    <row r="66" spans="1:20" x14ac:dyDescent="0.2">
      <c r="A66" s="5">
        <v>75</v>
      </c>
      <c r="H66" s="21"/>
      <c r="M66" s="5">
        <f>scrimecost*Meta!O63</f>
        <v>54.67</v>
      </c>
      <c r="N66" s="5">
        <f>L66-Grade16!L66</f>
        <v>0</v>
      </c>
      <c r="O66" s="5">
        <f>Grade16!M66-M66</f>
        <v>0</v>
      </c>
      <c r="Q66" s="22"/>
      <c r="R66" s="22"/>
      <c r="S66" s="22">
        <f t="shared" si="19"/>
        <v>0</v>
      </c>
      <c r="T66" s="22">
        <f t="shared" si="20"/>
        <v>0</v>
      </c>
    </row>
    <row r="67" spans="1:20" x14ac:dyDescent="0.2">
      <c r="A67" s="5">
        <v>76</v>
      </c>
      <c r="H67" s="21"/>
      <c r="M67" s="5">
        <f>scrimecost*Meta!O64</f>
        <v>54.67</v>
      </c>
      <c r="N67" s="5">
        <f>L67-Grade16!L67</f>
        <v>0</v>
      </c>
      <c r="O67" s="5">
        <f>Grade16!M67-M67</f>
        <v>0</v>
      </c>
      <c r="Q67" s="22"/>
      <c r="R67" s="22"/>
      <c r="S67" s="22">
        <f t="shared" si="19"/>
        <v>0</v>
      </c>
      <c r="T67" s="22">
        <f t="shared" si="20"/>
        <v>0</v>
      </c>
    </row>
    <row r="68" spans="1:20" x14ac:dyDescent="0.2">
      <c r="A68" s="5">
        <v>77</v>
      </c>
      <c r="H68" s="21"/>
      <c r="M68" s="5">
        <f>scrimecost*Meta!O65</f>
        <v>54.67</v>
      </c>
      <c r="N68" s="5">
        <f>L68-Grade16!L68</f>
        <v>0</v>
      </c>
      <c r="O68" s="5">
        <f>Grade16!M68-M68</f>
        <v>0</v>
      </c>
      <c r="Q68" s="22"/>
      <c r="R68" s="22"/>
      <c r="S68" s="22">
        <f t="shared" si="19"/>
        <v>0</v>
      </c>
      <c r="T68" s="22">
        <f t="shared" si="20"/>
        <v>0</v>
      </c>
    </row>
    <row r="69" spans="1:20" x14ac:dyDescent="0.2">
      <c r="A69" s="5">
        <v>78</v>
      </c>
      <c r="H69" s="21"/>
      <c r="M69" s="5">
        <f>scrimecost*Meta!O66</f>
        <v>54.67</v>
      </c>
      <c r="N69" s="5">
        <f>L69-Grade16!L69</f>
        <v>0</v>
      </c>
      <c r="O69" s="5">
        <f>Grade16!M69-M69</f>
        <v>0</v>
      </c>
      <c r="Q69" s="22"/>
      <c r="R69" s="22"/>
      <c r="S69" s="22">
        <f t="shared" si="19"/>
        <v>0</v>
      </c>
      <c r="T69" s="22">
        <f t="shared" si="20"/>
        <v>0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9.4587448984384537E-11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S14" sqref="S14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Meta!A12+6</f>
        <v>24</v>
      </c>
      <c r="C2" s="7">
        <f>Meta!B12</f>
        <v>80726</v>
      </c>
      <c r="D2" s="7">
        <f>Meta!C12</f>
        <v>33722</v>
      </c>
      <c r="E2" s="1">
        <f>Meta!D12</f>
        <v>0.03</v>
      </c>
      <c r="F2" s="1">
        <f>Meta!F12</f>
        <v>0.77700000000000002</v>
      </c>
      <c r="G2" s="1">
        <f>Meta!I12</f>
        <v>1.7342811382937739</v>
      </c>
      <c r="H2" s="1">
        <f>Meta!E12</f>
        <v>0.57199999999999995</v>
      </c>
      <c r="I2" s="13"/>
      <c r="J2" s="1">
        <f>Meta!X11</f>
        <v>0.77700000000000002</v>
      </c>
      <c r="K2" s="1">
        <f>Meta!D11</f>
        <v>3.3000000000000002E-2</v>
      </c>
      <c r="L2" s="29"/>
      <c r="N2" s="22">
        <f>Meta!T12</f>
        <v>71640</v>
      </c>
      <c r="O2" s="22">
        <f>Meta!U12</f>
        <v>30607</v>
      </c>
      <c r="P2" s="1">
        <f>Meta!V12</f>
        <v>3.3000000000000002E-2</v>
      </c>
      <c r="Q2" s="1">
        <f>Meta!X12</f>
        <v>0.77700000000000002</v>
      </c>
      <c r="R2" s="22">
        <f>Meta!W12</f>
        <v>994</v>
      </c>
      <c r="T2" s="12">
        <f>IRR(S5:S69)+1</f>
        <v>0.94330422048731211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C10" s="5"/>
      <c r="D10" s="5"/>
      <c r="E10" s="5"/>
      <c r="F10" s="5"/>
      <c r="G10" s="5"/>
      <c r="H10" s="22"/>
      <c r="I10" s="5"/>
      <c r="J10" s="26"/>
      <c r="L10" s="22"/>
      <c r="M10" s="5"/>
      <c r="N10" s="5"/>
      <c r="O10" s="5"/>
      <c r="P10" s="22"/>
      <c r="Q10" s="22"/>
      <c r="R10" s="22"/>
      <c r="S10" s="22"/>
      <c r="T10" s="22"/>
    </row>
    <row r="11" spans="1:20" x14ac:dyDescent="0.2">
      <c r="A11" s="5">
        <v>20</v>
      </c>
      <c r="C11" s="5"/>
      <c r="D11" s="5"/>
      <c r="E11" s="5"/>
      <c r="F11" s="5"/>
      <c r="G11" s="5"/>
      <c r="H11" s="22"/>
      <c r="I11" s="5"/>
      <c r="J11" s="26"/>
      <c r="L11" s="22"/>
      <c r="M11" s="5"/>
      <c r="N11" s="5"/>
      <c r="O11" s="5"/>
      <c r="P11" s="22"/>
      <c r="Q11" s="22"/>
      <c r="R11" s="22"/>
      <c r="S11" s="22"/>
      <c r="T11" s="22"/>
    </row>
    <row r="12" spans="1:20" x14ac:dyDescent="0.2">
      <c r="A12" s="5">
        <v>21</v>
      </c>
      <c r="C12" s="5"/>
      <c r="D12" s="5"/>
      <c r="E12" s="5"/>
      <c r="F12" s="5"/>
      <c r="G12" s="5"/>
      <c r="H12" s="22"/>
      <c r="I12" s="5"/>
      <c r="J12" s="26"/>
      <c r="L12" s="22"/>
      <c r="M12" s="5"/>
      <c r="N12" s="5"/>
      <c r="O12" s="5"/>
      <c r="P12" s="22"/>
      <c r="Q12" s="22"/>
      <c r="R12" s="22"/>
      <c r="S12" s="22"/>
      <c r="T12" s="22"/>
    </row>
    <row r="13" spans="1:20" x14ac:dyDescent="0.2">
      <c r="A13" s="5">
        <v>22</v>
      </c>
      <c r="C13" s="5"/>
      <c r="D13" s="5"/>
      <c r="E13" s="5"/>
      <c r="F13" s="5"/>
      <c r="G13" s="5"/>
      <c r="H13" s="22"/>
      <c r="I13" s="5"/>
      <c r="J13" s="26"/>
      <c r="L13" s="22"/>
      <c r="M13" s="5"/>
      <c r="N13" s="5"/>
      <c r="O13" s="5"/>
      <c r="P13" s="22"/>
      <c r="Q13" s="22"/>
      <c r="R13" s="22"/>
      <c r="S13" s="22"/>
      <c r="T13" s="22"/>
    </row>
    <row r="14" spans="1:20" x14ac:dyDescent="0.2">
      <c r="A14" s="5">
        <v>23</v>
      </c>
      <c r="B14" s="1">
        <v>1</v>
      </c>
      <c r="C14" s="5">
        <f>0.1*Grade17!C14</f>
        <v>4024.7140912015502</v>
      </c>
      <c r="D14" s="5">
        <f t="shared" ref="D14:D36" si="0">IF(A14&lt;startage,1,0)*(C14*(1-initialunempprob))+IF(A14=startage,1,0)*(C14*(1-unempprob))+IF(A14&gt;startage,1,0)*(C14*(1-unempprob)+unempprob*300*52)</f>
        <v>3891.8985261918988</v>
      </c>
      <c r="E14" s="5">
        <f t="shared" ref="E14:E56" si="1">IF(D14-9500&gt;0,1,0)*(D14-9500)</f>
        <v>0</v>
      </c>
      <c r="F14" s="5">
        <f t="shared" ref="F14:F56" si="2">IF(E14&lt;=8500,1,0)*(0.1*E14+0.1*E14+0.0765*D14)+IF(AND(E14&gt;8500,E14&lt;=34500),1,0)*(850+0.15*(E14-8500)+0.1*E14+0.0765*D14)+IF(AND(E14&gt;34500,E14&lt;=83600),1,0)*(4750+0.25*(E14-34500)+0.1*E14+0.0765*D14)+IF(AND(E14&gt;83600,E14&lt;=174400,D14&lt;=106800),1,0)*(17025+0.28*(E14-83600)+0.1*E14+0.0765*D14)+IF(AND(E14&gt;83600,E14&lt;=174400,D14&gt;106800),1,0)*(17025+0.28*(E14-83600)+0.1*E14+8170.2+0.0145*(D14-106800))+IF(AND(E14&gt;174400,E14&lt;=379150),1,0)*(42449+0.33*(E14-174400)+0.1*E14+8170.2+0.0145*(D14-106800))+IF(E14&gt;379150,1,0)*(110016.5+0.35*(E14-379150)+0.1*E14+8170.2+0.0145*(D14-106800))</f>
        <v>297.73023725368023</v>
      </c>
      <c r="G14" s="5">
        <f t="shared" ref="G14:G56" si="3">D14-F14</f>
        <v>3594.1682889382187</v>
      </c>
      <c r="H14" s="22">
        <f>0.1*Grade17!H14</f>
        <v>1723.5621989616816</v>
      </c>
      <c r="I14" s="5">
        <f t="shared" ref="I14:I36" si="4">G14+IF(A14&lt;startage,1,0)*(H14*(1-initialunempprob))+IF(A14&gt;=startage,1,0)*(H14*(1-unempprob))</f>
        <v>5260.8529353341646</v>
      </c>
      <c r="J14" s="26">
        <f t="shared" ref="J14:J56" si="5">(F14-(IF(A14&gt;startage,1,0)*(unempprob*300*52)))/(IF(A14&lt;startage,1,0)*((C14+H14)*(1-initialunempprob))+IF(A14&gt;=startage,1,0)*((C14+H14)*(1-unempprob)))</f>
        <v>5.356225282765166E-2</v>
      </c>
      <c r="L14" s="22">
        <f>0.1*Grade17!L14</f>
        <v>5529.0081705898483</v>
      </c>
      <c r="M14" s="5">
        <f>scrimecost*Meta!O11</f>
        <v>2608.2560000000003</v>
      </c>
      <c r="N14" s="5">
        <f>L14-Grade17!L14</f>
        <v>-49761.073535308627</v>
      </c>
      <c r="O14" s="5"/>
      <c r="P14" s="22"/>
      <c r="Q14" s="22">
        <f>0.05*feel*Grade17!G14</f>
        <v>406.16711203463416</v>
      </c>
      <c r="R14" s="22">
        <f>coltuition</f>
        <v>8279</v>
      </c>
      <c r="S14" s="22">
        <f t="shared" ref="S14:S45" si="6">IF(A14&lt;startage,1,0)*(N14-Q14-R14)+IF(A14&gt;=startage,1,0)*completionprob*(N14*spart+O14+P14)</f>
        <v>-58446.240647343264</v>
      </c>
      <c r="T14" s="22">
        <f t="shared" ref="T14:T45" si="7">S14/sreturn^(A14-startage+1)</f>
        <v>-58446.240647343264</v>
      </c>
    </row>
    <row r="15" spans="1:20" x14ac:dyDescent="0.2">
      <c r="A15" s="5">
        <v>24</v>
      </c>
      <c r="B15" s="1">
        <f t="shared" ref="B15:B36" si="8">(1+experiencepremium)^(A15-startage)</f>
        <v>1</v>
      </c>
      <c r="C15" s="5">
        <f t="shared" ref="C15:C36" si="9">pretaxincome*B15/expnorm</f>
        <v>46547.239785713238</v>
      </c>
      <c r="D15" s="5">
        <f t="shared" si="0"/>
        <v>45150.822592141842</v>
      </c>
      <c r="E15" s="5">
        <f t="shared" si="1"/>
        <v>35650.822592141842</v>
      </c>
      <c r="F15" s="5">
        <f t="shared" si="2"/>
        <v>12056.825835548496</v>
      </c>
      <c r="G15" s="5">
        <f t="shared" si="3"/>
        <v>33093.996756593348</v>
      </c>
      <c r="H15" s="22">
        <f t="shared" ref="H15:H36" si="10">benefits*B15/expnorm</f>
        <v>19444.367614570547</v>
      </c>
      <c r="I15" s="5">
        <f t="shared" si="4"/>
        <v>51955.033342726776</v>
      </c>
      <c r="J15" s="26">
        <f t="shared" si="5"/>
        <v>0.18835300193312327</v>
      </c>
      <c r="L15" s="22">
        <f t="shared" ref="L15:L36" si="11">(sincome+sbenefits)*(1-sunemp)*B15/expnorm</f>
        <v>57010.854132492845</v>
      </c>
      <c r="M15" s="5">
        <f>scrimecost*Meta!O12</f>
        <v>2491.9580000000001</v>
      </c>
      <c r="N15" s="5">
        <f>L15-Grade17!L15</f>
        <v>338.52038394691772</v>
      </c>
      <c r="O15" s="5">
        <f>Grade17!M15-M15</f>
        <v>0</v>
      </c>
      <c r="P15" s="22">
        <f t="shared" ref="P15:P56" si="12">(spart-initialspart)*(L15*J15+nptrans)</f>
        <v>0</v>
      </c>
      <c r="Q15" s="22"/>
      <c r="R15" s="22"/>
      <c r="S15" s="22">
        <f t="shared" si="6"/>
        <v>150.45335352290391</v>
      </c>
      <c r="T15" s="22">
        <f t="shared" si="7"/>
        <v>159.49610979709126</v>
      </c>
    </row>
    <row r="16" spans="1:20" x14ac:dyDescent="0.2">
      <c r="A16" s="5">
        <v>25</v>
      </c>
      <c r="B16" s="1">
        <f t="shared" si="8"/>
        <v>1.0249999999999999</v>
      </c>
      <c r="C16" s="5">
        <f t="shared" si="9"/>
        <v>47710.920780356064</v>
      </c>
      <c r="D16" s="5">
        <f t="shared" si="0"/>
        <v>46747.593156945382</v>
      </c>
      <c r="E16" s="5">
        <f t="shared" si="1"/>
        <v>37247.593156945382</v>
      </c>
      <c r="F16" s="5">
        <f t="shared" si="2"/>
        <v>12737.848481437206</v>
      </c>
      <c r="G16" s="5">
        <f t="shared" si="3"/>
        <v>34009.744675508176</v>
      </c>
      <c r="H16" s="22">
        <f t="shared" si="10"/>
        <v>19930.476804934806</v>
      </c>
      <c r="I16" s="5">
        <f t="shared" si="4"/>
        <v>53342.30717629494</v>
      </c>
      <c r="J16" s="26">
        <f t="shared" si="5"/>
        <v>0.18700572109600019</v>
      </c>
      <c r="L16" s="22">
        <f t="shared" si="11"/>
        <v>58436.125485805162</v>
      </c>
      <c r="M16" s="5">
        <f>scrimecost*Meta!O13</f>
        <v>2092.37</v>
      </c>
      <c r="N16" s="5">
        <f>L16-Grade17!L16</f>
        <v>346.98339354558266</v>
      </c>
      <c r="O16" s="5">
        <f>Grade17!M16-M16</f>
        <v>0</v>
      </c>
      <c r="P16" s="22">
        <f t="shared" si="12"/>
        <v>0</v>
      </c>
      <c r="Q16" s="22"/>
      <c r="R16" s="22"/>
      <c r="S16" s="22">
        <f t="shared" si="6"/>
        <v>154.21468736097293</v>
      </c>
      <c r="T16" s="22">
        <f t="shared" si="7"/>
        <v>173.30942551869316</v>
      </c>
    </row>
    <row r="17" spans="1:20" x14ac:dyDescent="0.2">
      <c r="A17" s="5">
        <v>26</v>
      </c>
      <c r="B17" s="1">
        <f t="shared" si="8"/>
        <v>1.0506249999999999</v>
      </c>
      <c r="C17" s="5">
        <f t="shared" si="9"/>
        <v>48903.693799864966</v>
      </c>
      <c r="D17" s="5">
        <f t="shared" si="0"/>
        <v>47904.582985869019</v>
      </c>
      <c r="E17" s="5">
        <f t="shared" si="1"/>
        <v>38404.582985869019</v>
      </c>
      <c r="F17" s="5">
        <f t="shared" si="2"/>
        <v>13231.304643473137</v>
      </c>
      <c r="G17" s="5">
        <f t="shared" si="3"/>
        <v>34673.278342395883</v>
      </c>
      <c r="H17" s="22">
        <f t="shared" si="10"/>
        <v>20428.738725058178</v>
      </c>
      <c r="I17" s="5">
        <f t="shared" si="4"/>
        <v>54489.154905702315</v>
      </c>
      <c r="J17" s="26">
        <f t="shared" si="5"/>
        <v>0.18978197569325361</v>
      </c>
      <c r="L17" s="22">
        <f t="shared" si="11"/>
        <v>59897.028622950296</v>
      </c>
      <c r="M17" s="5">
        <f>scrimecost*Meta!O14</f>
        <v>2092.37</v>
      </c>
      <c r="N17" s="5">
        <f>L17-Grade17!L17</f>
        <v>355.65797838422441</v>
      </c>
      <c r="O17" s="5">
        <f>Grade17!M17-M17</f>
        <v>0</v>
      </c>
      <c r="P17" s="22">
        <f t="shared" si="12"/>
        <v>0</v>
      </c>
      <c r="Q17" s="22"/>
      <c r="R17" s="22"/>
      <c r="S17" s="22">
        <f t="shared" si="6"/>
        <v>158.07005454499821</v>
      </c>
      <c r="T17" s="22">
        <f t="shared" si="7"/>
        <v>188.3190568837818</v>
      </c>
    </row>
    <row r="18" spans="1:20" x14ac:dyDescent="0.2">
      <c r="A18" s="5">
        <v>27</v>
      </c>
      <c r="B18" s="1">
        <f t="shared" si="8"/>
        <v>1.0768906249999999</v>
      </c>
      <c r="C18" s="5">
        <f t="shared" si="9"/>
        <v>50126.286144861595</v>
      </c>
      <c r="D18" s="5">
        <f t="shared" si="0"/>
        <v>49090.497560515745</v>
      </c>
      <c r="E18" s="5">
        <f t="shared" si="1"/>
        <v>39590.497560515745</v>
      </c>
      <c r="F18" s="5">
        <f t="shared" si="2"/>
        <v>13737.097209559965</v>
      </c>
      <c r="G18" s="5">
        <f t="shared" si="3"/>
        <v>35353.400350955781</v>
      </c>
      <c r="H18" s="22">
        <f t="shared" si="10"/>
        <v>20939.457193184633</v>
      </c>
      <c r="I18" s="5">
        <f t="shared" si="4"/>
        <v>55664.673828344879</v>
      </c>
      <c r="J18" s="26">
        <f t="shared" si="5"/>
        <v>0.19249051676374476</v>
      </c>
      <c r="L18" s="22">
        <f t="shared" si="11"/>
        <v>61394.454338524047</v>
      </c>
      <c r="M18" s="5">
        <f>scrimecost*Meta!O15</f>
        <v>2092.37</v>
      </c>
      <c r="N18" s="5">
        <f>L18-Grade17!L18</f>
        <v>364.54942784383456</v>
      </c>
      <c r="O18" s="5">
        <f>Grade17!M18-M18</f>
        <v>0</v>
      </c>
      <c r="P18" s="22">
        <f t="shared" si="12"/>
        <v>0</v>
      </c>
      <c r="Q18" s="22"/>
      <c r="R18" s="22"/>
      <c r="S18" s="22">
        <f t="shared" si="6"/>
        <v>162.0218059086252</v>
      </c>
      <c r="T18" s="22">
        <f t="shared" si="7"/>
        <v>204.6286119722445</v>
      </c>
    </row>
    <row r="19" spans="1:20" x14ac:dyDescent="0.2">
      <c r="A19" s="5">
        <v>28</v>
      </c>
      <c r="B19" s="1">
        <f t="shared" si="8"/>
        <v>1.1038128906249998</v>
      </c>
      <c r="C19" s="5">
        <f t="shared" si="9"/>
        <v>51379.443298483122</v>
      </c>
      <c r="D19" s="5">
        <f t="shared" si="0"/>
        <v>50306.059999528625</v>
      </c>
      <c r="E19" s="5">
        <f t="shared" si="1"/>
        <v>40806.059999528625</v>
      </c>
      <c r="F19" s="5">
        <f t="shared" si="2"/>
        <v>14255.534589798957</v>
      </c>
      <c r="G19" s="5">
        <f t="shared" si="3"/>
        <v>36050.525409729671</v>
      </c>
      <c r="H19" s="22">
        <f t="shared" si="10"/>
        <v>21462.943623014246</v>
      </c>
      <c r="I19" s="5">
        <f t="shared" si="4"/>
        <v>56869.580724053492</v>
      </c>
      <c r="J19" s="26">
        <f t="shared" si="5"/>
        <v>0.19513299585690685</v>
      </c>
      <c r="L19" s="22">
        <f t="shared" si="11"/>
        <v>62929.315696987142</v>
      </c>
      <c r="M19" s="5">
        <f>scrimecost*Meta!O16</f>
        <v>2092.37</v>
      </c>
      <c r="N19" s="5">
        <f>L19-Grade17!L19</f>
        <v>373.66316353992443</v>
      </c>
      <c r="O19" s="5">
        <f>Grade17!M19-M19</f>
        <v>0</v>
      </c>
      <c r="P19" s="22">
        <f t="shared" si="12"/>
        <v>0</v>
      </c>
      <c r="Q19" s="22"/>
      <c r="R19" s="22"/>
      <c r="S19" s="22">
        <f t="shared" si="6"/>
        <v>166.07235105633816</v>
      </c>
      <c r="T19" s="22">
        <f t="shared" si="7"/>
        <v>222.35067194249706</v>
      </c>
    </row>
    <row r="20" spans="1:20" x14ac:dyDescent="0.2">
      <c r="A20" s="5">
        <v>29</v>
      </c>
      <c r="B20" s="1">
        <f t="shared" si="8"/>
        <v>1.1314082128906247</v>
      </c>
      <c r="C20" s="5">
        <f t="shared" si="9"/>
        <v>52663.929380945199</v>
      </c>
      <c r="D20" s="5">
        <f t="shared" si="0"/>
        <v>51552.011499516841</v>
      </c>
      <c r="E20" s="5">
        <f t="shared" si="1"/>
        <v>42052.011499516841</v>
      </c>
      <c r="F20" s="5">
        <f t="shared" si="2"/>
        <v>14786.932904543934</v>
      </c>
      <c r="G20" s="5">
        <f t="shared" si="3"/>
        <v>36765.078594972903</v>
      </c>
      <c r="H20" s="22">
        <f t="shared" si="10"/>
        <v>21999.517213589599</v>
      </c>
      <c r="I20" s="5">
        <f t="shared" si="4"/>
        <v>58104.610292154815</v>
      </c>
      <c r="J20" s="26">
        <f t="shared" si="5"/>
        <v>0.19771102424047968</v>
      </c>
      <c r="L20" s="22">
        <f t="shared" si="11"/>
        <v>64502.548589411817</v>
      </c>
      <c r="M20" s="5">
        <f>scrimecost*Meta!O17</f>
        <v>2092.37</v>
      </c>
      <c r="N20" s="5">
        <f>L20-Grade17!L20</f>
        <v>383.00474262842909</v>
      </c>
      <c r="O20" s="5">
        <f>Grade17!M20-M20</f>
        <v>0</v>
      </c>
      <c r="P20" s="22">
        <f t="shared" si="12"/>
        <v>0</v>
      </c>
      <c r="Q20" s="22"/>
      <c r="R20" s="22"/>
      <c r="S20" s="22">
        <f t="shared" si="6"/>
        <v>170.22415983274954</v>
      </c>
      <c r="T20" s="22">
        <f t="shared" si="7"/>
        <v>241.6075681537024</v>
      </c>
    </row>
    <row r="21" spans="1:20" x14ac:dyDescent="0.2">
      <c r="A21" s="5">
        <v>30</v>
      </c>
      <c r="B21" s="1">
        <f t="shared" si="8"/>
        <v>1.1596934182128902</v>
      </c>
      <c r="C21" s="5">
        <f t="shared" si="9"/>
        <v>53980.527615468825</v>
      </c>
      <c r="D21" s="5">
        <f t="shared" si="0"/>
        <v>52829.11178700476</v>
      </c>
      <c r="E21" s="5">
        <f t="shared" si="1"/>
        <v>43329.11178700476</v>
      </c>
      <c r="F21" s="5">
        <f t="shared" si="2"/>
        <v>15331.616177157532</v>
      </c>
      <c r="G21" s="5">
        <f t="shared" si="3"/>
        <v>37497.495609847232</v>
      </c>
      <c r="H21" s="22">
        <f t="shared" si="10"/>
        <v>22549.505143929338</v>
      </c>
      <c r="I21" s="5">
        <f t="shared" si="4"/>
        <v>59370.515599458689</v>
      </c>
      <c r="J21" s="26">
        <f t="shared" si="5"/>
        <v>0.20022617388298974</v>
      </c>
      <c r="L21" s="22">
        <f t="shared" si="11"/>
        <v>66115.112304147115</v>
      </c>
      <c r="M21" s="5">
        <f>scrimecost*Meta!O18</f>
        <v>1686.818</v>
      </c>
      <c r="N21" s="5">
        <f>L21-Grade17!L21</f>
        <v>392.57986119414272</v>
      </c>
      <c r="O21" s="5">
        <f>Grade17!M21-M21</f>
        <v>0</v>
      </c>
      <c r="P21" s="22">
        <f t="shared" si="12"/>
        <v>0</v>
      </c>
      <c r="Q21" s="22"/>
      <c r="R21" s="22"/>
      <c r="S21" s="22">
        <f t="shared" si="6"/>
        <v>174.47976382856956</v>
      </c>
      <c r="T21" s="22">
        <f t="shared" si="7"/>
        <v>262.53222659134468</v>
      </c>
    </row>
    <row r="22" spans="1:20" x14ac:dyDescent="0.2">
      <c r="A22" s="5">
        <v>31</v>
      </c>
      <c r="B22" s="1">
        <f t="shared" si="8"/>
        <v>1.1886857536682125</v>
      </c>
      <c r="C22" s="5">
        <f t="shared" si="9"/>
        <v>55330.040805855555</v>
      </c>
      <c r="D22" s="5">
        <f t="shared" si="0"/>
        <v>54138.13958167989</v>
      </c>
      <c r="E22" s="5">
        <f t="shared" si="1"/>
        <v>44638.13958167989</v>
      </c>
      <c r="F22" s="5">
        <f t="shared" si="2"/>
        <v>15889.916531586474</v>
      </c>
      <c r="G22" s="5">
        <f t="shared" si="3"/>
        <v>38248.223050093417</v>
      </c>
      <c r="H22" s="22">
        <f t="shared" si="10"/>
        <v>23113.242772527574</v>
      </c>
      <c r="I22" s="5">
        <f t="shared" si="4"/>
        <v>60668.068539445158</v>
      </c>
      <c r="J22" s="26">
        <f t="shared" si="5"/>
        <v>0.20267997841226787</v>
      </c>
      <c r="L22" s="22">
        <f t="shared" si="11"/>
        <v>67767.990111750783</v>
      </c>
      <c r="M22" s="5">
        <f>scrimecost*Meta!O19</f>
        <v>1686.818</v>
      </c>
      <c r="N22" s="5">
        <f>L22-Grade17!L22</f>
        <v>402.39435772399884</v>
      </c>
      <c r="O22" s="5">
        <f>Grade17!M22-M22</f>
        <v>0</v>
      </c>
      <c r="P22" s="22">
        <f t="shared" si="12"/>
        <v>0</v>
      </c>
      <c r="Q22" s="22"/>
      <c r="R22" s="22"/>
      <c r="S22" s="22">
        <f t="shared" si="6"/>
        <v>178.84175792428493</v>
      </c>
      <c r="T22" s="22">
        <f t="shared" si="7"/>
        <v>285.26908542518225</v>
      </c>
    </row>
    <row r="23" spans="1:20" x14ac:dyDescent="0.2">
      <c r="A23" s="5">
        <v>32</v>
      </c>
      <c r="B23" s="1">
        <f t="shared" si="8"/>
        <v>1.2184028975099177</v>
      </c>
      <c r="C23" s="5">
        <f t="shared" si="9"/>
        <v>56713.291826001929</v>
      </c>
      <c r="D23" s="5">
        <f t="shared" si="0"/>
        <v>55479.893071221872</v>
      </c>
      <c r="E23" s="5">
        <f t="shared" si="1"/>
        <v>45979.893071221872</v>
      </c>
      <c r="F23" s="5">
        <f t="shared" si="2"/>
        <v>16462.174394876129</v>
      </c>
      <c r="G23" s="5">
        <f t="shared" si="3"/>
        <v>39017.718676345743</v>
      </c>
      <c r="H23" s="22">
        <f t="shared" si="10"/>
        <v>23691.07384184076</v>
      </c>
      <c r="I23" s="5">
        <f t="shared" si="4"/>
        <v>61998.060302931277</v>
      </c>
      <c r="J23" s="26">
        <f t="shared" si="5"/>
        <v>0.20507393405058788</v>
      </c>
      <c r="L23" s="22">
        <f t="shared" si="11"/>
        <v>69462.189864544547</v>
      </c>
      <c r="M23" s="5">
        <f>scrimecost*Meta!O20</f>
        <v>1686.818</v>
      </c>
      <c r="N23" s="5">
        <f>L23-Grade17!L23</f>
        <v>412.45421666708717</v>
      </c>
      <c r="O23" s="5">
        <f>Grade17!M23-M23</f>
        <v>0</v>
      </c>
      <c r="P23" s="22">
        <f t="shared" si="12"/>
        <v>0</v>
      </c>
      <c r="Q23" s="22"/>
      <c r="R23" s="22"/>
      <c r="S23" s="22">
        <f t="shared" si="6"/>
        <v>183.31280187238687</v>
      </c>
      <c r="T23" s="22">
        <f t="shared" si="7"/>
        <v>309.97509203313956</v>
      </c>
    </row>
    <row r="24" spans="1:20" x14ac:dyDescent="0.2">
      <c r="A24" s="5">
        <v>33</v>
      </c>
      <c r="B24" s="1">
        <f t="shared" si="8"/>
        <v>1.2488629699476654</v>
      </c>
      <c r="C24" s="5">
        <f t="shared" si="9"/>
        <v>58131.12412165197</v>
      </c>
      <c r="D24" s="5">
        <f t="shared" si="0"/>
        <v>56855.190398002407</v>
      </c>
      <c r="E24" s="5">
        <f t="shared" si="1"/>
        <v>47355.190398002407</v>
      </c>
      <c r="F24" s="5">
        <f t="shared" si="2"/>
        <v>17048.738704748026</v>
      </c>
      <c r="G24" s="5">
        <f t="shared" si="3"/>
        <v>39806.451693254377</v>
      </c>
      <c r="H24" s="22">
        <f t="shared" si="10"/>
        <v>24283.350687886774</v>
      </c>
      <c r="I24" s="5">
        <f t="shared" si="4"/>
        <v>63361.301860504551</v>
      </c>
      <c r="J24" s="26">
        <f t="shared" si="5"/>
        <v>0.20740950052699769</v>
      </c>
      <c r="L24" s="22">
        <f t="shared" si="11"/>
        <v>71198.744611158152</v>
      </c>
      <c r="M24" s="5">
        <f>scrimecost*Meta!O21</f>
        <v>1686.818</v>
      </c>
      <c r="N24" s="5">
        <f>L24-Grade17!L24</f>
        <v>422.76557208376471</v>
      </c>
      <c r="O24" s="5">
        <f>Grade17!M24-M24</f>
        <v>0</v>
      </c>
      <c r="P24" s="22">
        <f t="shared" si="12"/>
        <v>0</v>
      </c>
      <c r="Q24" s="22"/>
      <c r="R24" s="22"/>
      <c r="S24" s="22">
        <f t="shared" si="6"/>
        <v>187.89562191919671</v>
      </c>
      <c r="T24" s="22">
        <f t="shared" si="7"/>
        <v>336.82078637348991</v>
      </c>
    </row>
    <row r="25" spans="1:20" x14ac:dyDescent="0.2">
      <c r="A25" s="5">
        <v>34</v>
      </c>
      <c r="B25" s="1">
        <f t="shared" si="8"/>
        <v>1.2800845441963571</v>
      </c>
      <c r="C25" s="5">
        <f t="shared" si="9"/>
        <v>59584.402224693273</v>
      </c>
      <c r="D25" s="5">
        <f t="shared" si="0"/>
        <v>58264.870157952471</v>
      </c>
      <c r="E25" s="5">
        <f t="shared" si="1"/>
        <v>48764.870157952471</v>
      </c>
      <c r="F25" s="5">
        <f t="shared" si="2"/>
        <v>17649.967122366732</v>
      </c>
      <c r="G25" s="5">
        <f t="shared" si="3"/>
        <v>40614.903035585739</v>
      </c>
      <c r="H25" s="22">
        <f t="shared" si="10"/>
        <v>24890.434455083945</v>
      </c>
      <c r="I25" s="5">
        <f t="shared" si="4"/>
        <v>64758.624457017169</v>
      </c>
      <c r="J25" s="26">
        <f t="shared" si="5"/>
        <v>0.20968810196739762</v>
      </c>
      <c r="L25" s="22">
        <f t="shared" si="11"/>
        <v>72978.713226437103</v>
      </c>
      <c r="M25" s="5">
        <f>scrimecost*Meta!O22</f>
        <v>1686.818</v>
      </c>
      <c r="N25" s="5">
        <f>L25-Grade17!L25</f>
        <v>433.33471138584719</v>
      </c>
      <c r="O25" s="5">
        <f>Grade17!M25-M25</f>
        <v>0</v>
      </c>
      <c r="P25" s="22">
        <f t="shared" si="12"/>
        <v>0</v>
      </c>
      <c r="Q25" s="22"/>
      <c r="R25" s="22"/>
      <c r="S25" s="22">
        <f t="shared" si="6"/>
        <v>192.59301246717146</v>
      </c>
      <c r="T25" s="22">
        <f t="shared" si="7"/>
        <v>365.99147818342823</v>
      </c>
    </row>
    <row r="26" spans="1:20" x14ac:dyDescent="0.2">
      <c r="A26" s="5">
        <v>35</v>
      </c>
      <c r="B26" s="1">
        <f t="shared" si="8"/>
        <v>1.312086657801266</v>
      </c>
      <c r="C26" s="5">
        <f t="shared" si="9"/>
        <v>61074.012280310599</v>
      </c>
      <c r="D26" s="5">
        <f t="shared" si="0"/>
        <v>59709.79191190128</v>
      </c>
      <c r="E26" s="5">
        <f t="shared" si="1"/>
        <v>50209.79191190128</v>
      </c>
      <c r="F26" s="5">
        <f t="shared" si="2"/>
        <v>18266.226250425898</v>
      </c>
      <c r="G26" s="5">
        <f t="shared" si="3"/>
        <v>41443.565661475383</v>
      </c>
      <c r="H26" s="22">
        <f t="shared" si="10"/>
        <v>25512.695316461042</v>
      </c>
      <c r="I26" s="5">
        <f t="shared" si="4"/>
        <v>66190.880118442597</v>
      </c>
      <c r="J26" s="26">
        <f t="shared" si="5"/>
        <v>0.21191112776290966</v>
      </c>
      <c r="L26" s="22">
        <f t="shared" si="11"/>
        <v>74803.181057098031</v>
      </c>
      <c r="M26" s="5">
        <f>scrimecost*Meta!O23</f>
        <v>1309.098</v>
      </c>
      <c r="N26" s="5">
        <f>L26-Grade17!L26</f>
        <v>444.16807917051483</v>
      </c>
      <c r="O26" s="5">
        <f>Grade17!M26-M26</f>
        <v>0</v>
      </c>
      <c r="P26" s="22">
        <f t="shared" si="12"/>
        <v>0</v>
      </c>
      <c r="Q26" s="22"/>
      <c r="R26" s="22"/>
      <c r="S26" s="22">
        <f t="shared" si="6"/>
        <v>197.40783777886028</v>
      </c>
      <c r="T26" s="22">
        <f t="shared" si="7"/>
        <v>397.68852613023785</v>
      </c>
    </row>
    <row r="27" spans="1:20" x14ac:dyDescent="0.2">
      <c r="A27" s="5">
        <v>36</v>
      </c>
      <c r="B27" s="1">
        <f t="shared" si="8"/>
        <v>1.3448888242462975</v>
      </c>
      <c r="C27" s="5">
        <f t="shared" si="9"/>
        <v>62600.862587318356</v>
      </c>
      <c r="D27" s="5">
        <f t="shared" si="0"/>
        <v>61190.8367096988</v>
      </c>
      <c r="E27" s="5">
        <f t="shared" si="1"/>
        <v>51690.8367096988</v>
      </c>
      <c r="F27" s="5">
        <f t="shared" si="2"/>
        <v>18897.89185668654</v>
      </c>
      <c r="G27" s="5">
        <f t="shared" si="3"/>
        <v>42292.944853012261</v>
      </c>
      <c r="H27" s="22">
        <f t="shared" si="10"/>
        <v>26150.512699372564</v>
      </c>
      <c r="I27" s="5">
        <f t="shared" si="4"/>
        <v>67658.942171403643</v>
      </c>
      <c r="J27" s="26">
        <f t="shared" si="5"/>
        <v>0.21407993341706769</v>
      </c>
      <c r="L27" s="22">
        <f t="shared" si="11"/>
        <v>76673.260583525465</v>
      </c>
      <c r="M27" s="5">
        <f>scrimecost*Meta!O24</f>
        <v>1309.098</v>
      </c>
      <c r="N27" s="5">
        <f>L27-Grade17!L27</f>
        <v>455.27228114976606</v>
      </c>
      <c r="O27" s="5">
        <f>Grade17!M27-M27</f>
        <v>0</v>
      </c>
      <c r="P27" s="22">
        <f t="shared" si="12"/>
        <v>0</v>
      </c>
      <c r="Q27" s="22"/>
      <c r="R27" s="22"/>
      <c r="S27" s="22">
        <f t="shared" si="6"/>
        <v>202.34303372332661</v>
      </c>
      <c r="T27" s="22">
        <f t="shared" si="7"/>
        <v>432.1307277443334</v>
      </c>
    </row>
    <row r="28" spans="1:20" x14ac:dyDescent="0.2">
      <c r="A28" s="5">
        <v>37</v>
      </c>
      <c r="B28" s="1">
        <f t="shared" si="8"/>
        <v>1.3785110448524549</v>
      </c>
      <c r="C28" s="5">
        <f t="shared" si="9"/>
        <v>64165.884152001316</v>
      </c>
      <c r="D28" s="5">
        <f t="shared" si="0"/>
        <v>62708.907627441273</v>
      </c>
      <c r="E28" s="5">
        <f t="shared" si="1"/>
        <v>53208.907627441273</v>
      </c>
      <c r="F28" s="5">
        <f t="shared" si="2"/>
        <v>19545.349103103705</v>
      </c>
      <c r="G28" s="5">
        <f t="shared" si="3"/>
        <v>43163.558524337568</v>
      </c>
      <c r="H28" s="22">
        <f t="shared" si="10"/>
        <v>26804.275516856876</v>
      </c>
      <c r="I28" s="5">
        <f t="shared" si="4"/>
        <v>69163.705775688737</v>
      </c>
      <c r="J28" s="26">
        <f t="shared" si="5"/>
        <v>0.21619584137234391</v>
      </c>
      <c r="L28" s="22">
        <f t="shared" si="11"/>
        <v>78590.092098113615</v>
      </c>
      <c r="M28" s="5">
        <f>scrimecost*Meta!O25</f>
        <v>1309.098</v>
      </c>
      <c r="N28" s="5">
        <f>L28-Grade17!L28</f>
        <v>466.65408817853313</v>
      </c>
      <c r="O28" s="5">
        <f>Grade17!M28-M28</f>
        <v>0</v>
      </c>
      <c r="P28" s="22">
        <f t="shared" si="12"/>
        <v>0</v>
      </c>
      <c r="Q28" s="22"/>
      <c r="R28" s="22"/>
      <c r="S28" s="22">
        <f t="shared" si="6"/>
        <v>207.40160956641998</v>
      </c>
      <c r="T28" s="22">
        <f t="shared" si="7"/>
        <v>469.55582972918666</v>
      </c>
    </row>
    <row r="29" spans="1:20" x14ac:dyDescent="0.2">
      <c r="A29" s="5">
        <v>38</v>
      </c>
      <c r="B29" s="1">
        <f t="shared" si="8"/>
        <v>1.4129738209737661</v>
      </c>
      <c r="C29" s="5">
        <f t="shared" si="9"/>
        <v>65770.031255801339</v>
      </c>
      <c r="D29" s="5">
        <f t="shared" si="0"/>
        <v>64264.930318127299</v>
      </c>
      <c r="E29" s="5">
        <f t="shared" si="1"/>
        <v>54764.930318127299</v>
      </c>
      <c r="F29" s="5">
        <f t="shared" si="2"/>
        <v>20208.992780681292</v>
      </c>
      <c r="G29" s="5">
        <f t="shared" si="3"/>
        <v>44055.937537446007</v>
      </c>
      <c r="H29" s="22">
        <f t="shared" si="10"/>
        <v>27474.382404778298</v>
      </c>
      <c r="I29" s="5">
        <f t="shared" si="4"/>
        <v>70706.088470080955</v>
      </c>
      <c r="J29" s="26">
        <f t="shared" si="5"/>
        <v>0.21826014181651576</v>
      </c>
      <c r="L29" s="22">
        <f t="shared" si="11"/>
        <v>80554.84440056645</v>
      </c>
      <c r="M29" s="5">
        <f>scrimecost*Meta!O26</f>
        <v>1309.098</v>
      </c>
      <c r="N29" s="5">
        <f>L29-Grade17!L29</f>
        <v>478.32044038295862</v>
      </c>
      <c r="O29" s="5">
        <f>Grade17!M29-M29</f>
        <v>0</v>
      </c>
      <c r="P29" s="22">
        <f t="shared" si="12"/>
        <v>0</v>
      </c>
      <c r="Q29" s="22"/>
      <c r="R29" s="22"/>
      <c r="S29" s="22">
        <f t="shared" si="6"/>
        <v>212.58664980556364</v>
      </c>
      <c r="T29" s="22">
        <f t="shared" si="7"/>
        <v>510.22216907260395</v>
      </c>
    </row>
    <row r="30" spans="1:20" x14ac:dyDescent="0.2">
      <c r="A30" s="5">
        <v>39</v>
      </c>
      <c r="B30" s="1">
        <f t="shared" si="8"/>
        <v>1.4482981664981105</v>
      </c>
      <c r="C30" s="5">
        <f t="shared" si="9"/>
        <v>67414.28203719639</v>
      </c>
      <c r="D30" s="5">
        <f t="shared" si="0"/>
        <v>65859.853576080495</v>
      </c>
      <c r="E30" s="5">
        <f t="shared" si="1"/>
        <v>56359.853576080495</v>
      </c>
      <c r="F30" s="5">
        <f t="shared" si="2"/>
        <v>20889.227550198331</v>
      </c>
      <c r="G30" s="5">
        <f t="shared" si="3"/>
        <v>44970.626025882164</v>
      </c>
      <c r="H30" s="22">
        <f t="shared" si="10"/>
        <v>28161.241964897763</v>
      </c>
      <c r="I30" s="5">
        <f t="shared" si="4"/>
        <v>72287.030731832987</v>
      </c>
      <c r="J30" s="26">
        <f t="shared" si="5"/>
        <v>0.22027409346936641</v>
      </c>
      <c r="L30" s="22">
        <f t="shared" si="11"/>
        <v>82568.715510580616</v>
      </c>
      <c r="M30" s="5">
        <f>scrimecost*Meta!O27</f>
        <v>1309.098</v>
      </c>
      <c r="N30" s="5">
        <f>L30-Grade17!L30</f>
        <v>490.27845139255805</v>
      </c>
      <c r="O30" s="5">
        <f>Grade17!M30-M30</f>
        <v>0</v>
      </c>
      <c r="P30" s="22">
        <f t="shared" si="12"/>
        <v>0</v>
      </c>
      <c r="Q30" s="22"/>
      <c r="R30" s="22"/>
      <c r="S30" s="22">
        <f t="shared" si="6"/>
        <v>217.90131605071409</v>
      </c>
      <c r="T30" s="22">
        <f t="shared" si="7"/>
        <v>554.4104562887203</v>
      </c>
    </row>
    <row r="31" spans="1:20" x14ac:dyDescent="0.2">
      <c r="A31" s="5">
        <v>40</v>
      </c>
      <c r="B31" s="1">
        <f t="shared" si="8"/>
        <v>1.4845056206605631</v>
      </c>
      <c r="C31" s="5">
        <f t="shared" si="9"/>
        <v>69099.639088126292</v>
      </c>
      <c r="D31" s="5">
        <f t="shared" si="0"/>
        <v>67494.6499154825</v>
      </c>
      <c r="E31" s="5">
        <f t="shared" si="1"/>
        <v>57994.6499154825</v>
      </c>
      <c r="F31" s="5">
        <f t="shared" si="2"/>
        <v>21586.468188953288</v>
      </c>
      <c r="G31" s="5">
        <f t="shared" si="3"/>
        <v>45908.181726529212</v>
      </c>
      <c r="H31" s="22">
        <f t="shared" si="10"/>
        <v>28865.273014020204</v>
      </c>
      <c r="I31" s="5">
        <f t="shared" si="4"/>
        <v>73907.49655012881</v>
      </c>
      <c r="J31" s="26">
        <f t="shared" si="5"/>
        <v>0.22223892435019629</v>
      </c>
      <c r="L31" s="22">
        <f t="shared" si="11"/>
        <v>84632.933398345122</v>
      </c>
      <c r="M31" s="5">
        <f>scrimecost*Meta!O28</f>
        <v>1145.088</v>
      </c>
      <c r="N31" s="5">
        <f>L31-Grade17!L31</f>
        <v>502.53541267737455</v>
      </c>
      <c r="O31" s="5">
        <f>Grade17!M31-M31</f>
        <v>0</v>
      </c>
      <c r="P31" s="22">
        <f t="shared" si="12"/>
        <v>0</v>
      </c>
      <c r="Q31" s="22"/>
      <c r="R31" s="22"/>
      <c r="S31" s="22">
        <f t="shared" si="6"/>
        <v>223.34884895198303</v>
      </c>
      <c r="T31" s="22">
        <f t="shared" si="7"/>
        <v>602.42571309855032</v>
      </c>
    </row>
    <row r="32" spans="1:20" x14ac:dyDescent="0.2">
      <c r="A32" s="5">
        <v>41</v>
      </c>
      <c r="B32" s="1">
        <f t="shared" si="8"/>
        <v>1.521618261177077</v>
      </c>
      <c r="C32" s="5">
        <f t="shared" si="9"/>
        <v>70827.130065329446</v>
      </c>
      <c r="D32" s="5">
        <f t="shared" si="0"/>
        <v>69170.316163369556</v>
      </c>
      <c r="E32" s="5">
        <f t="shared" si="1"/>
        <v>59670.316163369556</v>
      </c>
      <c r="F32" s="5">
        <f t="shared" si="2"/>
        <v>22301.139843677116</v>
      </c>
      <c r="G32" s="5">
        <f t="shared" si="3"/>
        <v>46869.176319692444</v>
      </c>
      <c r="H32" s="22">
        <f t="shared" si="10"/>
        <v>29586.904839370702</v>
      </c>
      <c r="I32" s="5">
        <f t="shared" si="4"/>
        <v>75568.47401388202</v>
      </c>
      <c r="J32" s="26">
        <f t="shared" si="5"/>
        <v>0.22415583252661567</v>
      </c>
      <c r="L32" s="22">
        <f t="shared" si="11"/>
        <v>86748.756733303744</v>
      </c>
      <c r="M32" s="5">
        <f>scrimecost*Meta!O29</f>
        <v>1145.088</v>
      </c>
      <c r="N32" s="5">
        <f>L32-Grade17!L32</f>
        <v>515.098797994302</v>
      </c>
      <c r="O32" s="5">
        <f>Grade17!M32-M32</f>
        <v>0</v>
      </c>
      <c r="P32" s="22">
        <f t="shared" si="12"/>
        <v>0</v>
      </c>
      <c r="Q32" s="22"/>
      <c r="R32" s="22"/>
      <c r="S32" s="22">
        <f t="shared" si="6"/>
        <v>228.93257017577955</v>
      </c>
      <c r="T32" s="22">
        <f t="shared" si="7"/>
        <v>654.59937792604342</v>
      </c>
    </row>
    <row r="33" spans="1:20" x14ac:dyDescent="0.2">
      <c r="A33" s="5">
        <v>42</v>
      </c>
      <c r="B33" s="1">
        <f t="shared" si="8"/>
        <v>1.559658717706504</v>
      </c>
      <c r="C33" s="5">
        <f t="shared" si="9"/>
        <v>72597.808316962677</v>
      </c>
      <c r="D33" s="5">
        <f t="shared" si="0"/>
        <v>70887.874067453798</v>
      </c>
      <c r="E33" s="5">
        <f t="shared" si="1"/>
        <v>61387.874067453798</v>
      </c>
      <c r="F33" s="5">
        <f t="shared" si="2"/>
        <v>23033.678289769046</v>
      </c>
      <c r="G33" s="5">
        <f t="shared" si="3"/>
        <v>47854.195777684756</v>
      </c>
      <c r="H33" s="22">
        <f t="shared" si="10"/>
        <v>30326.577460354969</v>
      </c>
      <c r="I33" s="5">
        <f t="shared" si="4"/>
        <v>77270.975914229071</v>
      </c>
      <c r="J33" s="26">
        <f t="shared" si="5"/>
        <v>0.22602598684507366</v>
      </c>
      <c r="L33" s="22">
        <f t="shared" si="11"/>
        <v>88917.475651636341</v>
      </c>
      <c r="M33" s="5">
        <f>scrimecost*Meta!O30</f>
        <v>1145.088</v>
      </c>
      <c r="N33" s="5">
        <f>L33-Grade17!L33</f>
        <v>527.97626794416283</v>
      </c>
      <c r="O33" s="5">
        <f>Grade17!M33-M33</f>
        <v>0</v>
      </c>
      <c r="P33" s="22">
        <f t="shared" si="12"/>
        <v>0</v>
      </c>
      <c r="Q33" s="22"/>
      <c r="R33" s="22"/>
      <c r="S33" s="22">
        <f t="shared" si="6"/>
        <v>234.65588443017549</v>
      </c>
      <c r="T33" s="22">
        <f t="shared" si="7"/>
        <v>711.29159374223696</v>
      </c>
    </row>
    <row r="34" spans="1:20" x14ac:dyDescent="0.2">
      <c r="A34" s="5">
        <v>43</v>
      </c>
      <c r="B34" s="1">
        <f t="shared" si="8"/>
        <v>1.5986501856491666</v>
      </c>
      <c r="C34" s="5">
        <f t="shared" si="9"/>
        <v>74412.75352488675</v>
      </c>
      <c r="D34" s="5">
        <f t="shared" si="0"/>
        <v>72648.370919140143</v>
      </c>
      <c r="E34" s="5">
        <f t="shared" si="1"/>
        <v>63148.370919140143</v>
      </c>
      <c r="F34" s="5">
        <f t="shared" si="2"/>
        <v>23784.530197013271</v>
      </c>
      <c r="G34" s="5">
        <f t="shared" si="3"/>
        <v>48863.840722126872</v>
      </c>
      <c r="H34" s="22">
        <f t="shared" si="10"/>
        <v>31084.741896863849</v>
      </c>
      <c r="I34" s="5">
        <f t="shared" si="4"/>
        <v>79016.040362084808</v>
      </c>
      <c r="J34" s="26">
        <f t="shared" si="5"/>
        <v>0.2278505276435692</v>
      </c>
      <c r="L34" s="22">
        <f t="shared" si="11"/>
        <v>91140.412542927254</v>
      </c>
      <c r="M34" s="5">
        <f>scrimecost*Meta!O31</f>
        <v>1145.088</v>
      </c>
      <c r="N34" s="5">
        <f>L34-Grade17!L34</f>
        <v>541.1756746427709</v>
      </c>
      <c r="O34" s="5">
        <f>Grade17!M34-M34</f>
        <v>0</v>
      </c>
      <c r="P34" s="22">
        <f t="shared" si="12"/>
        <v>0</v>
      </c>
      <c r="Q34" s="22"/>
      <c r="R34" s="22"/>
      <c r="S34" s="22">
        <f t="shared" si="6"/>
        <v>240.52228154093166</v>
      </c>
      <c r="T34" s="22">
        <f t="shared" si="7"/>
        <v>772.89369405042817</v>
      </c>
    </row>
    <row r="35" spans="1:20" x14ac:dyDescent="0.2">
      <c r="A35" s="5">
        <v>44</v>
      </c>
      <c r="B35" s="1">
        <f t="shared" si="8"/>
        <v>1.6386164402903955</v>
      </c>
      <c r="C35" s="5">
        <f t="shared" si="9"/>
        <v>76273.072363008905</v>
      </c>
      <c r="D35" s="5">
        <f t="shared" si="0"/>
        <v>74452.880192118639</v>
      </c>
      <c r="E35" s="5">
        <f t="shared" si="1"/>
        <v>64952.880192118639</v>
      </c>
      <c r="F35" s="5">
        <f t="shared" si="2"/>
        <v>24554.153401938602</v>
      </c>
      <c r="G35" s="5">
        <f t="shared" si="3"/>
        <v>49898.726790180037</v>
      </c>
      <c r="H35" s="22">
        <f t="shared" si="10"/>
        <v>31861.860444285438</v>
      </c>
      <c r="I35" s="5">
        <f t="shared" si="4"/>
        <v>80804.731421136908</v>
      </c>
      <c r="J35" s="26">
        <f t="shared" si="5"/>
        <v>0.22963056744697952</v>
      </c>
      <c r="L35" s="22">
        <f t="shared" si="11"/>
        <v>93418.922856500416</v>
      </c>
      <c r="M35" s="5">
        <f>scrimecost*Meta!O32</f>
        <v>1145.088</v>
      </c>
      <c r="N35" s="5">
        <f>L35-Grade17!L35</f>
        <v>554.70506650884636</v>
      </c>
      <c r="O35" s="5">
        <f>Grade17!M35-M35</f>
        <v>0</v>
      </c>
      <c r="P35" s="22">
        <f t="shared" si="12"/>
        <v>0</v>
      </c>
      <c r="Q35" s="22"/>
      <c r="R35" s="22"/>
      <c r="S35" s="22">
        <f t="shared" si="6"/>
        <v>246.53533857945769</v>
      </c>
      <c r="T35" s="22">
        <f t="shared" si="7"/>
        <v>839.83090417260917</v>
      </c>
    </row>
    <row r="36" spans="1:20" x14ac:dyDescent="0.2">
      <c r="A36" s="5">
        <v>45</v>
      </c>
      <c r="B36" s="1">
        <f t="shared" si="8"/>
        <v>1.6795818512976552</v>
      </c>
      <c r="C36" s="5">
        <f t="shared" si="9"/>
        <v>78179.899172084115</v>
      </c>
      <c r="D36" s="5">
        <f t="shared" si="0"/>
        <v>76302.502196921589</v>
      </c>
      <c r="E36" s="5">
        <f t="shared" si="1"/>
        <v>66802.502196921589</v>
      </c>
      <c r="F36" s="5">
        <f t="shared" si="2"/>
        <v>25343.017186987057</v>
      </c>
      <c r="G36" s="5">
        <f t="shared" si="3"/>
        <v>50959.485009934535</v>
      </c>
      <c r="H36" s="22">
        <f t="shared" si="10"/>
        <v>32658.406955392569</v>
      </c>
      <c r="I36" s="5">
        <f t="shared" si="4"/>
        <v>82638.139756665332</v>
      </c>
      <c r="J36" s="26">
        <f t="shared" si="5"/>
        <v>0.23136719164542857</v>
      </c>
      <c r="L36" s="22">
        <f t="shared" si="11"/>
        <v>95754.395927912905</v>
      </c>
      <c r="M36" s="5">
        <f>scrimecost*Meta!O33</f>
        <v>925.4140000000001</v>
      </c>
      <c r="N36" s="5">
        <f>L36-Grade17!L36</f>
        <v>568.57269317154714</v>
      </c>
      <c r="O36" s="5">
        <f>Grade17!M36-M36</f>
        <v>0</v>
      </c>
      <c r="P36" s="22">
        <f t="shared" si="12"/>
        <v>0</v>
      </c>
      <c r="Q36" s="22"/>
      <c r="R36" s="22"/>
      <c r="S36" s="22">
        <f t="shared" si="6"/>
        <v>252.69872204393508</v>
      </c>
      <c r="T36" s="22">
        <f t="shared" si="7"/>
        <v>912.56527648332735</v>
      </c>
    </row>
    <row r="37" spans="1:20" x14ac:dyDescent="0.2">
      <c r="A37" s="5">
        <v>46</v>
      </c>
      <c r="B37" s="1">
        <f t="shared" ref="B37:B56" si="13">(1+experiencepremium)^(A37-startage)</f>
        <v>1.7215713975800966</v>
      </c>
      <c r="C37" s="5">
        <f t="shared" ref="C37:C56" si="14">pretaxincome*B37/expnorm</f>
        <v>80134.396651386225</v>
      </c>
      <c r="D37" s="5">
        <f t="shared" ref="D37:D56" si="15">IF(A37&lt;startage,1,0)*(C37*(1-initialunempprob))+IF(A37=startage,1,0)*(C37*(1-unempprob))+IF(A37&gt;startage,1,0)*(C37*(1-unempprob)+unempprob*300*52)</f>
        <v>78198.364751844638</v>
      </c>
      <c r="E37" s="5">
        <f t="shared" si="1"/>
        <v>68698.364751844638</v>
      </c>
      <c r="F37" s="5">
        <f t="shared" si="2"/>
        <v>26151.602566661739</v>
      </c>
      <c r="G37" s="5">
        <f t="shared" si="3"/>
        <v>52046.762185182903</v>
      </c>
      <c r="H37" s="22">
        <f t="shared" ref="H37:H56" si="16">benefits*B37/expnorm</f>
        <v>33474.86712927738</v>
      </c>
      <c r="I37" s="5">
        <f t="shared" ref="I37:I56" si="17">G37+IF(A37&lt;startage,1,0)*(H37*(1-initialunempprob))+IF(A37&gt;=startage,1,0)*(H37*(1-unempprob))</f>
        <v>84517.383300581962</v>
      </c>
      <c r="J37" s="26">
        <f t="shared" si="5"/>
        <v>0.2330614591561106</v>
      </c>
      <c r="L37" s="22">
        <f t="shared" ref="L37:L56" si="18">(sincome+sbenefits)*(1-sunemp)*B37/expnorm</f>
        <v>98148.255826110733</v>
      </c>
      <c r="M37" s="5">
        <f>scrimecost*Meta!O34</f>
        <v>925.4140000000001</v>
      </c>
      <c r="N37" s="5">
        <f>L37-Grade17!L37</f>
        <v>582.78701050083328</v>
      </c>
      <c r="O37" s="5">
        <f>Grade17!M37-M37</f>
        <v>0</v>
      </c>
      <c r="P37" s="22">
        <f t="shared" si="12"/>
        <v>0</v>
      </c>
      <c r="Q37" s="22"/>
      <c r="R37" s="22"/>
      <c r="S37" s="22">
        <f t="shared" si="6"/>
        <v>259.01619009503236</v>
      </c>
      <c r="T37" s="22">
        <f t="shared" si="7"/>
        <v>991.59887985255534</v>
      </c>
    </row>
    <row r="38" spans="1:20" x14ac:dyDescent="0.2">
      <c r="A38" s="5">
        <v>47</v>
      </c>
      <c r="B38" s="1">
        <f t="shared" si="13"/>
        <v>1.7646106825195991</v>
      </c>
      <c r="C38" s="5">
        <f t="shared" si="14"/>
        <v>82137.756567670876</v>
      </c>
      <c r="D38" s="5">
        <f t="shared" si="15"/>
        <v>80141.623870640746</v>
      </c>
      <c r="E38" s="5">
        <f t="shared" si="1"/>
        <v>70641.623870640746</v>
      </c>
      <c r="F38" s="5">
        <f t="shared" si="2"/>
        <v>26980.402580828279</v>
      </c>
      <c r="G38" s="5">
        <f t="shared" si="3"/>
        <v>53161.221289812471</v>
      </c>
      <c r="H38" s="22">
        <f t="shared" si="16"/>
        <v>34311.738807509319</v>
      </c>
      <c r="I38" s="5">
        <f t="shared" si="17"/>
        <v>86443.6079330965</v>
      </c>
      <c r="J38" s="26">
        <f t="shared" si="5"/>
        <v>0.23471440306897109</v>
      </c>
      <c r="L38" s="22">
        <f t="shared" si="18"/>
        <v>100601.96222176352</v>
      </c>
      <c r="M38" s="5">
        <f>scrimecost*Meta!O35</f>
        <v>925.4140000000001</v>
      </c>
      <c r="N38" s="5">
        <f>L38-Grade17!L38</f>
        <v>597.35668576337048</v>
      </c>
      <c r="O38" s="5">
        <f>Grade17!M38-M38</f>
        <v>0</v>
      </c>
      <c r="P38" s="22">
        <f t="shared" si="12"/>
        <v>0</v>
      </c>
      <c r="Q38" s="22"/>
      <c r="R38" s="22"/>
      <c r="S38" s="22">
        <f t="shared" si="6"/>
        <v>265.4915948474154</v>
      </c>
      <c r="T38" s="22">
        <f t="shared" si="7"/>
        <v>1077.4772653130176</v>
      </c>
    </row>
    <row r="39" spans="1:20" x14ac:dyDescent="0.2">
      <c r="A39" s="5">
        <v>48</v>
      </c>
      <c r="B39" s="1">
        <f t="shared" si="13"/>
        <v>1.8087259495825889</v>
      </c>
      <c r="C39" s="5">
        <f t="shared" si="14"/>
        <v>84191.200481862645</v>
      </c>
      <c r="D39" s="5">
        <f t="shared" si="15"/>
        <v>82133.464467406768</v>
      </c>
      <c r="E39" s="5">
        <f t="shared" si="1"/>
        <v>72633.464467406768</v>
      </c>
      <c r="F39" s="5">
        <f t="shared" si="2"/>
        <v>27829.922595348988</v>
      </c>
      <c r="G39" s="5">
        <f t="shared" si="3"/>
        <v>54303.54187205778</v>
      </c>
      <c r="H39" s="22">
        <f t="shared" si="16"/>
        <v>35169.53227769705</v>
      </c>
      <c r="I39" s="5">
        <f t="shared" si="17"/>
        <v>88417.98818142392</v>
      </c>
      <c r="J39" s="26">
        <f t="shared" si="5"/>
        <v>0.23632703127663987</v>
      </c>
      <c r="L39" s="22">
        <f t="shared" si="18"/>
        <v>103117.01127730758</v>
      </c>
      <c r="M39" s="5">
        <f>scrimecost*Meta!O36</f>
        <v>925.4140000000001</v>
      </c>
      <c r="N39" s="5">
        <f>L39-Grade17!L39</f>
        <v>612.2906029074511</v>
      </c>
      <c r="O39" s="5">
        <f>Grade17!M39-M39</f>
        <v>0</v>
      </c>
      <c r="P39" s="22">
        <f t="shared" si="12"/>
        <v>0</v>
      </c>
      <c r="Q39" s="22"/>
      <c r="R39" s="22"/>
      <c r="S39" s="22">
        <f t="shared" si="6"/>
        <v>272.12888471859918</v>
      </c>
      <c r="T39" s="22">
        <f t="shared" si="7"/>
        <v>1170.7932318751789</v>
      </c>
    </row>
    <row r="40" spans="1:20" x14ac:dyDescent="0.2">
      <c r="A40" s="5">
        <v>49</v>
      </c>
      <c r="B40" s="1">
        <f t="shared" si="13"/>
        <v>1.8539440983221533</v>
      </c>
      <c r="C40" s="5">
        <f t="shared" si="14"/>
        <v>86295.980493909199</v>
      </c>
      <c r="D40" s="5">
        <f t="shared" si="15"/>
        <v>84175.101079091924</v>
      </c>
      <c r="E40" s="5">
        <f t="shared" si="1"/>
        <v>74675.101079091924</v>
      </c>
      <c r="F40" s="5">
        <f t="shared" si="2"/>
        <v>28700.680610232703</v>
      </c>
      <c r="G40" s="5">
        <f t="shared" si="3"/>
        <v>55474.420468859222</v>
      </c>
      <c r="H40" s="22">
        <f t="shared" si="16"/>
        <v>36048.770584639467</v>
      </c>
      <c r="I40" s="5">
        <f t="shared" si="17"/>
        <v>90441.727935959498</v>
      </c>
      <c r="J40" s="26">
        <f t="shared" si="5"/>
        <v>0.23790032708899966</v>
      </c>
      <c r="L40" s="22">
        <f t="shared" si="18"/>
        <v>105694.93655924026</v>
      </c>
      <c r="M40" s="5">
        <f>scrimecost*Meta!O37</f>
        <v>925.4140000000001</v>
      </c>
      <c r="N40" s="5">
        <f>L40-Grade17!L40</f>
        <v>627.59786798013374</v>
      </c>
      <c r="O40" s="5">
        <f>Grade17!M40-M40</f>
        <v>0</v>
      </c>
      <c r="P40" s="22">
        <f t="shared" si="12"/>
        <v>0</v>
      </c>
      <c r="Q40" s="22"/>
      <c r="R40" s="22"/>
      <c r="S40" s="22">
        <f t="shared" si="6"/>
        <v>278.93210683656258</v>
      </c>
      <c r="T40" s="22">
        <f t="shared" si="7"/>
        <v>1272.1909184844924</v>
      </c>
    </row>
    <row r="41" spans="1:20" x14ac:dyDescent="0.2">
      <c r="A41" s="5">
        <v>50</v>
      </c>
      <c r="B41" s="1">
        <f t="shared" si="13"/>
        <v>1.9002927007802071</v>
      </c>
      <c r="C41" s="5">
        <f t="shared" si="14"/>
        <v>88453.380006256921</v>
      </c>
      <c r="D41" s="5">
        <f t="shared" si="15"/>
        <v>86267.778606069216</v>
      </c>
      <c r="E41" s="5">
        <f t="shared" si="1"/>
        <v>76767.778606069216</v>
      </c>
      <c r="F41" s="5">
        <f t="shared" si="2"/>
        <v>29593.207575488523</v>
      </c>
      <c r="G41" s="5">
        <f t="shared" si="3"/>
        <v>56674.571030580693</v>
      </c>
      <c r="H41" s="22">
        <f t="shared" si="16"/>
        <v>36949.989849255457</v>
      </c>
      <c r="I41" s="5">
        <f t="shared" si="17"/>
        <v>92516.061184358492</v>
      </c>
      <c r="J41" s="26">
        <f t="shared" si="5"/>
        <v>0.23943524983276537</v>
      </c>
      <c r="L41" s="22">
        <f t="shared" si="18"/>
        <v>108337.30997322126</v>
      </c>
      <c r="M41" s="5">
        <f>scrimecost*Meta!O38</f>
        <v>618.26800000000003</v>
      </c>
      <c r="N41" s="5">
        <f>L41-Grade17!L41</f>
        <v>643.28781467962835</v>
      </c>
      <c r="O41" s="5">
        <f>Grade17!M41-M41</f>
        <v>0</v>
      </c>
      <c r="P41" s="22">
        <f t="shared" si="12"/>
        <v>0</v>
      </c>
      <c r="Q41" s="22"/>
      <c r="R41" s="22"/>
      <c r="S41" s="22">
        <f t="shared" si="6"/>
        <v>285.90540950747277</v>
      </c>
      <c r="T41" s="22">
        <f t="shared" si="7"/>
        <v>1382.3702503662512</v>
      </c>
    </row>
    <row r="42" spans="1:20" x14ac:dyDescent="0.2">
      <c r="A42" s="5">
        <v>51</v>
      </c>
      <c r="B42" s="1">
        <f t="shared" si="13"/>
        <v>1.9478000182997122</v>
      </c>
      <c r="C42" s="5">
        <f t="shared" si="14"/>
        <v>90664.714506413336</v>
      </c>
      <c r="D42" s="5">
        <f t="shared" si="15"/>
        <v>88412.77307122093</v>
      </c>
      <c r="E42" s="5">
        <f t="shared" si="1"/>
        <v>78912.77307122093</v>
      </c>
      <c r="F42" s="5">
        <f t="shared" si="2"/>
        <v>30508.047714875727</v>
      </c>
      <c r="G42" s="5">
        <f t="shared" si="3"/>
        <v>57904.725356345203</v>
      </c>
      <c r="H42" s="22">
        <f t="shared" si="16"/>
        <v>37873.739595486841</v>
      </c>
      <c r="I42" s="5">
        <f t="shared" si="17"/>
        <v>94642.252763967437</v>
      </c>
      <c r="J42" s="26">
        <f t="shared" si="5"/>
        <v>0.24093273543643912</v>
      </c>
      <c r="L42" s="22">
        <f t="shared" si="18"/>
        <v>111045.74272255179</v>
      </c>
      <c r="M42" s="5">
        <f>scrimecost*Meta!O39</f>
        <v>618.26800000000003</v>
      </c>
      <c r="N42" s="5">
        <f>L42-Grade17!L42</f>
        <v>659.37001004662307</v>
      </c>
      <c r="O42" s="5">
        <f>Grade17!M42-M42</f>
        <v>0</v>
      </c>
      <c r="P42" s="22">
        <f t="shared" si="12"/>
        <v>0</v>
      </c>
      <c r="Q42" s="22"/>
      <c r="R42" s="22"/>
      <c r="S42" s="22">
        <f t="shared" si="6"/>
        <v>293.05304474516134</v>
      </c>
      <c r="T42" s="22">
        <f t="shared" si="7"/>
        <v>1502.0917704507126</v>
      </c>
    </row>
    <row r="43" spans="1:20" x14ac:dyDescent="0.2">
      <c r="A43" s="5">
        <v>52</v>
      </c>
      <c r="B43" s="1">
        <f t="shared" si="13"/>
        <v>1.9964950187572048</v>
      </c>
      <c r="C43" s="5">
        <f t="shared" si="14"/>
        <v>92931.332369073658</v>
      </c>
      <c r="D43" s="5">
        <f t="shared" si="15"/>
        <v>90611.392398001452</v>
      </c>
      <c r="E43" s="5">
        <f t="shared" si="1"/>
        <v>81111.392398001452</v>
      </c>
      <c r="F43" s="5">
        <f t="shared" si="2"/>
        <v>31445.75885774762</v>
      </c>
      <c r="G43" s="5">
        <f t="shared" si="3"/>
        <v>59165.633540253832</v>
      </c>
      <c r="H43" s="22">
        <f t="shared" si="16"/>
        <v>38820.583085374004</v>
      </c>
      <c r="I43" s="5">
        <f t="shared" si="17"/>
        <v>96821.599133066615</v>
      </c>
      <c r="J43" s="26">
        <f t="shared" si="5"/>
        <v>0.24239369700099894</v>
      </c>
      <c r="L43" s="22">
        <f t="shared" si="18"/>
        <v>113821.88629061557</v>
      </c>
      <c r="M43" s="5">
        <f>scrimecost*Meta!O40</f>
        <v>618.26800000000003</v>
      </c>
      <c r="N43" s="5">
        <f>L43-Grade17!L43</f>
        <v>675.85426029776863</v>
      </c>
      <c r="O43" s="5">
        <f>Grade17!M43-M43</f>
        <v>0</v>
      </c>
      <c r="P43" s="22">
        <f t="shared" si="12"/>
        <v>0</v>
      </c>
      <c r="Q43" s="22"/>
      <c r="R43" s="22"/>
      <c r="S43" s="22">
        <f t="shared" si="6"/>
        <v>300.37937086378145</v>
      </c>
      <c r="T43" s="22">
        <f t="shared" si="7"/>
        <v>1632.1818892282199</v>
      </c>
    </row>
    <row r="44" spans="1:20" x14ac:dyDescent="0.2">
      <c r="A44" s="5">
        <v>53</v>
      </c>
      <c r="B44" s="1">
        <f t="shared" si="13"/>
        <v>2.0464073942261352</v>
      </c>
      <c r="C44" s="5">
        <f t="shared" si="14"/>
        <v>95254.615678300514</v>
      </c>
      <c r="D44" s="5">
        <f t="shared" si="15"/>
        <v>92864.977207951495</v>
      </c>
      <c r="E44" s="5">
        <f t="shared" si="1"/>
        <v>83364.977207951495</v>
      </c>
      <c r="F44" s="5">
        <f t="shared" si="2"/>
        <v>32406.912779191312</v>
      </c>
      <c r="G44" s="5">
        <f t="shared" si="3"/>
        <v>60458.064428760183</v>
      </c>
      <c r="H44" s="22">
        <f t="shared" si="16"/>
        <v>39791.097662508364</v>
      </c>
      <c r="I44" s="5">
        <f t="shared" si="17"/>
        <v>99055.429161393287</v>
      </c>
      <c r="J44" s="26">
        <f t="shared" si="5"/>
        <v>0.24381902535666705</v>
      </c>
      <c r="L44" s="22">
        <f t="shared" si="18"/>
        <v>116667.43344788098</v>
      </c>
      <c r="M44" s="5">
        <f>scrimecost*Meta!O41</f>
        <v>618.26800000000003</v>
      </c>
      <c r="N44" s="5">
        <f>L44-Grade17!L44</f>
        <v>692.75061680526414</v>
      </c>
      <c r="O44" s="5">
        <f>Grade17!M44-M44</f>
        <v>0</v>
      </c>
      <c r="P44" s="22">
        <f t="shared" si="12"/>
        <v>0</v>
      </c>
      <c r="Q44" s="22"/>
      <c r="R44" s="22"/>
      <c r="S44" s="22">
        <f t="shared" si="6"/>
        <v>307.88885513539879</v>
      </c>
      <c r="T44" s="22">
        <f t="shared" si="7"/>
        <v>1773.5385892737577</v>
      </c>
    </row>
    <row r="45" spans="1:20" x14ac:dyDescent="0.2">
      <c r="A45" s="5">
        <v>54</v>
      </c>
      <c r="B45" s="1">
        <f t="shared" si="13"/>
        <v>2.097567579081788</v>
      </c>
      <c r="C45" s="5">
        <f t="shared" si="14"/>
        <v>97635.981070258</v>
      </c>
      <c r="D45" s="5">
        <f t="shared" si="15"/>
        <v>95174.901638150259</v>
      </c>
      <c r="E45" s="5">
        <f t="shared" si="1"/>
        <v>85674.901638150259</v>
      </c>
      <c r="F45" s="5">
        <f t="shared" si="2"/>
        <v>33454.342597815594</v>
      </c>
      <c r="G45" s="5">
        <f t="shared" si="3"/>
        <v>61720.559040334665</v>
      </c>
      <c r="H45" s="22">
        <f t="shared" si="16"/>
        <v>40785.875104071056</v>
      </c>
      <c r="I45" s="5">
        <f t="shared" si="17"/>
        <v>101282.85789128358</v>
      </c>
      <c r="J45" s="26">
        <f t="shared" si="5"/>
        <v>0.24567318847253902</v>
      </c>
      <c r="L45" s="22">
        <f t="shared" si="18"/>
        <v>119584.11928407797</v>
      </c>
      <c r="M45" s="5">
        <f>scrimecost*Meta!O42</f>
        <v>618.26800000000003</v>
      </c>
      <c r="N45" s="5">
        <f>L45-Grade17!L45</f>
        <v>710.06938222532335</v>
      </c>
      <c r="O45" s="5">
        <f>Grade17!M45-M45</f>
        <v>0</v>
      </c>
      <c r="P45" s="22">
        <f t="shared" si="12"/>
        <v>0</v>
      </c>
      <c r="Q45" s="22"/>
      <c r="R45" s="22"/>
      <c r="S45" s="22">
        <f t="shared" si="6"/>
        <v>315.58607651375155</v>
      </c>
      <c r="T45" s="22">
        <f t="shared" si="7"/>
        <v>1927.1376238158873</v>
      </c>
    </row>
    <row r="46" spans="1:20" x14ac:dyDescent="0.2">
      <c r="A46" s="5">
        <v>55</v>
      </c>
      <c r="B46" s="1">
        <f t="shared" si="13"/>
        <v>2.1500067685588333</v>
      </c>
      <c r="C46" s="5">
        <f t="shared" si="14"/>
        <v>100076.88059701449</v>
      </c>
      <c r="D46" s="5">
        <f t="shared" si="15"/>
        <v>97542.574179104049</v>
      </c>
      <c r="E46" s="5">
        <f t="shared" si="1"/>
        <v>88042.574179104049</v>
      </c>
      <c r="F46" s="5">
        <f t="shared" si="2"/>
        <v>34535.185112760999</v>
      </c>
      <c r="G46" s="5">
        <f t="shared" si="3"/>
        <v>63007.38906634305</v>
      </c>
      <c r="H46" s="22">
        <f t="shared" si="16"/>
        <v>41805.52198167285</v>
      </c>
      <c r="I46" s="5">
        <f t="shared" si="17"/>
        <v>103558.74538856572</v>
      </c>
      <c r="J46" s="26">
        <f t="shared" si="5"/>
        <v>0.24753463964723268</v>
      </c>
      <c r="L46" s="22">
        <f t="shared" si="18"/>
        <v>122573.72226617996</v>
      </c>
      <c r="M46" s="5">
        <f>scrimecost*Meta!O43</f>
        <v>342.92999999999995</v>
      </c>
      <c r="N46" s="5">
        <f>L46-Grade17!L46</f>
        <v>727.82111678102228</v>
      </c>
      <c r="O46" s="5">
        <f>Grade17!M46-M46</f>
        <v>0</v>
      </c>
      <c r="P46" s="22">
        <f t="shared" si="12"/>
        <v>0</v>
      </c>
      <c r="Q46" s="22"/>
      <c r="R46" s="22"/>
      <c r="S46" s="22">
        <f t="shared" ref="S46:S69" si="19">IF(A46&lt;startage,1,0)*(N46-Q46-R46)+IF(A46&gt;=startage,1,0)*completionprob*(N46*spart+O46+P46)</f>
        <v>323.47572842662464</v>
      </c>
      <c r="T46" s="22">
        <f t="shared" ref="T46:T69" si="20">S46/sreturn^(A46-startage+1)</f>
        <v>2094.0392521418094</v>
      </c>
    </row>
    <row r="47" spans="1:20" x14ac:dyDescent="0.2">
      <c r="A47" s="5">
        <v>56</v>
      </c>
      <c r="B47" s="1">
        <f t="shared" si="13"/>
        <v>2.2037569377728037</v>
      </c>
      <c r="C47" s="5">
        <f t="shared" si="14"/>
        <v>102578.80261193983</v>
      </c>
      <c r="D47" s="5">
        <f t="shared" si="15"/>
        <v>99969.438533581633</v>
      </c>
      <c r="E47" s="5">
        <f t="shared" si="1"/>
        <v>90469.438533581633</v>
      </c>
      <c r="F47" s="5">
        <f t="shared" si="2"/>
        <v>35643.048690580013</v>
      </c>
      <c r="G47" s="5">
        <f t="shared" si="3"/>
        <v>64326.38984300162</v>
      </c>
      <c r="H47" s="22">
        <f t="shared" si="16"/>
        <v>42850.660031214662</v>
      </c>
      <c r="I47" s="5">
        <f t="shared" si="17"/>
        <v>105891.53007327984</v>
      </c>
      <c r="J47" s="26">
        <f t="shared" si="5"/>
        <v>0.24935068957376308</v>
      </c>
      <c r="L47" s="22">
        <f t="shared" si="18"/>
        <v>125638.06532283442</v>
      </c>
      <c r="M47" s="5">
        <f>scrimecost*Meta!O44</f>
        <v>342.92999999999995</v>
      </c>
      <c r="N47" s="5">
        <f>L47-Grade17!L47</f>
        <v>746.01664470050309</v>
      </c>
      <c r="O47" s="5">
        <f>Grade17!M47-M47</f>
        <v>0</v>
      </c>
      <c r="P47" s="22">
        <f t="shared" si="12"/>
        <v>0</v>
      </c>
      <c r="Q47" s="22"/>
      <c r="R47" s="22"/>
      <c r="S47" s="22">
        <f t="shared" si="19"/>
        <v>331.56262163727035</v>
      </c>
      <c r="T47" s="22">
        <f t="shared" si="20"/>
        <v>2275.3955583241191</v>
      </c>
    </row>
    <row r="48" spans="1:20" x14ac:dyDescent="0.2">
      <c r="A48" s="5">
        <v>57</v>
      </c>
      <c r="B48" s="1">
        <f t="shared" si="13"/>
        <v>2.2588508612171236</v>
      </c>
      <c r="C48" s="5">
        <f t="shared" si="14"/>
        <v>105143.27267723832</v>
      </c>
      <c r="D48" s="5">
        <f t="shared" si="15"/>
        <v>102456.97449692116</v>
      </c>
      <c r="E48" s="5">
        <f t="shared" si="1"/>
        <v>92956.974496921161</v>
      </c>
      <c r="F48" s="5">
        <f t="shared" si="2"/>
        <v>36778.608857844505</v>
      </c>
      <c r="G48" s="5">
        <f t="shared" si="3"/>
        <v>65678.365639076655</v>
      </c>
      <c r="H48" s="22">
        <f t="shared" si="16"/>
        <v>43921.926531995028</v>
      </c>
      <c r="I48" s="5">
        <f t="shared" si="17"/>
        <v>108282.63437511184</v>
      </c>
      <c r="J48" s="26">
        <f t="shared" si="5"/>
        <v>0.2511224455996463</v>
      </c>
      <c r="L48" s="22">
        <f t="shared" si="18"/>
        <v>128779.01695590527</v>
      </c>
      <c r="M48" s="5">
        <f>scrimecost*Meta!O45</f>
        <v>342.92999999999995</v>
      </c>
      <c r="N48" s="5">
        <f>L48-Grade17!L48</f>
        <v>764.66706081801385</v>
      </c>
      <c r="O48" s="5">
        <f>Grade17!M48-M48</f>
        <v>0</v>
      </c>
      <c r="P48" s="22">
        <f t="shared" si="12"/>
        <v>0</v>
      </c>
      <c r="Q48" s="22"/>
      <c r="R48" s="22"/>
      <c r="S48" s="22">
        <f t="shared" si="19"/>
        <v>339.8516871782013</v>
      </c>
      <c r="T48" s="22">
        <f t="shared" si="20"/>
        <v>2472.4584037982549</v>
      </c>
    </row>
    <row r="49" spans="1:20" x14ac:dyDescent="0.2">
      <c r="A49" s="5">
        <v>58</v>
      </c>
      <c r="B49" s="1">
        <f t="shared" si="13"/>
        <v>2.3153221327475517</v>
      </c>
      <c r="C49" s="5">
        <f t="shared" si="14"/>
        <v>107771.85449416927</v>
      </c>
      <c r="D49" s="5">
        <f t="shared" si="15"/>
        <v>105006.69885934419</v>
      </c>
      <c r="E49" s="5">
        <f t="shared" si="1"/>
        <v>95506.698859344193</v>
      </c>
      <c r="F49" s="5">
        <f t="shared" si="2"/>
        <v>37942.558029290623</v>
      </c>
      <c r="G49" s="5">
        <f t="shared" si="3"/>
        <v>67064.14083005357</v>
      </c>
      <c r="H49" s="22">
        <f t="shared" si="16"/>
        <v>45019.974695294899</v>
      </c>
      <c r="I49" s="5">
        <f t="shared" si="17"/>
        <v>110733.51628448963</v>
      </c>
      <c r="J49" s="26">
        <f t="shared" si="5"/>
        <v>0.25285098806392275</v>
      </c>
      <c r="L49" s="22">
        <f t="shared" si="18"/>
        <v>131998.49237980292</v>
      </c>
      <c r="M49" s="5">
        <f>scrimecost*Meta!O46</f>
        <v>342.92999999999995</v>
      </c>
      <c r="N49" s="5">
        <f>L49-Grade17!L49</f>
        <v>783.78373733852641</v>
      </c>
      <c r="O49" s="5">
        <f>Grade17!M49-M49</f>
        <v>0</v>
      </c>
      <c r="P49" s="22">
        <f t="shared" si="12"/>
        <v>0</v>
      </c>
      <c r="Q49" s="22"/>
      <c r="R49" s="22"/>
      <c r="S49" s="22">
        <f t="shared" si="19"/>
        <v>348.34797935768398</v>
      </c>
      <c r="T49" s="22">
        <f t="shared" si="20"/>
        <v>2686.5880686765136</v>
      </c>
    </row>
    <row r="50" spans="1:20" x14ac:dyDescent="0.2">
      <c r="A50" s="5">
        <v>59</v>
      </c>
      <c r="B50" s="1">
        <f t="shared" si="13"/>
        <v>2.3732051860662402</v>
      </c>
      <c r="C50" s="5">
        <f t="shared" si="14"/>
        <v>110466.1508565235</v>
      </c>
      <c r="D50" s="5">
        <f t="shared" si="15"/>
        <v>107620.16633082779</v>
      </c>
      <c r="E50" s="5">
        <f t="shared" si="1"/>
        <v>98120.166330827793</v>
      </c>
      <c r="F50" s="5">
        <f t="shared" si="2"/>
        <v>39084.755617511561</v>
      </c>
      <c r="G50" s="5">
        <f t="shared" si="3"/>
        <v>68535.410713316232</v>
      </c>
      <c r="H50" s="22">
        <f t="shared" si="16"/>
        <v>46145.474062677262</v>
      </c>
      <c r="I50" s="5">
        <f t="shared" si="17"/>
        <v>113296.52055411317</v>
      </c>
      <c r="J50" s="26">
        <f t="shared" si="5"/>
        <v>0.25420263844408242</v>
      </c>
      <c r="L50" s="22">
        <f t="shared" si="18"/>
        <v>135298.45468929797</v>
      </c>
      <c r="M50" s="5">
        <f>scrimecost*Meta!O47</f>
        <v>342.92999999999995</v>
      </c>
      <c r="N50" s="5">
        <f>L50-Grade17!L50</f>
        <v>803.37833077192772</v>
      </c>
      <c r="O50" s="5">
        <f>Grade17!M50-M50</f>
        <v>0</v>
      </c>
      <c r="P50" s="22">
        <f t="shared" si="12"/>
        <v>0</v>
      </c>
      <c r="Q50" s="22"/>
      <c r="R50" s="22"/>
      <c r="S50" s="22">
        <f t="shared" si="19"/>
        <v>357.05667884159863</v>
      </c>
      <c r="T50" s="22">
        <f t="shared" si="20"/>
        <v>2919.2626414526408</v>
      </c>
    </row>
    <row r="51" spans="1:20" x14ac:dyDescent="0.2">
      <c r="A51" s="5">
        <v>60</v>
      </c>
      <c r="B51" s="1">
        <f t="shared" si="13"/>
        <v>2.4325353157178964</v>
      </c>
      <c r="C51" s="5">
        <f t="shared" si="14"/>
        <v>113227.8046279366</v>
      </c>
      <c r="D51" s="5">
        <f t="shared" si="15"/>
        <v>110298.9704890985</v>
      </c>
      <c r="E51" s="5">
        <f t="shared" si="1"/>
        <v>100798.9704890985</v>
      </c>
      <c r="F51" s="5">
        <f t="shared" si="2"/>
        <v>40141.543857949357</v>
      </c>
      <c r="G51" s="5">
        <f t="shared" si="3"/>
        <v>70157.426631149137</v>
      </c>
      <c r="H51" s="22">
        <f t="shared" si="16"/>
        <v>47299.110914244207</v>
      </c>
      <c r="I51" s="5">
        <f t="shared" si="17"/>
        <v>116037.56421796602</v>
      </c>
      <c r="J51" s="26">
        <f t="shared" si="5"/>
        <v>0.25478942606077226</v>
      </c>
      <c r="L51" s="22">
        <f t="shared" si="18"/>
        <v>138680.91605653043</v>
      </c>
      <c r="M51" s="5">
        <f>scrimecost*Meta!O48</f>
        <v>180.90799999999999</v>
      </c>
      <c r="N51" s="5">
        <f>L51-Grade17!L51</f>
        <v>823.46278904128121</v>
      </c>
      <c r="O51" s="5">
        <f>Grade17!M51-M51</f>
        <v>0</v>
      </c>
      <c r="P51" s="22">
        <f t="shared" si="12"/>
        <v>0</v>
      </c>
      <c r="Q51" s="22"/>
      <c r="R51" s="22"/>
      <c r="S51" s="22">
        <f t="shared" si="19"/>
        <v>365.98309581266318</v>
      </c>
      <c r="T51" s="22">
        <f t="shared" si="20"/>
        <v>3172.0882219135633</v>
      </c>
    </row>
    <row r="52" spans="1:20" x14ac:dyDescent="0.2">
      <c r="A52" s="5">
        <v>61</v>
      </c>
      <c r="B52" s="1">
        <f t="shared" si="13"/>
        <v>2.4933486986108435</v>
      </c>
      <c r="C52" s="5">
        <f t="shared" si="14"/>
        <v>116058.49974363499</v>
      </c>
      <c r="D52" s="5">
        <f t="shared" si="15"/>
        <v>113044.74475132594</v>
      </c>
      <c r="E52" s="5">
        <f t="shared" si="1"/>
        <v>103544.74475132594</v>
      </c>
      <c r="F52" s="5">
        <f t="shared" si="2"/>
        <v>41224.751804398082</v>
      </c>
      <c r="G52" s="5">
        <f t="shared" si="3"/>
        <v>71819.992946927858</v>
      </c>
      <c r="H52" s="22">
        <f t="shared" si="16"/>
        <v>48481.588687100302</v>
      </c>
      <c r="I52" s="5">
        <f t="shared" si="17"/>
        <v>118847.13397341516</v>
      </c>
      <c r="J52" s="26">
        <f t="shared" si="5"/>
        <v>0.25536190178437213</v>
      </c>
      <c r="L52" s="22">
        <f t="shared" si="18"/>
        <v>142147.93895794367</v>
      </c>
      <c r="M52" s="5">
        <f>scrimecost*Meta!O49</f>
        <v>180.90799999999999</v>
      </c>
      <c r="N52" s="5">
        <f>L52-Grade17!L52</f>
        <v>844.04935876731179</v>
      </c>
      <c r="O52" s="5">
        <f>Grade17!M52-M52</f>
        <v>0</v>
      </c>
      <c r="P52" s="22">
        <f t="shared" si="12"/>
        <v>0</v>
      </c>
      <c r="Q52" s="22"/>
      <c r="R52" s="22"/>
      <c r="S52" s="22">
        <f t="shared" si="19"/>
        <v>375.13267320797911</v>
      </c>
      <c r="T52" s="22">
        <f t="shared" si="20"/>
        <v>3446.8100076788846</v>
      </c>
    </row>
    <row r="53" spans="1:20" x14ac:dyDescent="0.2">
      <c r="A53" s="5">
        <v>62</v>
      </c>
      <c r="B53" s="1">
        <f t="shared" si="13"/>
        <v>2.555682416076114</v>
      </c>
      <c r="C53" s="5">
        <f t="shared" si="14"/>
        <v>118959.96223722583</v>
      </c>
      <c r="D53" s="5">
        <f t="shared" si="15"/>
        <v>115859.16337010905</v>
      </c>
      <c r="E53" s="5">
        <f t="shared" si="1"/>
        <v>106359.16337010905</v>
      </c>
      <c r="F53" s="5">
        <f t="shared" si="2"/>
        <v>42335.039949508013</v>
      </c>
      <c r="G53" s="5">
        <f t="shared" si="3"/>
        <v>73524.123420601041</v>
      </c>
      <c r="H53" s="22">
        <f t="shared" si="16"/>
        <v>49693.628404277799</v>
      </c>
      <c r="I53" s="5">
        <f t="shared" si="17"/>
        <v>121726.9429727505</v>
      </c>
      <c r="J53" s="26">
        <f t="shared" si="5"/>
        <v>0.25592041468544502</v>
      </c>
      <c r="L53" s="22">
        <f t="shared" si="18"/>
        <v>145701.63743189225</v>
      </c>
      <c r="M53" s="5">
        <f>scrimecost*Meta!O50</f>
        <v>180.90799999999999</v>
      </c>
      <c r="N53" s="5">
        <f>L53-Grade17!L53</f>
        <v>865.1505927364633</v>
      </c>
      <c r="O53" s="5">
        <f>Grade17!M53-M53</f>
        <v>0</v>
      </c>
      <c r="P53" s="22">
        <f t="shared" si="12"/>
        <v>0</v>
      </c>
      <c r="Q53" s="22"/>
      <c r="R53" s="22"/>
      <c r="S53" s="22">
        <f t="shared" si="19"/>
        <v>384.51099003816466</v>
      </c>
      <c r="T53" s="22">
        <f t="shared" si="20"/>
        <v>3745.3243409062529</v>
      </c>
    </row>
    <row r="54" spans="1:20" x14ac:dyDescent="0.2">
      <c r="A54" s="5">
        <v>63</v>
      </c>
      <c r="B54" s="1">
        <f t="shared" si="13"/>
        <v>2.6195744764780171</v>
      </c>
      <c r="C54" s="5">
        <f t="shared" si="14"/>
        <v>121933.96129315649</v>
      </c>
      <c r="D54" s="5">
        <f t="shared" si="15"/>
        <v>118743.94245436179</v>
      </c>
      <c r="E54" s="5">
        <f t="shared" si="1"/>
        <v>109243.94245436179</v>
      </c>
      <c r="F54" s="5">
        <f t="shared" si="2"/>
        <v>43473.085298245729</v>
      </c>
      <c r="G54" s="5">
        <f t="shared" si="3"/>
        <v>75270.857156116064</v>
      </c>
      <c r="H54" s="22">
        <f t="shared" si="16"/>
        <v>50935.969114384745</v>
      </c>
      <c r="I54" s="5">
        <f t="shared" si="17"/>
        <v>124678.74719706926</v>
      </c>
      <c r="J54" s="26">
        <f t="shared" si="5"/>
        <v>0.25646530532063833</v>
      </c>
      <c r="L54" s="22">
        <f t="shared" si="18"/>
        <v>149344.17836768954</v>
      </c>
      <c r="M54" s="5">
        <f>scrimecost*Meta!O51</f>
        <v>180.90799999999999</v>
      </c>
      <c r="N54" s="5">
        <f>L54-Grade17!L54</f>
        <v>886.77935755488579</v>
      </c>
      <c r="O54" s="5">
        <f>Grade17!M54-M54</f>
        <v>0</v>
      </c>
      <c r="P54" s="22">
        <f t="shared" si="12"/>
        <v>0</v>
      </c>
      <c r="Q54" s="22"/>
      <c r="R54" s="22"/>
      <c r="S54" s="22">
        <f t="shared" si="19"/>
        <v>394.12376478912364</v>
      </c>
      <c r="T54" s="22">
        <f t="shared" si="20"/>
        <v>4069.6917983105668</v>
      </c>
    </row>
    <row r="55" spans="1:20" x14ac:dyDescent="0.2">
      <c r="A55" s="5">
        <v>64</v>
      </c>
      <c r="B55" s="1">
        <f t="shared" si="13"/>
        <v>2.6850638383899672</v>
      </c>
      <c r="C55" s="5">
        <f t="shared" si="14"/>
        <v>124982.31032548538</v>
      </c>
      <c r="D55" s="5">
        <f t="shared" si="15"/>
        <v>121700.84101572081</v>
      </c>
      <c r="E55" s="5">
        <f t="shared" si="1"/>
        <v>112200.84101572081</v>
      </c>
      <c r="F55" s="5">
        <f t="shared" si="2"/>
        <v>44639.581780701854</v>
      </c>
      <c r="G55" s="5">
        <f t="shared" si="3"/>
        <v>77061.259235018952</v>
      </c>
      <c r="H55" s="22">
        <f t="shared" si="16"/>
        <v>52209.368342244357</v>
      </c>
      <c r="I55" s="5">
        <f t="shared" si="17"/>
        <v>127704.34652699597</v>
      </c>
      <c r="J55" s="26">
        <f t="shared" si="5"/>
        <v>0.25699690594033892</v>
      </c>
      <c r="L55" s="22">
        <f t="shared" si="18"/>
        <v>153077.78282688177</v>
      </c>
      <c r="M55" s="5">
        <f>scrimecost*Meta!O52</f>
        <v>180.90799999999999</v>
      </c>
      <c r="N55" s="5">
        <f>L55-Grade17!L55</f>
        <v>908.94884149372228</v>
      </c>
      <c r="O55" s="5">
        <f>Grade17!M55-M55</f>
        <v>0</v>
      </c>
      <c r="P55" s="22">
        <f t="shared" si="12"/>
        <v>0</v>
      </c>
      <c r="Q55" s="22"/>
      <c r="R55" s="22"/>
      <c r="S55" s="22">
        <f t="shared" si="19"/>
        <v>403.97685890883594</v>
      </c>
      <c r="T55" s="22">
        <f t="shared" si="20"/>
        <v>4422.1514148565984</v>
      </c>
    </row>
    <row r="56" spans="1:20" x14ac:dyDescent="0.2">
      <c r="A56" s="5">
        <v>65</v>
      </c>
      <c r="B56" s="1">
        <f t="shared" si="13"/>
        <v>2.7521904343497163</v>
      </c>
      <c r="C56" s="5">
        <f t="shared" si="14"/>
        <v>128106.86808362252</v>
      </c>
      <c r="D56" s="5">
        <f t="shared" si="15"/>
        <v>124731.66204111384</v>
      </c>
      <c r="E56" s="5">
        <f t="shared" si="1"/>
        <v>115231.66204111384</v>
      </c>
      <c r="F56" s="5">
        <f t="shared" si="2"/>
        <v>45835.240675219407</v>
      </c>
      <c r="G56" s="5">
        <f t="shared" si="3"/>
        <v>78896.421365894435</v>
      </c>
      <c r="H56" s="22">
        <f t="shared" si="16"/>
        <v>53514.602550800475</v>
      </c>
      <c r="I56" s="5">
        <f t="shared" si="17"/>
        <v>130805.5858401709</v>
      </c>
      <c r="J56" s="26">
        <f t="shared" si="5"/>
        <v>0.25751554069126642</v>
      </c>
      <c r="L56" s="22">
        <f t="shared" si="18"/>
        <v>156904.72739755383</v>
      </c>
      <c r="M56" s="5">
        <f>scrimecost*Meta!O53</f>
        <v>54.67</v>
      </c>
      <c r="N56" s="5">
        <f>L56-Grade17!L56</f>
        <v>931.67256253110827</v>
      </c>
      <c r="O56" s="5">
        <f>Grade17!M56-M56</f>
        <v>0</v>
      </c>
      <c r="P56" s="22">
        <f t="shared" si="12"/>
        <v>0</v>
      </c>
      <c r="Q56" s="22"/>
      <c r="R56" s="22"/>
      <c r="S56" s="22">
        <f t="shared" si="19"/>
        <v>414.07628038157583</v>
      </c>
      <c r="T56" s="22">
        <f t="shared" si="20"/>
        <v>4805.1361393110492</v>
      </c>
    </row>
    <row r="57" spans="1:20" x14ac:dyDescent="0.2">
      <c r="A57" s="5">
        <v>66</v>
      </c>
      <c r="C57" s="5"/>
      <c r="H57" s="21"/>
      <c r="I57" s="5"/>
      <c r="M57" s="5">
        <f>scrimecost*Meta!O54</f>
        <v>54.67</v>
      </c>
      <c r="N57" s="5">
        <f>L57-Grade17!L57</f>
        <v>0</v>
      </c>
      <c r="O57" s="5">
        <f>Grade17!M57-M57</f>
        <v>0</v>
      </c>
      <c r="Q57" s="22"/>
      <c r="R57" s="22"/>
      <c r="S57" s="22">
        <f t="shared" si="19"/>
        <v>0</v>
      </c>
      <c r="T57" s="22">
        <f t="shared" si="20"/>
        <v>0</v>
      </c>
    </row>
    <row r="58" spans="1:20" x14ac:dyDescent="0.2">
      <c r="A58" s="5">
        <v>67</v>
      </c>
      <c r="C58" s="5"/>
      <c r="H58" s="21"/>
      <c r="I58" s="5"/>
      <c r="M58" s="5">
        <f>scrimecost*Meta!O55</f>
        <v>54.67</v>
      </c>
      <c r="N58" s="5">
        <f>L58-Grade17!L58</f>
        <v>0</v>
      </c>
      <c r="O58" s="5">
        <f>Grade17!M58-M58</f>
        <v>0</v>
      </c>
      <c r="Q58" s="22"/>
      <c r="R58" s="22"/>
      <c r="S58" s="22">
        <f t="shared" si="19"/>
        <v>0</v>
      </c>
      <c r="T58" s="22">
        <f t="shared" si="20"/>
        <v>0</v>
      </c>
    </row>
    <row r="59" spans="1:20" x14ac:dyDescent="0.2">
      <c r="A59" s="5">
        <v>68</v>
      </c>
      <c r="H59" s="21"/>
      <c r="I59" s="5"/>
      <c r="M59" s="5">
        <f>scrimecost*Meta!O56</f>
        <v>54.67</v>
      </c>
      <c r="N59" s="5">
        <f>L59-Grade17!L59</f>
        <v>0</v>
      </c>
      <c r="O59" s="5">
        <f>Grade17!M59-M59</f>
        <v>0</v>
      </c>
      <c r="Q59" s="22"/>
      <c r="R59" s="22"/>
      <c r="S59" s="22">
        <f t="shared" si="19"/>
        <v>0</v>
      </c>
      <c r="T59" s="22">
        <f t="shared" si="20"/>
        <v>0</v>
      </c>
    </row>
    <row r="60" spans="1:20" x14ac:dyDescent="0.2">
      <c r="A60" s="5">
        <v>69</v>
      </c>
      <c r="H60" s="21"/>
      <c r="I60" s="5"/>
      <c r="M60" s="5">
        <f>scrimecost*Meta!O57</f>
        <v>54.67</v>
      </c>
      <c r="N60" s="5">
        <f>L60-Grade17!L60</f>
        <v>0</v>
      </c>
      <c r="O60" s="5">
        <f>Grade17!M60-M60</f>
        <v>0</v>
      </c>
      <c r="Q60" s="22"/>
      <c r="R60" s="22"/>
      <c r="S60" s="22">
        <f t="shared" si="19"/>
        <v>0</v>
      </c>
      <c r="T60" s="22">
        <f t="shared" si="20"/>
        <v>0</v>
      </c>
    </row>
    <row r="61" spans="1:20" x14ac:dyDescent="0.2">
      <c r="A61" s="5">
        <v>70</v>
      </c>
      <c r="H61" s="21"/>
      <c r="I61" s="5"/>
      <c r="M61" s="5">
        <f>scrimecost*Meta!O58</f>
        <v>54.67</v>
      </c>
      <c r="N61" s="5">
        <f>L61-Grade17!L61</f>
        <v>0</v>
      </c>
      <c r="O61" s="5">
        <f>Grade17!M61-M61</f>
        <v>0</v>
      </c>
      <c r="Q61" s="22"/>
      <c r="R61" s="22"/>
      <c r="S61" s="22">
        <f t="shared" si="19"/>
        <v>0</v>
      </c>
      <c r="T61" s="22">
        <f t="shared" si="20"/>
        <v>0</v>
      </c>
    </row>
    <row r="62" spans="1:20" x14ac:dyDescent="0.2">
      <c r="A62" s="5">
        <v>71</v>
      </c>
      <c r="H62" s="21"/>
      <c r="I62" s="5"/>
      <c r="M62" s="5">
        <f>scrimecost*Meta!O59</f>
        <v>54.67</v>
      </c>
      <c r="N62" s="5">
        <f>L62-Grade17!L62</f>
        <v>0</v>
      </c>
      <c r="O62" s="5">
        <f>Grade17!M62-M62</f>
        <v>0</v>
      </c>
      <c r="Q62" s="22"/>
      <c r="R62" s="22"/>
      <c r="S62" s="22">
        <f t="shared" si="19"/>
        <v>0</v>
      </c>
      <c r="T62" s="22">
        <f t="shared" si="20"/>
        <v>0</v>
      </c>
    </row>
    <row r="63" spans="1:20" x14ac:dyDescent="0.2">
      <c r="A63" s="5">
        <v>72</v>
      </c>
      <c r="H63" s="21"/>
      <c r="M63" s="5">
        <f>scrimecost*Meta!O60</f>
        <v>54.67</v>
      </c>
      <c r="N63" s="5">
        <f>L63-Grade17!L63</f>
        <v>0</v>
      </c>
      <c r="O63" s="5">
        <f>Grade17!M63-M63</f>
        <v>0</v>
      </c>
      <c r="Q63" s="22"/>
      <c r="R63" s="22"/>
      <c r="S63" s="22">
        <f t="shared" si="19"/>
        <v>0</v>
      </c>
      <c r="T63" s="22">
        <f t="shared" si="20"/>
        <v>0</v>
      </c>
    </row>
    <row r="64" spans="1:20" x14ac:dyDescent="0.2">
      <c r="A64" s="5">
        <v>73</v>
      </c>
      <c r="H64" s="21"/>
      <c r="M64" s="5">
        <f>scrimecost*Meta!O61</f>
        <v>54.67</v>
      </c>
      <c r="N64" s="5">
        <f>L64-Grade17!L64</f>
        <v>0</v>
      </c>
      <c r="O64" s="5">
        <f>Grade17!M64-M64</f>
        <v>0</v>
      </c>
      <c r="Q64" s="22"/>
      <c r="R64" s="22"/>
      <c r="S64" s="22">
        <f t="shared" si="19"/>
        <v>0</v>
      </c>
      <c r="T64" s="22">
        <f t="shared" si="20"/>
        <v>0</v>
      </c>
    </row>
    <row r="65" spans="1:20" x14ac:dyDescent="0.2">
      <c r="A65" s="5">
        <v>74</v>
      </c>
      <c r="H65" s="21"/>
      <c r="M65" s="5">
        <f>scrimecost*Meta!O62</f>
        <v>54.67</v>
      </c>
      <c r="N65" s="5">
        <f>L65-Grade17!L65</f>
        <v>0</v>
      </c>
      <c r="O65" s="5">
        <f>Grade17!M65-M65</f>
        <v>0</v>
      </c>
      <c r="Q65" s="22"/>
      <c r="R65" s="22"/>
      <c r="S65" s="22">
        <f t="shared" si="19"/>
        <v>0</v>
      </c>
      <c r="T65" s="22">
        <f t="shared" si="20"/>
        <v>0</v>
      </c>
    </row>
    <row r="66" spans="1:20" x14ac:dyDescent="0.2">
      <c r="A66" s="5">
        <v>75</v>
      </c>
      <c r="H66" s="21"/>
      <c r="M66" s="5">
        <f>scrimecost*Meta!O63</f>
        <v>54.67</v>
      </c>
      <c r="N66" s="5">
        <f>L66-Grade17!L66</f>
        <v>0</v>
      </c>
      <c r="O66" s="5">
        <f>Grade17!M66-M66</f>
        <v>0</v>
      </c>
      <c r="Q66" s="22"/>
      <c r="R66" s="22"/>
      <c r="S66" s="22">
        <f t="shared" si="19"/>
        <v>0</v>
      </c>
      <c r="T66" s="22">
        <f t="shared" si="20"/>
        <v>0</v>
      </c>
    </row>
    <row r="67" spans="1:20" x14ac:dyDescent="0.2">
      <c r="A67" s="5">
        <v>76</v>
      </c>
      <c r="H67" s="21"/>
      <c r="M67" s="5">
        <f>scrimecost*Meta!O64</f>
        <v>54.67</v>
      </c>
      <c r="N67" s="5">
        <f>L67-Grade17!L67</f>
        <v>0</v>
      </c>
      <c r="O67" s="5">
        <f>Grade17!M67-M67</f>
        <v>0</v>
      </c>
      <c r="Q67" s="22"/>
      <c r="R67" s="22"/>
      <c r="S67" s="22">
        <f t="shared" si="19"/>
        <v>0</v>
      </c>
      <c r="T67" s="22">
        <f t="shared" si="20"/>
        <v>0</v>
      </c>
    </row>
    <row r="68" spans="1:20" x14ac:dyDescent="0.2">
      <c r="A68" s="5">
        <v>77</v>
      </c>
      <c r="H68" s="21"/>
      <c r="M68" s="5">
        <f>scrimecost*Meta!O65</f>
        <v>54.67</v>
      </c>
      <c r="N68" s="5">
        <f>L68-Grade17!L68</f>
        <v>0</v>
      </c>
      <c r="O68" s="5">
        <f>Grade17!M68-M68</f>
        <v>0</v>
      </c>
      <c r="Q68" s="22"/>
      <c r="R68" s="22"/>
      <c r="S68" s="22">
        <f t="shared" si="19"/>
        <v>0</v>
      </c>
      <c r="T68" s="22">
        <f t="shared" si="20"/>
        <v>0</v>
      </c>
    </row>
    <row r="69" spans="1:20" x14ac:dyDescent="0.2">
      <c r="A69" s="5">
        <v>78</v>
      </c>
      <c r="H69" s="21"/>
      <c r="M69" s="5">
        <f>scrimecost*Meta!O66</f>
        <v>54.67</v>
      </c>
      <c r="N69" s="5">
        <f>L69-Grade17!L69</f>
        <v>0</v>
      </c>
      <c r="O69" s="5">
        <f>Grade17!M69-M69</f>
        <v>0</v>
      </c>
      <c r="Q69" s="22"/>
      <c r="R69" s="22"/>
      <c r="S69" s="22">
        <f t="shared" si="19"/>
        <v>0</v>
      </c>
      <c r="T69" s="22">
        <f t="shared" si="20"/>
        <v>0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-4.3655745685100555E-11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G1" sqref="G1:G12"/>
    </sheetView>
  </sheetViews>
  <sheetFormatPr defaultRowHeight="12.75" x14ac:dyDescent="0.2"/>
  <cols>
    <col min="1" max="16384" width="9.140625" style="8"/>
  </cols>
  <sheetData>
    <row r="1" spans="1:22" x14ac:dyDescent="0.2">
      <c r="A1" s="18" t="s">
        <v>5</v>
      </c>
      <c r="B1" s="8" t="s">
        <v>8</v>
      </c>
      <c r="D1" s="8" t="s">
        <v>13</v>
      </c>
      <c r="F1" s="8" t="s">
        <v>21</v>
      </c>
      <c r="G1" s="8" t="s">
        <v>34</v>
      </c>
      <c r="K1" s="8" t="s">
        <v>22</v>
      </c>
      <c r="L1" s="8" t="s">
        <v>26</v>
      </c>
      <c r="M1" s="8" t="s">
        <v>30</v>
      </c>
      <c r="N1" s="8" t="s">
        <v>23</v>
      </c>
      <c r="O1" s="8" t="s">
        <v>27</v>
      </c>
      <c r="P1" s="8" t="s">
        <v>31</v>
      </c>
      <c r="Q1" s="8" t="s">
        <v>24</v>
      </c>
      <c r="R1" s="8" t="s">
        <v>28</v>
      </c>
      <c r="S1" s="8" t="s">
        <v>32</v>
      </c>
      <c r="T1" s="8" t="s">
        <v>25</v>
      </c>
      <c r="U1" s="8" t="s">
        <v>29</v>
      </c>
      <c r="V1" s="8" t="s">
        <v>33</v>
      </c>
    </row>
    <row r="2" spans="1:22" x14ac:dyDescent="0.2">
      <c r="A2" s="18">
        <v>8</v>
      </c>
      <c r="B2" s="11">
        <f>Meta!E2</f>
        <v>1</v>
      </c>
    </row>
    <row r="3" spans="1:22" x14ac:dyDescent="0.2">
      <c r="A3" s="18">
        <v>9</v>
      </c>
      <c r="B3" s="11">
        <f>Meta!E3</f>
        <v>0.98</v>
      </c>
      <c r="D3" s="8">
        <f>Grade9!T2</f>
        <v>0.99408617497292129</v>
      </c>
      <c r="F3" s="15">
        <f t="shared" ref="F3:F12" si="0">(D3-1)*100</f>
        <v>-0.59138250270787118</v>
      </c>
      <c r="G3" s="15">
        <f>K3*M3+K4*M4+K5*M5+K6*M6</f>
        <v>-0.73120855956548414</v>
      </c>
      <c r="H3" s="15"/>
      <c r="I3" s="15"/>
      <c r="K3" s="8">
        <f>1-B3</f>
        <v>2.0000000000000018E-2</v>
      </c>
      <c r="L3" s="8">
        <f>D3</f>
        <v>0.99408617497292129</v>
      </c>
      <c r="M3" s="8">
        <f t="shared" ref="M3:M12" si="1">(L3-1)*100</f>
        <v>-0.59138250270787118</v>
      </c>
    </row>
    <row r="4" spans="1:22" x14ac:dyDescent="0.2">
      <c r="A4" s="18">
        <v>10</v>
      </c>
      <c r="B4" s="11">
        <f>Meta!E4</f>
        <v>0.98</v>
      </c>
      <c r="D4" s="8">
        <f>Grade10!T2</f>
        <v>0.99407853458996942</v>
      </c>
      <c r="F4" s="15">
        <f t="shared" si="0"/>
        <v>-0.59214654100305797</v>
      </c>
      <c r="G4" s="15">
        <f>N4*P4+N5*P5+N6*P6</f>
        <v>-0.78195792443633672</v>
      </c>
      <c r="H4" s="15"/>
      <c r="I4" s="15"/>
      <c r="K4" s="8">
        <f>B3*(1-B4)</f>
        <v>1.9600000000000017E-2</v>
      </c>
      <c r="L4" s="8">
        <f>(D3*D4)^0.5</f>
        <v>0.994082354774105</v>
      </c>
      <c r="M4" s="8">
        <f t="shared" si="1"/>
        <v>-0.59176452258949963</v>
      </c>
      <c r="N4" s="8">
        <f>1-B4</f>
        <v>2.0000000000000018E-2</v>
      </c>
      <c r="O4" s="8">
        <f>D4</f>
        <v>0.99407853458996942</v>
      </c>
      <c r="P4" s="8">
        <f>(O4-1)*100</f>
        <v>-0.59214654100305797</v>
      </c>
    </row>
    <row r="5" spans="1:22" x14ac:dyDescent="0.2">
      <c r="A5" s="18">
        <v>11</v>
      </c>
      <c r="B5" s="11">
        <f>Meta!E5</f>
        <v>0.98</v>
      </c>
      <c r="D5" s="8">
        <f>Grade11!T2</f>
        <v>0.99062928778078796</v>
      </c>
      <c r="F5" s="15">
        <f t="shared" si="0"/>
        <v>-0.93707122192120407</v>
      </c>
      <c r="G5" s="15">
        <f>Q5*S5+Q6*S6</f>
        <v>-0.88425494947350591</v>
      </c>
      <c r="H5" s="15"/>
      <c r="I5" s="15"/>
      <c r="K5" s="8">
        <f>B3*B4*(1-B5)</f>
        <v>1.9208000000000017E-2</v>
      </c>
      <c r="L5" s="8">
        <f>(D3*D4*D5)^(1/3)</f>
        <v>0.99292999712603736</v>
      </c>
      <c r="M5" s="8">
        <f t="shared" si="1"/>
        <v>-0.70700028739626442</v>
      </c>
      <c r="N5" s="8">
        <f>B4*(1-B5)</f>
        <v>1.9600000000000017E-2</v>
      </c>
      <c r="O5" s="8">
        <f>(D4*D5)^0.5</f>
        <v>0.9923524125627099</v>
      </c>
      <c r="P5" s="8">
        <f>(O5-1)*100</f>
        <v>-0.76475874372901043</v>
      </c>
      <c r="Q5" s="8">
        <f>1-B5</f>
        <v>2.0000000000000018E-2</v>
      </c>
      <c r="R5" s="8">
        <f>D5</f>
        <v>0.99062928778078796</v>
      </c>
      <c r="S5" s="8">
        <f>(R5-1)*100</f>
        <v>-0.93707122192120407</v>
      </c>
    </row>
    <row r="6" spans="1:22" x14ac:dyDescent="0.2">
      <c r="A6" s="18">
        <v>12</v>
      </c>
      <c r="B6" s="11">
        <f>Meta!E6</f>
        <v>0.98</v>
      </c>
      <c r="D6" s="8">
        <f>Grade12!T2</f>
        <v>0.99170746409751054</v>
      </c>
      <c r="F6" s="15">
        <f t="shared" si="0"/>
        <v>-0.82925359024894618</v>
      </c>
      <c r="G6" s="15">
        <f>T6*V6</f>
        <v>-0.82925359024894618</v>
      </c>
      <c r="H6" s="15"/>
      <c r="I6" s="15"/>
      <c r="K6" s="8">
        <f>B3*B4*B5</f>
        <v>0.94119199999999992</v>
      </c>
      <c r="L6" s="8">
        <f>(D3*D4*D5*D6)^0.25</f>
        <v>0.99262422265225092</v>
      </c>
      <c r="M6" s="8">
        <f t="shared" si="1"/>
        <v>-0.73757773477490796</v>
      </c>
      <c r="N6" s="8">
        <f>B4*B5</f>
        <v>0.96039999999999992</v>
      </c>
      <c r="O6" s="8">
        <f>(D4*D5*D6)^(1/3)</f>
        <v>0.99213738315036248</v>
      </c>
      <c r="P6" s="8">
        <f>(O6-1)*100</f>
        <v>-0.78626168496375159</v>
      </c>
      <c r="Q6" s="8">
        <f>B5</f>
        <v>0.98</v>
      </c>
      <c r="R6" s="8">
        <f>(D5*D6)^0.5</f>
        <v>0.99116822933637672</v>
      </c>
      <c r="S6" s="8">
        <f>(R6-1)*100</f>
        <v>-0.8831770663623284</v>
      </c>
      <c r="T6" s="8">
        <v>1</v>
      </c>
      <c r="U6" s="8">
        <f>D6</f>
        <v>0.99170746409751054</v>
      </c>
      <c r="V6" s="8">
        <f>(U6-1)*100</f>
        <v>-0.82925359024894618</v>
      </c>
    </row>
    <row r="7" spans="1:22" x14ac:dyDescent="0.2">
      <c r="A7" s="18">
        <v>13</v>
      </c>
      <c r="B7" s="11">
        <f>Meta!E7</f>
        <v>0.81200000000000006</v>
      </c>
      <c r="D7" s="8">
        <f>Grade13!T2</f>
        <v>0.98433345143553941</v>
      </c>
      <c r="F7" s="15">
        <f t="shared" si="0"/>
        <v>-1.5666548564460592</v>
      </c>
      <c r="G7" s="15">
        <f>K7*M7+K8*M8+K9*M9+K10*M10</f>
        <v>-1.8328921172542649</v>
      </c>
      <c r="H7" s="15"/>
      <c r="I7" s="15"/>
      <c r="K7" s="8">
        <f>1-B7</f>
        <v>0.18799999999999994</v>
      </c>
      <c r="L7" s="8">
        <f>D7</f>
        <v>0.98433345143553941</v>
      </c>
      <c r="M7" s="8">
        <f t="shared" si="1"/>
        <v>-1.5666548564460592</v>
      </c>
    </row>
    <row r="8" spans="1:22" x14ac:dyDescent="0.2">
      <c r="A8" s="18">
        <v>14</v>
      </c>
      <c r="B8" s="11">
        <f>Meta!E8</f>
        <v>0.81200000000000006</v>
      </c>
      <c r="D8" s="8">
        <f>Grade14!T2</f>
        <v>0.98012043937700699</v>
      </c>
      <c r="F8" s="15">
        <f t="shared" si="0"/>
        <v>-1.9879560622993009</v>
      </c>
      <c r="G8" s="15">
        <f>N8*P8+N9*P9+N10*P10</f>
        <v>-2.0366700989871189</v>
      </c>
      <c r="H8" s="15"/>
      <c r="I8" s="15"/>
      <c r="K8" s="8">
        <f>B7*(1-B8)</f>
        <v>0.15265599999999996</v>
      </c>
      <c r="L8" s="8">
        <f>(D7*D8)^0.5</f>
        <v>0.9822246865735389</v>
      </c>
      <c r="M8" s="8">
        <f t="shared" si="1"/>
        <v>-1.7775313426461103</v>
      </c>
      <c r="N8" s="8">
        <f>1-B8</f>
        <v>0.18799999999999994</v>
      </c>
      <c r="O8" s="8">
        <f>D8</f>
        <v>0.98012043937700699</v>
      </c>
      <c r="P8" s="8">
        <f>(O8-1)*100</f>
        <v>-1.9879560622993009</v>
      </c>
    </row>
    <row r="9" spans="1:22" x14ac:dyDescent="0.2">
      <c r="A9" s="18">
        <v>15</v>
      </c>
      <c r="B9" s="11">
        <f>Meta!E9</f>
        <v>0.81200000000000006</v>
      </c>
      <c r="D9" s="8">
        <f>Grade15!T2</f>
        <v>0.98059235410591672</v>
      </c>
      <c r="F9" s="15">
        <f t="shared" si="0"/>
        <v>-1.9407645894083281</v>
      </c>
      <c r="G9" s="15">
        <f>Q9*S9+Q10*S10</f>
        <v>-2.0757066846999281</v>
      </c>
      <c r="H9" s="15"/>
      <c r="I9" s="15"/>
      <c r="K9" s="8">
        <f>B7*B8*(1-B9)</f>
        <v>0.12395667199999998</v>
      </c>
      <c r="L9" s="8">
        <f>(D7*D8*D9)^(1/3)</f>
        <v>0.98168027405808367</v>
      </c>
      <c r="M9" s="8">
        <f t="shared" si="1"/>
        <v>-1.8319725941916332</v>
      </c>
      <c r="N9" s="8">
        <f>B8*(1-B9)</f>
        <v>0.15265599999999996</v>
      </c>
      <c r="O9" s="8">
        <f>(D8*D9)^0.5</f>
        <v>0.98035636834572804</v>
      </c>
      <c r="P9" s="8">
        <f>(O9-1)*100</f>
        <v>-1.9643631654271965</v>
      </c>
      <c r="Q9" s="8">
        <f>1-B9</f>
        <v>0.18799999999999994</v>
      </c>
      <c r="R9" s="8">
        <f>D9</f>
        <v>0.98059235410591672</v>
      </c>
      <c r="S9" s="8">
        <f>(R9-1)*100</f>
        <v>-1.9407645894083281</v>
      </c>
    </row>
    <row r="10" spans="1:22" x14ac:dyDescent="0.2">
      <c r="A10" s="18">
        <v>16</v>
      </c>
      <c r="B10" s="11">
        <f>Meta!E10</f>
        <v>0.81200000000000006</v>
      </c>
      <c r="D10" s="8">
        <f>Grade16!T2</f>
        <v>0.97727147357756428</v>
      </c>
      <c r="F10" s="15">
        <f t="shared" si="0"/>
        <v>-2.2728526422435724</v>
      </c>
      <c r="G10" s="15">
        <f>T10*V10</f>
        <v>-2.2728526422435724</v>
      </c>
      <c r="H10" s="15"/>
      <c r="I10" s="15"/>
      <c r="K10" s="8">
        <f>B7*B8*B9</f>
        <v>0.53538732800000011</v>
      </c>
      <c r="L10" s="8">
        <f>(D7*D8*D9*D10)^0.25</f>
        <v>0.98057621278574192</v>
      </c>
      <c r="M10" s="8">
        <f t="shared" si="1"/>
        <v>-1.9423787214258081</v>
      </c>
      <c r="N10" s="8">
        <f>B8*B9</f>
        <v>0.65934400000000004</v>
      </c>
      <c r="O10" s="8">
        <f>(D8*D9*D10)^(1/3)</f>
        <v>0.9793269896155361</v>
      </c>
      <c r="P10" s="8">
        <f>(O10-1)*100</f>
        <v>-2.0673010384463897</v>
      </c>
      <c r="Q10" s="8">
        <f>B9</f>
        <v>0.81200000000000006</v>
      </c>
      <c r="R10" s="8">
        <f>(D9*D10)^0.5</f>
        <v>0.97893050564173445</v>
      </c>
      <c r="S10" s="8">
        <f>(R10-1)*100</f>
        <v>-2.106949435826555</v>
      </c>
      <c r="T10" s="8">
        <v>1</v>
      </c>
      <c r="U10" s="8">
        <f>D10</f>
        <v>0.97727147357756428</v>
      </c>
      <c r="V10" s="8">
        <f>(U10-1)*100</f>
        <v>-2.2728526422435724</v>
      </c>
    </row>
    <row r="11" spans="1:22" x14ac:dyDescent="0.2">
      <c r="A11" s="18">
        <v>17</v>
      </c>
      <c r="B11" s="11">
        <f>Meta!E11</f>
        <v>0.57199999999999995</v>
      </c>
      <c r="D11" s="8">
        <f>Grade17!T2</f>
        <v>0.94037570053205821</v>
      </c>
      <c r="F11" s="15">
        <f t="shared" si="0"/>
        <v>-5.9624299467941793</v>
      </c>
      <c r="G11" s="15">
        <f>K11*M11+K12*M12</f>
        <v>-5.878739382756466</v>
      </c>
      <c r="H11" s="15"/>
      <c r="I11" s="15"/>
      <c r="K11" s="8">
        <f>1-B11</f>
        <v>0.42800000000000005</v>
      </c>
      <c r="L11" s="8">
        <f>D11</f>
        <v>0.94037570053205821</v>
      </c>
      <c r="M11" s="8">
        <f t="shared" si="1"/>
        <v>-5.9624299467941793</v>
      </c>
    </row>
    <row r="12" spans="1:22" x14ac:dyDescent="0.2">
      <c r="A12" s="18">
        <v>18</v>
      </c>
      <c r="B12" s="11">
        <f>Meta!E12</f>
        <v>0.57199999999999995</v>
      </c>
      <c r="D12" s="8">
        <f>Grade18!T2</f>
        <v>0.94330422048731211</v>
      </c>
      <c r="F12" s="15">
        <f t="shared" si="0"/>
        <v>-5.6695779512687894</v>
      </c>
      <c r="G12" s="15">
        <f>N12*P12</f>
        <v>-5.6695779512687894</v>
      </c>
      <c r="H12" s="15"/>
      <c r="I12" s="15"/>
      <c r="K12" s="8">
        <f>B11</f>
        <v>0.57199999999999995</v>
      </c>
      <c r="L12" s="8">
        <f>(D11*D12)^0.5</f>
        <v>0.94183882228096927</v>
      </c>
      <c r="M12" s="8">
        <f t="shared" si="1"/>
        <v>-5.8161177719030732</v>
      </c>
      <c r="N12" s="8">
        <v>1</v>
      </c>
      <c r="O12" s="8">
        <f>D12</f>
        <v>0.94330422048731211</v>
      </c>
      <c r="P12" s="8">
        <f>(O12-1)*100</f>
        <v>-5.6695779512687894</v>
      </c>
    </row>
    <row r="14" spans="1:22" x14ac:dyDescent="0.2">
      <c r="B14" s="16"/>
    </row>
    <row r="15" spans="1:22" x14ac:dyDescent="0.2">
      <c r="B15" s="16"/>
    </row>
    <row r="16" spans="1:22" x14ac:dyDescent="0.2">
      <c r="B16" s="16"/>
    </row>
    <row r="17" spans="2:4" x14ac:dyDescent="0.2">
      <c r="B17" s="16"/>
    </row>
    <row r="18" spans="2:4" x14ac:dyDescent="0.2">
      <c r="B18" s="16"/>
    </row>
    <row r="19" spans="2:4" x14ac:dyDescent="0.2">
      <c r="B19" s="16"/>
      <c r="D19" s="30"/>
    </row>
    <row r="20" spans="2:4" x14ac:dyDescent="0.2">
      <c r="B20" s="16"/>
    </row>
    <row r="21" spans="2:4" x14ac:dyDescent="0.2">
      <c r="B21" s="16"/>
    </row>
    <row r="22" spans="2:4" x14ac:dyDescent="0.2">
      <c r="B22" s="16"/>
    </row>
    <row r="23" spans="2:4" x14ac:dyDescent="0.2">
      <c r="B23" s="16"/>
    </row>
    <row r="24" spans="2:4" x14ac:dyDescent="0.2">
      <c r="B24" s="16"/>
    </row>
    <row r="25" spans="2:4" x14ac:dyDescent="0.2">
      <c r="B25" s="16"/>
    </row>
    <row r="26" spans="2:4" x14ac:dyDescent="0.2">
      <c r="B26" s="16"/>
    </row>
    <row r="27" spans="2:4" x14ac:dyDescent="0.2">
      <c r="B27" s="2"/>
    </row>
    <row r="28" spans="2:4" x14ac:dyDescent="0.2">
      <c r="B28" s="2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R2" sqref="R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6384" width="9.140625" style="1"/>
  </cols>
  <sheetData>
    <row r="1" spans="1:18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</row>
    <row r="2" spans="1:18" x14ac:dyDescent="0.2">
      <c r="B2" s="5">
        <f>Meta!A2+6</f>
        <v>14</v>
      </c>
      <c r="C2" s="7">
        <f>Meta!B2</f>
        <v>37694</v>
      </c>
      <c r="D2" s="7">
        <f>Meta!C2</f>
        <v>16965</v>
      </c>
      <c r="E2" s="1">
        <f>Meta!D2</f>
        <v>6.3E-2</v>
      </c>
      <c r="F2" s="1">
        <f>Meta!F2</f>
        <v>0.60199999999999998</v>
      </c>
      <c r="G2" s="1">
        <f>Meta!I2</f>
        <v>2.0085479604911836</v>
      </c>
      <c r="H2" s="1">
        <f>Meta!E2</f>
        <v>1</v>
      </c>
      <c r="I2" s="13"/>
      <c r="K2" s="1">
        <f>Meta!D2</f>
        <v>6.3E-2</v>
      </c>
      <c r="L2" s="13"/>
      <c r="N2" s="22">
        <f>Meta!T2</f>
        <v>59342</v>
      </c>
      <c r="O2" s="22">
        <f>Meta!U2</f>
        <v>25820</v>
      </c>
      <c r="P2" s="1">
        <f>Meta!V2</f>
        <v>3.9E-2</v>
      </c>
      <c r="Q2" s="1">
        <f>Meta!X2</f>
        <v>0.72799999999999998</v>
      </c>
      <c r="R2" s="22">
        <f>Meta!W2</f>
        <v>1113</v>
      </c>
    </row>
    <row r="3" spans="1:18" ht="14.25" x14ac:dyDescent="0.2">
      <c r="C3" s="3"/>
      <c r="G3" s="4"/>
      <c r="L3" s="1" t="s">
        <v>10</v>
      </c>
    </row>
    <row r="4" spans="1:18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</row>
    <row r="5" spans="1:18" x14ac:dyDescent="0.2">
      <c r="A5" s="5">
        <v>14</v>
      </c>
      <c r="B5" s="1">
        <f t="shared" ref="B5:B36" si="0">(1+experiencepremium)^(A5-startage)</f>
        <v>1</v>
      </c>
      <c r="C5" s="5">
        <f>pretaxincome*B5/expnorm</f>
        <v>18766.791105541768</v>
      </c>
      <c r="D5" s="5">
        <f>IF(A5&lt;startage,1,0)*(C5*(1-initialunempprob))+IF(A5=startage,1,0)*(C5*(1-unempprob))+IF(A5&gt;startage,1,0)*(C5*(1-unempprob)+unempprob*300*52)</f>
        <v>17584.483265892639</v>
      </c>
      <c r="E5" s="5">
        <f>IF(D5-9500&gt;0,1,0)*(D5-9500)</f>
        <v>8084.4832658926389</v>
      </c>
      <c r="F5" s="5">
        <f>IF(E5&lt;=8500,1,0)*(0.1*E5+0.1*E5+0.0765*D5)+IF(AND(E5&gt;8500,E5&lt;=34500),1,0)*(850+0.15*(E5-8500)+0.1*E5+0.0765*D5)+IF(AND(E5&gt;34500,E5&lt;=83600),1,0)*(4750+0.25*(E5-34500)+0.1*E5+0.0765*D5)+IF(AND(E5&gt;83600,E5&lt;=174400,D5&lt;=106800),1,0)*(17025+0.28*(E5-83600)+0.1*E5+0.0765*D5)+IF(AND(E5&gt;83600,E5&lt;=174400,D5&gt;106800),1,0)*(17025+0.28*(E5-83600)+0.1*E5+8170.2+0.0145*(D5-106800))+IF(AND(E5&gt;174400,E5&lt;=379150),1,0)*(42449+0.33*(E5-174400)+0.1*E5+8170.2+0.0145*(D5-106800))+IF(E5&gt;379150,1,0)*(110016.5+0.35*(E5-379150)+0.1*E5+8170.2+0.0145*(D5-106800))</f>
        <v>2962.1096230193148</v>
      </c>
      <c r="G5" s="5">
        <f>D5-F5</f>
        <v>14622.373642873325</v>
      </c>
      <c r="H5" s="22">
        <f t="shared" ref="H5:H36" si="1">benefits*B5/expnorm</f>
        <v>8446.4002521758393</v>
      </c>
      <c r="I5" s="5">
        <f>G5+IF(A5&lt;startage,1,0)*(H5*(1-initialunempprob))+IF(A5&gt;=startage,1,0)*(H5*(1-unempprob))</f>
        <v>22536.650679162085</v>
      </c>
      <c r="J5" s="26">
        <f t="shared" ref="J5:J36" si="2">(F5-(IF(A5&gt;startage,1,0)*(unempprob*300*52)))/(IF(A5&lt;startage,1,0)*((C5+H5)*(1-initialunempprob))+IF(A5&gt;=startage,1,0)*((C5+H5)*(1-unempprob)))</f>
        <v>0.11616680920624632</v>
      </c>
      <c r="L5" s="22">
        <f t="shared" ref="L5:L36" si="3">(sincome+sbenefits)*(1-sunemp)*B5/expnorm</f>
        <v>40746.19257783924</v>
      </c>
      <c r="M5" s="5">
        <f>scrimecost*Meta!O2</f>
        <v>1217.6220000000001</v>
      </c>
      <c r="N5" s="22"/>
    </row>
    <row r="6" spans="1:18" x14ac:dyDescent="0.2">
      <c r="A6" s="5">
        <v>15</v>
      </c>
      <c r="B6" s="1">
        <f t="shared" si="0"/>
        <v>1.0249999999999999</v>
      </c>
      <c r="C6" s="5">
        <f t="shared" ref="C6:C36" si="4">pretaxincome*B6/expnorm</f>
        <v>19235.960883180309</v>
      </c>
      <c r="D6" s="5">
        <f t="shared" ref="D6:D36" si="5">IF(A6&lt;startage,1,0)*(C6*(1-initialunempprob))+IF(A6=startage,1,0)*(C6*(1-unempprob))+IF(A6&gt;startage,1,0)*(C6*(1-unempprob)+unempprob*300*52)</f>
        <v>19006.89534753995</v>
      </c>
      <c r="E6" s="5">
        <f t="shared" ref="E6:E56" si="6">IF(D6-9500&gt;0,1,0)*(D6-9500)</f>
        <v>9506.8953475399503</v>
      </c>
      <c r="F6" s="5">
        <f t="shared" ref="F6:F56" si="7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3405.7513309717938</v>
      </c>
      <c r="G6" s="5">
        <f t="shared" ref="G6:G56" si="8">D6-F6</f>
        <v>15601.144016568156</v>
      </c>
      <c r="H6" s="22">
        <f t="shared" si="1"/>
        <v>8657.5602584802346</v>
      </c>
      <c r="I6" s="5">
        <f t="shared" ref="I6:I36" si="9">G6+IF(A6&lt;startage,1,0)*(H6*(1-initialunempprob))+IF(A6&gt;=startage,1,0)*(H6*(1-unempprob))</f>
        <v>23713.277978764138</v>
      </c>
      <c r="J6" s="26">
        <f t="shared" si="2"/>
        <v>9.2704701288690766E-2</v>
      </c>
      <c r="L6" s="22">
        <f t="shared" si="3"/>
        <v>41764.847392285214</v>
      </c>
      <c r="M6" s="5">
        <f>scrimecost*Meta!O3</f>
        <v>2065.7280000000001</v>
      </c>
      <c r="N6" s="22"/>
    </row>
    <row r="7" spans="1:18" x14ac:dyDescent="0.2">
      <c r="A7" s="5">
        <v>16</v>
      </c>
      <c r="B7" s="1">
        <f t="shared" si="0"/>
        <v>1.0506249999999999</v>
      </c>
      <c r="C7" s="5">
        <f t="shared" si="4"/>
        <v>19716.859905259815</v>
      </c>
      <c r="D7" s="5">
        <f t="shared" si="5"/>
        <v>19457.497731228446</v>
      </c>
      <c r="E7" s="5">
        <f t="shared" si="6"/>
        <v>9957.4977312284464</v>
      </c>
      <c r="F7" s="5">
        <f t="shared" si="7"/>
        <v>3552.8730092460878</v>
      </c>
      <c r="G7" s="5">
        <f t="shared" si="8"/>
        <v>15904.624721982358</v>
      </c>
      <c r="H7" s="22">
        <f t="shared" si="1"/>
        <v>8873.9992649422402</v>
      </c>
      <c r="I7" s="5">
        <f t="shared" si="9"/>
        <v>24219.56203323324</v>
      </c>
      <c r="J7" s="26">
        <f t="shared" si="2"/>
        <v>9.5935349816106824E-2</v>
      </c>
      <c r="L7" s="22">
        <f t="shared" si="3"/>
        <v>42808.968577092346</v>
      </c>
      <c r="M7" s="5">
        <f>scrimecost*Meta!O4</f>
        <v>2613.3240000000001</v>
      </c>
      <c r="N7" s="22"/>
    </row>
    <row r="8" spans="1:18" x14ac:dyDescent="0.2">
      <c r="A8" s="5">
        <v>17</v>
      </c>
      <c r="B8" s="1">
        <f t="shared" si="0"/>
        <v>1.0768906249999999</v>
      </c>
      <c r="C8" s="5">
        <f t="shared" si="4"/>
        <v>20209.781402891313</v>
      </c>
      <c r="D8" s="5">
        <f t="shared" si="5"/>
        <v>19919.365174509159</v>
      </c>
      <c r="E8" s="5">
        <f t="shared" si="6"/>
        <v>10419.365174509159</v>
      </c>
      <c r="F8" s="5">
        <f t="shared" si="7"/>
        <v>3703.6727294772404</v>
      </c>
      <c r="G8" s="5">
        <f t="shared" si="8"/>
        <v>16215.692445031918</v>
      </c>
      <c r="H8" s="22">
        <f t="shared" si="1"/>
        <v>9095.8492465657964</v>
      </c>
      <c r="I8" s="5">
        <f t="shared" si="9"/>
        <v>24738.503189064068</v>
      </c>
      <c r="J8" s="26">
        <f t="shared" si="2"/>
        <v>9.9087202037976163E-2</v>
      </c>
      <c r="L8" s="22">
        <f t="shared" si="3"/>
        <v>43879.192791519657</v>
      </c>
      <c r="M8" s="5">
        <f>scrimecost*Meta!O5</f>
        <v>3018.4560000000001</v>
      </c>
      <c r="N8" s="22"/>
    </row>
    <row r="9" spans="1:18" x14ac:dyDescent="0.2">
      <c r="A9" s="5">
        <v>18</v>
      </c>
      <c r="B9" s="1">
        <f t="shared" si="0"/>
        <v>1.1038128906249998</v>
      </c>
      <c r="C9" s="5">
        <f t="shared" si="4"/>
        <v>20715.025937963594</v>
      </c>
      <c r="D9" s="5">
        <f t="shared" si="5"/>
        <v>20392.779303871888</v>
      </c>
      <c r="E9" s="5">
        <f t="shared" si="6"/>
        <v>10892.779303871888</v>
      </c>
      <c r="F9" s="5">
        <f t="shared" si="7"/>
        <v>3858.2424427141714</v>
      </c>
      <c r="G9" s="5">
        <f t="shared" si="8"/>
        <v>16534.536861157718</v>
      </c>
      <c r="H9" s="22">
        <f t="shared" si="1"/>
        <v>9323.245477729939</v>
      </c>
      <c r="I9" s="5">
        <f t="shared" si="9"/>
        <v>25270.41787379067</v>
      </c>
      <c r="J9" s="26">
        <f t="shared" si="2"/>
        <v>0.10216217981540968</v>
      </c>
      <c r="L9" s="22">
        <f t="shared" si="3"/>
        <v>44976.172611307644</v>
      </c>
      <c r="M9" s="5">
        <f>scrimecost*Meta!O6</f>
        <v>3668.4479999999999</v>
      </c>
      <c r="N9" s="22"/>
    </row>
    <row r="10" spans="1:18" x14ac:dyDescent="0.2">
      <c r="A10" s="5">
        <v>19</v>
      </c>
      <c r="B10" s="1">
        <f t="shared" si="0"/>
        <v>1.1314082128906247</v>
      </c>
      <c r="C10" s="5">
        <f t="shared" si="4"/>
        <v>21232.901586412681</v>
      </c>
      <c r="D10" s="5">
        <f t="shared" si="5"/>
        <v>20878.028786468683</v>
      </c>
      <c r="E10" s="5">
        <f t="shared" si="6"/>
        <v>11378.028786468683</v>
      </c>
      <c r="F10" s="5">
        <f t="shared" si="7"/>
        <v>4016.676398782025</v>
      </c>
      <c r="G10" s="5">
        <f t="shared" si="8"/>
        <v>16861.35238768666</v>
      </c>
      <c r="H10" s="22">
        <f t="shared" si="1"/>
        <v>9556.3266146731876</v>
      </c>
      <c r="I10" s="5">
        <f t="shared" si="9"/>
        <v>25815.630425635438</v>
      </c>
      <c r="J10" s="26">
        <f t="shared" si="2"/>
        <v>0.10516215813485698</v>
      </c>
      <c r="L10" s="22">
        <f t="shared" si="3"/>
        <v>46100.576926590322</v>
      </c>
      <c r="M10" s="5">
        <f>scrimecost*Meta!O7</f>
        <v>3921.0990000000002</v>
      </c>
      <c r="N10" s="22"/>
    </row>
    <row r="11" spans="1:18" x14ac:dyDescent="0.2">
      <c r="A11" s="5">
        <v>20</v>
      </c>
      <c r="B11" s="1">
        <f t="shared" si="0"/>
        <v>1.1596934182128902</v>
      </c>
      <c r="C11" s="5">
        <f t="shared" si="4"/>
        <v>21763.724126072997</v>
      </c>
      <c r="D11" s="5">
        <f t="shared" si="5"/>
        <v>21375.4095061304</v>
      </c>
      <c r="E11" s="5">
        <f t="shared" si="6"/>
        <v>11875.4095061304</v>
      </c>
      <c r="F11" s="5">
        <f t="shared" si="7"/>
        <v>4179.071203751575</v>
      </c>
      <c r="G11" s="5">
        <f t="shared" si="8"/>
        <v>17196.338302378826</v>
      </c>
      <c r="H11" s="22">
        <f t="shared" si="1"/>
        <v>9795.2347800400166</v>
      </c>
      <c r="I11" s="5">
        <f t="shared" si="9"/>
        <v>26374.473291276321</v>
      </c>
      <c r="J11" s="26">
        <f t="shared" si="2"/>
        <v>0.10808896625139094</v>
      </c>
      <c r="L11" s="22">
        <f t="shared" si="3"/>
        <v>47253.091349755079</v>
      </c>
      <c r="M11" s="5">
        <f>scrimecost*Meta!O8</f>
        <v>3755.2620000000002</v>
      </c>
      <c r="N11" s="22"/>
    </row>
    <row r="12" spans="1:18" x14ac:dyDescent="0.2">
      <c r="A12" s="5">
        <v>21</v>
      </c>
      <c r="B12" s="1">
        <f t="shared" si="0"/>
        <v>1.1886857536682125</v>
      </c>
      <c r="C12" s="5">
        <f t="shared" si="4"/>
        <v>22307.81722922482</v>
      </c>
      <c r="D12" s="5">
        <f t="shared" si="5"/>
        <v>21885.224743783656</v>
      </c>
      <c r="E12" s="5">
        <f t="shared" si="6"/>
        <v>12385.224743783656</v>
      </c>
      <c r="F12" s="5">
        <f t="shared" si="7"/>
        <v>4345.5258788453639</v>
      </c>
      <c r="G12" s="5">
        <f t="shared" si="8"/>
        <v>17539.698864938291</v>
      </c>
      <c r="H12" s="22">
        <f t="shared" si="1"/>
        <v>10040.115649541018</v>
      </c>
      <c r="I12" s="5">
        <f t="shared" si="9"/>
        <v>26947.287228558227</v>
      </c>
      <c r="J12" s="26">
        <f t="shared" si="2"/>
        <v>0.11094438880410701</v>
      </c>
      <c r="L12" s="22">
        <f t="shared" si="3"/>
        <v>48434.418633498957</v>
      </c>
      <c r="M12" s="5">
        <f>scrimecost*Meta!O9</f>
        <v>3410.232</v>
      </c>
      <c r="N12" s="22"/>
    </row>
    <row r="13" spans="1:18" x14ac:dyDescent="0.2">
      <c r="A13" s="5">
        <v>22</v>
      </c>
      <c r="B13" s="1">
        <f t="shared" si="0"/>
        <v>1.2184028975099177</v>
      </c>
      <c r="C13" s="5">
        <f t="shared" si="4"/>
        <v>22865.512659955442</v>
      </c>
      <c r="D13" s="5">
        <f t="shared" si="5"/>
        <v>22407.78536237825</v>
      </c>
      <c r="E13" s="5">
        <f t="shared" si="6"/>
        <v>12907.78536237825</v>
      </c>
      <c r="F13" s="5">
        <f t="shared" si="7"/>
        <v>4516.1419208164989</v>
      </c>
      <c r="G13" s="5">
        <f t="shared" si="8"/>
        <v>17891.643441561751</v>
      </c>
      <c r="H13" s="22">
        <f t="shared" si="1"/>
        <v>10291.118540779542</v>
      </c>
      <c r="I13" s="5">
        <f t="shared" si="9"/>
        <v>27534.421514272181</v>
      </c>
      <c r="J13" s="26">
        <f t="shared" si="2"/>
        <v>0.11373016690431784</v>
      </c>
      <c r="L13" s="22">
        <f t="shared" si="3"/>
        <v>49645.279099336432</v>
      </c>
      <c r="M13" s="5">
        <f>scrimecost*Meta!O10</f>
        <v>3125.3039999999996</v>
      </c>
      <c r="N13" s="22"/>
    </row>
    <row r="14" spans="1:18" x14ac:dyDescent="0.2">
      <c r="A14" s="5">
        <v>23</v>
      </c>
      <c r="B14" s="1">
        <f t="shared" si="0"/>
        <v>1.2488629699476654</v>
      </c>
      <c r="C14" s="5">
        <f t="shared" si="4"/>
        <v>23437.150476454324</v>
      </c>
      <c r="D14" s="5">
        <f t="shared" si="5"/>
        <v>22943.409996437702</v>
      </c>
      <c r="E14" s="5">
        <f t="shared" si="6"/>
        <v>13443.409996437702</v>
      </c>
      <c r="F14" s="5">
        <f t="shared" si="7"/>
        <v>4691.02336383691</v>
      </c>
      <c r="G14" s="5">
        <f t="shared" si="8"/>
        <v>18252.386632600792</v>
      </c>
      <c r="H14" s="22">
        <f t="shared" si="1"/>
        <v>10548.396504299029</v>
      </c>
      <c r="I14" s="5">
        <f t="shared" si="9"/>
        <v>28136.234157128983</v>
      </c>
      <c r="J14" s="26">
        <f t="shared" si="2"/>
        <v>0.1164479991972064</v>
      </c>
      <c r="L14" s="22">
        <f t="shared" si="3"/>
        <v>50886.41107681983</v>
      </c>
      <c r="M14" s="5">
        <f>scrimecost*Meta!O11</f>
        <v>2920.5120000000002</v>
      </c>
      <c r="N14" s="22"/>
    </row>
    <row r="15" spans="1:18" x14ac:dyDescent="0.2">
      <c r="A15" s="5">
        <v>24</v>
      </c>
      <c r="B15" s="1">
        <f t="shared" si="0"/>
        <v>1.2800845441963571</v>
      </c>
      <c r="C15" s="5">
        <f t="shared" si="4"/>
        <v>24023.079238365681</v>
      </c>
      <c r="D15" s="5">
        <f t="shared" si="5"/>
        <v>23492.425246348645</v>
      </c>
      <c r="E15" s="5">
        <f t="shared" si="6"/>
        <v>13992.425246348645</v>
      </c>
      <c r="F15" s="5">
        <f t="shared" si="7"/>
        <v>4870.2768429328326</v>
      </c>
      <c r="G15" s="5">
        <f t="shared" si="8"/>
        <v>18622.148403415813</v>
      </c>
      <c r="H15" s="22">
        <f t="shared" si="1"/>
        <v>10812.106416906505</v>
      </c>
      <c r="I15" s="5">
        <f t="shared" si="9"/>
        <v>28753.092116057211</v>
      </c>
      <c r="J15" s="26">
        <f t="shared" si="2"/>
        <v>0.11909954289758549</v>
      </c>
      <c r="L15" s="22">
        <f t="shared" si="3"/>
        <v>52158.571353740328</v>
      </c>
      <c r="M15" s="5">
        <f>scrimecost*Meta!O12</f>
        <v>2790.2910000000002</v>
      </c>
      <c r="N15" s="22"/>
    </row>
    <row r="16" spans="1:18" x14ac:dyDescent="0.2">
      <c r="A16" s="5">
        <v>25</v>
      </c>
      <c r="B16" s="1">
        <f t="shared" si="0"/>
        <v>1.312086657801266</v>
      </c>
      <c r="C16" s="5">
        <f t="shared" si="4"/>
        <v>24623.656219324821</v>
      </c>
      <c r="D16" s="5">
        <f t="shared" si="5"/>
        <v>24055.165877507359</v>
      </c>
      <c r="E16" s="5">
        <f t="shared" si="6"/>
        <v>14555.165877507359</v>
      </c>
      <c r="F16" s="5">
        <f t="shared" si="7"/>
        <v>5054.0116590061525</v>
      </c>
      <c r="G16" s="5">
        <f t="shared" si="8"/>
        <v>19001.154218501208</v>
      </c>
      <c r="H16" s="22">
        <f t="shared" si="1"/>
        <v>11082.409077329168</v>
      </c>
      <c r="I16" s="5">
        <f t="shared" si="9"/>
        <v>29385.371523958638</v>
      </c>
      <c r="J16" s="26">
        <f t="shared" si="2"/>
        <v>0.12168641480039437</v>
      </c>
      <c r="L16" s="22">
        <f t="shared" si="3"/>
        <v>53462.535637583838</v>
      </c>
      <c r="M16" s="5">
        <f>scrimecost*Meta!O13</f>
        <v>2342.8649999999998</v>
      </c>
      <c r="N16" s="22"/>
    </row>
    <row r="17" spans="1:14" x14ac:dyDescent="0.2">
      <c r="A17" s="5">
        <v>26</v>
      </c>
      <c r="B17" s="1">
        <f t="shared" si="0"/>
        <v>1.3448888242462975</v>
      </c>
      <c r="C17" s="5">
        <f t="shared" si="4"/>
        <v>25239.24762480794</v>
      </c>
      <c r="D17" s="5">
        <f t="shared" si="5"/>
        <v>24631.975024445041</v>
      </c>
      <c r="E17" s="5">
        <f t="shared" si="6"/>
        <v>15131.975024445041</v>
      </c>
      <c r="F17" s="5">
        <f t="shared" si="7"/>
        <v>5242.3398454813059</v>
      </c>
      <c r="G17" s="5">
        <f t="shared" si="8"/>
        <v>19389.635178963734</v>
      </c>
      <c r="H17" s="22">
        <f t="shared" si="1"/>
        <v>11359.469304262395</v>
      </c>
      <c r="I17" s="5">
        <f t="shared" si="9"/>
        <v>30033.457917057596</v>
      </c>
      <c r="J17" s="26">
        <f t="shared" si="2"/>
        <v>0.12421019226654942</v>
      </c>
      <c r="L17" s="22">
        <f t="shared" si="3"/>
        <v>54799.099028523429</v>
      </c>
      <c r="M17" s="5">
        <f>scrimecost*Meta!O14</f>
        <v>2342.8649999999998</v>
      </c>
      <c r="N17" s="22"/>
    </row>
    <row r="18" spans="1:14" x14ac:dyDescent="0.2">
      <c r="A18" s="5">
        <v>27</v>
      </c>
      <c r="B18" s="1">
        <f t="shared" si="0"/>
        <v>1.3785110448524549</v>
      </c>
      <c r="C18" s="5">
        <f t="shared" si="4"/>
        <v>25870.228815428138</v>
      </c>
      <c r="D18" s="5">
        <f t="shared" si="5"/>
        <v>25223.204400056165</v>
      </c>
      <c r="E18" s="5">
        <f t="shared" si="6"/>
        <v>15723.204400056165</v>
      </c>
      <c r="F18" s="5">
        <f t="shared" si="7"/>
        <v>5435.3762366183382</v>
      </c>
      <c r="G18" s="5">
        <f t="shared" si="8"/>
        <v>19787.828163437829</v>
      </c>
      <c r="H18" s="22">
        <f t="shared" si="1"/>
        <v>11643.456036868954</v>
      </c>
      <c r="I18" s="5">
        <f t="shared" si="9"/>
        <v>30697.746469984042</v>
      </c>
      <c r="J18" s="26">
        <f t="shared" si="2"/>
        <v>0.12667241418474942</v>
      </c>
      <c r="L18" s="22">
        <f t="shared" si="3"/>
        <v>56169.076504236509</v>
      </c>
      <c r="M18" s="5">
        <f>scrimecost*Meta!O15</f>
        <v>2342.8649999999998</v>
      </c>
      <c r="N18" s="22"/>
    </row>
    <row r="19" spans="1:14" x14ac:dyDescent="0.2">
      <c r="A19" s="5">
        <v>28</v>
      </c>
      <c r="B19" s="1">
        <f t="shared" si="0"/>
        <v>1.4129738209737661</v>
      </c>
      <c r="C19" s="5">
        <f t="shared" si="4"/>
        <v>26516.984535813841</v>
      </c>
      <c r="D19" s="5">
        <f t="shared" si="5"/>
        <v>25829.214510057569</v>
      </c>
      <c r="E19" s="5">
        <f t="shared" si="6"/>
        <v>16329.214510057569</v>
      </c>
      <c r="F19" s="5">
        <f t="shared" si="7"/>
        <v>5633.2385375337963</v>
      </c>
      <c r="G19" s="5">
        <f t="shared" si="8"/>
        <v>20195.975972523775</v>
      </c>
      <c r="H19" s="22">
        <f t="shared" si="1"/>
        <v>11934.542437790677</v>
      </c>
      <c r="I19" s="5">
        <f t="shared" si="9"/>
        <v>31378.642236733642</v>
      </c>
      <c r="J19" s="26">
        <f t="shared" si="2"/>
        <v>0.1290745819098226</v>
      </c>
      <c r="L19" s="22">
        <f t="shared" si="3"/>
        <v>57573.303416842413</v>
      </c>
      <c r="M19" s="5">
        <f>scrimecost*Meta!O16</f>
        <v>2342.8649999999998</v>
      </c>
      <c r="N19" s="22"/>
    </row>
    <row r="20" spans="1:14" x14ac:dyDescent="0.2">
      <c r="A20" s="5">
        <v>29</v>
      </c>
      <c r="B20" s="1">
        <f t="shared" si="0"/>
        <v>1.4482981664981105</v>
      </c>
      <c r="C20" s="5">
        <f t="shared" si="4"/>
        <v>27179.90914920919</v>
      </c>
      <c r="D20" s="5">
        <f t="shared" si="5"/>
        <v>26450.37487280901</v>
      </c>
      <c r="E20" s="5">
        <f t="shared" si="6"/>
        <v>16950.37487280901</v>
      </c>
      <c r="F20" s="5">
        <f t="shared" si="7"/>
        <v>5836.0473959721421</v>
      </c>
      <c r="G20" s="5">
        <f t="shared" si="8"/>
        <v>20614.327476836868</v>
      </c>
      <c r="H20" s="22">
        <f t="shared" si="1"/>
        <v>12232.905998735445</v>
      </c>
      <c r="I20" s="5">
        <f t="shared" si="9"/>
        <v>32076.560397651981</v>
      </c>
      <c r="J20" s="26">
        <f t="shared" si="2"/>
        <v>0.13141816017818667</v>
      </c>
      <c r="L20" s="22">
        <f t="shared" si="3"/>
        <v>59012.636002263484</v>
      </c>
      <c r="M20" s="5">
        <f>scrimecost*Meta!O17</f>
        <v>2342.8649999999998</v>
      </c>
      <c r="N20" s="22"/>
    </row>
    <row r="21" spans="1:14" x14ac:dyDescent="0.2">
      <c r="A21" s="5">
        <v>30</v>
      </c>
      <c r="B21" s="1">
        <f t="shared" si="0"/>
        <v>1.4845056206605631</v>
      </c>
      <c r="C21" s="5">
        <f t="shared" si="4"/>
        <v>27859.406877939415</v>
      </c>
      <c r="D21" s="5">
        <f t="shared" si="5"/>
        <v>27087.064244629233</v>
      </c>
      <c r="E21" s="5">
        <f t="shared" si="6"/>
        <v>17587.064244629233</v>
      </c>
      <c r="F21" s="5">
        <f t="shared" si="7"/>
        <v>6043.9264758714444</v>
      </c>
      <c r="G21" s="5">
        <f t="shared" si="8"/>
        <v>21043.137768757788</v>
      </c>
      <c r="H21" s="22">
        <f t="shared" si="1"/>
        <v>12538.728648703831</v>
      </c>
      <c r="I21" s="5">
        <f t="shared" si="9"/>
        <v>32791.92651259328</v>
      </c>
      <c r="J21" s="26">
        <f t="shared" si="2"/>
        <v>0.1337045780009809</v>
      </c>
      <c r="L21" s="22">
        <f t="shared" si="3"/>
        <v>60487.951902320063</v>
      </c>
      <c r="M21" s="5">
        <f>scrimecost*Meta!O18</f>
        <v>1888.761</v>
      </c>
      <c r="N21" s="22"/>
    </row>
    <row r="22" spans="1:14" x14ac:dyDescent="0.2">
      <c r="A22" s="5">
        <v>31</v>
      </c>
      <c r="B22" s="1">
        <f t="shared" si="0"/>
        <v>1.521618261177077</v>
      </c>
      <c r="C22" s="5">
        <f t="shared" si="4"/>
        <v>28555.892049887898</v>
      </c>
      <c r="D22" s="5">
        <f t="shared" si="5"/>
        <v>27739.670850744962</v>
      </c>
      <c r="E22" s="5">
        <f t="shared" si="6"/>
        <v>18239.670850744962</v>
      </c>
      <c r="F22" s="5">
        <f t="shared" si="7"/>
        <v>6257.0025327682306</v>
      </c>
      <c r="G22" s="5">
        <f t="shared" si="8"/>
        <v>21482.668317976731</v>
      </c>
      <c r="H22" s="22">
        <f t="shared" si="1"/>
        <v>12852.196864921425</v>
      </c>
      <c r="I22" s="5">
        <f t="shared" si="9"/>
        <v>33525.17678040811</v>
      </c>
      <c r="J22" s="26">
        <f t="shared" si="2"/>
        <v>0.13593522953541429</v>
      </c>
      <c r="L22" s="22">
        <f t="shared" si="3"/>
        <v>62000.150699878061</v>
      </c>
      <c r="M22" s="5">
        <f>scrimecost*Meta!O19</f>
        <v>1888.761</v>
      </c>
      <c r="N22" s="22"/>
    </row>
    <row r="23" spans="1:14" x14ac:dyDescent="0.2">
      <c r="A23" s="5">
        <v>32</v>
      </c>
      <c r="B23" s="1">
        <f t="shared" si="0"/>
        <v>1.559658717706504</v>
      </c>
      <c r="C23" s="5">
        <f t="shared" si="4"/>
        <v>29269.789351135096</v>
      </c>
      <c r="D23" s="5">
        <f t="shared" si="5"/>
        <v>28408.592622013584</v>
      </c>
      <c r="E23" s="5">
        <f t="shared" si="6"/>
        <v>18908.592622013584</v>
      </c>
      <c r="F23" s="5">
        <f t="shared" si="7"/>
        <v>6475.4054910874347</v>
      </c>
      <c r="G23" s="5">
        <f t="shared" si="8"/>
        <v>21933.187130926148</v>
      </c>
      <c r="H23" s="22">
        <f t="shared" si="1"/>
        <v>13173.501786544462</v>
      </c>
      <c r="I23" s="5">
        <f t="shared" si="9"/>
        <v>34276.758304918309</v>
      </c>
      <c r="J23" s="26">
        <f t="shared" si="2"/>
        <v>0.13811147493486145</v>
      </c>
      <c r="L23" s="22">
        <f t="shared" si="3"/>
        <v>63550.154467375018</v>
      </c>
      <c r="M23" s="5">
        <f>scrimecost*Meta!O20</f>
        <v>1888.761</v>
      </c>
      <c r="N23" s="22"/>
    </row>
    <row r="24" spans="1:14" x14ac:dyDescent="0.2">
      <c r="A24" s="5">
        <v>33</v>
      </c>
      <c r="B24" s="1">
        <f t="shared" si="0"/>
        <v>1.5986501856491666</v>
      </c>
      <c r="C24" s="5">
        <f t="shared" si="4"/>
        <v>30001.534084913474</v>
      </c>
      <c r="D24" s="5">
        <f t="shared" si="5"/>
        <v>29094.237437563927</v>
      </c>
      <c r="E24" s="5">
        <f t="shared" si="6"/>
        <v>19594.237437563927</v>
      </c>
      <c r="F24" s="5">
        <f t="shared" si="7"/>
        <v>6699.2685233646225</v>
      </c>
      <c r="G24" s="5">
        <f t="shared" si="8"/>
        <v>22394.968914199304</v>
      </c>
      <c r="H24" s="22">
        <f t="shared" si="1"/>
        <v>13502.839331208072</v>
      </c>
      <c r="I24" s="5">
        <f t="shared" si="9"/>
        <v>35047.129367541267</v>
      </c>
      <c r="J24" s="26">
        <f t="shared" si="2"/>
        <v>0.14023464117822465</v>
      </c>
      <c r="L24" s="22">
        <f t="shared" si="3"/>
        <v>65138.908329059392</v>
      </c>
      <c r="M24" s="5">
        <f>scrimecost*Meta!O21</f>
        <v>1888.761</v>
      </c>
      <c r="N24" s="22"/>
    </row>
    <row r="25" spans="1:14" x14ac:dyDescent="0.2">
      <c r="A25" s="5">
        <v>34</v>
      </c>
      <c r="B25" s="1">
        <f t="shared" si="0"/>
        <v>1.6386164402903955</v>
      </c>
      <c r="C25" s="5">
        <f t="shared" si="4"/>
        <v>30751.57243703631</v>
      </c>
      <c r="D25" s="5">
        <f t="shared" si="5"/>
        <v>29797.023373503023</v>
      </c>
      <c r="E25" s="5">
        <f t="shared" si="6"/>
        <v>20297.023373503023</v>
      </c>
      <c r="F25" s="5">
        <f t="shared" si="7"/>
        <v>6928.7281314487373</v>
      </c>
      <c r="G25" s="5">
        <f t="shared" si="8"/>
        <v>22868.295242054286</v>
      </c>
      <c r="H25" s="22">
        <f t="shared" si="1"/>
        <v>13840.410314488272</v>
      </c>
      <c r="I25" s="5">
        <f t="shared" si="9"/>
        <v>35836.759706729797</v>
      </c>
      <c r="J25" s="26">
        <f t="shared" si="2"/>
        <v>0.14230602287906671</v>
      </c>
      <c r="L25" s="22">
        <f t="shared" si="3"/>
        <v>66767.381037285857</v>
      </c>
      <c r="M25" s="5">
        <f>scrimecost*Meta!O22</f>
        <v>1888.761</v>
      </c>
      <c r="N25" s="22"/>
    </row>
    <row r="26" spans="1:14" x14ac:dyDescent="0.2">
      <c r="A26" s="5">
        <v>35</v>
      </c>
      <c r="B26" s="1">
        <f t="shared" si="0"/>
        <v>1.6795818512976552</v>
      </c>
      <c r="C26" s="5">
        <f t="shared" si="4"/>
        <v>31520.361747962212</v>
      </c>
      <c r="D26" s="5">
        <f t="shared" si="5"/>
        <v>30517.378957840592</v>
      </c>
      <c r="E26" s="5">
        <f t="shared" si="6"/>
        <v>21017.378957840592</v>
      </c>
      <c r="F26" s="5">
        <f t="shared" si="7"/>
        <v>7163.9242297349538</v>
      </c>
      <c r="G26" s="5">
        <f t="shared" si="8"/>
        <v>23353.454728105637</v>
      </c>
      <c r="H26" s="22">
        <f t="shared" si="1"/>
        <v>14186.420572350478</v>
      </c>
      <c r="I26" s="5">
        <f t="shared" si="9"/>
        <v>36646.130804398039</v>
      </c>
      <c r="J26" s="26">
        <f t="shared" si="2"/>
        <v>0.14432688307501018</v>
      </c>
      <c r="L26" s="22">
        <f t="shared" si="3"/>
        <v>68436.565563218013</v>
      </c>
      <c r="M26" s="5">
        <f>scrimecost*Meta!O23</f>
        <v>1465.8209999999999</v>
      </c>
      <c r="N26" s="22"/>
    </row>
    <row r="27" spans="1:14" x14ac:dyDescent="0.2">
      <c r="A27" s="5">
        <v>36</v>
      </c>
      <c r="B27" s="1">
        <f t="shared" si="0"/>
        <v>1.7215713975800966</v>
      </c>
      <c r="C27" s="5">
        <f t="shared" si="4"/>
        <v>32308.370791661266</v>
      </c>
      <c r="D27" s="5">
        <f t="shared" si="5"/>
        <v>31255.743431786606</v>
      </c>
      <c r="E27" s="5">
        <f t="shared" si="6"/>
        <v>21755.743431786606</v>
      </c>
      <c r="F27" s="5">
        <f t="shared" si="7"/>
        <v>7405.0002304783266</v>
      </c>
      <c r="G27" s="5">
        <f t="shared" si="8"/>
        <v>23850.74320130828</v>
      </c>
      <c r="H27" s="22">
        <f t="shared" si="1"/>
        <v>14541.081086659238</v>
      </c>
      <c r="I27" s="5">
        <f t="shared" si="9"/>
        <v>37475.736179507985</v>
      </c>
      <c r="J27" s="26">
        <f t="shared" si="2"/>
        <v>0.14629845399788186</v>
      </c>
      <c r="L27" s="22">
        <f t="shared" si="3"/>
        <v>70147.479702298457</v>
      </c>
      <c r="M27" s="5">
        <f>scrimecost*Meta!O24</f>
        <v>1465.8209999999999</v>
      </c>
      <c r="N27" s="22"/>
    </row>
    <row r="28" spans="1:14" x14ac:dyDescent="0.2">
      <c r="A28" s="5">
        <v>37</v>
      </c>
      <c r="B28" s="1">
        <f t="shared" si="0"/>
        <v>1.7646106825195991</v>
      </c>
      <c r="C28" s="5">
        <f t="shared" si="4"/>
        <v>33116.080061452798</v>
      </c>
      <c r="D28" s="5">
        <f t="shared" si="5"/>
        <v>32012.567017581274</v>
      </c>
      <c r="E28" s="5">
        <f t="shared" si="6"/>
        <v>22512.567017581274</v>
      </c>
      <c r="F28" s="5">
        <f t="shared" si="7"/>
        <v>7652.1031312402865</v>
      </c>
      <c r="G28" s="5">
        <f t="shared" si="8"/>
        <v>24360.463886340985</v>
      </c>
      <c r="H28" s="22">
        <f t="shared" si="1"/>
        <v>14904.608113825721</v>
      </c>
      <c r="I28" s="5">
        <f t="shared" si="9"/>
        <v>38326.081688995691</v>
      </c>
      <c r="J28" s="26">
        <f t="shared" si="2"/>
        <v>0.14822193782507381</v>
      </c>
      <c r="L28" s="22">
        <f t="shared" si="3"/>
        <v>71901.166694855929</v>
      </c>
      <c r="M28" s="5">
        <f>scrimecost*Meta!O25</f>
        <v>1465.8209999999999</v>
      </c>
      <c r="N28" s="22"/>
    </row>
    <row r="29" spans="1:14" x14ac:dyDescent="0.2">
      <c r="A29" s="5">
        <v>38</v>
      </c>
      <c r="B29" s="1">
        <f t="shared" si="0"/>
        <v>1.8087259495825889</v>
      </c>
      <c r="C29" s="5">
        <f t="shared" si="4"/>
        <v>33943.982062989118</v>
      </c>
      <c r="D29" s="5">
        <f t="shared" si="5"/>
        <v>32788.311193020803</v>
      </c>
      <c r="E29" s="5">
        <f t="shared" si="6"/>
        <v>23288.311193020803</v>
      </c>
      <c r="F29" s="5">
        <f t="shared" si="7"/>
        <v>7905.383604521292</v>
      </c>
      <c r="G29" s="5">
        <f t="shared" si="8"/>
        <v>24882.927588499511</v>
      </c>
      <c r="H29" s="22">
        <f t="shared" si="1"/>
        <v>15277.223316671363</v>
      </c>
      <c r="I29" s="5">
        <f t="shared" si="9"/>
        <v>39197.685836220582</v>
      </c>
      <c r="J29" s="26">
        <f t="shared" si="2"/>
        <v>0.15009850741257807</v>
      </c>
      <c r="L29" s="22">
        <f t="shared" si="3"/>
        <v>73698.695862227309</v>
      </c>
      <c r="M29" s="5">
        <f>scrimecost*Meta!O26</f>
        <v>1465.8209999999999</v>
      </c>
      <c r="N29" s="22"/>
    </row>
    <row r="30" spans="1:14" x14ac:dyDescent="0.2">
      <c r="A30" s="5">
        <v>39</v>
      </c>
      <c r="B30" s="1">
        <f t="shared" si="0"/>
        <v>1.8539440983221533</v>
      </c>
      <c r="C30" s="5">
        <f t="shared" si="4"/>
        <v>34792.581614563838</v>
      </c>
      <c r="D30" s="5">
        <f t="shared" si="5"/>
        <v>33583.448972846316</v>
      </c>
      <c r="E30" s="5">
        <f t="shared" si="6"/>
        <v>24083.448972846316</v>
      </c>
      <c r="F30" s="5">
        <f t="shared" si="7"/>
        <v>8164.9960896343218</v>
      </c>
      <c r="G30" s="5">
        <f t="shared" si="8"/>
        <v>25418.452883211994</v>
      </c>
      <c r="H30" s="22">
        <f t="shared" si="1"/>
        <v>15659.153899588144</v>
      </c>
      <c r="I30" s="5">
        <f t="shared" si="9"/>
        <v>40091.080087126087</v>
      </c>
      <c r="J30" s="26">
        <f t="shared" si="2"/>
        <v>0.15192930701014321</v>
      </c>
      <c r="L30" s="22">
        <f t="shared" si="3"/>
        <v>75541.163258782981</v>
      </c>
      <c r="M30" s="5">
        <f>scrimecost*Meta!O27</f>
        <v>1465.8209999999999</v>
      </c>
      <c r="N30" s="22"/>
    </row>
    <row r="31" spans="1:14" x14ac:dyDescent="0.2">
      <c r="A31" s="5">
        <v>40</v>
      </c>
      <c r="B31" s="1">
        <f t="shared" si="0"/>
        <v>1.9002927007802071</v>
      </c>
      <c r="C31" s="5">
        <f t="shared" si="4"/>
        <v>35662.396154927934</v>
      </c>
      <c r="D31" s="5">
        <f t="shared" si="5"/>
        <v>34398.465197167476</v>
      </c>
      <c r="E31" s="5">
        <f t="shared" si="6"/>
        <v>24898.465197167476</v>
      </c>
      <c r="F31" s="5">
        <f t="shared" si="7"/>
        <v>8431.0988868751811</v>
      </c>
      <c r="G31" s="5">
        <f t="shared" si="8"/>
        <v>25967.366310292295</v>
      </c>
      <c r="H31" s="22">
        <f t="shared" si="1"/>
        <v>16050.632747077847</v>
      </c>
      <c r="I31" s="5">
        <f t="shared" si="9"/>
        <v>41006.809194304238</v>
      </c>
      <c r="J31" s="26">
        <f t="shared" si="2"/>
        <v>0.15371545295898731</v>
      </c>
      <c r="L31" s="22">
        <f t="shared" si="3"/>
        <v>77429.692340252543</v>
      </c>
      <c r="M31" s="5">
        <f>scrimecost*Meta!O28</f>
        <v>1282.1759999999999</v>
      </c>
      <c r="N31" s="22"/>
    </row>
    <row r="32" spans="1:14" x14ac:dyDescent="0.2">
      <c r="A32" s="5">
        <v>41</v>
      </c>
      <c r="B32" s="1">
        <f t="shared" si="0"/>
        <v>1.9478000182997122</v>
      </c>
      <c r="C32" s="5">
        <f t="shared" si="4"/>
        <v>36553.95605880113</v>
      </c>
      <c r="D32" s="5">
        <f t="shared" si="5"/>
        <v>35233.856827096664</v>
      </c>
      <c r="E32" s="5">
        <f t="shared" si="6"/>
        <v>25733.856827096664</v>
      </c>
      <c r="F32" s="5">
        <f t="shared" si="7"/>
        <v>8703.8542540470607</v>
      </c>
      <c r="G32" s="5">
        <f t="shared" si="8"/>
        <v>26530.002573049605</v>
      </c>
      <c r="H32" s="22">
        <f t="shared" si="1"/>
        <v>16451.898565754793</v>
      </c>
      <c r="I32" s="5">
        <f t="shared" si="9"/>
        <v>41945.431529161848</v>
      </c>
      <c r="J32" s="26">
        <f t="shared" si="2"/>
        <v>0.15545803437249373</v>
      </c>
      <c r="L32" s="22">
        <f t="shared" si="3"/>
        <v>79365.434648758863</v>
      </c>
      <c r="M32" s="5">
        <f>scrimecost*Meta!O29</f>
        <v>1282.1759999999999</v>
      </c>
      <c r="N32" s="22"/>
    </row>
    <row r="33" spans="1:14" x14ac:dyDescent="0.2">
      <c r="A33" s="5">
        <v>42</v>
      </c>
      <c r="B33" s="1">
        <f t="shared" si="0"/>
        <v>1.9964950187572048</v>
      </c>
      <c r="C33" s="5">
        <f t="shared" si="4"/>
        <v>37467.804960271154</v>
      </c>
      <c r="D33" s="5">
        <f t="shared" si="5"/>
        <v>36090.13324777408</v>
      </c>
      <c r="E33" s="5">
        <f t="shared" si="6"/>
        <v>26590.13324777408</v>
      </c>
      <c r="F33" s="5">
        <f t="shared" si="7"/>
        <v>8983.4285053982367</v>
      </c>
      <c r="G33" s="5">
        <f t="shared" si="8"/>
        <v>27106.704742375841</v>
      </c>
      <c r="H33" s="22">
        <f t="shared" si="1"/>
        <v>16863.19602989866</v>
      </c>
      <c r="I33" s="5">
        <f t="shared" si="9"/>
        <v>42907.519422390884</v>
      </c>
      <c r="J33" s="26">
        <f t="shared" si="2"/>
        <v>0.15715811380030487</v>
      </c>
      <c r="L33" s="22">
        <f t="shared" si="3"/>
        <v>81349.570514977837</v>
      </c>
      <c r="M33" s="5">
        <f>scrimecost*Meta!O30</f>
        <v>1282.1759999999999</v>
      </c>
      <c r="N33" s="22"/>
    </row>
    <row r="34" spans="1:14" x14ac:dyDescent="0.2">
      <c r="A34" s="5">
        <v>43</v>
      </c>
      <c r="B34" s="1">
        <f t="shared" si="0"/>
        <v>2.0464073942261352</v>
      </c>
      <c r="C34" s="5">
        <f t="shared" si="4"/>
        <v>38404.500084277941</v>
      </c>
      <c r="D34" s="5">
        <f t="shared" si="5"/>
        <v>36967.816578968435</v>
      </c>
      <c r="E34" s="5">
        <f t="shared" si="6"/>
        <v>27467.816578968435</v>
      </c>
      <c r="F34" s="5">
        <f t="shared" si="7"/>
        <v>9269.9921130331932</v>
      </c>
      <c r="G34" s="5">
        <f t="shared" si="8"/>
        <v>27697.824465935242</v>
      </c>
      <c r="H34" s="22">
        <f t="shared" si="1"/>
        <v>17284.77593064613</v>
      </c>
      <c r="I34" s="5">
        <f t="shared" si="9"/>
        <v>43893.659512950668</v>
      </c>
      <c r="J34" s="26">
        <f t="shared" si="2"/>
        <v>0.15881672787621814</v>
      </c>
      <c r="L34" s="22">
        <f t="shared" si="3"/>
        <v>83383.309777852279</v>
      </c>
      <c r="M34" s="5">
        <f>scrimecost*Meta!O31</f>
        <v>1282.1759999999999</v>
      </c>
      <c r="N34" s="22"/>
    </row>
    <row r="35" spans="1:14" x14ac:dyDescent="0.2">
      <c r="A35" s="5">
        <v>44</v>
      </c>
      <c r="B35" s="1">
        <f t="shared" si="0"/>
        <v>2.097567579081788</v>
      </c>
      <c r="C35" s="5">
        <f t="shared" si="4"/>
        <v>39364.612586384872</v>
      </c>
      <c r="D35" s="5">
        <f t="shared" si="5"/>
        <v>37867.441993442633</v>
      </c>
      <c r="E35" s="5">
        <f t="shared" si="6"/>
        <v>28367.441993442633</v>
      </c>
      <c r="F35" s="5">
        <f t="shared" si="7"/>
        <v>9563.7198108590201</v>
      </c>
      <c r="G35" s="5">
        <f t="shared" si="8"/>
        <v>28303.722182583613</v>
      </c>
      <c r="H35" s="22">
        <f t="shared" si="1"/>
        <v>17716.895328912276</v>
      </c>
      <c r="I35" s="5">
        <f t="shared" si="9"/>
        <v>44904.453105774417</v>
      </c>
      <c r="J35" s="26">
        <f t="shared" si="2"/>
        <v>0.16043488795027991</v>
      </c>
      <c r="L35" s="22">
        <f t="shared" si="3"/>
        <v>85467.892522298571</v>
      </c>
      <c r="M35" s="5">
        <f>scrimecost*Meta!O32</f>
        <v>1282.1759999999999</v>
      </c>
      <c r="N35" s="22"/>
    </row>
    <row r="36" spans="1:14" x14ac:dyDescent="0.2">
      <c r="A36" s="5">
        <v>45</v>
      </c>
      <c r="B36" s="1">
        <f t="shared" si="0"/>
        <v>2.1500067685588333</v>
      </c>
      <c r="C36" s="5">
        <f t="shared" si="4"/>
        <v>40348.727901044513</v>
      </c>
      <c r="D36" s="5">
        <f t="shared" si="5"/>
        <v>38789.55804327871</v>
      </c>
      <c r="E36" s="5">
        <f t="shared" si="6"/>
        <v>29289.55804327871</v>
      </c>
      <c r="F36" s="5">
        <f t="shared" si="7"/>
        <v>9864.7907011304997</v>
      </c>
      <c r="G36" s="5">
        <f t="shared" si="8"/>
        <v>28924.76734214821</v>
      </c>
      <c r="H36" s="22">
        <f t="shared" si="1"/>
        <v>18159.817712135089</v>
      </c>
      <c r="I36" s="5">
        <f t="shared" si="9"/>
        <v>45940.516538418786</v>
      </c>
      <c r="J36" s="26">
        <f t="shared" si="2"/>
        <v>0.16201358070546212</v>
      </c>
      <c r="L36" s="22">
        <f t="shared" si="3"/>
        <v>87604.589835356062</v>
      </c>
      <c r="M36" s="5">
        <f>scrimecost*Meta!O33</f>
        <v>1036.203</v>
      </c>
      <c r="N36" s="22"/>
    </row>
    <row r="37" spans="1:14" x14ac:dyDescent="0.2">
      <c r="A37" s="5">
        <v>46</v>
      </c>
      <c r="B37" s="1">
        <f t="shared" ref="B37:B56" si="10">(1+experiencepremium)^(A37-startage)</f>
        <v>2.2037569377728037</v>
      </c>
      <c r="C37" s="5">
        <f t="shared" ref="C37:C56" si="11">pretaxincome*B37/expnorm</f>
        <v>41357.44609857061</v>
      </c>
      <c r="D37" s="5">
        <f t="shared" ref="D37:D56" si="12">IF(A37&lt;startage,1,0)*(C37*(1-initialunempprob))+IF(A37=startage,1,0)*(C37*(1-unempprob))+IF(A37&gt;startage,1,0)*(C37*(1-unempprob)+unempprob*300*52)</f>
        <v>39734.726994360666</v>
      </c>
      <c r="E37" s="5">
        <f t="shared" si="6"/>
        <v>30234.726994360666</v>
      </c>
      <c r="F37" s="5">
        <f t="shared" si="7"/>
        <v>10173.388363658758</v>
      </c>
      <c r="G37" s="5">
        <f t="shared" si="8"/>
        <v>29561.33863070191</v>
      </c>
      <c r="H37" s="22">
        <f t="shared" ref="H37:H56" si="13">benefits*B37/expnorm</f>
        <v>18613.813154938463</v>
      </c>
      <c r="I37" s="5">
        <f t="shared" ref="I37:I56" si="14">G37+IF(A37&lt;startage,1,0)*(H37*(1-initialunempprob))+IF(A37&gt;=startage,1,0)*(H37*(1-unempprob))</f>
        <v>47002.481556879255</v>
      </c>
      <c r="J37" s="26">
        <f t="shared" ref="J37:J56" si="15">(F37-(IF(A37&gt;startage,1,0)*(unempprob*300*52)))/(IF(A37&lt;startage,1,0)*((C37+H37)*(1-initialunempprob))+IF(A37&gt;=startage,1,0)*((C37+H37)*(1-unempprob)))</f>
        <v>0.16355376875929839</v>
      </c>
      <c r="L37" s="22">
        <f t="shared" ref="L37:L56" si="16">(sincome+sbenefits)*(1-sunemp)*B37/expnorm</f>
        <v>89794.70458123993</v>
      </c>
      <c r="M37" s="5">
        <f>scrimecost*Meta!O34</f>
        <v>1036.203</v>
      </c>
      <c r="N37" s="22"/>
    </row>
    <row r="38" spans="1:14" x14ac:dyDescent="0.2">
      <c r="A38" s="5">
        <v>47</v>
      </c>
      <c r="B38" s="1">
        <f t="shared" si="10"/>
        <v>2.2588508612171236</v>
      </c>
      <c r="C38" s="5">
        <f t="shared" si="11"/>
        <v>42391.382251034876</v>
      </c>
      <c r="D38" s="5">
        <f t="shared" si="12"/>
        <v>40703.525169219683</v>
      </c>
      <c r="E38" s="5">
        <f t="shared" si="6"/>
        <v>31203.525169219683</v>
      </c>
      <c r="F38" s="5">
        <f t="shared" si="7"/>
        <v>10489.700967750226</v>
      </c>
      <c r="G38" s="5">
        <f t="shared" si="8"/>
        <v>30213.824201469455</v>
      </c>
      <c r="H38" s="22">
        <f t="shared" si="13"/>
        <v>19079.158483811923</v>
      </c>
      <c r="I38" s="5">
        <f t="shared" si="14"/>
        <v>48090.995700801228</v>
      </c>
      <c r="J38" s="26">
        <f t="shared" si="15"/>
        <v>0.16505639125084598</v>
      </c>
      <c r="L38" s="22">
        <f t="shared" si="16"/>
        <v>92039.572195770932</v>
      </c>
      <c r="M38" s="5">
        <f>scrimecost*Meta!O35</f>
        <v>1036.203</v>
      </c>
      <c r="N38" s="22"/>
    </row>
    <row r="39" spans="1:14" x14ac:dyDescent="0.2">
      <c r="A39" s="5">
        <v>48</v>
      </c>
      <c r="B39" s="1">
        <f t="shared" si="10"/>
        <v>2.3153221327475517</v>
      </c>
      <c r="C39" s="5">
        <f t="shared" si="11"/>
        <v>43451.166807310743</v>
      </c>
      <c r="D39" s="5">
        <f t="shared" si="12"/>
        <v>41696.543298450175</v>
      </c>
      <c r="E39" s="5">
        <f t="shared" si="6"/>
        <v>32196.543298450175</v>
      </c>
      <c r="F39" s="5">
        <f t="shared" si="7"/>
        <v>10813.921386943983</v>
      </c>
      <c r="G39" s="5">
        <f t="shared" si="8"/>
        <v>30882.62191150619</v>
      </c>
      <c r="H39" s="22">
        <f t="shared" si="13"/>
        <v>19556.137445907221</v>
      </c>
      <c r="I39" s="5">
        <f t="shared" si="14"/>
        <v>49206.72269832126</v>
      </c>
      <c r="J39" s="26">
        <f t="shared" si="15"/>
        <v>0.16652236441333146</v>
      </c>
      <c r="L39" s="22">
        <f t="shared" si="16"/>
        <v>94340.561500665208</v>
      </c>
      <c r="M39" s="5">
        <f>scrimecost*Meta!O36</f>
        <v>1036.203</v>
      </c>
      <c r="N39" s="22"/>
    </row>
    <row r="40" spans="1:14" x14ac:dyDescent="0.2">
      <c r="A40" s="5">
        <v>49</v>
      </c>
      <c r="B40" s="1">
        <f t="shared" si="10"/>
        <v>2.3732051860662402</v>
      </c>
      <c r="C40" s="5">
        <f t="shared" si="11"/>
        <v>44537.445977493509</v>
      </c>
      <c r="D40" s="5">
        <f t="shared" si="12"/>
        <v>42714.386880911421</v>
      </c>
      <c r="E40" s="5">
        <f t="shared" si="6"/>
        <v>33214.386880911421</v>
      </c>
      <c r="F40" s="5">
        <f t="shared" si="7"/>
        <v>11146.247316617579</v>
      </c>
      <c r="G40" s="5">
        <f t="shared" si="8"/>
        <v>31568.139564293844</v>
      </c>
      <c r="H40" s="22">
        <f t="shared" si="13"/>
        <v>20045.040882054898</v>
      </c>
      <c r="I40" s="5">
        <f t="shared" si="14"/>
        <v>50350.342870779285</v>
      </c>
      <c r="J40" s="26">
        <f t="shared" si="15"/>
        <v>0.16795258213282946</v>
      </c>
      <c r="L40" s="22">
        <f t="shared" si="16"/>
        <v>96699.075538181816</v>
      </c>
      <c r="M40" s="5">
        <f>scrimecost*Meta!O37</f>
        <v>1036.203</v>
      </c>
      <c r="N40" s="22"/>
    </row>
    <row r="41" spans="1:14" x14ac:dyDescent="0.2">
      <c r="A41" s="5">
        <v>50</v>
      </c>
      <c r="B41" s="1">
        <f t="shared" si="10"/>
        <v>2.4325353157178964</v>
      </c>
      <c r="C41" s="5">
        <f t="shared" si="11"/>
        <v>45650.882126930854</v>
      </c>
      <c r="D41" s="5">
        <f t="shared" si="12"/>
        <v>43757.676552934216</v>
      </c>
      <c r="E41" s="5">
        <f t="shared" si="6"/>
        <v>34257.676552934216</v>
      </c>
      <c r="F41" s="5">
        <f t="shared" si="7"/>
        <v>11486.881394533022</v>
      </c>
      <c r="G41" s="5">
        <f t="shared" si="8"/>
        <v>32270.795158401193</v>
      </c>
      <c r="H41" s="22">
        <f t="shared" si="13"/>
        <v>20546.166904106274</v>
      </c>
      <c r="I41" s="5">
        <f t="shared" si="14"/>
        <v>51522.55354754877</v>
      </c>
      <c r="J41" s="26">
        <f t="shared" si="15"/>
        <v>0.16934791649331535</v>
      </c>
      <c r="L41" s="22">
        <f t="shared" si="16"/>
        <v>99116.552426636365</v>
      </c>
      <c r="M41" s="5">
        <f>scrimecost*Meta!O38</f>
        <v>692.28599999999994</v>
      </c>
      <c r="N41" s="22"/>
    </row>
    <row r="42" spans="1:14" x14ac:dyDescent="0.2">
      <c r="A42" s="5">
        <v>51</v>
      </c>
      <c r="B42" s="1">
        <f t="shared" si="10"/>
        <v>2.4933486986108435</v>
      </c>
      <c r="C42" s="5">
        <f t="shared" si="11"/>
        <v>46792.154180104117</v>
      </c>
      <c r="D42" s="5">
        <f t="shared" si="12"/>
        <v>44827.048466757566</v>
      </c>
      <c r="E42" s="5">
        <f t="shared" si="6"/>
        <v>35327.048466757566</v>
      </c>
      <c r="F42" s="5">
        <f t="shared" si="7"/>
        <v>11918.736171072102</v>
      </c>
      <c r="G42" s="5">
        <f t="shared" si="8"/>
        <v>32908.312295685464</v>
      </c>
      <c r="H42" s="22">
        <f t="shared" si="13"/>
        <v>21059.821076708926</v>
      </c>
      <c r="I42" s="5">
        <f t="shared" si="14"/>
        <v>52641.364644561734</v>
      </c>
      <c r="J42" s="26">
        <f t="shared" si="15"/>
        <v>0.17201007326160228</v>
      </c>
      <c r="L42" s="22">
        <f t="shared" si="16"/>
        <v>101594.46623730227</v>
      </c>
      <c r="M42" s="5">
        <f>scrimecost*Meta!O39</f>
        <v>692.28599999999994</v>
      </c>
      <c r="N42" s="22"/>
    </row>
    <row r="43" spans="1:14" x14ac:dyDescent="0.2">
      <c r="A43" s="5">
        <v>52</v>
      </c>
      <c r="B43" s="1">
        <f t="shared" si="10"/>
        <v>2.555682416076114</v>
      </c>
      <c r="C43" s="5">
        <f t="shared" si="11"/>
        <v>47961.958034606709</v>
      </c>
      <c r="D43" s="5">
        <f t="shared" si="12"/>
        <v>45923.154678426494</v>
      </c>
      <c r="E43" s="5">
        <f t="shared" si="6"/>
        <v>36423.154678426494</v>
      </c>
      <c r="F43" s="5">
        <f t="shared" si="7"/>
        <v>12386.2254703489</v>
      </c>
      <c r="G43" s="5">
        <f t="shared" si="8"/>
        <v>33536.929208077592</v>
      </c>
      <c r="H43" s="22">
        <f t="shared" si="13"/>
        <v>21586.316603626648</v>
      </c>
      <c r="I43" s="5">
        <f t="shared" si="14"/>
        <v>53763.307865675764</v>
      </c>
      <c r="J43" s="26">
        <f t="shared" si="15"/>
        <v>0.17498844711992032</v>
      </c>
      <c r="L43" s="22">
        <f t="shared" si="16"/>
        <v>104134.3278932348</v>
      </c>
      <c r="M43" s="5">
        <f>scrimecost*Meta!O40</f>
        <v>692.28599999999994</v>
      </c>
      <c r="N43" s="22"/>
    </row>
    <row r="44" spans="1:14" x14ac:dyDescent="0.2">
      <c r="A44" s="5">
        <v>53</v>
      </c>
      <c r="B44" s="1">
        <f t="shared" si="10"/>
        <v>2.6195744764780171</v>
      </c>
      <c r="C44" s="5">
        <f t="shared" si="11"/>
        <v>49161.006985471882</v>
      </c>
      <c r="D44" s="5">
        <f t="shared" si="12"/>
        <v>47046.663545387157</v>
      </c>
      <c r="E44" s="5">
        <f t="shared" si="6"/>
        <v>37546.663545387157</v>
      </c>
      <c r="F44" s="5">
        <f t="shared" si="7"/>
        <v>12865.402002107623</v>
      </c>
      <c r="G44" s="5">
        <f t="shared" si="8"/>
        <v>34181.261543279536</v>
      </c>
      <c r="H44" s="22">
        <f t="shared" si="13"/>
        <v>22125.974518717318</v>
      </c>
      <c r="I44" s="5">
        <f t="shared" si="14"/>
        <v>54913.299667317668</v>
      </c>
      <c r="J44" s="26">
        <f t="shared" si="15"/>
        <v>0.17789417771340138</v>
      </c>
      <c r="L44" s="22">
        <f t="shared" si="16"/>
        <v>106737.68609056568</v>
      </c>
      <c r="M44" s="5">
        <f>scrimecost*Meta!O41</f>
        <v>692.28599999999994</v>
      </c>
      <c r="N44" s="22"/>
    </row>
    <row r="45" spans="1:14" x14ac:dyDescent="0.2">
      <c r="A45" s="5">
        <v>54</v>
      </c>
      <c r="B45" s="1">
        <f t="shared" si="10"/>
        <v>2.6850638383899672</v>
      </c>
      <c r="C45" s="5">
        <f t="shared" si="11"/>
        <v>50390.032160108669</v>
      </c>
      <c r="D45" s="5">
        <f t="shared" si="12"/>
        <v>48198.260134021832</v>
      </c>
      <c r="E45" s="5">
        <f t="shared" si="6"/>
        <v>38698.260134021832</v>
      </c>
      <c r="F45" s="5">
        <f t="shared" si="7"/>
        <v>13356.557947160312</v>
      </c>
      <c r="G45" s="5">
        <f t="shared" si="8"/>
        <v>34841.702186861519</v>
      </c>
      <c r="H45" s="22">
        <f t="shared" si="13"/>
        <v>22679.123881685246</v>
      </c>
      <c r="I45" s="5">
        <f t="shared" si="14"/>
        <v>56092.041264000596</v>
      </c>
      <c r="J45" s="26">
        <f t="shared" si="15"/>
        <v>0.18072903682899261</v>
      </c>
      <c r="L45" s="22">
        <f t="shared" si="16"/>
        <v>109406.12824282981</v>
      </c>
      <c r="M45" s="5">
        <f>scrimecost*Meta!O42</f>
        <v>692.28599999999994</v>
      </c>
      <c r="N45" s="22"/>
    </row>
    <row r="46" spans="1:14" x14ac:dyDescent="0.2">
      <c r="A46" s="5">
        <v>55</v>
      </c>
      <c r="B46" s="1">
        <f t="shared" si="10"/>
        <v>2.7521904343497163</v>
      </c>
      <c r="C46" s="5">
        <f t="shared" si="11"/>
        <v>51649.782964111386</v>
      </c>
      <c r="D46" s="5">
        <f t="shared" si="12"/>
        <v>49378.646637372374</v>
      </c>
      <c r="E46" s="5">
        <f t="shared" si="6"/>
        <v>39878.646637372374</v>
      </c>
      <c r="F46" s="5">
        <f t="shared" si="7"/>
        <v>13859.992790839318</v>
      </c>
      <c r="G46" s="5">
        <f t="shared" si="8"/>
        <v>35518.653846533052</v>
      </c>
      <c r="H46" s="22">
        <f t="shared" si="13"/>
        <v>23246.101978727376</v>
      </c>
      <c r="I46" s="5">
        <f t="shared" si="14"/>
        <v>57300.251400600609</v>
      </c>
      <c r="J46" s="26">
        <f t="shared" si="15"/>
        <v>0.18349475303932555</v>
      </c>
      <c r="L46" s="22">
        <f t="shared" si="16"/>
        <v>112141.28144890055</v>
      </c>
      <c r="M46" s="5">
        <f>scrimecost*Meta!O43</f>
        <v>383.98499999999996</v>
      </c>
      <c r="N46" s="22"/>
    </row>
    <row r="47" spans="1:14" x14ac:dyDescent="0.2">
      <c r="A47" s="5">
        <v>56</v>
      </c>
      <c r="B47" s="1">
        <f t="shared" si="10"/>
        <v>2.8209951952084591</v>
      </c>
      <c r="C47" s="5">
        <f t="shared" si="11"/>
        <v>52941.02753821417</v>
      </c>
      <c r="D47" s="5">
        <f t="shared" si="12"/>
        <v>50588.542803306686</v>
      </c>
      <c r="E47" s="5">
        <f t="shared" si="6"/>
        <v>41088.542803306686</v>
      </c>
      <c r="F47" s="5">
        <f t="shared" si="7"/>
        <v>14376.013505610303</v>
      </c>
      <c r="G47" s="5">
        <f t="shared" si="8"/>
        <v>36212.529297696383</v>
      </c>
      <c r="H47" s="22">
        <f t="shared" si="13"/>
        <v>23827.254528195561</v>
      </c>
      <c r="I47" s="5">
        <f t="shared" si="14"/>
        <v>58538.666790615622</v>
      </c>
      <c r="J47" s="26">
        <f t="shared" si="15"/>
        <v>0.18619301275672351</v>
      </c>
      <c r="L47" s="22">
        <f t="shared" si="16"/>
        <v>114944.81348512306</v>
      </c>
      <c r="M47" s="5">
        <f>scrimecost*Meta!O44</f>
        <v>383.98499999999996</v>
      </c>
      <c r="N47" s="22"/>
    </row>
    <row r="48" spans="1:14" x14ac:dyDescent="0.2">
      <c r="A48" s="5">
        <v>57</v>
      </c>
      <c r="B48" s="1">
        <f t="shared" si="10"/>
        <v>2.8915200750886707</v>
      </c>
      <c r="C48" s="5">
        <f t="shared" si="11"/>
        <v>54264.55322666953</v>
      </c>
      <c r="D48" s="5">
        <f t="shared" si="12"/>
        <v>51828.686373389355</v>
      </c>
      <c r="E48" s="5">
        <f t="shared" si="6"/>
        <v>42328.686373389355</v>
      </c>
      <c r="F48" s="5">
        <f t="shared" si="7"/>
        <v>14904.93473825056</v>
      </c>
      <c r="G48" s="5">
        <f t="shared" si="8"/>
        <v>36923.751635138797</v>
      </c>
      <c r="H48" s="22">
        <f t="shared" si="13"/>
        <v>24422.935891400452</v>
      </c>
      <c r="I48" s="5">
        <f t="shared" si="14"/>
        <v>59808.042565381023</v>
      </c>
      <c r="J48" s="26">
        <f t="shared" si="15"/>
        <v>0.18882546126150204</v>
      </c>
      <c r="L48" s="22">
        <f t="shared" si="16"/>
        <v>117818.43382225114</v>
      </c>
      <c r="M48" s="5">
        <f>scrimecost*Meta!O45</f>
        <v>383.98499999999996</v>
      </c>
      <c r="N48" s="22"/>
    </row>
    <row r="49" spans="1:14" x14ac:dyDescent="0.2">
      <c r="A49" s="5">
        <v>58</v>
      </c>
      <c r="B49" s="1">
        <f t="shared" si="10"/>
        <v>2.9638080769658868</v>
      </c>
      <c r="C49" s="5">
        <f t="shared" si="11"/>
        <v>55621.167057336257</v>
      </c>
      <c r="D49" s="5">
        <f t="shared" si="12"/>
        <v>53099.833532724078</v>
      </c>
      <c r="E49" s="5">
        <f t="shared" si="6"/>
        <v>43599.833532724078</v>
      </c>
      <c r="F49" s="5">
        <f t="shared" si="7"/>
        <v>15447.079001706819</v>
      </c>
      <c r="G49" s="5">
        <f t="shared" si="8"/>
        <v>37652.754531017257</v>
      </c>
      <c r="H49" s="22">
        <f t="shared" si="13"/>
        <v>25033.509288685455</v>
      </c>
      <c r="I49" s="5">
        <f t="shared" si="14"/>
        <v>61109.152734515534</v>
      </c>
      <c r="J49" s="26">
        <f t="shared" si="15"/>
        <v>0.19139370370518841</v>
      </c>
      <c r="L49" s="22">
        <f t="shared" si="16"/>
        <v>120763.8946678074</v>
      </c>
      <c r="M49" s="5">
        <f>scrimecost*Meta!O46</f>
        <v>383.98499999999996</v>
      </c>
      <c r="N49" s="22"/>
    </row>
    <row r="50" spans="1:14" x14ac:dyDescent="0.2">
      <c r="A50" s="5">
        <v>59</v>
      </c>
      <c r="B50" s="1">
        <f t="shared" si="10"/>
        <v>3.0379032788900342</v>
      </c>
      <c r="C50" s="5">
        <f t="shared" si="11"/>
        <v>57011.69623376966</v>
      </c>
      <c r="D50" s="5">
        <f t="shared" si="12"/>
        <v>54402.759371042179</v>
      </c>
      <c r="E50" s="5">
        <f t="shared" si="6"/>
        <v>44902.759371042179</v>
      </c>
      <c r="F50" s="5">
        <f t="shared" si="7"/>
        <v>16002.776871749491</v>
      </c>
      <c r="G50" s="5">
        <f t="shared" si="8"/>
        <v>38399.982499292688</v>
      </c>
      <c r="H50" s="22">
        <f t="shared" si="13"/>
        <v>25659.347020902595</v>
      </c>
      <c r="I50" s="5">
        <f t="shared" si="14"/>
        <v>62442.790657878417</v>
      </c>
      <c r="J50" s="26">
        <f t="shared" si="15"/>
        <v>0.19389930608927264</v>
      </c>
      <c r="L50" s="22">
        <f t="shared" si="16"/>
        <v>123782.99203450259</v>
      </c>
      <c r="M50" s="5">
        <f>scrimecost*Meta!O47</f>
        <v>383.98499999999996</v>
      </c>
      <c r="N50" s="22"/>
    </row>
    <row r="51" spans="1:14" x14ac:dyDescent="0.2">
      <c r="A51" s="5">
        <v>60</v>
      </c>
      <c r="B51" s="1">
        <f t="shared" si="10"/>
        <v>3.1138508608622844</v>
      </c>
      <c r="C51" s="5">
        <f t="shared" si="11"/>
        <v>58436.98863961389</v>
      </c>
      <c r="D51" s="5">
        <f t="shared" si="12"/>
        <v>55738.258355318219</v>
      </c>
      <c r="E51" s="5">
        <f t="shared" si="6"/>
        <v>46238.258355318219</v>
      </c>
      <c r="F51" s="5">
        <f t="shared" si="7"/>
        <v>16572.36718854322</v>
      </c>
      <c r="G51" s="5">
        <f t="shared" si="8"/>
        <v>39165.891166775</v>
      </c>
      <c r="H51" s="22">
        <f t="shared" si="13"/>
        <v>26300.830696425153</v>
      </c>
      <c r="I51" s="5">
        <f t="shared" si="14"/>
        <v>63809.769529325371</v>
      </c>
      <c r="J51" s="26">
        <f t="shared" si="15"/>
        <v>0.19634379622008649</v>
      </c>
      <c r="L51" s="22">
        <f t="shared" si="16"/>
        <v>126877.56683536514</v>
      </c>
      <c r="M51" s="5">
        <f>scrimecost*Meta!O48</f>
        <v>202.566</v>
      </c>
      <c r="N51" s="22"/>
    </row>
    <row r="52" spans="1:14" x14ac:dyDescent="0.2">
      <c r="A52" s="5">
        <v>61</v>
      </c>
      <c r="B52" s="1">
        <f t="shared" si="10"/>
        <v>3.1916971323838421</v>
      </c>
      <c r="C52" s="5">
        <f t="shared" si="11"/>
        <v>59897.913355604251</v>
      </c>
      <c r="D52" s="5">
        <f t="shared" si="12"/>
        <v>57107.144814201187</v>
      </c>
      <c r="E52" s="5">
        <f t="shared" si="6"/>
        <v>47607.144814201187</v>
      </c>
      <c r="F52" s="5">
        <f t="shared" si="7"/>
        <v>17156.197263256807</v>
      </c>
      <c r="G52" s="5">
        <f t="shared" si="8"/>
        <v>39950.94755094438</v>
      </c>
      <c r="H52" s="22">
        <f t="shared" si="13"/>
        <v>26958.351463835785</v>
      </c>
      <c r="I52" s="5">
        <f t="shared" si="14"/>
        <v>65210.922872558513</v>
      </c>
      <c r="J52" s="26">
        <f t="shared" si="15"/>
        <v>0.19872866464039279</v>
      </c>
      <c r="L52" s="22">
        <f t="shared" si="16"/>
        <v>130049.50600624928</v>
      </c>
      <c r="M52" s="5">
        <f>scrimecost*Meta!O49</f>
        <v>202.566</v>
      </c>
      <c r="N52" s="22"/>
    </row>
    <row r="53" spans="1:14" x14ac:dyDescent="0.2">
      <c r="A53" s="5">
        <v>62</v>
      </c>
      <c r="B53" s="1">
        <f t="shared" si="10"/>
        <v>3.2714895606934378</v>
      </c>
      <c r="C53" s="5">
        <f t="shared" si="11"/>
        <v>61395.361189494346</v>
      </c>
      <c r="D53" s="5">
        <f t="shared" si="12"/>
        <v>58510.253434556209</v>
      </c>
      <c r="E53" s="5">
        <f t="shared" si="6"/>
        <v>49010.253434556209</v>
      </c>
      <c r="F53" s="5">
        <f t="shared" si="7"/>
        <v>17754.62308983822</v>
      </c>
      <c r="G53" s="5">
        <f t="shared" si="8"/>
        <v>40755.630344717989</v>
      </c>
      <c r="H53" s="22">
        <f t="shared" si="13"/>
        <v>27632.310250431678</v>
      </c>
      <c r="I53" s="5">
        <f t="shared" si="14"/>
        <v>66647.105049372476</v>
      </c>
      <c r="J53" s="26">
        <f t="shared" si="15"/>
        <v>0.20105536553825246</v>
      </c>
      <c r="L53" s="22">
        <f t="shared" si="16"/>
        <v>133300.74365640551</v>
      </c>
      <c r="M53" s="5">
        <f>scrimecost*Meta!O50</f>
        <v>202.566</v>
      </c>
      <c r="N53" s="22"/>
    </row>
    <row r="54" spans="1:14" x14ac:dyDescent="0.2">
      <c r="A54" s="5">
        <v>63</v>
      </c>
      <c r="B54" s="1">
        <f t="shared" si="10"/>
        <v>3.3532767997107733</v>
      </c>
      <c r="C54" s="5">
        <f t="shared" si="11"/>
        <v>62930.2452192317</v>
      </c>
      <c r="D54" s="5">
        <f t="shared" si="12"/>
        <v>59948.439770420111</v>
      </c>
      <c r="E54" s="5">
        <f t="shared" si="6"/>
        <v>50448.439770420111</v>
      </c>
      <c r="F54" s="5">
        <f t="shared" si="7"/>
        <v>18368.009562084178</v>
      </c>
      <c r="G54" s="5">
        <f t="shared" si="8"/>
        <v>41580.430208335936</v>
      </c>
      <c r="H54" s="22">
        <f t="shared" si="13"/>
        <v>28323.118006692464</v>
      </c>
      <c r="I54" s="5">
        <f t="shared" si="14"/>
        <v>68119.19178060678</v>
      </c>
      <c r="J54" s="26">
        <f t="shared" si="15"/>
        <v>0.20332531763372547</v>
      </c>
      <c r="L54" s="22">
        <f t="shared" si="16"/>
        <v>136633.26224781561</v>
      </c>
      <c r="M54" s="5">
        <f>scrimecost*Meta!O51</f>
        <v>202.566</v>
      </c>
      <c r="N54" s="22"/>
    </row>
    <row r="55" spans="1:14" x14ac:dyDescent="0.2">
      <c r="A55" s="5">
        <v>64</v>
      </c>
      <c r="B55" s="1">
        <f t="shared" si="10"/>
        <v>3.4371087197035428</v>
      </c>
      <c r="C55" s="5">
        <f t="shared" si="11"/>
        <v>64503.501349712496</v>
      </c>
      <c r="D55" s="5">
        <f t="shared" si="12"/>
        <v>61422.580764680613</v>
      </c>
      <c r="E55" s="5">
        <f t="shared" si="6"/>
        <v>51922.580764680613</v>
      </c>
      <c r="F55" s="5">
        <f t="shared" si="7"/>
        <v>18996.730696136285</v>
      </c>
      <c r="G55" s="5">
        <f t="shared" si="8"/>
        <v>42425.850068544329</v>
      </c>
      <c r="H55" s="22">
        <f t="shared" si="13"/>
        <v>29031.195956859778</v>
      </c>
      <c r="I55" s="5">
        <f t="shared" si="14"/>
        <v>69628.080680121944</v>
      </c>
      <c r="J55" s="26">
        <f t="shared" si="15"/>
        <v>0.20553990504394298</v>
      </c>
      <c r="L55" s="22">
        <f t="shared" si="16"/>
        <v>140049.093804011</v>
      </c>
      <c r="M55" s="5">
        <f>scrimecost*Meta!O52</f>
        <v>202.566</v>
      </c>
      <c r="N55" s="22"/>
    </row>
    <row r="56" spans="1:14" x14ac:dyDescent="0.2">
      <c r="A56" s="5">
        <v>65</v>
      </c>
      <c r="B56" s="1">
        <f t="shared" si="10"/>
        <v>3.5230364376961316</v>
      </c>
      <c r="C56" s="5">
        <f t="shared" si="11"/>
        <v>66116.088883455319</v>
      </c>
      <c r="D56" s="5">
        <f t="shared" si="12"/>
        <v>62933.57528379764</v>
      </c>
      <c r="E56" s="5">
        <f t="shared" si="6"/>
        <v>53433.57528379764</v>
      </c>
      <c r="F56" s="5">
        <f t="shared" si="7"/>
        <v>19641.169858539692</v>
      </c>
      <c r="G56" s="5">
        <f t="shared" si="8"/>
        <v>43292.405425257952</v>
      </c>
      <c r="H56" s="22">
        <f t="shared" si="13"/>
        <v>29756.975855781278</v>
      </c>
      <c r="I56" s="5">
        <f t="shared" si="14"/>
        <v>71174.691802125017</v>
      </c>
      <c r="J56" s="26">
        <f t="shared" si="15"/>
        <v>0.20770047812708195</v>
      </c>
      <c r="L56" s="22">
        <f t="shared" si="16"/>
        <v>143550.32114911132</v>
      </c>
      <c r="M56" s="5">
        <f>scrimecost*Meta!O53</f>
        <v>61.215000000000003</v>
      </c>
      <c r="N56" s="22"/>
    </row>
    <row r="57" spans="1:14" x14ac:dyDescent="0.2">
      <c r="A57" s="5">
        <v>66</v>
      </c>
      <c r="C57" s="5"/>
      <c r="H57" s="21"/>
      <c r="I57" s="5"/>
      <c r="M57" s="5">
        <f>scrimecost*Meta!O54</f>
        <v>61.215000000000003</v>
      </c>
      <c r="N57" s="5"/>
    </row>
    <row r="58" spans="1:14" x14ac:dyDescent="0.2">
      <c r="A58" s="5">
        <v>67</v>
      </c>
      <c r="C58" s="5"/>
      <c r="H58" s="21"/>
      <c r="I58" s="5"/>
      <c r="M58" s="5">
        <f>scrimecost*Meta!O55</f>
        <v>61.215000000000003</v>
      </c>
      <c r="N58" s="5"/>
    </row>
    <row r="59" spans="1:14" x14ac:dyDescent="0.2">
      <c r="A59" s="5">
        <v>68</v>
      </c>
      <c r="H59" s="21"/>
      <c r="I59" s="5"/>
      <c r="M59" s="5">
        <f>scrimecost*Meta!O56</f>
        <v>61.215000000000003</v>
      </c>
      <c r="N59" s="5"/>
    </row>
    <row r="60" spans="1:14" x14ac:dyDescent="0.2">
      <c r="A60" s="5">
        <v>69</v>
      </c>
      <c r="H60" s="21"/>
      <c r="I60" s="5"/>
      <c r="M60" s="5">
        <f>scrimecost*Meta!O57</f>
        <v>61.215000000000003</v>
      </c>
      <c r="N60" s="5"/>
    </row>
    <row r="61" spans="1:14" x14ac:dyDescent="0.2">
      <c r="A61" s="5">
        <v>70</v>
      </c>
      <c r="H61" s="21"/>
      <c r="I61" s="5"/>
      <c r="M61" s="5">
        <f>scrimecost*Meta!O58</f>
        <v>61.215000000000003</v>
      </c>
      <c r="N61" s="5"/>
    </row>
    <row r="62" spans="1:14" x14ac:dyDescent="0.2">
      <c r="A62" s="5">
        <v>71</v>
      </c>
      <c r="H62" s="21"/>
      <c r="I62" s="5"/>
      <c r="M62" s="5">
        <f>scrimecost*Meta!O59</f>
        <v>61.215000000000003</v>
      </c>
      <c r="N62" s="5"/>
    </row>
    <row r="63" spans="1:14" x14ac:dyDescent="0.2">
      <c r="A63" s="5">
        <v>72</v>
      </c>
      <c r="H63" s="21"/>
      <c r="M63" s="5">
        <f>scrimecost*Meta!O60</f>
        <v>61.215000000000003</v>
      </c>
      <c r="N63" s="5"/>
    </row>
    <row r="64" spans="1:14" x14ac:dyDescent="0.2">
      <c r="A64" s="5">
        <v>73</v>
      </c>
      <c r="H64" s="21"/>
      <c r="M64" s="5">
        <f>scrimecost*Meta!O61</f>
        <v>61.215000000000003</v>
      </c>
      <c r="N64" s="5"/>
    </row>
    <row r="65" spans="1:14" x14ac:dyDescent="0.2">
      <c r="A65" s="5">
        <v>74</v>
      </c>
      <c r="H65" s="21"/>
      <c r="M65" s="5">
        <f>scrimecost*Meta!O62</f>
        <v>61.215000000000003</v>
      </c>
      <c r="N65" s="5"/>
    </row>
    <row r="66" spans="1:14" x14ac:dyDescent="0.2">
      <c r="A66" s="5">
        <v>75</v>
      </c>
      <c r="H66" s="21"/>
      <c r="M66" s="5">
        <f>scrimecost*Meta!O63</f>
        <v>61.215000000000003</v>
      </c>
      <c r="N66" s="5"/>
    </row>
    <row r="67" spans="1:14" x14ac:dyDescent="0.2">
      <c r="A67" s="5">
        <v>76</v>
      </c>
      <c r="H67" s="21"/>
      <c r="M67" s="5">
        <f>scrimecost*Meta!O64</f>
        <v>61.215000000000003</v>
      </c>
      <c r="N67" s="5"/>
    </row>
    <row r="68" spans="1:14" x14ac:dyDescent="0.2">
      <c r="A68" s="5">
        <v>77</v>
      </c>
      <c r="H68" s="21"/>
      <c r="M68" s="5">
        <f>scrimecost*Meta!O65</f>
        <v>61.215000000000003</v>
      </c>
      <c r="N68" s="5"/>
    </row>
    <row r="69" spans="1:14" x14ac:dyDescent="0.2">
      <c r="A69" s="5">
        <v>78</v>
      </c>
      <c r="H69" s="21"/>
      <c r="M69" s="5">
        <f>scrimecost*Meta!O66</f>
        <v>61.215000000000003</v>
      </c>
      <c r="N69" s="5"/>
    </row>
    <row r="70" spans="1:14" x14ac:dyDescent="0.2">
      <c r="A70" s="5">
        <v>79</v>
      </c>
      <c r="H70" s="21"/>
      <c r="M70" s="5"/>
    </row>
    <row r="71" spans="1:14" x14ac:dyDescent="0.2">
      <c r="A71" s="5">
        <v>80</v>
      </c>
      <c r="H71" s="21"/>
      <c r="M71" s="5"/>
    </row>
    <row r="72" spans="1:14" x14ac:dyDescent="0.2">
      <c r="A72" s="5">
        <v>81</v>
      </c>
      <c r="H72" s="21"/>
      <c r="M72" s="5"/>
    </row>
    <row r="73" spans="1:14" x14ac:dyDescent="0.2">
      <c r="A73" s="5">
        <v>82</v>
      </c>
      <c r="H73" s="21"/>
      <c r="M73" s="5"/>
    </row>
    <row r="74" spans="1:14" x14ac:dyDescent="0.2">
      <c r="A74" s="5">
        <v>83</v>
      </c>
      <c r="H74" s="21"/>
      <c r="M74" s="5"/>
    </row>
    <row r="75" spans="1:14" x14ac:dyDescent="0.2">
      <c r="A75" s="5">
        <v>84</v>
      </c>
      <c r="H75" s="21"/>
      <c r="M75" s="5"/>
    </row>
    <row r="76" spans="1:14" x14ac:dyDescent="0.2">
      <c r="A76" s="5">
        <v>85</v>
      </c>
      <c r="H76" s="21"/>
    </row>
    <row r="77" spans="1:14" x14ac:dyDescent="0.2">
      <c r="A77" s="5">
        <v>86</v>
      </c>
      <c r="H77" s="21"/>
    </row>
    <row r="78" spans="1:14" x14ac:dyDescent="0.2">
      <c r="A78" s="5">
        <v>87</v>
      </c>
      <c r="H78" s="21"/>
    </row>
    <row r="79" spans="1:14" x14ac:dyDescent="0.2">
      <c r="A79" s="5">
        <v>88</v>
      </c>
      <c r="H79" s="21"/>
    </row>
    <row r="80" spans="1:14" x14ac:dyDescent="0.2">
      <c r="A80" s="5">
        <v>89</v>
      </c>
      <c r="H80" s="21"/>
    </row>
    <row r="81" spans="1:8" x14ac:dyDescent="0.2">
      <c r="A81" s="5">
        <v>90</v>
      </c>
      <c r="H81" s="2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A5" sqref="A5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Meta!A3+6</f>
        <v>15</v>
      </c>
      <c r="C2" s="7">
        <f>Meta!B3</f>
        <v>39271</v>
      </c>
      <c r="D2" s="7">
        <f>Meta!C3</f>
        <v>17675</v>
      </c>
      <c r="E2" s="1">
        <f>Meta!D3</f>
        <v>0.06</v>
      </c>
      <c r="F2" s="1">
        <f>Meta!F3</f>
        <v>0.61799999999999999</v>
      </c>
      <c r="G2" s="1">
        <f>Meta!I3</f>
        <v>1.978852107996969</v>
      </c>
      <c r="H2" s="1">
        <f>Meta!E3</f>
        <v>0.98</v>
      </c>
      <c r="I2" s="13"/>
      <c r="J2" s="1">
        <f>Meta!X2</f>
        <v>0.72799999999999998</v>
      </c>
      <c r="K2" s="1">
        <f>Meta!D2</f>
        <v>6.3E-2</v>
      </c>
      <c r="L2" s="29"/>
      <c r="N2" s="22">
        <f>Meta!T3</f>
        <v>60459</v>
      </c>
      <c r="O2" s="22">
        <f>Meta!U3</f>
        <v>26306</v>
      </c>
      <c r="P2" s="1">
        <f>Meta!V3</f>
        <v>3.7999999999999999E-2</v>
      </c>
      <c r="Q2" s="1">
        <f>Meta!X3</f>
        <v>0.73599999999999999</v>
      </c>
      <c r="R2" s="22">
        <f>Meta!W3</f>
        <v>1090</v>
      </c>
      <c r="T2" s="12">
        <f>IRR(S5:S69)+1</f>
        <v>0.99408617497292129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B5" s="1">
        <v>1</v>
      </c>
      <c r="C5" s="5">
        <f>0.1*Grade8!C5</f>
        <v>1876.679110554177</v>
      </c>
      <c r="D5" s="5">
        <f>IF(A5&lt;startage,1,0)*(C5*(1-initialunempprob))+IF(A5=startage,1,0)*(C5*(1-unempprob))+IF(A5&gt;startage,1,0)*(C5*(1-unempprob)+unempprob*300*52)</f>
        <v>1758.4483265892638</v>
      </c>
      <c r="E5" s="5">
        <f>IF(D5-9500&gt;0,1,0)*(D5-9500)</f>
        <v>0</v>
      </c>
      <c r="F5" s="5">
        <f>IF(E5&lt;=8500,1,0)*(0.1*E5+0.1*E5+0.0765*D5)+IF(AND(E5&gt;8500,E5&lt;=34500),1,0)*(850+0.15*(E5-8500)+0.1*E5+0.0765*D5)+IF(AND(E5&gt;34500,E5&lt;=83600),1,0)*(4750+0.25*(E5-34500)+0.1*E5+0.0765*D5)+IF(AND(E5&gt;83600,E5&lt;=174400,D5&lt;=106800),1,0)*(17025+0.28*(E5-83600)+0.1*E5+0.0765*D5)+IF(AND(E5&gt;83600,E5&lt;=174400,D5&gt;106800),1,0)*(17025+0.28*(E5-83600)+0.1*E5+8170.2+0.0145*(D5-106800))+IF(AND(E5&gt;174400,E5&lt;=379150),1,0)*(42449+0.33*(E5-174400)+0.1*E5+8170.2+0.0145*(D5-106800))+IF(E5&gt;379150,1,0)*(110016.5+0.35*(E5-379150)+0.1*E5+8170.2+0.0145*(D5-106800))</f>
        <v>134.52129698407867</v>
      </c>
      <c r="G5" s="5">
        <f>D5-F5</f>
        <v>1623.9270296051852</v>
      </c>
      <c r="H5" s="22">
        <f>0.1*Grade8!H5</f>
        <v>844.64002521758403</v>
      </c>
      <c r="I5" s="5">
        <f>G5+IF(A5&lt;startage,1,0)*(H5*(1-initialunempprob))+IF(A5&gt;=startage,1,0)*(H5*(1-unempprob))</f>
        <v>2415.3547332340613</v>
      </c>
      <c r="J5" s="26">
        <f t="shared" ref="J5:J36" si="0">(F5-(IF(A5&gt;startage,1,0)*(unempprob*300*52)))/(IF(A5&lt;startage,1,0)*((C5+H5)*(1-initialunempprob))+IF(A5&gt;=startage,1,0)*((C5+H5)*(1-unempprob)))</f>
        <v>5.2756014563017976E-2</v>
      </c>
      <c r="L5" s="22">
        <f>0.1*Grade8!L5</f>
        <v>4074.6192577839242</v>
      </c>
      <c r="M5" s="5"/>
      <c r="N5" s="5">
        <f>L5-Grade8!L5</f>
        <v>-36671.573320055315</v>
      </c>
      <c r="O5" s="5"/>
      <c r="P5" s="22"/>
      <c r="Q5" s="22">
        <f>0.05*feel*Grade8!G5</f>
        <v>204.71323100022659</v>
      </c>
      <c r="R5" s="22">
        <f>hstuition</f>
        <v>11298</v>
      </c>
      <c r="S5" s="22">
        <f t="shared" ref="S5:S36" si="1">IF(A5&lt;startage,1,0)*(N5-Q5-R5)+IF(A5&gt;=startage,1,0)*completionprob*(N5*spart+O5+P5)</f>
        <v>-48174.286551055542</v>
      </c>
      <c r="T5" s="22">
        <f t="shared" ref="T5:T36" si="2">S5/sreturn^(A5-startage+1)</f>
        <v>-48174.286551055542</v>
      </c>
    </row>
    <row r="6" spans="1:20" x14ac:dyDescent="0.2">
      <c r="A6" s="5">
        <v>15</v>
      </c>
      <c r="B6" s="1">
        <f t="shared" ref="B6:B36" si="3">(1+experiencepremium)^(A6-startage)</f>
        <v>1</v>
      </c>
      <c r="C6" s="5">
        <f t="shared" ref="C6:C36" si="4">pretaxincome*B6/expnorm</f>
        <v>19845.343591518234</v>
      </c>
      <c r="D6" s="5">
        <f t="shared" ref="D6:D36" si="5">IF(A6&lt;startage,1,0)*(C6*(1-initialunempprob))+IF(A6=startage,1,0)*(C6*(1-unempprob))+IF(A6&gt;startage,1,0)*(C6*(1-unempprob)+unempprob*300*52)</f>
        <v>18654.622976027138</v>
      </c>
      <c r="E6" s="5">
        <f t="shared" ref="E6:E56" si="6">IF(D6-9500&gt;0,1,0)*(D6-9500)</f>
        <v>9154.6229760271381</v>
      </c>
      <c r="F6" s="5">
        <f t="shared" ref="F6:F56" si="7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3290.7344016728603</v>
      </c>
      <c r="G6" s="5">
        <f t="shared" ref="G6:G56" si="8">D6-F6</f>
        <v>15363.888574354278</v>
      </c>
      <c r="H6" s="22">
        <f t="shared" ref="H6:H36" si="9">benefits*B6/expnorm</f>
        <v>8931.9459137807753</v>
      </c>
      <c r="I6" s="5">
        <f t="shared" ref="I6:I36" si="10">G6+IF(A6&lt;startage,1,0)*(H6*(1-initialunempprob))+IF(A6&gt;=startage,1,0)*(H6*(1-unempprob))</f>
        <v>23759.917733308204</v>
      </c>
      <c r="J6" s="26">
        <f t="shared" si="0"/>
        <v>0.12165083434041814</v>
      </c>
      <c r="L6" s="22">
        <f t="shared" ref="L6:L36" si="11">(sincome+sbenefits)*(1-sunemp)*B6/expnorm</f>
        <v>42179.97376493577</v>
      </c>
      <c r="M6" s="5">
        <f>scrimecost*Meta!O3</f>
        <v>2023.0400000000002</v>
      </c>
      <c r="N6" s="5">
        <f>L6-Grade8!L6</f>
        <v>415.12637265055673</v>
      </c>
      <c r="O6" s="5">
        <f>Grade8!M6-M6</f>
        <v>42.687999999999874</v>
      </c>
      <c r="P6" s="22">
        <f t="shared" ref="P6:P37" si="12">(spart-initialspart)*(L6*J6+nptrans)</f>
        <v>93.481832007691153</v>
      </c>
      <c r="S6" s="22">
        <f t="shared" si="1"/>
        <v>432.86878543293074</v>
      </c>
      <c r="T6" s="22">
        <f t="shared" si="2"/>
        <v>435.44392461219167</v>
      </c>
    </row>
    <row r="7" spans="1:20" x14ac:dyDescent="0.2">
      <c r="A7" s="5">
        <v>16</v>
      </c>
      <c r="B7" s="1">
        <f t="shared" si="3"/>
        <v>1.0249999999999999</v>
      </c>
      <c r="C7" s="5">
        <f t="shared" si="4"/>
        <v>20341.477181306189</v>
      </c>
      <c r="D7" s="5">
        <f t="shared" si="5"/>
        <v>20056.988550427817</v>
      </c>
      <c r="E7" s="5">
        <f t="shared" si="6"/>
        <v>10556.988550427817</v>
      </c>
      <c r="F7" s="5">
        <f t="shared" si="7"/>
        <v>3748.6067617146823</v>
      </c>
      <c r="G7" s="5">
        <f t="shared" si="8"/>
        <v>16308.381788713135</v>
      </c>
      <c r="H7" s="22">
        <f t="shared" si="9"/>
        <v>9155.2445616252935</v>
      </c>
      <c r="I7" s="5">
        <f t="shared" si="10"/>
        <v>24914.311676640911</v>
      </c>
      <c r="J7" s="26">
        <f t="shared" si="0"/>
        <v>0.10143957280964577</v>
      </c>
      <c r="L7" s="22">
        <f t="shared" si="11"/>
        <v>43234.473109059152</v>
      </c>
      <c r="M7" s="5">
        <f>scrimecost*Meta!O4</f>
        <v>2559.3199999999997</v>
      </c>
      <c r="N7" s="5">
        <f>L7-Grade8!L7</f>
        <v>425.5045319668061</v>
      </c>
      <c r="O7" s="5">
        <f>Grade8!M7-M7</f>
        <v>54.00400000000036</v>
      </c>
      <c r="P7" s="22">
        <f t="shared" si="12"/>
        <v>87.517491862664698</v>
      </c>
      <c r="S7" s="22">
        <f t="shared" si="1"/>
        <v>445.59897084242965</v>
      </c>
      <c r="T7" s="22">
        <f t="shared" si="2"/>
        <v>450.91648315952426</v>
      </c>
    </row>
    <row r="8" spans="1:20" x14ac:dyDescent="0.2">
      <c r="A8" s="5">
        <v>17</v>
      </c>
      <c r="B8" s="1">
        <f t="shared" si="3"/>
        <v>1.0506249999999999</v>
      </c>
      <c r="C8" s="5">
        <f t="shared" si="4"/>
        <v>20850.014110838842</v>
      </c>
      <c r="D8" s="5">
        <f t="shared" si="5"/>
        <v>20535.01326418851</v>
      </c>
      <c r="E8" s="5">
        <f t="shared" si="6"/>
        <v>11035.01326418851</v>
      </c>
      <c r="F8" s="5">
        <f t="shared" si="7"/>
        <v>3904.6818307575486</v>
      </c>
      <c r="G8" s="5">
        <f t="shared" si="8"/>
        <v>16630.331433430962</v>
      </c>
      <c r="H8" s="22">
        <f t="shared" si="9"/>
        <v>9384.1256756659259</v>
      </c>
      <c r="I8" s="5">
        <f t="shared" si="10"/>
        <v>25451.409568556934</v>
      </c>
      <c r="J8" s="26">
        <f t="shared" si="0"/>
        <v>0.10445715283059068</v>
      </c>
      <c r="L8" s="22">
        <f t="shared" si="11"/>
        <v>44315.334936785643</v>
      </c>
      <c r="M8" s="5">
        <f>scrimecost*Meta!O5</f>
        <v>2956.0800000000004</v>
      </c>
      <c r="N8" s="5">
        <f>L8-Grade8!L8</f>
        <v>436.14214526598516</v>
      </c>
      <c r="O8" s="5">
        <f>Grade8!M8-M8</f>
        <v>62.375999999999749</v>
      </c>
      <c r="P8" s="22">
        <f t="shared" si="12"/>
        <v>89.464429713845135</v>
      </c>
      <c r="S8" s="22">
        <f t="shared" si="1"/>
        <v>463.38422765701779</v>
      </c>
      <c r="T8" s="22">
        <f t="shared" si="2"/>
        <v>471.70355088456904</v>
      </c>
    </row>
    <row r="9" spans="1:20" x14ac:dyDescent="0.2">
      <c r="A9" s="5">
        <v>18</v>
      </c>
      <c r="B9" s="1">
        <f t="shared" si="3"/>
        <v>1.0768906249999999</v>
      </c>
      <c r="C9" s="5">
        <f t="shared" si="4"/>
        <v>21371.264463609816</v>
      </c>
      <c r="D9" s="5">
        <f t="shared" si="5"/>
        <v>21024.988595793227</v>
      </c>
      <c r="E9" s="5">
        <f t="shared" si="6"/>
        <v>11524.988595793227</v>
      </c>
      <c r="F9" s="5">
        <f t="shared" si="7"/>
        <v>4064.6587765264885</v>
      </c>
      <c r="G9" s="5">
        <f t="shared" si="8"/>
        <v>16960.329819266739</v>
      </c>
      <c r="H9" s="22">
        <f t="shared" si="9"/>
        <v>9618.7288175575741</v>
      </c>
      <c r="I9" s="5">
        <f t="shared" si="10"/>
        <v>26001.934907770858</v>
      </c>
      <c r="J9" s="26">
        <f t="shared" si="0"/>
        <v>0.10740113333882967</v>
      </c>
      <c r="L9" s="22">
        <f t="shared" si="11"/>
        <v>45423.218310205273</v>
      </c>
      <c r="M9" s="5">
        <f>scrimecost*Meta!O6</f>
        <v>3592.64</v>
      </c>
      <c r="N9" s="5">
        <f>L9-Grade8!L9</f>
        <v>447.04569889762934</v>
      </c>
      <c r="O9" s="5">
        <f>Grade8!M9-M9</f>
        <v>75.807999999999993</v>
      </c>
      <c r="P9" s="22">
        <f t="shared" si="12"/>
        <v>91.46004101130508</v>
      </c>
      <c r="S9" s="22">
        <f t="shared" si="1"/>
        <v>486.36780189196105</v>
      </c>
      <c r="T9" s="22">
        <f t="shared" si="2"/>
        <v>498.04511009930371</v>
      </c>
    </row>
    <row r="10" spans="1:20" x14ac:dyDescent="0.2">
      <c r="A10" s="5">
        <v>19</v>
      </c>
      <c r="B10" s="1">
        <f t="shared" si="3"/>
        <v>1.1038128906249998</v>
      </c>
      <c r="C10" s="5">
        <f t="shared" si="4"/>
        <v>21905.546075200058</v>
      </c>
      <c r="D10" s="5">
        <f t="shared" si="5"/>
        <v>21527.213310688054</v>
      </c>
      <c r="E10" s="5">
        <f t="shared" si="6"/>
        <v>12027.213310688054</v>
      </c>
      <c r="F10" s="5">
        <f t="shared" si="7"/>
        <v>4228.6351459396492</v>
      </c>
      <c r="G10" s="5">
        <f t="shared" si="8"/>
        <v>17298.578164748404</v>
      </c>
      <c r="H10" s="22">
        <f t="shared" si="9"/>
        <v>9859.1970379965114</v>
      </c>
      <c r="I10" s="5">
        <f t="shared" si="10"/>
        <v>26566.223380465126</v>
      </c>
      <c r="J10" s="26">
        <f t="shared" si="0"/>
        <v>0.1102733094444286</v>
      </c>
      <c r="L10" s="22">
        <f t="shared" si="11"/>
        <v>46558.798767960405</v>
      </c>
      <c r="M10" s="5">
        <f>scrimecost*Meta!O7</f>
        <v>3840.07</v>
      </c>
      <c r="N10" s="5">
        <f>L10-Grade8!L10</f>
        <v>458.22184137008298</v>
      </c>
      <c r="O10" s="5">
        <f>Grade8!M10-M10</f>
        <v>81.028999999999996</v>
      </c>
      <c r="P10" s="22">
        <f t="shared" si="12"/>
        <v>93.505542591201518</v>
      </c>
      <c r="S10" s="22">
        <f t="shared" si="1"/>
        <v>501.55010148279092</v>
      </c>
      <c r="T10" s="22">
        <f t="shared" si="2"/>
        <v>516.64728640910675</v>
      </c>
    </row>
    <row r="11" spans="1:20" x14ac:dyDescent="0.2">
      <c r="A11" s="5">
        <v>20</v>
      </c>
      <c r="B11" s="1">
        <f t="shared" si="3"/>
        <v>1.1314082128906247</v>
      </c>
      <c r="C11" s="5">
        <f t="shared" si="4"/>
        <v>22453.184727080057</v>
      </c>
      <c r="D11" s="5">
        <f t="shared" si="5"/>
        <v>22041.993643455251</v>
      </c>
      <c r="E11" s="5">
        <f t="shared" si="6"/>
        <v>12541.993643455251</v>
      </c>
      <c r="F11" s="5">
        <f t="shared" si="7"/>
        <v>4396.7109245881393</v>
      </c>
      <c r="G11" s="5">
        <f t="shared" si="8"/>
        <v>17645.282718867111</v>
      </c>
      <c r="H11" s="22">
        <f t="shared" si="9"/>
        <v>10105.676963946424</v>
      </c>
      <c r="I11" s="5">
        <f t="shared" si="10"/>
        <v>27144.619064976749</v>
      </c>
      <c r="J11" s="26">
        <f t="shared" si="0"/>
        <v>0.11307543247428123</v>
      </c>
      <c r="L11" s="22">
        <f t="shared" si="11"/>
        <v>47722.768737159407</v>
      </c>
      <c r="M11" s="5">
        <f>scrimecost*Meta!O8</f>
        <v>3677.6600000000003</v>
      </c>
      <c r="N11" s="5">
        <f>L11-Grade8!L11</f>
        <v>469.67738740432833</v>
      </c>
      <c r="O11" s="5">
        <f>Grade8!M11-M11</f>
        <v>77.601999999999862</v>
      </c>
      <c r="P11" s="22">
        <f t="shared" si="12"/>
        <v>95.602181710595346</v>
      </c>
      <c r="S11" s="22">
        <f t="shared" si="1"/>
        <v>508.50900406337729</v>
      </c>
      <c r="T11" s="22">
        <f t="shared" si="2"/>
        <v>526.93184198228244</v>
      </c>
    </row>
    <row r="12" spans="1:20" x14ac:dyDescent="0.2">
      <c r="A12" s="5">
        <v>21</v>
      </c>
      <c r="B12" s="1">
        <f t="shared" si="3"/>
        <v>1.1596934182128902</v>
      </c>
      <c r="C12" s="5">
        <f t="shared" si="4"/>
        <v>23014.514345257059</v>
      </c>
      <c r="D12" s="5">
        <f t="shared" si="5"/>
        <v>22569.643484541633</v>
      </c>
      <c r="E12" s="5">
        <f t="shared" si="6"/>
        <v>13069.643484541633</v>
      </c>
      <c r="F12" s="5">
        <f t="shared" si="7"/>
        <v>4568.9885977028434</v>
      </c>
      <c r="G12" s="5">
        <f t="shared" si="8"/>
        <v>18000.654886838791</v>
      </c>
      <c r="H12" s="22">
        <f t="shared" si="9"/>
        <v>10358.318888045083</v>
      </c>
      <c r="I12" s="5">
        <f t="shared" si="10"/>
        <v>27737.474641601169</v>
      </c>
      <c r="J12" s="26">
        <f t="shared" si="0"/>
        <v>0.11580921103999119</v>
      </c>
      <c r="L12" s="22">
        <f t="shared" si="11"/>
        <v>48915.837955588388</v>
      </c>
      <c r="M12" s="5">
        <f>scrimecost*Meta!O9</f>
        <v>3339.76</v>
      </c>
      <c r="N12" s="5">
        <f>L12-Grade8!L12</f>
        <v>481.41932208943035</v>
      </c>
      <c r="O12" s="5">
        <f>Grade8!M12-M12</f>
        <v>70.471999999999753</v>
      </c>
      <c r="P12" s="22">
        <f t="shared" si="12"/>
        <v>97.751236807974053</v>
      </c>
      <c r="S12" s="22">
        <f t="shared" si="1"/>
        <v>512.09690070847864</v>
      </c>
      <c r="T12" s="22">
        <f t="shared" si="2"/>
        <v>533.8065636105465</v>
      </c>
    </row>
    <row r="13" spans="1:20" x14ac:dyDescent="0.2">
      <c r="A13" s="5">
        <v>22</v>
      </c>
      <c r="B13" s="1">
        <f t="shared" si="3"/>
        <v>1.1886857536682125</v>
      </c>
      <c r="C13" s="5">
        <f t="shared" si="4"/>
        <v>23589.877203888485</v>
      </c>
      <c r="D13" s="5">
        <f t="shared" si="5"/>
        <v>23110.484571655175</v>
      </c>
      <c r="E13" s="5">
        <f t="shared" si="6"/>
        <v>13610.484571655175</v>
      </c>
      <c r="F13" s="5">
        <f t="shared" si="7"/>
        <v>4745.573212645415</v>
      </c>
      <c r="G13" s="5">
        <f t="shared" si="8"/>
        <v>18364.911359009762</v>
      </c>
      <c r="H13" s="22">
        <f t="shared" si="9"/>
        <v>10617.276860246211</v>
      </c>
      <c r="I13" s="5">
        <f t="shared" si="10"/>
        <v>28345.151607641201</v>
      </c>
      <c r="J13" s="26">
        <f t="shared" si="0"/>
        <v>0.11847631207970818</v>
      </c>
      <c r="L13" s="22">
        <f t="shared" si="11"/>
        <v>50138.733904478104</v>
      </c>
      <c r="M13" s="5">
        <f>scrimecost*Meta!O10</f>
        <v>3060.72</v>
      </c>
      <c r="N13" s="5">
        <f>L13-Grade8!L13</f>
        <v>493.45480514167139</v>
      </c>
      <c r="O13" s="5">
        <f>Grade8!M13-M13</f>
        <v>64.583999999999833</v>
      </c>
      <c r="P13" s="22">
        <f t="shared" si="12"/>
        <v>99.954018282787231</v>
      </c>
      <c r="S13" s="22">
        <f t="shared" si="1"/>
        <v>517.16633976971605</v>
      </c>
      <c r="T13" s="22">
        <f t="shared" si="2"/>
        <v>542.29797006520494</v>
      </c>
    </row>
    <row r="14" spans="1:20" x14ac:dyDescent="0.2">
      <c r="A14" s="5">
        <v>23</v>
      </c>
      <c r="B14" s="1">
        <f t="shared" si="3"/>
        <v>1.2184028975099177</v>
      </c>
      <c r="C14" s="5">
        <f t="shared" si="4"/>
        <v>24179.624133985693</v>
      </c>
      <c r="D14" s="5">
        <f t="shared" si="5"/>
        <v>23664.846685946552</v>
      </c>
      <c r="E14" s="5">
        <f t="shared" si="6"/>
        <v>14164.846685946552</v>
      </c>
      <c r="F14" s="5">
        <f t="shared" si="7"/>
        <v>4926.5724429615493</v>
      </c>
      <c r="G14" s="5">
        <f t="shared" si="8"/>
        <v>18738.274242985004</v>
      </c>
      <c r="H14" s="22">
        <f t="shared" si="9"/>
        <v>10882.708781752366</v>
      </c>
      <c r="I14" s="5">
        <f t="shared" si="10"/>
        <v>28968.020497832229</v>
      </c>
      <c r="J14" s="26">
        <f t="shared" si="0"/>
        <v>0.12107836187455399</v>
      </c>
      <c r="L14" s="22">
        <f t="shared" si="11"/>
        <v>51392.20225209005</v>
      </c>
      <c r="M14" s="5">
        <f>scrimecost*Meta!O11</f>
        <v>2860.1600000000003</v>
      </c>
      <c r="N14" s="5">
        <f>L14-Grade8!L14</f>
        <v>505.79117527022026</v>
      </c>
      <c r="O14" s="5">
        <f>Grade8!M14-M14</f>
        <v>60.351999999999862</v>
      </c>
      <c r="P14" s="22">
        <f t="shared" si="12"/>
        <v>102.2118692944707</v>
      </c>
      <c r="S14" s="22">
        <f t="shared" si="1"/>
        <v>524.12965080748563</v>
      </c>
      <c r="T14" s="22">
        <f t="shared" si="2"/>
        <v>552.86923420139442</v>
      </c>
    </row>
    <row r="15" spans="1:20" x14ac:dyDescent="0.2">
      <c r="A15" s="5">
        <v>24</v>
      </c>
      <c r="B15" s="1">
        <f t="shared" si="3"/>
        <v>1.2488629699476654</v>
      </c>
      <c r="C15" s="5">
        <f t="shared" si="4"/>
        <v>24784.114737335334</v>
      </c>
      <c r="D15" s="5">
        <f t="shared" si="5"/>
        <v>24233.067853095214</v>
      </c>
      <c r="E15" s="5">
        <f t="shared" si="6"/>
        <v>14733.067853095214</v>
      </c>
      <c r="F15" s="5">
        <f t="shared" si="7"/>
        <v>5112.0966540355876</v>
      </c>
      <c r="G15" s="5">
        <f t="shared" si="8"/>
        <v>19120.971199059626</v>
      </c>
      <c r="H15" s="22">
        <f t="shared" si="9"/>
        <v>11154.776501296174</v>
      </c>
      <c r="I15" s="5">
        <f t="shared" si="10"/>
        <v>29606.461110278029</v>
      </c>
      <c r="J15" s="26">
        <f t="shared" si="0"/>
        <v>0.12361694704025726</v>
      </c>
      <c r="L15" s="22">
        <f t="shared" si="11"/>
        <v>52677.007308392298</v>
      </c>
      <c r="M15" s="5">
        <f>scrimecost*Meta!O12</f>
        <v>2732.63</v>
      </c>
      <c r="N15" s="5">
        <f>L15-Grade8!L15</f>
        <v>518.43595465196995</v>
      </c>
      <c r="O15" s="5">
        <f>Grade8!M15-M15</f>
        <v>57.661000000000058</v>
      </c>
      <c r="P15" s="22">
        <f t="shared" si="12"/>
        <v>104.52616658144629</v>
      </c>
      <c r="S15" s="22">
        <f t="shared" si="1"/>
        <v>532.88090862119031</v>
      </c>
      <c r="T15" s="22">
        <f t="shared" si="2"/>
        <v>565.44428802036407</v>
      </c>
    </row>
    <row r="16" spans="1:20" x14ac:dyDescent="0.2">
      <c r="A16" s="5">
        <v>25</v>
      </c>
      <c r="B16" s="1">
        <f t="shared" si="3"/>
        <v>1.2800845441963571</v>
      </c>
      <c r="C16" s="5">
        <f t="shared" si="4"/>
        <v>25403.717605768717</v>
      </c>
      <c r="D16" s="5">
        <f t="shared" si="5"/>
        <v>24815.494549422594</v>
      </c>
      <c r="E16" s="5">
        <f t="shared" si="6"/>
        <v>15315.494549422594</v>
      </c>
      <c r="F16" s="5">
        <f t="shared" si="7"/>
        <v>5302.2589703864769</v>
      </c>
      <c r="G16" s="5">
        <f t="shared" si="8"/>
        <v>19513.235579036118</v>
      </c>
      <c r="H16" s="22">
        <f t="shared" si="9"/>
        <v>11433.645913828577</v>
      </c>
      <c r="I16" s="5">
        <f t="shared" si="10"/>
        <v>30260.862738034979</v>
      </c>
      <c r="J16" s="26">
        <f t="shared" si="0"/>
        <v>0.12609361549460188</v>
      </c>
      <c r="L16" s="22">
        <f t="shared" si="11"/>
        <v>53993.932491102103</v>
      </c>
      <c r="M16" s="5">
        <f>scrimecost*Meta!O13</f>
        <v>2294.4499999999998</v>
      </c>
      <c r="N16" s="5">
        <f>L16-Grade8!L16</f>
        <v>531.39685351826483</v>
      </c>
      <c r="O16" s="5">
        <f>Grade8!M16-M16</f>
        <v>48.414999999999964</v>
      </c>
      <c r="P16" s="22">
        <f t="shared" si="12"/>
        <v>106.89832130059625</v>
      </c>
      <c r="S16" s="22">
        <f t="shared" si="1"/>
        <v>535.49297738023836</v>
      </c>
      <c r="T16" s="22">
        <f t="shared" si="2"/>
        <v>571.596296012945</v>
      </c>
    </row>
    <row r="17" spans="1:20" x14ac:dyDescent="0.2">
      <c r="A17" s="5">
        <v>26</v>
      </c>
      <c r="B17" s="1">
        <f t="shared" si="3"/>
        <v>1.312086657801266</v>
      </c>
      <c r="C17" s="5">
        <f t="shared" si="4"/>
        <v>26038.810545912937</v>
      </c>
      <c r="D17" s="5">
        <f t="shared" si="5"/>
        <v>25412.481913158157</v>
      </c>
      <c r="E17" s="5">
        <f t="shared" si="6"/>
        <v>15912.481913158157</v>
      </c>
      <c r="F17" s="5">
        <f t="shared" si="7"/>
        <v>5497.175344646138</v>
      </c>
      <c r="G17" s="5">
        <f t="shared" si="8"/>
        <v>19915.30656851202</v>
      </c>
      <c r="H17" s="22">
        <f t="shared" si="9"/>
        <v>11719.487061674292</v>
      </c>
      <c r="I17" s="5">
        <f t="shared" si="10"/>
        <v>30931.624406485855</v>
      </c>
      <c r="J17" s="26">
        <f t="shared" si="0"/>
        <v>0.12850987740127956</v>
      </c>
      <c r="L17" s="22">
        <f t="shared" si="11"/>
        <v>55343.780803379661</v>
      </c>
      <c r="M17" s="5">
        <f>scrimecost*Meta!O14</f>
        <v>2294.4499999999998</v>
      </c>
      <c r="N17" s="5">
        <f>L17-Grade8!L17</f>
        <v>544.68177485623164</v>
      </c>
      <c r="O17" s="5">
        <f>Grade8!M17-M17</f>
        <v>48.414999999999964</v>
      </c>
      <c r="P17" s="22">
        <f t="shared" si="12"/>
        <v>109.32977988772497</v>
      </c>
      <c r="S17" s="22">
        <f t="shared" si="1"/>
        <v>547.45795485827318</v>
      </c>
      <c r="T17" s="22">
        <f t="shared" si="2"/>
        <v>587.84436955478577</v>
      </c>
    </row>
    <row r="18" spans="1:20" x14ac:dyDescent="0.2">
      <c r="A18" s="5">
        <v>27</v>
      </c>
      <c r="B18" s="1">
        <f t="shared" si="3"/>
        <v>1.3448888242462975</v>
      </c>
      <c r="C18" s="5">
        <f t="shared" si="4"/>
        <v>26689.780809560758</v>
      </c>
      <c r="D18" s="5">
        <f t="shared" si="5"/>
        <v>26024.393960987112</v>
      </c>
      <c r="E18" s="5">
        <f t="shared" si="6"/>
        <v>16524.393960987112</v>
      </c>
      <c r="F18" s="5">
        <f t="shared" si="7"/>
        <v>5696.9646282622925</v>
      </c>
      <c r="G18" s="5">
        <f t="shared" si="8"/>
        <v>20327.42933272482</v>
      </c>
      <c r="H18" s="22">
        <f t="shared" si="9"/>
        <v>12012.474238216148</v>
      </c>
      <c r="I18" s="5">
        <f t="shared" si="10"/>
        <v>31619.155116647999</v>
      </c>
      <c r="J18" s="26">
        <f t="shared" si="0"/>
        <v>0.13086720609072128</v>
      </c>
      <c r="L18" s="22">
        <f t="shared" si="11"/>
        <v>56727.375323464141</v>
      </c>
      <c r="M18" s="5">
        <f>scrimecost*Meta!O15</f>
        <v>2294.4499999999998</v>
      </c>
      <c r="N18" s="5">
        <f>L18-Grade8!L18</f>
        <v>558.29881922763161</v>
      </c>
      <c r="O18" s="5">
        <f>Grade8!M18-M18</f>
        <v>48.414999999999964</v>
      </c>
      <c r="P18" s="22">
        <f t="shared" si="12"/>
        <v>111.82202493953193</v>
      </c>
      <c r="S18" s="22">
        <f t="shared" si="1"/>
        <v>559.72205677324735</v>
      </c>
      <c r="T18" s="22">
        <f t="shared" si="2"/>
        <v>604.58863555954065</v>
      </c>
    </row>
    <row r="19" spans="1:20" x14ac:dyDescent="0.2">
      <c r="A19" s="5">
        <v>28</v>
      </c>
      <c r="B19" s="1">
        <f t="shared" si="3"/>
        <v>1.3785110448524549</v>
      </c>
      <c r="C19" s="5">
        <f t="shared" si="4"/>
        <v>27357.025329799773</v>
      </c>
      <c r="D19" s="5">
        <f t="shared" si="5"/>
        <v>26651.603810011784</v>
      </c>
      <c r="E19" s="5">
        <f t="shared" si="6"/>
        <v>17151.603810011784</v>
      </c>
      <c r="F19" s="5">
        <f t="shared" si="7"/>
        <v>5901.7486439688473</v>
      </c>
      <c r="G19" s="5">
        <f t="shared" si="8"/>
        <v>20749.855166042937</v>
      </c>
      <c r="H19" s="22">
        <f t="shared" si="9"/>
        <v>12312.786094171552</v>
      </c>
      <c r="I19" s="5">
        <f t="shared" si="10"/>
        <v>32323.874094564195</v>
      </c>
      <c r="J19" s="26">
        <f t="shared" si="0"/>
        <v>0.13316703895846918</v>
      </c>
      <c r="L19" s="22">
        <f t="shared" si="11"/>
        <v>58145.559706550739</v>
      </c>
      <c r="M19" s="5">
        <f>scrimecost*Meta!O16</f>
        <v>2294.4499999999998</v>
      </c>
      <c r="N19" s="5">
        <f>L19-Grade8!L19</f>
        <v>572.25628970832622</v>
      </c>
      <c r="O19" s="5">
        <f>Grade8!M19-M19</f>
        <v>48.414999999999964</v>
      </c>
      <c r="P19" s="22">
        <f t="shared" si="12"/>
        <v>114.376576117634</v>
      </c>
      <c r="S19" s="22">
        <f t="shared" si="1"/>
        <v>572.29276123610282</v>
      </c>
      <c r="T19" s="22">
        <f t="shared" si="2"/>
        <v>621.84447043596481</v>
      </c>
    </row>
    <row r="20" spans="1:20" x14ac:dyDescent="0.2">
      <c r="A20" s="5">
        <v>29</v>
      </c>
      <c r="B20" s="1">
        <f t="shared" si="3"/>
        <v>1.4129738209737661</v>
      </c>
      <c r="C20" s="5">
        <f t="shared" si="4"/>
        <v>28040.950963044765</v>
      </c>
      <c r="D20" s="5">
        <f t="shared" si="5"/>
        <v>27294.493905262076</v>
      </c>
      <c r="E20" s="5">
        <f t="shared" si="6"/>
        <v>17794.493905262076</v>
      </c>
      <c r="F20" s="5">
        <f t="shared" si="7"/>
        <v>6111.6522600680673</v>
      </c>
      <c r="G20" s="5">
        <f t="shared" si="8"/>
        <v>21182.841645194007</v>
      </c>
      <c r="H20" s="22">
        <f t="shared" si="9"/>
        <v>12620.605746525838</v>
      </c>
      <c r="I20" s="5">
        <f t="shared" si="10"/>
        <v>33046.211046928292</v>
      </c>
      <c r="J20" s="26">
        <f t="shared" si="0"/>
        <v>0.13541077834163787</v>
      </c>
      <c r="L20" s="22">
        <f t="shared" si="11"/>
        <v>59599.19869921451</v>
      </c>
      <c r="M20" s="5">
        <f>scrimecost*Meta!O17</f>
        <v>2294.4499999999998</v>
      </c>
      <c r="N20" s="5">
        <f>L20-Grade8!L20</f>
        <v>586.56269695102674</v>
      </c>
      <c r="O20" s="5">
        <f>Grade8!M20-M20</f>
        <v>48.414999999999964</v>
      </c>
      <c r="P20" s="22">
        <f t="shared" si="12"/>
        <v>116.99499107518864</v>
      </c>
      <c r="S20" s="22">
        <f t="shared" si="1"/>
        <v>585.17773331052138</v>
      </c>
      <c r="T20" s="22">
        <f t="shared" si="2"/>
        <v>639.62772844265737</v>
      </c>
    </row>
    <row r="21" spans="1:20" x14ac:dyDescent="0.2">
      <c r="A21" s="5">
        <v>30</v>
      </c>
      <c r="B21" s="1">
        <f t="shared" si="3"/>
        <v>1.4482981664981105</v>
      </c>
      <c r="C21" s="5">
        <f t="shared" si="4"/>
        <v>28741.974737120887</v>
      </c>
      <c r="D21" s="5">
        <f t="shared" si="5"/>
        <v>27953.456252893633</v>
      </c>
      <c r="E21" s="5">
        <f t="shared" si="6"/>
        <v>18453.456252893633</v>
      </c>
      <c r="F21" s="5">
        <f t="shared" si="7"/>
        <v>6326.8034665697705</v>
      </c>
      <c r="G21" s="5">
        <f t="shared" si="8"/>
        <v>21626.652786323863</v>
      </c>
      <c r="H21" s="22">
        <f t="shared" si="9"/>
        <v>12936.120890188986</v>
      </c>
      <c r="I21" s="5">
        <f t="shared" si="10"/>
        <v>33786.606423101504</v>
      </c>
      <c r="J21" s="26">
        <f t="shared" si="0"/>
        <v>0.13759979237399766</v>
      </c>
      <c r="L21" s="22">
        <f t="shared" si="11"/>
        <v>61089.178666694876</v>
      </c>
      <c r="M21" s="5">
        <f>scrimecost*Meta!O18</f>
        <v>1849.73</v>
      </c>
      <c r="N21" s="5">
        <f>L21-Grade8!L21</f>
        <v>601.22676437481277</v>
      </c>
      <c r="O21" s="5">
        <f>Grade8!M21-M21</f>
        <v>39.030999999999949</v>
      </c>
      <c r="P21" s="22">
        <f t="shared" si="12"/>
        <v>119.6788664066822</v>
      </c>
      <c r="S21" s="22">
        <f t="shared" si="1"/>
        <v>589.1885096868134</v>
      </c>
      <c r="T21" s="22">
        <f t="shared" si="2"/>
        <v>647.8429318700197</v>
      </c>
    </row>
    <row r="22" spans="1:20" x14ac:dyDescent="0.2">
      <c r="A22" s="5">
        <v>31</v>
      </c>
      <c r="B22" s="1">
        <f t="shared" si="3"/>
        <v>1.4845056206605631</v>
      </c>
      <c r="C22" s="5">
        <f t="shared" si="4"/>
        <v>29460.524105548906</v>
      </c>
      <c r="D22" s="5">
        <f t="shared" si="5"/>
        <v>28628.89265921597</v>
      </c>
      <c r="E22" s="5">
        <f t="shared" si="6"/>
        <v>19128.89265921597</v>
      </c>
      <c r="F22" s="5">
        <f t="shared" si="7"/>
        <v>6547.3334532340141</v>
      </c>
      <c r="G22" s="5">
        <f t="shared" si="8"/>
        <v>22081.559205981954</v>
      </c>
      <c r="H22" s="22">
        <f t="shared" si="9"/>
        <v>13259.52391244371</v>
      </c>
      <c r="I22" s="5">
        <f t="shared" si="10"/>
        <v>34545.51168367904</v>
      </c>
      <c r="J22" s="26">
        <f t="shared" si="0"/>
        <v>0.1397354158202023</v>
      </c>
      <c r="L22" s="22">
        <f t="shared" si="11"/>
        <v>62616.408133362238</v>
      </c>
      <c r="M22" s="5">
        <f>scrimecost*Meta!O19</f>
        <v>1849.73</v>
      </c>
      <c r="N22" s="5">
        <f>L22-Grade8!L22</f>
        <v>616.25743348417745</v>
      </c>
      <c r="O22" s="5">
        <f>Grade8!M22-M22</f>
        <v>39.030999999999949</v>
      </c>
      <c r="P22" s="22">
        <f t="shared" si="12"/>
        <v>122.42983862146306</v>
      </c>
      <c r="S22" s="22">
        <f t="shared" si="1"/>
        <v>602.72578347250123</v>
      </c>
      <c r="T22" s="22">
        <f t="shared" si="2"/>
        <v>666.67042975553272</v>
      </c>
    </row>
    <row r="23" spans="1:20" x14ac:dyDescent="0.2">
      <c r="A23" s="5">
        <v>32</v>
      </c>
      <c r="B23" s="1">
        <f t="shared" si="3"/>
        <v>1.521618261177077</v>
      </c>
      <c r="C23" s="5">
        <f t="shared" si="4"/>
        <v>30197.037208187627</v>
      </c>
      <c r="D23" s="5">
        <f t="shared" si="5"/>
        <v>29321.214975696366</v>
      </c>
      <c r="E23" s="5">
        <f t="shared" si="6"/>
        <v>19821.214975696366</v>
      </c>
      <c r="F23" s="5">
        <f t="shared" si="7"/>
        <v>6773.3766895648641</v>
      </c>
      <c r="G23" s="5">
        <f t="shared" si="8"/>
        <v>22547.838286131504</v>
      </c>
      <c r="H23" s="22">
        <f t="shared" si="9"/>
        <v>13591.012010254801</v>
      </c>
      <c r="I23" s="5">
        <f t="shared" si="10"/>
        <v>35323.389575771012</v>
      </c>
      <c r="J23" s="26">
        <f t="shared" si="0"/>
        <v>0.14181895088967023</v>
      </c>
      <c r="L23" s="22">
        <f t="shared" si="11"/>
        <v>64181.818336696291</v>
      </c>
      <c r="M23" s="5">
        <f>scrimecost*Meta!O20</f>
        <v>1849.73</v>
      </c>
      <c r="N23" s="5">
        <f>L23-Grade8!L23</f>
        <v>631.66386932127352</v>
      </c>
      <c r="O23" s="5">
        <f>Grade8!M23-M23</f>
        <v>39.030999999999949</v>
      </c>
      <c r="P23" s="22">
        <f t="shared" si="12"/>
        <v>125.24958514161345</v>
      </c>
      <c r="S23" s="22">
        <f t="shared" si="1"/>
        <v>616.60148910282931</v>
      </c>
      <c r="T23" s="22">
        <f t="shared" si="2"/>
        <v>686.07557368804976</v>
      </c>
    </row>
    <row r="24" spans="1:20" x14ac:dyDescent="0.2">
      <c r="A24" s="5">
        <v>33</v>
      </c>
      <c r="B24" s="1">
        <f t="shared" si="3"/>
        <v>1.559658717706504</v>
      </c>
      <c r="C24" s="5">
        <f t="shared" si="4"/>
        <v>30951.963138392319</v>
      </c>
      <c r="D24" s="5">
        <f t="shared" si="5"/>
        <v>30030.845350088777</v>
      </c>
      <c r="E24" s="5">
        <f t="shared" si="6"/>
        <v>20530.845350088777</v>
      </c>
      <c r="F24" s="5">
        <f t="shared" si="7"/>
        <v>7005.0710068039862</v>
      </c>
      <c r="G24" s="5">
        <f t="shared" si="8"/>
        <v>23025.774343284793</v>
      </c>
      <c r="H24" s="22">
        <f t="shared" si="9"/>
        <v>13930.787310511172</v>
      </c>
      <c r="I24" s="5">
        <f t="shared" si="10"/>
        <v>36120.71441516529</v>
      </c>
      <c r="J24" s="26">
        <f t="shared" si="0"/>
        <v>0.14385166803061455</v>
      </c>
      <c r="L24" s="22">
        <f t="shared" si="11"/>
        <v>65786.363795113706</v>
      </c>
      <c r="M24" s="5">
        <f>scrimecost*Meta!O21</f>
        <v>1849.73</v>
      </c>
      <c r="N24" s="5">
        <f>L24-Grade8!L24</f>
        <v>647.45546605431446</v>
      </c>
      <c r="O24" s="5">
        <f>Grade8!M24-M24</f>
        <v>39.030999999999949</v>
      </c>
      <c r="P24" s="22">
        <f t="shared" si="12"/>
        <v>128.13982532476763</v>
      </c>
      <c r="S24" s="22">
        <f t="shared" si="1"/>
        <v>630.82408737392825</v>
      </c>
      <c r="T24" s="22">
        <f t="shared" si="2"/>
        <v>706.07628047084677</v>
      </c>
    </row>
    <row r="25" spans="1:20" x14ac:dyDescent="0.2">
      <c r="A25" s="5">
        <v>34</v>
      </c>
      <c r="B25" s="1">
        <f t="shared" si="3"/>
        <v>1.5986501856491666</v>
      </c>
      <c r="C25" s="5">
        <f t="shared" si="4"/>
        <v>31725.762216852127</v>
      </c>
      <c r="D25" s="5">
        <f t="shared" si="5"/>
        <v>30758.216483840999</v>
      </c>
      <c r="E25" s="5">
        <f t="shared" si="6"/>
        <v>21258.216483840999</v>
      </c>
      <c r="F25" s="5">
        <f t="shared" si="7"/>
        <v>7242.5576819740872</v>
      </c>
      <c r="G25" s="5">
        <f t="shared" si="8"/>
        <v>23515.658801866914</v>
      </c>
      <c r="H25" s="22">
        <f t="shared" si="9"/>
        <v>14279.056993273951</v>
      </c>
      <c r="I25" s="5">
        <f t="shared" si="10"/>
        <v>36937.972375544428</v>
      </c>
      <c r="J25" s="26">
        <f t="shared" si="0"/>
        <v>0.14583480670470661</v>
      </c>
      <c r="L25" s="22">
        <f t="shared" si="11"/>
        <v>67431.022889991538</v>
      </c>
      <c r="M25" s="5">
        <f>scrimecost*Meta!O22</f>
        <v>1849.73</v>
      </c>
      <c r="N25" s="5">
        <f>L25-Grade8!L25</f>
        <v>663.64185270568123</v>
      </c>
      <c r="O25" s="5">
        <f>Grade8!M25-M25</f>
        <v>39.030999999999949</v>
      </c>
      <c r="P25" s="22">
        <f t="shared" si="12"/>
        <v>131.10232151250065</v>
      </c>
      <c r="S25" s="22">
        <f t="shared" si="1"/>
        <v>645.40225060180433</v>
      </c>
      <c r="T25" s="22">
        <f t="shared" si="2"/>
        <v>726.69102380141737</v>
      </c>
    </row>
    <row r="26" spans="1:20" x14ac:dyDescent="0.2">
      <c r="A26" s="5">
        <v>35</v>
      </c>
      <c r="B26" s="1">
        <f t="shared" si="3"/>
        <v>1.6386164402903955</v>
      </c>
      <c r="C26" s="5">
        <f t="shared" si="4"/>
        <v>32518.906272273423</v>
      </c>
      <c r="D26" s="5">
        <f t="shared" si="5"/>
        <v>31503.771895937018</v>
      </c>
      <c r="E26" s="5">
        <f t="shared" si="6"/>
        <v>22003.771895937018</v>
      </c>
      <c r="F26" s="5">
        <f t="shared" si="7"/>
        <v>7485.9815240234366</v>
      </c>
      <c r="G26" s="5">
        <f t="shared" si="8"/>
        <v>24017.790371913579</v>
      </c>
      <c r="H26" s="22">
        <f t="shared" si="9"/>
        <v>14636.033418105799</v>
      </c>
      <c r="I26" s="5">
        <f t="shared" si="10"/>
        <v>37775.661784933029</v>
      </c>
      <c r="J26" s="26">
        <f t="shared" si="0"/>
        <v>0.14776957614284514</v>
      </c>
      <c r="L26" s="22">
        <f t="shared" si="11"/>
        <v>69116.798462241321</v>
      </c>
      <c r="M26" s="5">
        <f>scrimecost*Meta!O23</f>
        <v>1435.53</v>
      </c>
      <c r="N26" s="5">
        <f>L26-Grade8!L26</f>
        <v>680.23289902330725</v>
      </c>
      <c r="O26" s="5">
        <f>Grade8!M26-M26</f>
        <v>30.29099999999994</v>
      </c>
      <c r="P26" s="22">
        <f t="shared" si="12"/>
        <v>134.13888010492695</v>
      </c>
      <c r="S26" s="22">
        <f t="shared" si="1"/>
        <v>651.77966791035942</v>
      </c>
      <c r="T26" s="22">
        <f t="shared" si="2"/>
        <v>738.2374877053694</v>
      </c>
    </row>
    <row r="27" spans="1:20" x14ac:dyDescent="0.2">
      <c r="A27" s="5">
        <v>36</v>
      </c>
      <c r="B27" s="1">
        <f t="shared" si="3"/>
        <v>1.6795818512976552</v>
      </c>
      <c r="C27" s="5">
        <f t="shared" si="4"/>
        <v>33331.87892908026</v>
      </c>
      <c r="D27" s="5">
        <f t="shared" si="5"/>
        <v>32267.966193335444</v>
      </c>
      <c r="E27" s="5">
        <f t="shared" si="6"/>
        <v>22767.966193335444</v>
      </c>
      <c r="F27" s="5">
        <f t="shared" si="7"/>
        <v>7735.4909621240222</v>
      </c>
      <c r="G27" s="5">
        <f t="shared" si="8"/>
        <v>24532.475231211421</v>
      </c>
      <c r="H27" s="22">
        <f t="shared" si="9"/>
        <v>15001.93425355844</v>
      </c>
      <c r="I27" s="5">
        <f t="shared" si="10"/>
        <v>38634.293429556354</v>
      </c>
      <c r="J27" s="26">
        <f t="shared" si="0"/>
        <v>0.14965715608249253</v>
      </c>
      <c r="L27" s="22">
        <f t="shared" si="11"/>
        <v>70844.718423797356</v>
      </c>
      <c r="M27" s="5">
        <f>scrimecost*Meta!O24</f>
        <v>1435.53</v>
      </c>
      <c r="N27" s="5">
        <f>L27-Grade8!L27</f>
        <v>697.23872149889939</v>
      </c>
      <c r="O27" s="5">
        <f>Grade8!M27-M27</f>
        <v>30.29099999999994</v>
      </c>
      <c r="P27" s="22">
        <f t="shared" si="12"/>
        <v>137.2513526621639</v>
      </c>
      <c r="S27" s="22">
        <f t="shared" si="1"/>
        <v>667.09585065164663</v>
      </c>
      <c r="T27" s="22">
        <f t="shared" si="2"/>
        <v>760.08032644605157</v>
      </c>
    </row>
    <row r="28" spans="1:20" x14ac:dyDescent="0.2">
      <c r="A28" s="5">
        <v>37</v>
      </c>
      <c r="B28" s="1">
        <f t="shared" si="3"/>
        <v>1.7215713975800966</v>
      </c>
      <c r="C28" s="5">
        <f t="shared" si="4"/>
        <v>34165.175902307266</v>
      </c>
      <c r="D28" s="5">
        <f t="shared" si="5"/>
        <v>33051.265348168832</v>
      </c>
      <c r="E28" s="5">
        <f t="shared" si="6"/>
        <v>23551.265348168832</v>
      </c>
      <c r="F28" s="5">
        <f t="shared" si="7"/>
        <v>7991.238136177124</v>
      </c>
      <c r="G28" s="5">
        <f t="shared" si="8"/>
        <v>25060.027211991706</v>
      </c>
      <c r="H28" s="22">
        <f t="shared" si="9"/>
        <v>15376.982609897403</v>
      </c>
      <c r="I28" s="5">
        <f t="shared" si="10"/>
        <v>39514.390865295267</v>
      </c>
      <c r="J28" s="26">
        <f t="shared" si="0"/>
        <v>0.15149869748702657</v>
      </c>
      <c r="L28" s="22">
        <f t="shared" si="11"/>
        <v>72615.836384392271</v>
      </c>
      <c r="M28" s="5">
        <f>scrimecost*Meta!O25</f>
        <v>1435.53</v>
      </c>
      <c r="N28" s="5">
        <f>L28-Grade8!L28</f>
        <v>714.66968953634205</v>
      </c>
      <c r="O28" s="5">
        <f>Grade8!M28-M28</f>
        <v>30.29099999999994</v>
      </c>
      <c r="P28" s="22">
        <f t="shared" si="12"/>
        <v>140.44163703333183</v>
      </c>
      <c r="S28" s="22">
        <f t="shared" si="1"/>
        <v>682.79493796143788</v>
      </c>
      <c r="T28" s="22">
        <f t="shared" si="2"/>
        <v>782.59579672882205</v>
      </c>
    </row>
    <row r="29" spans="1:20" x14ac:dyDescent="0.2">
      <c r="A29" s="5">
        <v>38</v>
      </c>
      <c r="B29" s="1">
        <f t="shared" si="3"/>
        <v>1.7646106825195991</v>
      </c>
      <c r="C29" s="5">
        <f t="shared" si="4"/>
        <v>35019.305299864944</v>
      </c>
      <c r="D29" s="5">
        <f t="shared" si="5"/>
        <v>33854.146981873047</v>
      </c>
      <c r="E29" s="5">
        <f t="shared" si="6"/>
        <v>24354.146981873047</v>
      </c>
      <c r="F29" s="5">
        <f t="shared" si="7"/>
        <v>8253.3789895815498</v>
      </c>
      <c r="G29" s="5">
        <f t="shared" si="8"/>
        <v>25600.767992291498</v>
      </c>
      <c r="H29" s="22">
        <f t="shared" si="9"/>
        <v>15761.407175144837</v>
      </c>
      <c r="I29" s="5">
        <f t="shared" si="10"/>
        <v>40416.490736927648</v>
      </c>
      <c r="J29" s="26">
        <f t="shared" si="0"/>
        <v>0.15329532324754755</v>
      </c>
      <c r="L29" s="22">
        <f t="shared" si="11"/>
        <v>74431.232294002097</v>
      </c>
      <c r="M29" s="5">
        <f>scrimecost*Meta!O26</f>
        <v>1435.53</v>
      </c>
      <c r="N29" s="5">
        <f>L29-Grade8!L29</f>
        <v>732.53643177478807</v>
      </c>
      <c r="O29" s="5">
        <f>Grade8!M29-M29</f>
        <v>30.29099999999994</v>
      </c>
      <c r="P29" s="22">
        <f t="shared" si="12"/>
        <v>143.71167851377893</v>
      </c>
      <c r="S29" s="22">
        <f t="shared" si="1"/>
        <v>698.88650245402243</v>
      </c>
      <c r="T29" s="22">
        <f t="shared" si="2"/>
        <v>805.80477641989626</v>
      </c>
    </row>
    <row r="30" spans="1:20" x14ac:dyDescent="0.2">
      <c r="A30" s="5">
        <v>39</v>
      </c>
      <c r="B30" s="1">
        <f t="shared" si="3"/>
        <v>1.8087259495825889</v>
      </c>
      <c r="C30" s="5">
        <f t="shared" si="4"/>
        <v>35894.787932361571</v>
      </c>
      <c r="D30" s="5">
        <f t="shared" si="5"/>
        <v>34677.100656419876</v>
      </c>
      <c r="E30" s="5">
        <f t="shared" si="6"/>
        <v>25177.100656419876</v>
      </c>
      <c r="F30" s="5">
        <f t="shared" si="7"/>
        <v>8522.0733643210897</v>
      </c>
      <c r="G30" s="5">
        <f t="shared" si="8"/>
        <v>26155.027292098785</v>
      </c>
      <c r="H30" s="22">
        <f t="shared" si="9"/>
        <v>16155.442354523457</v>
      </c>
      <c r="I30" s="5">
        <f t="shared" si="10"/>
        <v>41341.143105350835</v>
      </c>
      <c r="J30" s="26">
        <f t="shared" si="0"/>
        <v>0.15504812886756805</v>
      </c>
      <c r="L30" s="22">
        <f t="shared" si="11"/>
        <v>76292.013101352131</v>
      </c>
      <c r="M30" s="5">
        <f>scrimecost*Meta!O27</f>
        <v>1435.53</v>
      </c>
      <c r="N30" s="5">
        <f>L30-Grade8!L30</f>
        <v>750.8498425691505</v>
      </c>
      <c r="O30" s="5">
        <f>Grade8!M30-M30</f>
        <v>30.29099999999994</v>
      </c>
      <c r="P30" s="22">
        <f t="shared" si="12"/>
        <v>147.06347103123724</v>
      </c>
      <c r="S30" s="22">
        <f t="shared" si="1"/>
        <v>715.38035605888922</v>
      </c>
      <c r="T30" s="22">
        <f t="shared" si="2"/>
        <v>829.72879240490511</v>
      </c>
    </row>
    <row r="31" spans="1:20" x14ac:dyDescent="0.2">
      <c r="A31" s="5">
        <v>40</v>
      </c>
      <c r="B31" s="1">
        <f t="shared" si="3"/>
        <v>1.8539440983221533</v>
      </c>
      <c r="C31" s="5">
        <f t="shared" si="4"/>
        <v>36792.157630670605</v>
      </c>
      <c r="D31" s="5">
        <f t="shared" si="5"/>
        <v>35520.628172830366</v>
      </c>
      <c r="E31" s="5">
        <f t="shared" si="6"/>
        <v>26020.628172830366</v>
      </c>
      <c r="F31" s="5">
        <f t="shared" si="7"/>
        <v>8797.4850984291152</v>
      </c>
      <c r="G31" s="5">
        <f t="shared" si="8"/>
        <v>26723.14307440125</v>
      </c>
      <c r="H31" s="22">
        <f t="shared" si="9"/>
        <v>16559.328413386542</v>
      </c>
      <c r="I31" s="5">
        <f t="shared" si="10"/>
        <v>42288.9117829846</v>
      </c>
      <c r="J31" s="26">
        <f t="shared" si="0"/>
        <v>0.15675818313100265</v>
      </c>
      <c r="L31" s="22">
        <f t="shared" si="11"/>
        <v>78199.313428885915</v>
      </c>
      <c r="M31" s="5">
        <f>scrimecost*Meta!O28</f>
        <v>1255.6799999999998</v>
      </c>
      <c r="N31" s="5">
        <f>L31-Grade8!L31</f>
        <v>769.62108863337198</v>
      </c>
      <c r="O31" s="5">
        <f>Grade8!M31-M31</f>
        <v>26.496000000000095</v>
      </c>
      <c r="P31" s="22">
        <f t="shared" si="12"/>
        <v>150.49905836163191</v>
      </c>
      <c r="S31" s="22">
        <f t="shared" si="1"/>
        <v>728.56745600387785</v>
      </c>
      <c r="T31" s="22">
        <f t="shared" si="2"/>
        <v>850.05080775532622</v>
      </c>
    </row>
    <row r="32" spans="1:20" x14ac:dyDescent="0.2">
      <c r="A32" s="5">
        <v>41</v>
      </c>
      <c r="B32" s="1">
        <f t="shared" si="3"/>
        <v>1.9002927007802071</v>
      </c>
      <c r="C32" s="5">
        <f t="shared" si="4"/>
        <v>37711.961571437365</v>
      </c>
      <c r="D32" s="5">
        <f t="shared" si="5"/>
        <v>36385.243877151122</v>
      </c>
      <c r="E32" s="5">
        <f t="shared" si="6"/>
        <v>26885.243877151122</v>
      </c>
      <c r="F32" s="5">
        <f t="shared" si="7"/>
        <v>9079.7821258898421</v>
      </c>
      <c r="G32" s="5">
        <f t="shared" si="8"/>
        <v>27305.461751261282</v>
      </c>
      <c r="H32" s="22">
        <f t="shared" si="9"/>
        <v>16973.311623721202</v>
      </c>
      <c r="I32" s="5">
        <f t="shared" si="10"/>
        <v>43260.374677559215</v>
      </c>
      <c r="J32" s="26">
        <f t="shared" si="0"/>
        <v>0.1584265287538657</v>
      </c>
      <c r="L32" s="22">
        <f t="shared" si="11"/>
        <v>80154.29626460807</v>
      </c>
      <c r="M32" s="5">
        <f>scrimecost*Meta!O29</f>
        <v>1255.6799999999998</v>
      </c>
      <c r="N32" s="5">
        <f>L32-Grade8!L32</f>
        <v>788.86161584920774</v>
      </c>
      <c r="O32" s="5">
        <f>Grade8!M32-M32</f>
        <v>26.496000000000095</v>
      </c>
      <c r="P32" s="22">
        <f t="shared" si="12"/>
        <v>154.02053537528656</v>
      </c>
      <c r="S32" s="22">
        <f t="shared" si="1"/>
        <v>745.89631094749757</v>
      </c>
      <c r="T32" s="22">
        <f t="shared" si="2"/>
        <v>875.44636047460472</v>
      </c>
    </row>
    <row r="33" spans="1:20" x14ac:dyDescent="0.2">
      <c r="A33" s="5">
        <v>42</v>
      </c>
      <c r="B33" s="1">
        <f t="shared" si="3"/>
        <v>1.9478000182997122</v>
      </c>
      <c r="C33" s="5">
        <f t="shared" si="4"/>
        <v>38654.7606107233</v>
      </c>
      <c r="D33" s="5">
        <f t="shared" si="5"/>
        <v>37271.474974079902</v>
      </c>
      <c r="E33" s="5">
        <f t="shared" si="6"/>
        <v>27771.474974079902</v>
      </c>
      <c r="F33" s="5">
        <f t="shared" si="7"/>
        <v>9369.1365790370874</v>
      </c>
      <c r="G33" s="5">
        <f t="shared" si="8"/>
        <v>27902.338395042814</v>
      </c>
      <c r="H33" s="22">
        <f t="shared" si="9"/>
        <v>17397.644414314233</v>
      </c>
      <c r="I33" s="5">
        <f t="shared" si="10"/>
        <v>44256.124144498193</v>
      </c>
      <c r="J33" s="26">
        <f t="shared" si="0"/>
        <v>0.16005418302007354</v>
      </c>
      <c r="L33" s="22">
        <f t="shared" si="11"/>
        <v>82158.153671223263</v>
      </c>
      <c r="M33" s="5">
        <f>scrimecost*Meta!O30</f>
        <v>1255.6799999999998</v>
      </c>
      <c r="N33" s="5">
        <f>L33-Grade8!L33</f>
        <v>808.58315624542593</v>
      </c>
      <c r="O33" s="5">
        <f>Grade8!M33-M33</f>
        <v>26.496000000000095</v>
      </c>
      <c r="P33" s="22">
        <f t="shared" si="12"/>
        <v>157.6300493142825</v>
      </c>
      <c r="S33" s="22">
        <f t="shared" si="1"/>
        <v>763.65838726469781</v>
      </c>
      <c r="T33" s="22">
        <f t="shared" si="2"/>
        <v>901.62547566808166</v>
      </c>
    </row>
    <row r="34" spans="1:20" x14ac:dyDescent="0.2">
      <c r="A34" s="5">
        <v>43</v>
      </c>
      <c r="B34" s="1">
        <f t="shared" si="3"/>
        <v>1.9964950187572048</v>
      </c>
      <c r="C34" s="5">
        <f t="shared" si="4"/>
        <v>39621.129625991372</v>
      </c>
      <c r="D34" s="5">
        <f t="shared" si="5"/>
        <v>38179.861848431887</v>
      </c>
      <c r="E34" s="5">
        <f t="shared" si="6"/>
        <v>28679.861848431887</v>
      </c>
      <c r="F34" s="5">
        <f t="shared" si="7"/>
        <v>9665.7248935130119</v>
      </c>
      <c r="G34" s="5">
        <f t="shared" si="8"/>
        <v>28514.136954918875</v>
      </c>
      <c r="H34" s="22">
        <f t="shared" si="9"/>
        <v>17832.585524672089</v>
      </c>
      <c r="I34" s="5">
        <f t="shared" si="10"/>
        <v>45276.767348110639</v>
      </c>
      <c r="J34" s="26">
        <f t="shared" si="0"/>
        <v>0.16164213840173972</v>
      </c>
      <c r="L34" s="22">
        <f t="shared" si="11"/>
        <v>84212.107513003852</v>
      </c>
      <c r="M34" s="5">
        <f>scrimecost*Meta!O31</f>
        <v>1255.6799999999998</v>
      </c>
      <c r="N34" s="5">
        <f>L34-Grade8!L34</f>
        <v>828.79773515157285</v>
      </c>
      <c r="O34" s="5">
        <f>Grade8!M34-M34</f>
        <v>26.496000000000095</v>
      </c>
      <c r="P34" s="22">
        <f t="shared" si="12"/>
        <v>161.32980110175336</v>
      </c>
      <c r="S34" s="22">
        <f t="shared" si="1"/>
        <v>781.86451548984473</v>
      </c>
      <c r="T34" s="22">
        <f t="shared" si="2"/>
        <v>928.6124835768577</v>
      </c>
    </row>
    <row r="35" spans="1:20" x14ac:dyDescent="0.2">
      <c r="A35" s="5">
        <v>44</v>
      </c>
      <c r="B35" s="1">
        <f t="shared" si="3"/>
        <v>2.0464073942261352</v>
      </c>
      <c r="C35" s="5">
        <f t="shared" si="4"/>
        <v>40611.657866641166</v>
      </c>
      <c r="D35" s="5">
        <f t="shared" si="5"/>
        <v>39110.958394642694</v>
      </c>
      <c r="E35" s="5">
        <f t="shared" si="6"/>
        <v>29610.958394642694</v>
      </c>
      <c r="F35" s="5">
        <f t="shared" si="7"/>
        <v>9969.7279158508391</v>
      </c>
      <c r="G35" s="5">
        <f t="shared" si="8"/>
        <v>29141.230478791855</v>
      </c>
      <c r="H35" s="22">
        <f t="shared" si="9"/>
        <v>18278.40016278889</v>
      </c>
      <c r="I35" s="5">
        <f t="shared" si="10"/>
        <v>46322.92663181341</v>
      </c>
      <c r="J35" s="26">
        <f t="shared" si="0"/>
        <v>0.16319136316434088</v>
      </c>
      <c r="L35" s="22">
        <f t="shared" si="11"/>
        <v>86317.410200828948</v>
      </c>
      <c r="M35" s="5">
        <f>scrimecost*Meta!O32</f>
        <v>1255.6799999999998</v>
      </c>
      <c r="N35" s="5">
        <f>L35-Grade8!L35</f>
        <v>849.51767853037745</v>
      </c>
      <c r="O35" s="5">
        <f>Grade8!M35-M35</f>
        <v>26.496000000000095</v>
      </c>
      <c r="P35" s="22">
        <f t="shared" si="12"/>
        <v>165.12204668391104</v>
      </c>
      <c r="S35" s="22">
        <f t="shared" si="1"/>
        <v>800.52579692062352</v>
      </c>
      <c r="T35" s="22">
        <f t="shared" si="2"/>
        <v>956.43247083852214</v>
      </c>
    </row>
    <row r="36" spans="1:20" x14ac:dyDescent="0.2">
      <c r="A36" s="5">
        <v>45</v>
      </c>
      <c r="B36" s="1">
        <f t="shared" si="3"/>
        <v>2.097567579081788</v>
      </c>
      <c r="C36" s="5">
        <f t="shared" si="4"/>
        <v>41626.949313307181</v>
      </c>
      <c r="D36" s="5">
        <f t="shared" si="5"/>
        <v>40065.332354508748</v>
      </c>
      <c r="E36" s="5">
        <f t="shared" si="6"/>
        <v>30565.332354508748</v>
      </c>
      <c r="F36" s="5">
        <f t="shared" si="7"/>
        <v>10281.331013747105</v>
      </c>
      <c r="G36" s="5">
        <f t="shared" si="8"/>
        <v>29784.001340761642</v>
      </c>
      <c r="H36" s="22">
        <f t="shared" si="9"/>
        <v>18735.360166858613</v>
      </c>
      <c r="I36" s="5">
        <f t="shared" si="10"/>
        <v>47395.239897608742</v>
      </c>
      <c r="J36" s="26">
        <f t="shared" si="0"/>
        <v>0.16470280195712247</v>
      </c>
      <c r="L36" s="22">
        <f t="shared" si="11"/>
        <v>88475.345455849645</v>
      </c>
      <c r="M36" s="5">
        <f>scrimecost*Meta!O33</f>
        <v>1014.7900000000001</v>
      </c>
      <c r="N36" s="5">
        <f>L36-Grade8!L36</f>
        <v>870.75562049358268</v>
      </c>
      <c r="O36" s="5">
        <f>Grade8!M36-M36</f>
        <v>21.412999999999897</v>
      </c>
      <c r="P36" s="22">
        <f t="shared" si="12"/>
        <v>169.00909840562255</v>
      </c>
      <c r="S36" s="22">
        <f t="shared" si="1"/>
        <v>814.67227038712133</v>
      </c>
      <c r="T36" s="22">
        <f t="shared" si="2"/>
        <v>979.12441603377795</v>
      </c>
    </row>
    <row r="37" spans="1:20" x14ac:dyDescent="0.2">
      <c r="A37" s="5">
        <v>46</v>
      </c>
      <c r="B37" s="1">
        <f t="shared" ref="B37:B56" si="13">(1+experiencepremium)^(A37-startage)</f>
        <v>2.1500067685588333</v>
      </c>
      <c r="C37" s="5">
        <f t="shared" ref="C37:C56" si="14">pretaxincome*B37/expnorm</f>
        <v>42667.623046139874</v>
      </c>
      <c r="D37" s="5">
        <f t="shared" ref="D37:D56" si="15">IF(A37&lt;startage,1,0)*(C37*(1-initialunempprob))+IF(A37=startage,1,0)*(C37*(1-unempprob))+IF(A37&gt;startage,1,0)*(C37*(1-unempprob)+unempprob*300*52)</f>
        <v>41043.565663371483</v>
      </c>
      <c r="E37" s="5">
        <f t="shared" si="6"/>
        <v>31543.565663371483</v>
      </c>
      <c r="F37" s="5">
        <f t="shared" si="7"/>
        <v>10600.72418909079</v>
      </c>
      <c r="G37" s="5">
        <f t="shared" si="8"/>
        <v>30442.841474280693</v>
      </c>
      <c r="H37" s="22">
        <f t="shared" ref="H37:H56" si="16">benefits*B37/expnorm</f>
        <v>19203.744171030077</v>
      </c>
      <c r="I37" s="5">
        <f t="shared" ref="I37:I56" si="17">G37+IF(A37&lt;startage,1,0)*(H37*(1-initialunempprob))+IF(A37&gt;=startage,1,0)*(H37*(1-unempprob))</f>
        <v>48494.360995048963</v>
      </c>
      <c r="J37" s="26">
        <f t="shared" ref="J37:J56" si="18">(F37-(IF(A37&gt;startage,1,0)*(unempprob*300*52)))/(IF(A37&lt;startage,1,0)*((C37+H37)*(1-initialunempprob))+IF(A37&gt;=startage,1,0)*((C37+H37)*(1-unempprob)))</f>
        <v>0.16617737638910463</v>
      </c>
      <c r="L37" s="22">
        <f t="shared" ref="L37:L56" si="19">(sincome+sbenefits)*(1-sunemp)*B37/expnorm</f>
        <v>90687.229092245921</v>
      </c>
      <c r="M37" s="5">
        <f>scrimecost*Meta!O34</f>
        <v>1014.7900000000001</v>
      </c>
      <c r="N37" s="5">
        <f>L37-Grade8!L37</f>
        <v>892.52451100599137</v>
      </c>
      <c r="O37" s="5">
        <f>Grade8!M37-M37</f>
        <v>21.412999999999897</v>
      </c>
      <c r="P37" s="22">
        <f t="shared" si="12"/>
        <v>172.99332642037706</v>
      </c>
      <c r="S37" s="22">
        <f t="shared" ref="S37:S68" si="20">IF(A37&lt;startage,1,0)*(N37-Q37-R37)+IF(A37&gt;=startage,1,0)*completionprob*(N37*spart+O37+P37)</f>
        <v>834.27827919037077</v>
      </c>
      <c r="T37" s="22">
        <f t="shared" ref="T37:T68" si="21">S37/sreturn^(A37-startage+1)</f>
        <v>1008.6531498012874</v>
      </c>
    </row>
    <row r="38" spans="1:20" x14ac:dyDescent="0.2">
      <c r="A38" s="5">
        <v>47</v>
      </c>
      <c r="B38" s="1">
        <f t="shared" si="13"/>
        <v>2.2037569377728037</v>
      </c>
      <c r="C38" s="5">
        <f t="shared" si="14"/>
        <v>43734.313622293361</v>
      </c>
      <c r="D38" s="5">
        <f t="shared" si="15"/>
        <v>42046.254804955759</v>
      </c>
      <c r="E38" s="5">
        <f t="shared" si="6"/>
        <v>32546.254804955759</v>
      </c>
      <c r="F38" s="5">
        <f t="shared" si="7"/>
        <v>10928.102193818055</v>
      </c>
      <c r="G38" s="5">
        <f t="shared" si="8"/>
        <v>31118.152611137702</v>
      </c>
      <c r="H38" s="22">
        <f t="shared" si="16"/>
        <v>19683.837775305827</v>
      </c>
      <c r="I38" s="5">
        <f t="shared" si="17"/>
        <v>49620.960119925177</v>
      </c>
      <c r="J38" s="26">
        <f t="shared" si="18"/>
        <v>0.16761598559103832</v>
      </c>
      <c r="L38" s="22">
        <f t="shared" si="19"/>
        <v>92954.409819552035</v>
      </c>
      <c r="M38" s="5">
        <f>scrimecost*Meta!O35</f>
        <v>1014.7900000000001</v>
      </c>
      <c r="N38" s="5">
        <f>L38-Grade8!L38</f>
        <v>914.83762378110259</v>
      </c>
      <c r="O38" s="5">
        <f>Grade8!M38-M38</f>
        <v>21.412999999999897</v>
      </c>
      <c r="P38" s="22">
        <f t="shared" ref="P38:P56" si="22">(spart-initialspart)*(L38*J38+nptrans)</f>
        <v>177.07716013550021</v>
      </c>
      <c r="S38" s="22">
        <f t="shared" si="20"/>
        <v>854.37443821362376</v>
      </c>
      <c r="T38" s="22">
        <f t="shared" si="21"/>
        <v>1039.0946882226815</v>
      </c>
    </row>
    <row r="39" spans="1:20" x14ac:dyDescent="0.2">
      <c r="A39" s="5">
        <v>48</v>
      </c>
      <c r="B39" s="1">
        <f t="shared" si="13"/>
        <v>2.2588508612171236</v>
      </c>
      <c r="C39" s="5">
        <f t="shared" si="14"/>
        <v>44827.671462850696</v>
      </c>
      <c r="D39" s="5">
        <f t="shared" si="15"/>
        <v>43074.01117507965</v>
      </c>
      <c r="E39" s="5">
        <f t="shared" si="6"/>
        <v>33574.01117507965</v>
      </c>
      <c r="F39" s="5">
        <f t="shared" si="7"/>
        <v>11263.664648663505</v>
      </c>
      <c r="G39" s="5">
        <f t="shared" si="8"/>
        <v>31810.346526416142</v>
      </c>
      <c r="H39" s="22">
        <f t="shared" si="16"/>
        <v>20175.933719688474</v>
      </c>
      <c r="I39" s="5">
        <f t="shared" si="17"/>
        <v>50775.724222923309</v>
      </c>
      <c r="J39" s="26">
        <f t="shared" si="18"/>
        <v>0.16901950676365657</v>
      </c>
      <c r="L39" s="22">
        <f t="shared" si="19"/>
        <v>95278.270065040837</v>
      </c>
      <c r="M39" s="5">
        <f>scrimecost*Meta!O36</f>
        <v>1014.7900000000001</v>
      </c>
      <c r="N39" s="5">
        <f>L39-Grade8!L39</f>
        <v>937.70856437562907</v>
      </c>
      <c r="O39" s="5">
        <f>Grade8!M39-M39</f>
        <v>21.412999999999897</v>
      </c>
      <c r="P39" s="22">
        <f t="shared" si="22"/>
        <v>181.26308969350148</v>
      </c>
      <c r="S39" s="22">
        <f t="shared" si="20"/>
        <v>874.97300121248509</v>
      </c>
      <c r="T39" s="22">
        <f t="shared" si="21"/>
        <v>1070.4773848993323</v>
      </c>
    </row>
    <row r="40" spans="1:20" x14ac:dyDescent="0.2">
      <c r="A40" s="5">
        <v>49</v>
      </c>
      <c r="B40" s="1">
        <f t="shared" si="13"/>
        <v>2.3153221327475517</v>
      </c>
      <c r="C40" s="5">
        <f t="shared" si="14"/>
        <v>45948.363249421956</v>
      </c>
      <c r="D40" s="5">
        <f t="shared" si="15"/>
        <v>44127.461454456636</v>
      </c>
      <c r="E40" s="5">
        <f t="shared" si="6"/>
        <v>34627.461454456636</v>
      </c>
      <c r="F40" s="5">
        <f t="shared" si="7"/>
        <v>11620.362310325756</v>
      </c>
      <c r="G40" s="5">
        <f t="shared" si="8"/>
        <v>32507.09914413088</v>
      </c>
      <c r="H40" s="22">
        <f t="shared" si="16"/>
        <v>20680.332062680685</v>
      </c>
      <c r="I40" s="5">
        <f t="shared" si="17"/>
        <v>51946.611283050719</v>
      </c>
      <c r="J40" s="26">
        <f t="shared" si="18"/>
        <v>0.17059230756482568</v>
      </c>
      <c r="L40" s="22">
        <f t="shared" si="19"/>
        <v>97660.226816666865</v>
      </c>
      <c r="M40" s="5">
        <f>scrimecost*Meta!O37</f>
        <v>1014.7900000000001</v>
      </c>
      <c r="N40" s="5">
        <f>L40-Grade8!L40</f>
        <v>961.15127848504926</v>
      </c>
      <c r="O40" s="5">
        <f>Grade8!M40-M40</f>
        <v>21.412999999999897</v>
      </c>
      <c r="P40" s="22">
        <f t="shared" si="22"/>
        <v>185.71266759967594</v>
      </c>
      <c r="S40" s="22">
        <f t="shared" si="20"/>
        <v>896.24234839337862</v>
      </c>
      <c r="T40" s="22">
        <f t="shared" si="21"/>
        <v>1103.0222456959068</v>
      </c>
    </row>
    <row r="41" spans="1:20" x14ac:dyDescent="0.2">
      <c r="A41" s="5">
        <v>50</v>
      </c>
      <c r="B41" s="1">
        <f t="shared" si="13"/>
        <v>2.3732051860662402</v>
      </c>
      <c r="C41" s="5">
        <f t="shared" si="14"/>
        <v>47097.072330657502</v>
      </c>
      <c r="D41" s="5">
        <f t="shared" si="15"/>
        <v>45207.247990818047</v>
      </c>
      <c r="E41" s="5">
        <f t="shared" si="6"/>
        <v>35707.247990818047</v>
      </c>
      <c r="F41" s="5">
        <f t="shared" si="7"/>
        <v>12080.891268083897</v>
      </c>
      <c r="G41" s="5">
        <f t="shared" si="8"/>
        <v>33126.356722734148</v>
      </c>
      <c r="H41" s="22">
        <f t="shared" si="16"/>
        <v>21197.340364247699</v>
      </c>
      <c r="I41" s="5">
        <f t="shared" si="17"/>
        <v>53051.856665126979</v>
      </c>
      <c r="J41" s="26">
        <f t="shared" si="18"/>
        <v>0.17360523121325144</v>
      </c>
      <c r="L41" s="22">
        <f t="shared" si="19"/>
        <v>100101.73248708353</v>
      </c>
      <c r="M41" s="5">
        <f>scrimecost*Meta!O38</f>
        <v>677.98</v>
      </c>
      <c r="N41" s="5">
        <f>L41-Grade8!L41</f>
        <v>985.18006044716458</v>
      </c>
      <c r="O41" s="5">
        <f>Grade8!M41-M41</f>
        <v>14.305999999999926</v>
      </c>
      <c r="P41" s="22">
        <f t="shared" si="22"/>
        <v>191.45747530613761</v>
      </c>
      <c r="S41" s="22">
        <f t="shared" si="20"/>
        <v>912.23887979934568</v>
      </c>
      <c r="T41" s="22">
        <f t="shared" si="21"/>
        <v>1129.3884824010054</v>
      </c>
    </row>
    <row r="42" spans="1:20" x14ac:dyDescent="0.2">
      <c r="A42" s="5">
        <v>51</v>
      </c>
      <c r="B42" s="1">
        <f t="shared" si="13"/>
        <v>2.4325353157178964</v>
      </c>
      <c r="C42" s="5">
        <f t="shared" si="14"/>
        <v>48274.499138923937</v>
      </c>
      <c r="D42" s="5">
        <f t="shared" si="15"/>
        <v>46314.029190588495</v>
      </c>
      <c r="E42" s="5">
        <f t="shared" si="6"/>
        <v>36814.029190588495</v>
      </c>
      <c r="F42" s="5">
        <f t="shared" si="7"/>
        <v>12552.933449785993</v>
      </c>
      <c r="G42" s="5">
        <f t="shared" si="8"/>
        <v>33761.095740802499</v>
      </c>
      <c r="H42" s="22">
        <f t="shared" si="16"/>
        <v>21727.273873353894</v>
      </c>
      <c r="I42" s="5">
        <f t="shared" si="17"/>
        <v>54184.73318175516</v>
      </c>
      <c r="J42" s="26">
        <f t="shared" si="18"/>
        <v>0.17654466891903267</v>
      </c>
      <c r="L42" s="22">
        <f t="shared" si="19"/>
        <v>102604.27579926062</v>
      </c>
      <c r="M42" s="5">
        <f>scrimecost*Meta!O39</f>
        <v>677.98</v>
      </c>
      <c r="N42" s="5">
        <f>L42-Grade8!L42</f>
        <v>1009.8095619583473</v>
      </c>
      <c r="O42" s="5">
        <f>Grade8!M42-M42</f>
        <v>14.305999999999926</v>
      </c>
      <c r="P42" s="22">
        <f t="shared" si="22"/>
        <v>197.34590320526084</v>
      </c>
      <c r="S42" s="22">
        <f t="shared" si="20"/>
        <v>935.77430599047227</v>
      </c>
      <c r="T42" s="22">
        <f t="shared" si="21"/>
        <v>1165.4183684560433</v>
      </c>
    </row>
    <row r="43" spans="1:20" x14ac:dyDescent="0.2">
      <c r="A43" s="5">
        <v>52</v>
      </c>
      <c r="B43" s="1">
        <f t="shared" si="13"/>
        <v>2.4933486986108435</v>
      </c>
      <c r="C43" s="5">
        <f t="shared" si="14"/>
        <v>49481.361617397037</v>
      </c>
      <c r="D43" s="5">
        <f t="shared" si="15"/>
        <v>47448.479920353209</v>
      </c>
      <c r="E43" s="5">
        <f t="shared" si="6"/>
        <v>37948.479920353209</v>
      </c>
      <c r="F43" s="5">
        <f t="shared" si="7"/>
        <v>13036.776686030644</v>
      </c>
      <c r="G43" s="5">
        <f t="shared" si="8"/>
        <v>34411.703234322566</v>
      </c>
      <c r="H43" s="22">
        <f t="shared" si="16"/>
        <v>22270.455720187736</v>
      </c>
      <c r="I43" s="5">
        <f t="shared" si="17"/>
        <v>55345.931611299035</v>
      </c>
      <c r="J43" s="26">
        <f t="shared" si="18"/>
        <v>0.17941241302223393</v>
      </c>
      <c r="L43" s="22">
        <f t="shared" si="19"/>
        <v>105169.38269424213</v>
      </c>
      <c r="M43" s="5">
        <f>scrimecost*Meta!O40</f>
        <v>677.98</v>
      </c>
      <c r="N43" s="5">
        <f>L43-Grade8!L43</f>
        <v>1035.0548010073253</v>
      </c>
      <c r="O43" s="5">
        <f>Grade8!M43-M43</f>
        <v>14.305999999999926</v>
      </c>
      <c r="P43" s="22">
        <f t="shared" si="22"/>
        <v>203.3815418018622</v>
      </c>
      <c r="S43" s="22">
        <f t="shared" si="20"/>
        <v>959.89811783638845</v>
      </c>
      <c r="T43" s="22">
        <f t="shared" si="21"/>
        <v>1202.5741067073366</v>
      </c>
    </row>
    <row r="44" spans="1:20" x14ac:dyDescent="0.2">
      <c r="A44" s="5">
        <v>53</v>
      </c>
      <c r="B44" s="1">
        <f t="shared" si="13"/>
        <v>2.555682416076114</v>
      </c>
      <c r="C44" s="5">
        <f t="shared" si="14"/>
        <v>50718.395657831956</v>
      </c>
      <c r="D44" s="5">
        <f t="shared" si="15"/>
        <v>48611.291918362032</v>
      </c>
      <c r="E44" s="5">
        <f t="shared" si="6"/>
        <v>39111.291918362032</v>
      </c>
      <c r="F44" s="5">
        <f t="shared" si="7"/>
        <v>13532.716003181407</v>
      </c>
      <c r="G44" s="5">
        <f t="shared" si="8"/>
        <v>35078.575915180627</v>
      </c>
      <c r="H44" s="22">
        <f t="shared" si="16"/>
        <v>22827.217113192426</v>
      </c>
      <c r="I44" s="5">
        <f t="shared" si="17"/>
        <v>56536.160001581506</v>
      </c>
      <c r="J44" s="26">
        <f t="shared" si="18"/>
        <v>0.18221021214730829</v>
      </c>
      <c r="L44" s="22">
        <f t="shared" si="19"/>
        <v>107798.61726159815</v>
      </c>
      <c r="M44" s="5">
        <f>scrimecost*Meta!O41</f>
        <v>677.98</v>
      </c>
      <c r="N44" s="5">
        <f>L44-Grade8!L44</f>
        <v>1060.9311710324691</v>
      </c>
      <c r="O44" s="5">
        <f>Grade8!M44-M44</f>
        <v>14.305999999999926</v>
      </c>
      <c r="P44" s="22">
        <f t="shared" si="22"/>
        <v>209.56807136337849</v>
      </c>
      <c r="S44" s="22">
        <f t="shared" si="20"/>
        <v>984.62502497841024</v>
      </c>
      <c r="T44" s="22">
        <f t="shared" si="21"/>
        <v>1240.8907407554382</v>
      </c>
    </row>
    <row r="45" spans="1:20" x14ac:dyDescent="0.2">
      <c r="A45" s="5">
        <v>54</v>
      </c>
      <c r="B45" s="1">
        <f t="shared" si="13"/>
        <v>2.6195744764780171</v>
      </c>
      <c r="C45" s="5">
        <f t="shared" si="14"/>
        <v>51986.35554927776</v>
      </c>
      <c r="D45" s="5">
        <f t="shared" si="15"/>
        <v>49803.174216321095</v>
      </c>
      <c r="E45" s="5">
        <f t="shared" si="6"/>
        <v>40303.174216321095</v>
      </c>
      <c r="F45" s="5">
        <f t="shared" si="7"/>
        <v>14041.053803260947</v>
      </c>
      <c r="G45" s="5">
        <f t="shared" si="8"/>
        <v>35762.120413060147</v>
      </c>
      <c r="H45" s="22">
        <f t="shared" si="16"/>
        <v>23397.897541022237</v>
      </c>
      <c r="I45" s="5">
        <f t="shared" si="17"/>
        <v>57756.144101621045</v>
      </c>
      <c r="J45" s="26">
        <f t="shared" si="18"/>
        <v>0.18493977226933209</v>
      </c>
      <c r="L45" s="22">
        <f t="shared" si="19"/>
        <v>110493.58269313812</v>
      </c>
      <c r="M45" s="5">
        <f>scrimecost*Meta!O42</f>
        <v>677.98</v>
      </c>
      <c r="N45" s="5">
        <f>L45-Grade8!L45</f>
        <v>1087.4544503083016</v>
      </c>
      <c r="O45" s="5">
        <f>Grade8!M45-M45</f>
        <v>14.305999999999926</v>
      </c>
      <c r="P45" s="22">
        <f t="shared" si="22"/>
        <v>215.90926416393282</v>
      </c>
      <c r="S45" s="22">
        <f t="shared" si="20"/>
        <v>1009.9701047990259</v>
      </c>
      <c r="T45" s="22">
        <f t="shared" si="21"/>
        <v>1280.404404168828</v>
      </c>
    </row>
    <row r="46" spans="1:20" x14ac:dyDescent="0.2">
      <c r="A46" s="5">
        <v>55</v>
      </c>
      <c r="B46" s="1">
        <f t="shared" si="13"/>
        <v>2.6850638383899672</v>
      </c>
      <c r="C46" s="5">
        <f t="shared" si="14"/>
        <v>53286.01443800969</v>
      </c>
      <c r="D46" s="5">
        <f t="shared" si="15"/>
        <v>51024.853571729109</v>
      </c>
      <c r="E46" s="5">
        <f t="shared" si="6"/>
        <v>41524.853571729109</v>
      </c>
      <c r="F46" s="5">
        <f t="shared" si="7"/>
        <v>14562.100048342465</v>
      </c>
      <c r="G46" s="5">
        <f t="shared" si="8"/>
        <v>36462.753523386644</v>
      </c>
      <c r="H46" s="22">
        <f t="shared" si="16"/>
        <v>23982.844979547794</v>
      </c>
      <c r="I46" s="5">
        <f t="shared" si="17"/>
        <v>59006.627804161573</v>
      </c>
      <c r="J46" s="26">
        <f t="shared" si="18"/>
        <v>0.18760275775423327</v>
      </c>
      <c r="L46" s="22">
        <f t="shared" si="19"/>
        <v>113255.92226046656</v>
      </c>
      <c r="M46" s="5">
        <f>scrimecost*Meta!O43</f>
        <v>376.04999999999995</v>
      </c>
      <c r="N46" s="5">
        <f>L46-Grade8!L46</f>
        <v>1114.6408115660015</v>
      </c>
      <c r="O46" s="5">
        <f>Grade8!M46-M46</f>
        <v>7.9350000000000023</v>
      </c>
      <c r="P46" s="22">
        <f t="shared" si="22"/>
        <v>222.40898678450085</v>
      </c>
      <c r="S46" s="22">
        <f t="shared" si="20"/>
        <v>1029.7052316151364</v>
      </c>
      <c r="T46" s="22">
        <f t="shared" si="21"/>
        <v>1313.1898756126595</v>
      </c>
    </row>
    <row r="47" spans="1:20" x14ac:dyDescent="0.2">
      <c r="A47" s="5">
        <v>56</v>
      </c>
      <c r="B47" s="1">
        <f t="shared" si="13"/>
        <v>2.7521904343497163</v>
      </c>
      <c r="C47" s="5">
        <f t="shared" si="14"/>
        <v>54618.16479895993</v>
      </c>
      <c r="D47" s="5">
        <f t="shared" si="15"/>
        <v>52277.074911022333</v>
      </c>
      <c r="E47" s="5">
        <f t="shared" si="6"/>
        <v>42777.074911022333</v>
      </c>
      <c r="F47" s="5">
        <f t="shared" si="7"/>
        <v>15096.172449551024</v>
      </c>
      <c r="G47" s="5">
        <f t="shared" si="8"/>
        <v>37180.902461471313</v>
      </c>
      <c r="H47" s="22">
        <f t="shared" si="16"/>
        <v>24582.416104036485</v>
      </c>
      <c r="I47" s="5">
        <f t="shared" si="17"/>
        <v>60288.373599265607</v>
      </c>
      <c r="J47" s="26">
        <f t="shared" si="18"/>
        <v>0.19020079237364909</v>
      </c>
      <c r="L47" s="22">
        <f t="shared" si="19"/>
        <v>116087.32031697821</v>
      </c>
      <c r="M47" s="5">
        <f>scrimecost*Meta!O44</f>
        <v>376.04999999999995</v>
      </c>
      <c r="N47" s="5">
        <f>L47-Grade8!L47</f>
        <v>1142.5068318551494</v>
      </c>
      <c r="O47" s="5">
        <f>Grade8!M47-M47</f>
        <v>7.9350000000000023</v>
      </c>
      <c r="P47" s="22">
        <f t="shared" si="22"/>
        <v>229.07120247058313</v>
      </c>
      <c r="S47" s="22">
        <f t="shared" si="20"/>
        <v>1056.3334061016535</v>
      </c>
      <c r="T47" s="22">
        <f t="shared" si="21"/>
        <v>1355.1631600328317</v>
      </c>
    </row>
    <row r="48" spans="1:20" x14ac:dyDescent="0.2">
      <c r="A48" s="5">
        <v>57</v>
      </c>
      <c r="B48" s="1">
        <f t="shared" si="13"/>
        <v>2.8209951952084591</v>
      </c>
      <c r="C48" s="5">
        <f t="shared" si="14"/>
        <v>55983.618918933927</v>
      </c>
      <c r="D48" s="5">
        <f t="shared" si="15"/>
        <v>53560.601783797887</v>
      </c>
      <c r="E48" s="5">
        <f t="shared" si="6"/>
        <v>44060.601783797887</v>
      </c>
      <c r="F48" s="5">
        <f t="shared" si="7"/>
        <v>15643.596660789801</v>
      </c>
      <c r="G48" s="5">
        <f t="shared" si="8"/>
        <v>37917.005123008086</v>
      </c>
      <c r="H48" s="22">
        <f t="shared" si="16"/>
        <v>25196.976506637395</v>
      </c>
      <c r="I48" s="5">
        <f t="shared" si="17"/>
        <v>61602.163039247236</v>
      </c>
      <c r="J48" s="26">
        <f t="shared" si="18"/>
        <v>0.19273546029503044</v>
      </c>
      <c r="L48" s="22">
        <f t="shared" si="19"/>
        <v>118989.50332490266</v>
      </c>
      <c r="M48" s="5">
        <f>scrimecost*Meta!O45</f>
        <v>376.04999999999995</v>
      </c>
      <c r="N48" s="5">
        <f>L48-Grade8!L48</f>
        <v>1171.0695026515168</v>
      </c>
      <c r="O48" s="5">
        <f>Grade8!M48-M48</f>
        <v>7.9350000000000023</v>
      </c>
      <c r="P48" s="22">
        <f t="shared" si="22"/>
        <v>235.89997354881757</v>
      </c>
      <c r="S48" s="22">
        <f t="shared" si="20"/>
        <v>1083.6272849503273</v>
      </c>
      <c r="T48" s="22">
        <f t="shared" si="21"/>
        <v>1398.4484768023397</v>
      </c>
    </row>
    <row r="49" spans="1:20" x14ac:dyDescent="0.2">
      <c r="A49" s="5">
        <v>58</v>
      </c>
      <c r="B49" s="1">
        <f t="shared" si="13"/>
        <v>2.8915200750886707</v>
      </c>
      <c r="C49" s="5">
        <f t="shared" si="14"/>
        <v>57383.209391907279</v>
      </c>
      <c r="D49" s="5">
        <f t="shared" si="15"/>
        <v>54876.21682839284</v>
      </c>
      <c r="E49" s="5">
        <f t="shared" si="6"/>
        <v>45376.21682839284</v>
      </c>
      <c r="F49" s="5">
        <f t="shared" si="7"/>
        <v>16204.706477309548</v>
      </c>
      <c r="G49" s="5">
        <f t="shared" si="8"/>
        <v>38671.510351083292</v>
      </c>
      <c r="H49" s="22">
        <f t="shared" si="16"/>
        <v>25826.900919303331</v>
      </c>
      <c r="I49" s="5">
        <f t="shared" si="17"/>
        <v>62948.79721522842</v>
      </c>
      <c r="J49" s="26">
        <f t="shared" si="18"/>
        <v>0.19520830704759756</v>
      </c>
      <c r="L49" s="22">
        <f t="shared" si="19"/>
        <v>121964.24090802524</v>
      </c>
      <c r="M49" s="5">
        <f>scrimecost*Meta!O46</f>
        <v>376.04999999999995</v>
      </c>
      <c r="N49" s="5">
        <f>L49-Grade8!L49</f>
        <v>1200.3462402178411</v>
      </c>
      <c r="O49" s="5">
        <f>Grade8!M49-M49</f>
        <v>7.9350000000000023</v>
      </c>
      <c r="P49" s="22">
        <f t="shared" si="22"/>
        <v>242.8994639040078</v>
      </c>
      <c r="S49" s="22">
        <f t="shared" si="20"/>
        <v>1111.6035107702521</v>
      </c>
      <c r="T49" s="22">
        <f t="shared" si="21"/>
        <v>1443.0866673569155</v>
      </c>
    </row>
    <row r="50" spans="1:20" x14ac:dyDescent="0.2">
      <c r="A50" s="5">
        <v>59</v>
      </c>
      <c r="B50" s="1">
        <f t="shared" si="13"/>
        <v>2.9638080769658868</v>
      </c>
      <c r="C50" s="5">
        <f t="shared" si="14"/>
        <v>58817.789626704944</v>
      </c>
      <c r="D50" s="5">
        <f t="shared" si="15"/>
        <v>56224.72224910264</v>
      </c>
      <c r="E50" s="5">
        <f t="shared" si="6"/>
        <v>46724.72224910264</v>
      </c>
      <c r="F50" s="5">
        <f t="shared" si="7"/>
        <v>16779.844039242278</v>
      </c>
      <c r="G50" s="5">
        <f t="shared" si="8"/>
        <v>39444.878209860362</v>
      </c>
      <c r="H50" s="22">
        <f t="shared" si="16"/>
        <v>26472.57344228591</v>
      </c>
      <c r="I50" s="5">
        <f t="shared" si="17"/>
        <v>64329.097245609111</v>
      </c>
      <c r="J50" s="26">
        <f t="shared" si="18"/>
        <v>0.19762084046473619</v>
      </c>
      <c r="L50" s="22">
        <f t="shared" si="19"/>
        <v>125013.34693072583</v>
      </c>
      <c r="M50" s="5">
        <f>scrimecost*Meta!O47</f>
        <v>376.04999999999995</v>
      </c>
      <c r="N50" s="5">
        <f>L50-Grade8!L50</f>
        <v>1230.3548962232453</v>
      </c>
      <c r="O50" s="5">
        <f>Grade8!M50-M50</f>
        <v>7.9350000000000023</v>
      </c>
      <c r="P50" s="22">
        <f t="shared" si="22"/>
        <v>250.07394151807773</v>
      </c>
      <c r="S50" s="22">
        <f t="shared" si="20"/>
        <v>1140.2791422356183</v>
      </c>
      <c r="T50" s="22">
        <f t="shared" si="21"/>
        <v>1489.1198434473101</v>
      </c>
    </row>
    <row r="51" spans="1:20" x14ac:dyDescent="0.2">
      <c r="A51" s="5">
        <v>60</v>
      </c>
      <c r="B51" s="1">
        <f t="shared" si="13"/>
        <v>3.0379032788900342</v>
      </c>
      <c r="C51" s="5">
        <f t="shared" si="14"/>
        <v>60288.234367372577</v>
      </c>
      <c r="D51" s="5">
        <f t="shared" si="15"/>
        <v>57606.940305330216</v>
      </c>
      <c r="E51" s="5">
        <f t="shared" si="6"/>
        <v>48106.940305330216</v>
      </c>
      <c r="F51" s="5">
        <f t="shared" si="7"/>
        <v>17369.360040223339</v>
      </c>
      <c r="G51" s="5">
        <f t="shared" si="8"/>
        <v>40237.580265106881</v>
      </c>
      <c r="H51" s="22">
        <f t="shared" si="16"/>
        <v>27134.387778343062</v>
      </c>
      <c r="I51" s="5">
        <f t="shared" si="17"/>
        <v>65743.904776749361</v>
      </c>
      <c r="J51" s="26">
        <f t="shared" si="18"/>
        <v>0.19997453160340806</v>
      </c>
      <c r="L51" s="22">
        <f t="shared" si="19"/>
        <v>128138.680603994</v>
      </c>
      <c r="M51" s="5">
        <f>scrimecost*Meta!O48</f>
        <v>198.38</v>
      </c>
      <c r="N51" s="5">
        <f>L51-Grade8!L51</f>
        <v>1261.1137686288566</v>
      </c>
      <c r="O51" s="5">
        <f>Grade8!M51-M51</f>
        <v>4.186000000000007</v>
      </c>
      <c r="P51" s="22">
        <f t="shared" si="22"/>
        <v>257.4277810724995</v>
      </c>
      <c r="S51" s="22">
        <f t="shared" si="20"/>
        <v>1165.9976444876711</v>
      </c>
      <c r="T51" s="22">
        <f t="shared" si="21"/>
        <v>1531.764886168173</v>
      </c>
    </row>
    <row r="52" spans="1:20" x14ac:dyDescent="0.2">
      <c r="A52" s="5">
        <v>61</v>
      </c>
      <c r="B52" s="1">
        <f t="shared" si="13"/>
        <v>3.1138508608622844</v>
      </c>
      <c r="C52" s="5">
        <f t="shared" si="14"/>
        <v>61795.440226556879</v>
      </c>
      <c r="D52" s="5">
        <f t="shared" si="15"/>
        <v>59023.713812963462</v>
      </c>
      <c r="E52" s="5">
        <f t="shared" si="6"/>
        <v>49523.713812963462</v>
      </c>
      <c r="F52" s="5">
        <f t="shared" si="7"/>
        <v>17973.613941228919</v>
      </c>
      <c r="G52" s="5">
        <f t="shared" si="8"/>
        <v>41050.099871734543</v>
      </c>
      <c r="H52" s="22">
        <f t="shared" si="16"/>
        <v>27812.747472801628</v>
      </c>
      <c r="I52" s="5">
        <f t="shared" si="17"/>
        <v>67194.082496168063</v>
      </c>
      <c r="J52" s="26">
        <f t="shared" si="18"/>
        <v>0.20227081564113675</v>
      </c>
      <c r="L52" s="22">
        <f t="shared" si="19"/>
        <v>131342.14761909383</v>
      </c>
      <c r="M52" s="5">
        <f>scrimecost*Meta!O49</f>
        <v>198.38</v>
      </c>
      <c r="N52" s="5">
        <f>L52-Grade8!L52</f>
        <v>1292.6416128445417</v>
      </c>
      <c r="O52" s="5">
        <f>Grade8!M52-M52</f>
        <v>4.186000000000007</v>
      </c>
      <c r="P52" s="22">
        <f t="shared" si="22"/>
        <v>264.96546661578179</v>
      </c>
      <c r="S52" s="22">
        <f t="shared" si="20"/>
        <v>1196.1249797959772</v>
      </c>
      <c r="T52" s="22">
        <f t="shared" si="21"/>
        <v>1580.6909354787331</v>
      </c>
    </row>
    <row r="53" spans="1:20" x14ac:dyDescent="0.2">
      <c r="A53" s="5">
        <v>62</v>
      </c>
      <c r="B53" s="1">
        <f t="shared" si="13"/>
        <v>3.1916971323838421</v>
      </c>
      <c r="C53" s="5">
        <f t="shared" si="14"/>
        <v>63340.32623222081</v>
      </c>
      <c r="D53" s="5">
        <f t="shared" si="15"/>
        <v>60475.90665828756</v>
      </c>
      <c r="E53" s="5">
        <f t="shared" si="6"/>
        <v>50975.90665828756</v>
      </c>
      <c r="F53" s="5">
        <f t="shared" si="7"/>
        <v>18592.974189759647</v>
      </c>
      <c r="G53" s="5">
        <f t="shared" si="8"/>
        <v>41882.932468527913</v>
      </c>
      <c r="H53" s="22">
        <f t="shared" si="16"/>
        <v>28508.066159621678</v>
      </c>
      <c r="I53" s="5">
        <f t="shared" si="17"/>
        <v>68680.514658572298</v>
      </c>
      <c r="J53" s="26">
        <f t="shared" si="18"/>
        <v>0.2045110927511159</v>
      </c>
      <c r="L53" s="22">
        <f t="shared" si="19"/>
        <v>134625.70130957116</v>
      </c>
      <c r="M53" s="5">
        <f>scrimecost*Meta!O50</f>
        <v>198.38</v>
      </c>
      <c r="N53" s="5">
        <f>L53-Grade8!L53</f>
        <v>1324.9576531656494</v>
      </c>
      <c r="O53" s="5">
        <f>Grade8!M53-M53</f>
        <v>4.186000000000007</v>
      </c>
      <c r="P53" s="22">
        <f t="shared" si="22"/>
        <v>272.69159429764608</v>
      </c>
      <c r="S53" s="22">
        <f t="shared" si="20"/>
        <v>1227.0054984870128</v>
      </c>
      <c r="T53" s="22">
        <f t="shared" si="21"/>
        <v>1631.1461578887292</v>
      </c>
    </row>
    <row r="54" spans="1:20" x14ac:dyDescent="0.2">
      <c r="A54" s="5">
        <v>63</v>
      </c>
      <c r="B54" s="1">
        <f t="shared" si="13"/>
        <v>3.2714895606934378</v>
      </c>
      <c r="C54" s="5">
        <f t="shared" si="14"/>
        <v>64923.834388026327</v>
      </c>
      <c r="D54" s="5">
        <f t="shared" si="15"/>
        <v>61964.404324744741</v>
      </c>
      <c r="E54" s="5">
        <f t="shared" si="6"/>
        <v>52464.404324744741</v>
      </c>
      <c r="F54" s="5">
        <f t="shared" si="7"/>
        <v>19227.818444503631</v>
      </c>
      <c r="G54" s="5">
        <f t="shared" si="8"/>
        <v>42736.585880241109</v>
      </c>
      <c r="H54" s="22">
        <f t="shared" si="16"/>
        <v>29220.767813612212</v>
      </c>
      <c r="I54" s="5">
        <f t="shared" si="17"/>
        <v>70204.107625036588</v>
      </c>
      <c r="J54" s="26">
        <f t="shared" si="18"/>
        <v>0.20669672895597357</v>
      </c>
      <c r="L54" s="22">
        <f t="shared" si="19"/>
        <v>137991.34384231042</v>
      </c>
      <c r="M54" s="5">
        <f>scrimecost*Meta!O51</f>
        <v>198.38</v>
      </c>
      <c r="N54" s="5">
        <f>L54-Grade8!L54</f>
        <v>1358.0815944948117</v>
      </c>
      <c r="O54" s="5">
        <f>Grade8!M54-M54</f>
        <v>4.186000000000007</v>
      </c>
      <c r="P54" s="22">
        <f t="shared" si="22"/>
        <v>280.61087517155698</v>
      </c>
      <c r="S54" s="22">
        <f t="shared" si="20"/>
        <v>1258.6580301453437</v>
      </c>
      <c r="T54" s="22">
        <f t="shared" si="21"/>
        <v>1683.1781529246039</v>
      </c>
    </row>
    <row r="55" spans="1:20" x14ac:dyDescent="0.2">
      <c r="A55" s="5">
        <v>64</v>
      </c>
      <c r="B55" s="1">
        <f t="shared" si="13"/>
        <v>3.3532767997107733</v>
      </c>
      <c r="C55" s="5">
        <f t="shared" si="14"/>
        <v>66546.930247726981</v>
      </c>
      <c r="D55" s="5">
        <f t="shared" si="15"/>
        <v>63490.11443286336</v>
      </c>
      <c r="E55" s="5">
        <f t="shared" si="6"/>
        <v>53990.11443286336</v>
      </c>
      <c r="F55" s="5">
        <f t="shared" si="7"/>
        <v>19878.533805616222</v>
      </c>
      <c r="G55" s="5">
        <f t="shared" si="8"/>
        <v>43611.580627247138</v>
      </c>
      <c r="H55" s="22">
        <f t="shared" si="16"/>
        <v>29951.287008952517</v>
      </c>
      <c r="I55" s="5">
        <f t="shared" si="17"/>
        <v>71765.790415662501</v>
      </c>
      <c r="J55" s="26">
        <f t="shared" si="18"/>
        <v>0.20882905696071286</v>
      </c>
      <c r="L55" s="22">
        <f t="shared" si="19"/>
        <v>141441.12743836819</v>
      </c>
      <c r="M55" s="5">
        <f>scrimecost*Meta!O52</f>
        <v>198.38</v>
      </c>
      <c r="N55" s="5">
        <f>L55-Grade8!L55</f>
        <v>1392.0336343571835</v>
      </c>
      <c r="O55" s="5">
        <f>Grade8!M55-M55</f>
        <v>4.186000000000007</v>
      </c>
      <c r="P55" s="22">
        <f t="shared" si="22"/>
        <v>288.72813806731568</v>
      </c>
      <c r="S55" s="22">
        <f t="shared" si="20"/>
        <v>1291.1018750951184</v>
      </c>
      <c r="T55" s="22">
        <f t="shared" si="21"/>
        <v>1736.8360006219939</v>
      </c>
    </row>
    <row r="56" spans="1:20" x14ac:dyDescent="0.2">
      <c r="A56" s="5">
        <v>65</v>
      </c>
      <c r="B56" s="1">
        <f t="shared" si="13"/>
        <v>3.4371087197035428</v>
      </c>
      <c r="C56" s="5">
        <f t="shared" si="14"/>
        <v>68210.603503920152</v>
      </c>
      <c r="D56" s="5">
        <f t="shared" si="15"/>
        <v>65053.967293684938</v>
      </c>
      <c r="E56" s="5">
        <f t="shared" si="6"/>
        <v>55553.967293684938</v>
      </c>
      <c r="F56" s="5">
        <f t="shared" si="7"/>
        <v>20545.517050756629</v>
      </c>
      <c r="G56" s="5">
        <f t="shared" si="8"/>
        <v>44508.450242928309</v>
      </c>
      <c r="H56" s="22">
        <f t="shared" si="16"/>
        <v>30700.069184176329</v>
      </c>
      <c r="I56" s="5">
        <f t="shared" si="17"/>
        <v>73366.515276054066</v>
      </c>
      <c r="J56" s="26">
        <f t="shared" si="18"/>
        <v>0.21090937696533651</v>
      </c>
      <c r="L56" s="22">
        <f t="shared" si="19"/>
        <v>144977.1556243274</v>
      </c>
      <c r="M56" s="5">
        <f>scrimecost*Meta!O53</f>
        <v>59.95</v>
      </c>
      <c r="N56" s="5">
        <f>L56-Grade8!L56</f>
        <v>1426.8344752160774</v>
      </c>
      <c r="O56" s="5">
        <f>Grade8!M56-M56</f>
        <v>1.2650000000000006</v>
      </c>
      <c r="P56" s="22">
        <f t="shared" si="22"/>
        <v>297.04833253546843</v>
      </c>
      <c r="S56" s="22">
        <f t="shared" si="20"/>
        <v>1321.4942361686115</v>
      </c>
      <c r="T56" s="22">
        <f t="shared" si="21"/>
        <v>1788.2965548024754</v>
      </c>
    </row>
    <row r="57" spans="1:20" x14ac:dyDescent="0.2">
      <c r="A57" s="5">
        <v>66</v>
      </c>
      <c r="C57" s="5"/>
      <c r="H57" s="21"/>
      <c r="I57" s="5"/>
      <c r="M57" s="5">
        <f>scrimecost*Meta!O54</f>
        <v>59.95</v>
      </c>
      <c r="N57" s="5">
        <f>L57-Grade8!L57</f>
        <v>0</v>
      </c>
      <c r="O57" s="5">
        <f>Grade8!M57-M57</f>
        <v>1.2650000000000006</v>
      </c>
      <c r="S57" s="22">
        <f t="shared" si="20"/>
        <v>1.2397000000000005</v>
      </c>
      <c r="T57" s="22">
        <f t="shared" si="21"/>
        <v>1.6875895748028411</v>
      </c>
    </row>
    <row r="58" spans="1:20" x14ac:dyDescent="0.2">
      <c r="A58" s="5">
        <v>67</v>
      </c>
      <c r="C58" s="5"/>
      <c r="H58" s="21"/>
      <c r="I58" s="5"/>
      <c r="M58" s="5">
        <f>scrimecost*Meta!O55</f>
        <v>59.95</v>
      </c>
      <c r="N58" s="5">
        <f>L58-Grade8!L58</f>
        <v>0</v>
      </c>
      <c r="O58" s="5">
        <f>Grade8!M58-M58</f>
        <v>1.2650000000000006</v>
      </c>
      <c r="S58" s="22">
        <f t="shared" si="20"/>
        <v>1.2397000000000005</v>
      </c>
      <c r="T58" s="22">
        <f t="shared" si="21"/>
        <v>1.6976290560009153</v>
      </c>
    </row>
    <row r="59" spans="1:20" x14ac:dyDescent="0.2">
      <c r="A59" s="5">
        <v>68</v>
      </c>
      <c r="H59" s="21"/>
      <c r="I59" s="5"/>
      <c r="M59" s="5">
        <f>scrimecost*Meta!O56</f>
        <v>59.95</v>
      </c>
      <c r="N59" s="5">
        <f>L59-Grade8!L59</f>
        <v>0</v>
      </c>
      <c r="O59" s="5">
        <f>Grade8!M59-M59</f>
        <v>1.2650000000000006</v>
      </c>
      <c r="S59" s="22">
        <f t="shared" si="20"/>
        <v>1.2397000000000005</v>
      </c>
      <c r="T59" s="22">
        <f t="shared" si="21"/>
        <v>1.7077282621369907</v>
      </c>
    </row>
    <row r="60" spans="1:20" x14ac:dyDescent="0.2">
      <c r="A60" s="5">
        <v>69</v>
      </c>
      <c r="H60" s="21"/>
      <c r="I60" s="5"/>
      <c r="M60" s="5">
        <f>scrimecost*Meta!O57</f>
        <v>59.95</v>
      </c>
      <c r="N60" s="5">
        <f>L60-Grade8!L60</f>
        <v>0</v>
      </c>
      <c r="O60" s="5">
        <f>Grade8!M60-M60</f>
        <v>1.2650000000000006</v>
      </c>
      <c r="S60" s="22">
        <f t="shared" si="20"/>
        <v>1.2397000000000005</v>
      </c>
      <c r="T60" s="22">
        <f t="shared" si="21"/>
        <v>1.7178875485151064</v>
      </c>
    </row>
    <row r="61" spans="1:20" x14ac:dyDescent="0.2">
      <c r="A61" s="5">
        <v>70</v>
      </c>
      <c r="H61" s="21"/>
      <c r="I61" s="5"/>
      <c r="M61" s="5">
        <f>scrimecost*Meta!O58</f>
        <v>59.95</v>
      </c>
      <c r="N61" s="5">
        <f>L61-Grade8!L61</f>
        <v>0</v>
      </c>
      <c r="O61" s="5">
        <f>Grade8!M61-M61</f>
        <v>1.2650000000000006</v>
      </c>
      <c r="S61" s="22">
        <f t="shared" si="20"/>
        <v>1.2397000000000005</v>
      </c>
      <c r="T61" s="22">
        <f t="shared" si="21"/>
        <v>1.7281072725530071</v>
      </c>
    </row>
    <row r="62" spans="1:20" x14ac:dyDescent="0.2">
      <c r="A62" s="5">
        <v>71</v>
      </c>
      <c r="H62" s="21"/>
      <c r="I62" s="5"/>
      <c r="M62" s="5">
        <f>scrimecost*Meta!O59</f>
        <v>59.95</v>
      </c>
      <c r="N62" s="5">
        <f>L62-Grade8!L62</f>
        <v>0</v>
      </c>
      <c r="O62" s="5">
        <f>Grade8!M62-M62</f>
        <v>1.2650000000000006</v>
      </c>
      <c r="S62" s="22">
        <f t="shared" si="20"/>
        <v>1.2397000000000005</v>
      </c>
      <c r="T62" s="22">
        <f t="shared" si="21"/>
        <v>1.7383877937947185</v>
      </c>
    </row>
    <row r="63" spans="1:20" x14ac:dyDescent="0.2">
      <c r="A63" s="5">
        <v>72</v>
      </c>
      <c r="H63" s="21"/>
      <c r="M63" s="5">
        <f>scrimecost*Meta!O60</f>
        <v>59.95</v>
      </c>
      <c r="N63" s="5">
        <f>L63-Grade8!L63</f>
        <v>0</v>
      </c>
      <c r="O63" s="5">
        <f>Grade8!M63-M63</f>
        <v>1.2650000000000006</v>
      </c>
      <c r="S63" s="22">
        <f t="shared" si="20"/>
        <v>1.2397000000000005</v>
      </c>
      <c r="T63" s="22">
        <f t="shared" si="21"/>
        <v>1.7487294739231956</v>
      </c>
    </row>
    <row r="64" spans="1:20" x14ac:dyDescent="0.2">
      <c r="A64" s="5">
        <v>73</v>
      </c>
      <c r="H64" s="21"/>
      <c r="M64" s="5">
        <f>scrimecost*Meta!O61</f>
        <v>59.95</v>
      </c>
      <c r="N64" s="5">
        <f>L64-Grade8!L64</f>
        <v>0</v>
      </c>
      <c r="O64" s="5">
        <f>Grade8!M64-M64</f>
        <v>1.2650000000000006</v>
      </c>
      <c r="S64" s="22">
        <f t="shared" si="20"/>
        <v>1.2397000000000005</v>
      </c>
      <c r="T64" s="22">
        <f t="shared" si="21"/>
        <v>1.7591326767730482</v>
      </c>
    </row>
    <row r="65" spans="1:20" x14ac:dyDescent="0.2">
      <c r="A65" s="5">
        <v>74</v>
      </c>
      <c r="H65" s="21"/>
      <c r="M65" s="5">
        <f>scrimecost*Meta!O62</f>
        <v>59.95</v>
      </c>
      <c r="N65" s="5">
        <f>L65-Grade8!L65</f>
        <v>0</v>
      </c>
      <c r="O65" s="5">
        <f>Grade8!M65-M65</f>
        <v>1.2650000000000006</v>
      </c>
      <c r="S65" s="22">
        <f t="shared" si="20"/>
        <v>1.2397000000000005</v>
      </c>
      <c r="T65" s="22">
        <f t="shared" si="21"/>
        <v>1.7695977683433397</v>
      </c>
    </row>
    <row r="66" spans="1:20" x14ac:dyDescent="0.2">
      <c r="A66" s="5">
        <v>75</v>
      </c>
      <c r="H66" s="21"/>
      <c r="M66" s="5">
        <f>scrimecost*Meta!O63</f>
        <v>59.95</v>
      </c>
      <c r="N66" s="5">
        <f>L66-Grade8!L66</f>
        <v>0</v>
      </c>
      <c r="O66" s="5">
        <f>Grade8!M66-M66</f>
        <v>1.2650000000000006</v>
      </c>
      <c r="S66" s="22">
        <f t="shared" si="20"/>
        <v>1.2397000000000005</v>
      </c>
      <c r="T66" s="22">
        <f t="shared" si="21"/>
        <v>1.7801251168104653</v>
      </c>
    </row>
    <row r="67" spans="1:20" x14ac:dyDescent="0.2">
      <c r="A67" s="5">
        <v>76</v>
      </c>
      <c r="H67" s="21"/>
      <c r="M67" s="5">
        <f>scrimecost*Meta!O64</f>
        <v>59.95</v>
      </c>
      <c r="N67" s="5">
        <f>L67-Grade8!L67</f>
        <v>0</v>
      </c>
      <c r="O67" s="5">
        <f>Grade8!M67-M67</f>
        <v>1.2650000000000006</v>
      </c>
      <c r="S67" s="22">
        <f t="shared" si="20"/>
        <v>1.2397000000000005</v>
      </c>
      <c r="T67" s="22">
        <f t="shared" si="21"/>
        <v>1.7907150925411019</v>
      </c>
    </row>
    <row r="68" spans="1:20" x14ac:dyDescent="0.2">
      <c r="A68" s="5">
        <v>77</v>
      </c>
      <c r="H68" s="21"/>
      <c r="M68" s="5">
        <f>scrimecost*Meta!O65</f>
        <v>59.95</v>
      </c>
      <c r="N68" s="5">
        <f>L68-Grade8!L68</f>
        <v>0</v>
      </c>
      <c r="O68" s="5">
        <f>Grade8!M68-M68</f>
        <v>1.2650000000000006</v>
      </c>
      <c r="S68" s="22">
        <f t="shared" si="20"/>
        <v>1.2397000000000005</v>
      </c>
      <c r="T68" s="22">
        <f t="shared" si="21"/>
        <v>1.8013680681052433</v>
      </c>
    </row>
    <row r="69" spans="1:20" x14ac:dyDescent="0.2">
      <c r="A69" s="5">
        <v>78</v>
      </c>
      <c r="H69" s="21"/>
      <c r="M69" s="5">
        <f>scrimecost*Meta!O66</f>
        <v>59.95</v>
      </c>
      <c r="N69" s="5">
        <f>L69-Grade8!L69</f>
        <v>0</v>
      </c>
      <c r="O69" s="5">
        <f>Grade8!M69-M69</f>
        <v>1.2650000000000006</v>
      </c>
      <c r="S69" s="22">
        <f>IF(A69&lt;startage,1,0)*(N69-Q69-R69)+IF(A69&gt;=startage,1,0)*completionprob*(N69*spart+O69+P69)</f>
        <v>1.2397000000000005</v>
      </c>
      <c r="T69" s="22">
        <f>S69/sreturn^(A69-startage+1)</f>
        <v>1.8120844182893023</v>
      </c>
    </row>
    <row r="70" spans="1:20" x14ac:dyDescent="0.2">
      <c r="A70" s="5">
        <v>79</v>
      </c>
      <c r="H70" s="21"/>
      <c r="M70" s="5"/>
      <c r="S70" s="22">
        <f>SUM(T5:T69)</f>
        <v>1.2735634769001081E-10</v>
      </c>
    </row>
    <row r="71" spans="1:20" x14ac:dyDescent="0.2">
      <c r="A71" s="5">
        <v>80</v>
      </c>
      <c r="H71" s="21"/>
      <c r="M71" s="5"/>
    </row>
    <row r="72" spans="1:20" x14ac:dyDescent="0.2">
      <c r="A72" s="5">
        <v>81</v>
      </c>
      <c r="H72" s="21"/>
      <c r="M72" s="5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S6" sqref="S6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Meta!A4+6</f>
        <v>16</v>
      </c>
      <c r="C2" s="7">
        <f>Meta!B4</f>
        <v>40914</v>
      </c>
      <c r="D2" s="7">
        <f>Meta!C4</f>
        <v>18415</v>
      </c>
      <c r="E2" s="1">
        <f>Meta!D4</f>
        <v>5.7000000000000002E-2</v>
      </c>
      <c r="F2" s="1">
        <f>Meta!F4</f>
        <v>0.63400000000000001</v>
      </c>
      <c r="G2" s="1">
        <f>Meta!I4</f>
        <v>1.9496869757628374</v>
      </c>
      <c r="H2" s="1">
        <f>Meta!E4</f>
        <v>0.98</v>
      </c>
      <c r="I2" s="13"/>
      <c r="J2" s="1">
        <f>Meta!X3</f>
        <v>0.73599999999999999</v>
      </c>
      <c r="K2" s="1">
        <f>Meta!D3</f>
        <v>0.06</v>
      </c>
      <c r="L2" s="29"/>
      <c r="N2" s="22">
        <f>Meta!T4</f>
        <v>61597</v>
      </c>
      <c r="O2" s="22">
        <f>Meta!U4</f>
        <v>26801</v>
      </c>
      <c r="P2" s="1">
        <f>Meta!V4</f>
        <v>3.6999999999999998E-2</v>
      </c>
      <c r="Q2" s="1">
        <f>Meta!X4</f>
        <v>0.745</v>
      </c>
      <c r="R2" s="22">
        <f>Meta!W4</f>
        <v>1068</v>
      </c>
      <c r="T2" s="12">
        <f>IRR(S5:S69)+1</f>
        <v>0.99407853458996942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B6" s="1">
        <v>1</v>
      </c>
      <c r="C6" s="5">
        <f>0.1*Grade9!C6</f>
        <v>1984.5343591518235</v>
      </c>
      <c r="D6" s="5">
        <f t="shared" ref="D6:D36" si="0">IF(A6&lt;startage,1,0)*(C6*(1-initialunempprob))+IF(A6=startage,1,0)*(C6*(1-unempprob))+IF(A6&gt;startage,1,0)*(C6*(1-unempprob)+unempprob*300*52)</f>
        <v>1865.462297602714</v>
      </c>
      <c r="E6" s="5">
        <f t="shared" ref="E6:E56" si="1">IF(D6-9500&gt;0,1,0)*(D6-9500)</f>
        <v>0</v>
      </c>
      <c r="F6" s="5">
        <f t="shared" ref="F6:F56" si="2">IF(E6&lt;=8500,1,0)*(0.1*E6+0.1*E6+0.0765*D6)+IF(AND(E6&gt;8500,E6&lt;=34500),1,0)*(850+0.15*(E6-8500)+0.1*E6+0.0765*D6)+IF(AND(E6&gt;34500,E6&lt;=83600),1,0)*(4750+0.25*(E6-34500)+0.1*E6+0.0765*D6)+IF(AND(E6&gt;83600,E6&lt;=174400,D6&lt;=106800),1,0)*(17025+0.28*(E6-83600)+0.1*E6+0.0765*D6)+IF(AND(E6&gt;83600,E6&lt;=174400,D6&gt;106800),1,0)*(17025+0.28*(E6-83600)+0.1*E6+8170.2+0.0145*(D6-106800))+IF(AND(E6&gt;174400,E6&lt;=379150),1,0)*(42449+0.33*(E6-174400)+0.1*E6+8170.2+0.0145*(D6-106800))+IF(E6&gt;379150,1,0)*(110016.5+0.35*(E6-379150)+0.1*E6+8170.2+0.0145*(D6-106800))</f>
        <v>142.70786576660763</v>
      </c>
      <c r="G6" s="5">
        <f t="shared" ref="G6:G56" si="3">D6-F6</f>
        <v>1722.7544318361063</v>
      </c>
      <c r="H6" s="22">
        <f>0.1*Grade9!H6</f>
        <v>893.19459137807758</v>
      </c>
      <c r="I6" s="5">
        <f t="shared" ref="I6:I36" si="4">G6+IF(A6&lt;startage,1,0)*(H6*(1-initialunempprob))+IF(A6&gt;=startage,1,0)*(H6*(1-unempprob))</f>
        <v>2562.3573477314994</v>
      </c>
      <c r="J6" s="26">
        <f t="shared" ref="J6:J37" si="5">(F6-(IF(A6&gt;startage,1,0)*(unempprob*300*52)))/(IF(A6&lt;startage,1,0)*((C6+H6)*(1-initialunempprob))+IF(A6&gt;=startage,1,0)*((C6+H6)*(1-unempprob)))</f>
        <v>5.2755794963649773E-2</v>
      </c>
      <c r="L6" s="22">
        <f>0.1*Grade9!L6</f>
        <v>4217.9973764935776</v>
      </c>
      <c r="M6" s="5">
        <f>scrimecost*Meta!O3</f>
        <v>1982.2080000000001</v>
      </c>
      <c r="N6" s="5">
        <f>L6-Grade9!L6</f>
        <v>-37961.976388442192</v>
      </c>
      <c r="O6" s="5"/>
      <c r="P6" s="22"/>
      <c r="Q6" s="22">
        <f>0.05*feel*Grade9!G6</f>
        <v>215.09444004095991</v>
      </c>
      <c r="R6" s="22">
        <f>hstuition</f>
        <v>11298</v>
      </c>
      <c r="S6" s="22">
        <f t="shared" ref="S6:S37" si="6">IF(A6&lt;startage,1,0)*(N6-Q6-R6)+IF(A6&gt;=startage,1,0)*completionprob*(N6*spart+O6+P6)</f>
        <v>-49475.070828483149</v>
      </c>
      <c r="T6" s="22">
        <f t="shared" ref="T6:T37" si="7">S6/sreturn^(A6-startage+1)</f>
        <v>-49475.070828483149</v>
      </c>
    </row>
    <row r="7" spans="1:20" x14ac:dyDescent="0.2">
      <c r="A7" s="5">
        <v>16</v>
      </c>
      <c r="B7" s="1">
        <f t="shared" ref="B7:B36" si="8">(1+experiencepremium)^(A7-startage)</f>
        <v>1</v>
      </c>
      <c r="C7" s="5">
        <f t="shared" ref="C7:C36" si="9">pretaxincome*B7/expnorm</f>
        <v>20984.907068988305</v>
      </c>
      <c r="D7" s="5">
        <f t="shared" si="0"/>
        <v>19788.76736605597</v>
      </c>
      <c r="E7" s="5">
        <f t="shared" si="1"/>
        <v>10288.76736605597</v>
      </c>
      <c r="F7" s="5">
        <f t="shared" si="2"/>
        <v>3661.0325450172741</v>
      </c>
      <c r="G7" s="5">
        <f t="shared" si="3"/>
        <v>16127.734821038695</v>
      </c>
      <c r="H7" s="22">
        <f t="shared" ref="H7:H36" si="10">benefits*B7/expnorm</f>
        <v>9445.1059215774476</v>
      </c>
      <c r="I7" s="5">
        <f t="shared" si="4"/>
        <v>25034.469705086231</v>
      </c>
      <c r="J7" s="26">
        <f t="shared" si="5"/>
        <v>0.12758210374254972</v>
      </c>
      <c r="L7" s="22">
        <f t="shared" ref="L7:L36" si="11">(sincome+sbenefits)*(1-sunemp)*B7/expnorm</f>
        <v>43662.021164547688</v>
      </c>
      <c r="M7" s="5">
        <f>scrimecost*Meta!O4</f>
        <v>2507.6639999999998</v>
      </c>
      <c r="N7" s="5">
        <f>L7-Grade9!L7</f>
        <v>427.54805548853619</v>
      </c>
      <c r="O7" s="5">
        <f>Grade9!M7-M7</f>
        <v>51.655999999999949</v>
      </c>
      <c r="P7" s="22">
        <f t="shared" ref="P7:P38" si="12">(spart-initialspart)*(L7*J7+nptrans)</f>
        <v>109.12043262442261</v>
      </c>
      <c r="Q7" s="22"/>
      <c r="R7" s="22"/>
      <c r="S7" s="22">
        <f t="shared" si="6"/>
        <v>469.71373928411441</v>
      </c>
      <c r="T7" s="22">
        <f t="shared" si="7"/>
        <v>472.51170097728613</v>
      </c>
    </row>
    <row r="8" spans="1:20" x14ac:dyDescent="0.2">
      <c r="A8" s="5">
        <v>17</v>
      </c>
      <c r="B8" s="1">
        <f t="shared" si="8"/>
        <v>1.0249999999999999</v>
      </c>
      <c r="C8" s="5">
        <f t="shared" si="9"/>
        <v>21509.529745713015</v>
      </c>
      <c r="D8" s="5">
        <f t="shared" si="0"/>
        <v>21172.686550207371</v>
      </c>
      <c r="E8" s="5">
        <f t="shared" si="1"/>
        <v>11672.686550207371</v>
      </c>
      <c r="F8" s="5">
        <f t="shared" si="2"/>
        <v>4112.8821586427066</v>
      </c>
      <c r="G8" s="5">
        <f t="shared" si="3"/>
        <v>17059.804391564663</v>
      </c>
      <c r="H8" s="22">
        <f t="shared" si="10"/>
        <v>9681.233569616883</v>
      </c>
      <c r="I8" s="5">
        <f t="shared" si="4"/>
        <v>26189.207647713381</v>
      </c>
      <c r="J8" s="26">
        <f t="shared" si="5"/>
        <v>0.10960100078116339</v>
      </c>
      <c r="L8" s="22">
        <f t="shared" si="11"/>
        <v>44753.571693661383</v>
      </c>
      <c r="M8" s="5">
        <f>scrimecost*Meta!O5</f>
        <v>2896.4160000000002</v>
      </c>
      <c r="N8" s="5">
        <f>L8-Grade9!L8</f>
        <v>438.23675687573996</v>
      </c>
      <c r="O8" s="5">
        <f>Grade9!M8-M8</f>
        <v>59.664000000000215</v>
      </c>
      <c r="P8" s="22">
        <f t="shared" si="12"/>
        <v>103.13132621541159</v>
      </c>
      <c r="Q8" s="22"/>
      <c r="R8" s="22"/>
      <c r="S8" s="22">
        <f t="shared" si="6"/>
        <v>479.49607588608131</v>
      </c>
      <c r="T8" s="22">
        <f t="shared" si="7"/>
        <v>485.2255547341158</v>
      </c>
    </row>
    <row r="9" spans="1:20" x14ac:dyDescent="0.2">
      <c r="A9" s="5">
        <v>18</v>
      </c>
      <c r="B9" s="1">
        <f t="shared" si="8"/>
        <v>1.0506249999999999</v>
      </c>
      <c r="C9" s="5">
        <f t="shared" si="9"/>
        <v>22047.267989355838</v>
      </c>
      <c r="D9" s="5">
        <f t="shared" si="0"/>
        <v>21679.773713962553</v>
      </c>
      <c r="E9" s="5">
        <f t="shared" si="1"/>
        <v>12179.773713962553</v>
      </c>
      <c r="F9" s="5">
        <f t="shared" si="2"/>
        <v>4278.4461176087734</v>
      </c>
      <c r="G9" s="5">
        <f t="shared" si="3"/>
        <v>17401.327596353782</v>
      </c>
      <c r="H9" s="22">
        <f t="shared" si="10"/>
        <v>9923.2644088573034</v>
      </c>
      <c r="I9" s="5">
        <f t="shared" si="4"/>
        <v>26758.96593390622</v>
      </c>
      <c r="J9" s="26">
        <f t="shared" si="5"/>
        <v>0.1124194732283787</v>
      </c>
      <c r="L9" s="22">
        <f t="shared" si="11"/>
        <v>45872.41098600292</v>
      </c>
      <c r="M9" s="5">
        <f>scrimecost*Meta!O6</f>
        <v>3520.1279999999997</v>
      </c>
      <c r="N9" s="5">
        <f>L9-Grade9!L9</f>
        <v>449.1926757976471</v>
      </c>
      <c r="O9" s="5">
        <f>Grade9!M9-M9</f>
        <v>72.512000000000171</v>
      </c>
      <c r="P9" s="22">
        <f t="shared" si="12"/>
        <v>105.39857050885935</v>
      </c>
      <c r="Q9" s="22"/>
      <c r="R9" s="22"/>
      <c r="S9" s="22">
        <f t="shared" si="6"/>
        <v>502.30793169854451</v>
      </c>
      <c r="T9" s="22">
        <f t="shared" si="7"/>
        <v>511.33785790993011</v>
      </c>
    </row>
    <row r="10" spans="1:20" x14ac:dyDescent="0.2">
      <c r="A10" s="5">
        <v>19</v>
      </c>
      <c r="B10" s="1">
        <f t="shared" si="8"/>
        <v>1.0768906249999999</v>
      </c>
      <c r="C10" s="5">
        <f t="shared" si="9"/>
        <v>22598.449689089732</v>
      </c>
      <c r="D10" s="5">
        <f t="shared" si="0"/>
        <v>22199.538056811616</v>
      </c>
      <c r="E10" s="5">
        <f t="shared" si="1"/>
        <v>12699.538056811616</v>
      </c>
      <c r="F10" s="5">
        <f t="shared" si="2"/>
        <v>4448.1491755489924</v>
      </c>
      <c r="G10" s="5">
        <f t="shared" si="3"/>
        <v>17751.388881262625</v>
      </c>
      <c r="H10" s="22">
        <f t="shared" si="10"/>
        <v>10171.346019078737</v>
      </c>
      <c r="I10" s="5">
        <f t="shared" si="4"/>
        <v>27342.968177253875</v>
      </c>
      <c r="J10" s="26">
        <f t="shared" si="5"/>
        <v>0.11516920244517412</v>
      </c>
      <c r="L10" s="22">
        <f t="shared" si="11"/>
        <v>47019.221260652979</v>
      </c>
      <c r="M10" s="5">
        <f>scrimecost*Meta!O7</f>
        <v>3762.5640000000003</v>
      </c>
      <c r="N10" s="5">
        <f>L10-Grade9!L10</f>
        <v>460.42249269257445</v>
      </c>
      <c r="O10" s="5">
        <f>Grade9!M10-M10</f>
        <v>77.505999999999858</v>
      </c>
      <c r="P10" s="22">
        <f t="shared" si="12"/>
        <v>107.72249590964331</v>
      </c>
      <c r="Q10" s="22"/>
      <c r="R10" s="22"/>
      <c r="S10" s="22">
        <f t="shared" si="6"/>
        <v>517.67838790629889</v>
      </c>
      <c r="T10" s="22">
        <f t="shared" si="7"/>
        <v>530.12373623370763</v>
      </c>
    </row>
    <row r="11" spans="1:20" x14ac:dyDescent="0.2">
      <c r="A11" s="5">
        <v>20</v>
      </c>
      <c r="B11" s="1">
        <f t="shared" si="8"/>
        <v>1.1038128906249998</v>
      </c>
      <c r="C11" s="5">
        <f t="shared" si="9"/>
        <v>23163.410931316972</v>
      </c>
      <c r="D11" s="5">
        <f t="shared" si="0"/>
        <v>22732.296508231902</v>
      </c>
      <c r="E11" s="5">
        <f t="shared" si="1"/>
        <v>13232.296508231902</v>
      </c>
      <c r="F11" s="5">
        <f t="shared" si="2"/>
        <v>4622.0948099377165</v>
      </c>
      <c r="G11" s="5">
        <f t="shared" si="3"/>
        <v>18110.201698294186</v>
      </c>
      <c r="H11" s="22">
        <f t="shared" si="10"/>
        <v>10425.629669555705</v>
      </c>
      <c r="I11" s="5">
        <f t="shared" si="4"/>
        <v>27941.570476685214</v>
      </c>
      <c r="J11" s="26">
        <f t="shared" si="5"/>
        <v>0.11785186509570625</v>
      </c>
      <c r="L11" s="22">
        <f t="shared" si="11"/>
        <v>48194.701792169304</v>
      </c>
      <c r="M11" s="5">
        <f>scrimecost*Meta!O8</f>
        <v>3603.4320000000002</v>
      </c>
      <c r="N11" s="5">
        <f>L11-Grade9!L11</f>
        <v>471.93305500989663</v>
      </c>
      <c r="O11" s="5">
        <f>Grade9!M11-M11</f>
        <v>74.228000000000065</v>
      </c>
      <c r="P11" s="22">
        <f t="shared" si="12"/>
        <v>110.10451944544685</v>
      </c>
      <c r="Q11" s="22"/>
      <c r="R11" s="22"/>
      <c r="S11" s="22">
        <f t="shared" si="6"/>
        <v>525.20419251926353</v>
      </c>
      <c r="T11" s="22">
        <f t="shared" si="7"/>
        <v>541.0341816134611</v>
      </c>
    </row>
    <row r="12" spans="1:20" x14ac:dyDescent="0.2">
      <c r="A12" s="5">
        <v>21</v>
      </c>
      <c r="B12" s="1">
        <f t="shared" si="8"/>
        <v>1.1314082128906247</v>
      </c>
      <c r="C12" s="5">
        <f t="shared" si="9"/>
        <v>23742.496204599898</v>
      </c>
      <c r="D12" s="5">
        <f t="shared" si="0"/>
        <v>23278.373920937702</v>
      </c>
      <c r="E12" s="5">
        <f t="shared" si="1"/>
        <v>13778.373920937702</v>
      </c>
      <c r="F12" s="5">
        <f t="shared" si="2"/>
        <v>4800.3890851861597</v>
      </c>
      <c r="G12" s="5">
        <f t="shared" si="3"/>
        <v>18477.984835751544</v>
      </c>
      <c r="H12" s="22">
        <f t="shared" si="10"/>
        <v>10686.270411294596</v>
      </c>
      <c r="I12" s="5">
        <f t="shared" si="4"/>
        <v>28555.137833602348</v>
      </c>
      <c r="J12" s="26">
        <f t="shared" si="5"/>
        <v>0.12046909694988396</v>
      </c>
      <c r="L12" s="22">
        <f t="shared" si="11"/>
        <v>49399.569336973531</v>
      </c>
      <c r="M12" s="5">
        <f>scrimecost*Meta!O9</f>
        <v>3272.3519999999999</v>
      </c>
      <c r="N12" s="5">
        <f>L12-Grade9!L12</f>
        <v>483.73138138514332</v>
      </c>
      <c r="O12" s="5">
        <f>Grade9!M12-M12</f>
        <v>67.408000000000357</v>
      </c>
      <c r="P12" s="22">
        <f t="shared" si="12"/>
        <v>112.54609356964551</v>
      </c>
      <c r="Q12" s="22"/>
      <c r="R12" s="22"/>
      <c r="S12" s="22">
        <f t="shared" si="6"/>
        <v>529.52729324754603</v>
      </c>
      <c r="T12" s="22">
        <f t="shared" si="7"/>
        <v>548.73690998464394</v>
      </c>
    </row>
    <row r="13" spans="1:20" x14ac:dyDescent="0.2">
      <c r="A13" s="5">
        <v>22</v>
      </c>
      <c r="B13" s="1">
        <f t="shared" si="8"/>
        <v>1.1596934182128902</v>
      </c>
      <c r="C13" s="5">
        <f t="shared" si="9"/>
        <v>24336.058609714892</v>
      </c>
      <c r="D13" s="5">
        <f t="shared" si="0"/>
        <v>23838.103268961142</v>
      </c>
      <c r="E13" s="5">
        <f t="shared" si="1"/>
        <v>14338.103268961142</v>
      </c>
      <c r="F13" s="5">
        <f t="shared" si="2"/>
        <v>4983.1407173158132</v>
      </c>
      <c r="G13" s="5">
        <f t="shared" si="3"/>
        <v>18854.962551645331</v>
      </c>
      <c r="H13" s="22">
        <f t="shared" si="10"/>
        <v>10953.427171576959</v>
      </c>
      <c r="I13" s="5">
        <f t="shared" si="4"/>
        <v>29184.044374442405</v>
      </c>
      <c r="J13" s="26">
        <f t="shared" si="5"/>
        <v>0.12302249388078902</v>
      </c>
      <c r="L13" s="22">
        <f t="shared" si="11"/>
        <v>50634.558570397865</v>
      </c>
      <c r="M13" s="5">
        <f>scrimecost*Meta!O10</f>
        <v>2998.944</v>
      </c>
      <c r="N13" s="5">
        <f>L13-Grade9!L13</f>
        <v>495.82466591976117</v>
      </c>
      <c r="O13" s="5">
        <f>Grade9!M13-M13</f>
        <v>61.77599999999984</v>
      </c>
      <c r="P13" s="22">
        <f t="shared" si="12"/>
        <v>115.04870704694913</v>
      </c>
      <c r="Q13" s="22"/>
      <c r="R13" s="22"/>
      <c r="S13" s="22">
        <f t="shared" si="6"/>
        <v>535.28980149402764</v>
      </c>
      <c r="T13" s="22">
        <f t="shared" si="7"/>
        <v>558.01271725798256</v>
      </c>
    </row>
    <row r="14" spans="1:20" x14ac:dyDescent="0.2">
      <c r="A14" s="5">
        <v>23</v>
      </c>
      <c r="B14" s="1">
        <f t="shared" si="8"/>
        <v>1.1886857536682125</v>
      </c>
      <c r="C14" s="5">
        <f t="shared" si="9"/>
        <v>24944.460074957766</v>
      </c>
      <c r="D14" s="5">
        <f t="shared" si="0"/>
        <v>24411.825850685174</v>
      </c>
      <c r="E14" s="5">
        <f t="shared" si="1"/>
        <v>14911.825850685174</v>
      </c>
      <c r="F14" s="5">
        <f t="shared" si="2"/>
        <v>5170.4611402487099</v>
      </c>
      <c r="G14" s="5">
        <f t="shared" si="3"/>
        <v>19241.364710436465</v>
      </c>
      <c r="H14" s="22">
        <f t="shared" si="10"/>
        <v>11227.262850866384</v>
      </c>
      <c r="I14" s="5">
        <f t="shared" si="4"/>
        <v>29828.673578803464</v>
      </c>
      <c r="J14" s="26">
        <f t="shared" si="5"/>
        <v>0.1255136128377696</v>
      </c>
      <c r="L14" s="22">
        <f t="shared" si="11"/>
        <v>51900.422534657817</v>
      </c>
      <c r="M14" s="5">
        <f>scrimecost*Meta!O11</f>
        <v>2802.4320000000002</v>
      </c>
      <c r="N14" s="5">
        <f>L14-Grade9!L14</f>
        <v>508.22028256776684</v>
      </c>
      <c r="O14" s="5">
        <f>Grade9!M14-M14</f>
        <v>57.728000000000065</v>
      </c>
      <c r="P14" s="22">
        <f t="shared" si="12"/>
        <v>117.61388586118535</v>
      </c>
      <c r="Q14" s="22"/>
      <c r="R14" s="22"/>
      <c r="S14" s="22">
        <f t="shared" si="6"/>
        <v>542.88667644668828</v>
      </c>
      <c r="T14" s="22">
        <f t="shared" si="7"/>
        <v>569.30318674600562</v>
      </c>
    </row>
    <row r="15" spans="1:20" x14ac:dyDescent="0.2">
      <c r="A15" s="5">
        <v>24</v>
      </c>
      <c r="B15" s="1">
        <f t="shared" si="8"/>
        <v>1.2184028975099177</v>
      </c>
      <c r="C15" s="5">
        <f t="shared" si="9"/>
        <v>25568.071576831706</v>
      </c>
      <c r="D15" s="5">
        <f t="shared" si="0"/>
        <v>24999.891496952299</v>
      </c>
      <c r="E15" s="5">
        <f t="shared" si="1"/>
        <v>15499.891496952299</v>
      </c>
      <c r="F15" s="5">
        <f t="shared" si="2"/>
        <v>5362.4645737549254</v>
      </c>
      <c r="G15" s="5">
        <f t="shared" si="3"/>
        <v>19637.426923197374</v>
      </c>
      <c r="H15" s="22">
        <f t="shared" si="10"/>
        <v>11507.944422138042</v>
      </c>
      <c r="I15" s="5">
        <f t="shared" si="4"/>
        <v>30489.418513273547</v>
      </c>
      <c r="J15" s="26">
        <f t="shared" si="5"/>
        <v>0.12794397279579939</v>
      </c>
      <c r="L15" s="22">
        <f t="shared" si="11"/>
        <v>53197.933098024252</v>
      </c>
      <c r="M15" s="5">
        <f>scrimecost*Meta!O12</f>
        <v>2677.4760000000001</v>
      </c>
      <c r="N15" s="5">
        <f>L15-Grade9!L15</f>
        <v>520.9257896319541</v>
      </c>
      <c r="O15" s="5">
        <f>Grade9!M15-M15</f>
        <v>55.153999999999996</v>
      </c>
      <c r="P15" s="22">
        <f t="shared" si="12"/>
        <v>120.24319414577744</v>
      </c>
      <c r="Q15" s="22"/>
      <c r="R15" s="22"/>
      <c r="S15" s="22">
        <f t="shared" si="6"/>
        <v>552.21716927315163</v>
      </c>
      <c r="T15" s="22">
        <f t="shared" si="7"/>
        <v>582.53716894155775</v>
      </c>
    </row>
    <row r="16" spans="1:20" x14ac:dyDescent="0.2">
      <c r="A16" s="5">
        <v>25</v>
      </c>
      <c r="B16" s="1">
        <f t="shared" si="8"/>
        <v>1.2488629699476654</v>
      </c>
      <c r="C16" s="5">
        <f t="shared" si="9"/>
        <v>26207.273366252495</v>
      </c>
      <c r="D16" s="5">
        <f t="shared" si="0"/>
        <v>25602.658784376101</v>
      </c>
      <c r="E16" s="5">
        <f t="shared" si="1"/>
        <v>16102.658784376101</v>
      </c>
      <c r="F16" s="5">
        <f t="shared" si="2"/>
        <v>5559.2680930987972</v>
      </c>
      <c r="G16" s="5">
        <f t="shared" si="3"/>
        <v>20043.390691277302</v>
      </c>
      <c r="H16" s="22">
        <f t="shared" si="10"/>
        <v>11795.643032691491</v>
      </c>
      <c r="I16" s="5">
        <f t="shared" si="4"/>
        <v>31166.682071105377</v>
      </c>
      <c r="J16" s="26">
        <f t="shared" si="5"/>
        <v>0.13031505568168211</v>
      </c>
      <c r="L16" s="22">
        <f t="shared" si="11"/>
        <v>54527.881425474858</v>
      </c>
      <c r="M16" s="5">
        <f>scrimecost*Meta!O13</f>
        <v>2248.14</v>
      </c>
      <c r="N16" s="5">
        <f>L16-Grade9!L16</f>
        <v>533.94893437275459</v>
      </c>
      <c r="O16" s="5">
        <f>Grade9!M16-M16</f>
        <v>46.309999999999945</v>
      </c>
      <c r="P16" s="22">
        <f t="shared" si="12"/>
        <v>122.93823513748437</v>
      </c>
      <c r="Q16" s="22"/>
      <c r="R16" s="22"/>
      <c r="S16" s="22">
        <f t="shared" si="6"/>
        <v>555.69938742028273</v>
      </c>
      <c r="T16" s="22">
        <f t="shared" si="7"/>
        <v>589.70248439337195</v>
      </c>
    </row>
    <row r="17" spans="1:20" x14ac:dyDescent="0.2">
      <c r="A17" s="5">
        <v>26</v>
      </c>
      <c r="B17" s="1">
        <f t="shared" si="8"/>
        <v>1.2800845441963571</v>
      </c>
      <c r="C17" s="5">
        <f t="shared" si="9"/>
        <v>26862.455200408807</v>
      </c>
      <c r="D17" s="5">
        <f t="shared" si="0"/>
        <v>26220.495253985504</v>
      </c>
      <c r="E17" s="5">
        <f t="shared" si="1"/>
        <v>16720.495253985504</v>
      </c>
      <c r="F17" s="5">
        <f t="shared" si="2"/>
        <v>5760.991700426267</v>
      </c>
      <c r="G17" s="5">
        <f t="shared" si="3"/>
        <v>20459.503553559236</v>
      </c>
      <c r="H17" s="22">
        <f t="shared" si="10"/>
        <v>12090.53410850878</v>
      </c>
      <c r="I17" s="5">
        <f t="shared" si="4"/>
        <v>31860.877217883015</v>
      </c>
      <c r="J17" s="26">
        <f t="shared" si="5"/>
        <v>0.13262830727766525</v>
      </c>
      <c r="L17" s="22">
        <f t="shared" si="11"/>
        <v>55891.078461111727</v>
      </c>
      <c r="M17" s="5">
        <f>scrimecost*Meta!O14</f>
        <v>2248.14</v>
      </c>
      <c r="N17" s="5">
        <f>L17-Grade9!L17</f>
        <v>547.297657732066</v>
      </c>
      <c r="O17" s="5">
        <f>Grade9!M17-M17</f>
        <v>46.309999999999945</v>
      </c>
      <c r="P17" s="22">
        <f t="shared" si="12"/>
        <v>125.70065215398392</v>
      </c>
      <c r="Q17" s="22"/>
      <c r="R17" s="22"/>
      <c r="S17" s="22">
        <f t="shared" si="6"/>
        <v>568.15245902108552</v>
      </c>
      <c r="T17" s="22">
        <f t="shared" si="7"/>
        <v>606.50897805101829</v>
      </c>
    </row>
    <row r="18" spans="1:20" x14ac:dyDescent="0.2">
      <c r="A18" s="5">
        <v>27</v>
      </c>
      <c r="B18" s="1">
        <f t="shared" si="8"/>
        <v>1.312086657801266</v>
      </c>
      <c r="C18" s="5">
        <f t="shared" si="9"/>
        <v>27534.016580419026</v>
      </c>
      <c r="D18" s="5">
        <f t="shared" si="0"/>
        <v>26853.77763533514</v>
      </c>
      <c r="E18" s="5">
        <f t="shared" si="1"/>
        <v>17353.77763533514</v>
      </c>
      <c r="F18" s="5">
        <f t="shared" si="2"/>
        <v>5967.7583979369228</v>
      </c>
      <c r="G18" s="5">
        <f t="shared" si="3"/>
        <v>20886.019237398217</v>
      </c>
      <c r="H18" s="22">
        <f t="shared" si="10"/>
        <v>12392.797461221498</v>
      </c>
      <c r="I18" s="5">
        <f t="shared" si="4"/>
        <v>32572.42724333009</v>
      </c>
      <c r="J18" s="26">
        <f t="shared" si="5"/>
        <v>0.13488513810301467</v>
      </c>
      <c r="L18" s="22">
        <f t="shared" si="11"/>
        <v>57288.355422639521</v>
      </c>
      <c r="M18" s="5">
        <f>scrimecost*Meta!O15</f>
        <v>2248.14</v>
      </c>
      <c r="N18" s="5">
        <f>L18-Grade9!L18</f>
        <v>560.98009917538002</v>
      </c>
      <c r="O18" s="5">
        <f>Grade9!M18-M18</f>
        <v>46.309999999999945</v>
      </c>
      <c r="P18" s="22">
        <f t="shared" si="12"/>
        <v>128.53212959589601</v>
      </c>
      <c r="Q18" s="22"/>
      <c r="R18" s="22"/>
      <c r="S18" s="22">
        <f t="shared" si="6"/>
        <v>580.91685741192305</v>
      </c>
      <c r="T18" s="22">
        <f t="shared" si="7"/>
        <v>623.82909566741114</v>
      </c>
    </row>
    <row r="19" spans="1:20" x14ac:dyDescent="0.2">
      <c r="A19" s="5">
        <v>28</v>
      </c>
      <c r="B19" s="1">
        <f t="shared" si="8"/>
        <v>1.3448888242462975</v>
      </c>
      <c r="C19" s="5">
        <f t="shared" si="9"/>
        <v>28222.3669949295</v>
      </c>
      <c r="D19" s="5">
        <f t="shared" si="0"/>
        <v>27502.892076218519</v>
      </c>
      <c r="E19" s="5">
        <f t="shared" si="1"/>
        <v>18002.892076218519</v>
      </c>
      <c r="F19" s="5">
        <f t="shared" si="2"/>
        <v>6179.6942628853467</v>
      </c>
      <c r="G19" s="5">
        <f t="shared" si="3"/>
        <v>21323.197813333172</v>
      </c>
      <c r="H19" s="22">
        <f t="shared" si="10"/>
        <v>12702.617397752036</v>
      </c>
      <c r="I19" s="5">
        <f t="shared" si="4"/>
        <v>33301.766019413342</v>
      </c>
      <c r="J19" s="26">
        <f t="shared" si="5"/>
        <v>0.13708692427408728</v>
      </c>
      <c r="L19" s="22">
        <f t="shared" si="11"/>
        <v>58720.564308205503</v>
      </c>
      <c r="M19" s="5">
        <f>scrimecost*Meta!O16</f>
        <v>2248.14</v>
      </c>
      <c r="N19" s="5">
        <f>L19-Grade9!L19</f>
        <v>575.00460165476397</v>
      </c>
      <c r="O19" s="5">
        <f>Grade9!M19-M19</f>
        <v>46.309999999999945</v>
      </c>
      <c r="P19" s="22">
        <f t="shared" si="12"/>
        <v>131.43439397385586</v>
      </c>
      <c r="Q19" s="22"/>
      <c r="R19" s="22"/>
      <c r="S19" s="22">
        <f t="shared" si="6"/>
        <v>594.00036576252182</v>
      </c>
      <c r="T19" s="22">
        <f t="shared" si="7"/>
        <v>641.67875933056621</v>
      </c>
    </row>
    <row r="20" spans="1:20" x14ac:dyDescent="0.2">
      <c r="A20" s="5">
        <v>29</v>
      </c>
      <c r="B20" s="1">
        <f t="shared" si="8"/>
        <v>1.3785110448524549</v>
      </c>
      <c r="C20" s="5">
        <f t="shared" si="9"/>
        <v>28927.926169802737</v>
      </c>
      <c r="D20" s="5">
        <f t="shared" si="0"/>
        <v>28168.23437812398</v>
      </c>
      <c r="E20" s="5">
        <f t="shared" si="1"/>
        <v>18668.23437812398</v>
      </c>
      <c r="F20" s="5">
        <f t="shared" si="2"/>
        <v>6396.9285244574794</v>
      </c>
      <c r="G20" s="5">
        <f t="shared" si="3"/>
        <v>21771.305853666501</v>
      </c>
      <c r="H20" s="22">
        <f t="shared" si="10"/>
        <v>13020.182832695835</v>
      </c>
      <c r="I20" s="5">
        <f t="shared" si="4"/>
        <v>34049.338264898674</v>
      </c>
      <c r="J20" s="26">
        <f t="shared" si="5"/>
        <v>0.13923500834342639</v>
      </c>
      <c r="L20" s="22">
        <f t="shared" si="11"/>
        <v>60188.578415910641</v>
      </c>
      <c r="M20" s="5">
        <f>scrimecost*Meta!O17</f>
        <v>2248.14</v>
      </c>
      <c r="N20" s="5">
        <f>L20-Grade9!L20</f>
        <v>589.37971669613034</v>
      </c>
      <c r="O20" s="5">
        <f>Grade9!M20-M20</f>
        <v>46.309999999999945</v>
      </c>
      <c r="P20" s="22">
        <f t="shared" si="12"/>
        <v>134.40921496126475</v>
      </c>
      <c r="Q20" s="22"/>
      <c r="R20" s="22"/>
      <c r="S20" s="22">
        <f t="shared" si="6"/>
        <v>607.41096182188414</v>
      </c>
      <c r="T20" s="22">
        <f t="shared" si="7"/>
        <v>660.07438607075892</v>
      </c>
    </row>
    <row r="21" spans="1:20" x14ac:dyDescent="0.2">
      <c r="A21" s="5">
        <v>30</v>
      </c>
      <c r="B21" s="1">
        <f t="shared" si="8"/>
        <v>1.4129738209737661</v>
      </c>
      <c r="C21" s="5">
        <f t="shared" si="9"/>
        <v>29651.1243240478</v>
      </c>
      <c r="D21" s="5">
        <f t="shared" si="0"/>
        <v>28850.210237577074</v>
      </c>
      <c r="E21" s="5">
        <f t="shared" si="1"/>
        <v>19350.210237577074</v>
      </c>
      <c r="F21" s="5">
        <f t="shared" si="2"/>
        <v>6619.5936425689142</v>
      </c>
      <c r="G21" s="5">
        <f t="shared" si="3"/>
        <v>22230.616595008159</v>
      </c>
      <c r="H21" s="22">
        <f t="shared" si="10"/>
        <v>13345.68740351323</v>
      </c>
      <c r="I21" s="5">
        <f t="shared" si="4"/>
        <v>34815.599816521135</v>
      </c>
      <c r="J21" s="26">
        <f t="shared" si="5"/>
        <v>0.14133070011839141</v>
      </c>
      <c r="L21" s="22">
        <f t="shared" si="11"/>
        <v>61693.292876308391</v>
      </c>
      <c r="M21" s="5">
        <f>scrimecost*Meta!O18</f>
        <v>1812.396</v>
      </c>
      <c r="N21" s="5">
        <f>L21-Grade9!L21</f>
        <v>604.11420961351541</v>
      </c>
      <c r="O21" s="5">
        <f>Grade9!M21-M21</f>
        <v>37.33400000000006</v>
      </c>
      <c r="P21" s="22">
        <f t="shared" si="12"/>
        <v>137.45840647335885</v>
      </c>
      <c r="Q21" s="22"/>
      <c r="R21" s="22"/>
      <c r="S21" s="22">
        <f t="shared" si="6"/>
        <v>612.36034278271927</v>
      </c>
      <c r="T21" s="22">
        <f t="shared" si="7"/>
        <v>669.41681415425728</v>
      </c>
    </row>
    <row r="22" spans="1:20" x14ac:dyDescent="0.2">
      <c r="A22" s="5">
        <v>31</v>
      </c>
      <c r="B22" s="1">
        <f t="shared" si="8"/>
        <v>1.4482981664981105</v>
      </c>
      <c r="C22" s="5">
        <f t="shared" si="9"/>
        <v>30392.402432149003</v>
      </c>
      <c r="D22" s="5">
        <f t="shared" si="0"/>
        <v>29549.235493516509</v>
      </c>
      <c r="E22" s="5">
        <f t="shared" si="1"/>
        <v>20049.235493516509</v>
      </c>
      <c r="F22" s="5">
        <f t="shared" si="2"/>
        <v>6847.8253886331404</v>
      </c>
      <c r="G22" s="5">
        <f t="shared" si="3"/>
        <v>22701.410104883369</v>
      </c>
      <c r="H22" s="22">
        <f t="shared" si="10"/>
        <v>13679.329588601064</v>
      </c>
      <c r="I22" s="5">
        <f t="shared" si="4"/>
        <v>35601.017906934168</v>
      </c>
      <c r="J22" s="26">
        <f t="shared" si="5"/>
        <v>0.1433752774598207</v>
      </c>
      <c r="L22" s="22">
        <f t="shared" si="11"/>
        <v>63235.625198216112</v>
      </c>
      <c r="M22" s="5">
        <f>scrimecost*Meta!O19</f>
        <v>1812.396</v>
      </c>
      <c r="N22" s="5">
        <f>L22-Grade9!L22</f>
        <v>619.21706485387404</v>
      </c>
      <c r="O22" s="5">
        <f>Grade9!M22-M22</f>
        <v>37.33400000000006</v>
      </c>
      <c r="P22" s="22">
        <f t="shared" si="12"/>
        <v>140.58382777325531</v>
      </c>
      <c r="Q22" s="22"/>
      <c r="R22" s="22"/>
      <c r="S22" s="22">
        <f t="shared" si="6"/>
        <v>626.44985026760367</v>
      </c>
      <c r="T22" s="22">
        <f t="shared" si="7"/>
        <v>688.8983948312831</v>
      </c>
    </row>
    <row r="23" spans="1:20" x14ac:dyDescent="0.2">
      <c r="A23" s="5">
        <v>32</v>
      </c>
      <c r="B23" s="1">
        <f t="shared" si="8"/>
        <v>1.4845056206605631</v>
      </c>
      <c r="C23" s="5">
        <f t="shared" si="9"/>
        <v>31152.212492952724</v>
      </c>
      <c r="D23" s="5">
        <f t="shared" si="0"/>
        <v>30265.736380854418</v>
      </c>
      <c r="E23" s="5">
        <f t="shared" si="1"/>
        <v>20765.736380854418</v>
      </c>
      <c r="F23" s="5">
        <f t="shared" si="2"/>
        <v>7081.7629283489678</v>
      </c>
      <c r="G23" s="5">
        <f t="shared" si="3"/>
        <v>23183.973452505452</v>
      </c>
      <c r="H23" s="22">
        <f t="shared" si="10"/>
        <v>14021.312828316088</v>
      </c>
      <c r="I23" s="5">
        <f t="shared" si="4"/>
        <v>36406.071449607523</v>
      </c>
      <c r="J23" s="26">
        <f t="shared" si="5"/>
        <v>0.14536998706121512</v>
      </c>
      <c r="L23" s="22">
        <f t="shared" si="11"/>
        <v>64816.515828171512</v>
      </c>
      <c r="M23" s="5">
        <f>scrimecost*Meta!O20</f>
        <v>1812.396</v>
      </c>
      <c r="N23" s="5">
        <f>L23-Grade9!L23</f>
        <v>634.69749147522089</v>
      </c>
      <c r="O23" s="5">
        <f>Grade9!M23-M23</f>
        <v>37.33400000000006</v>
      </c>
      <c r="P23" s="22">
        <f t="shared" si="12"/>
        <v>143.78738460564915</v>
      </c>
      <c r="Q23" s="22"/>
      <c r="R23" s="22"/>
      <c r="S23" s="22">
        <f t="shared" si="6"/>
        <v>640.89159543959499</v>
      </c>
      <c r="T23" s="22">
        <f t="shared" si="7"/>
        <v>708.97797446906645</v>
      </c>
    </row>
    <row r="24" spans="1:20" x14ac:dyDescent="0.2">
      <c r="A24" s="5">
        <v>33</v>
      </c>
      <c r="B24" s="1">
        <f t="shared" si="8"/>
        <v>1.521618261177077</v>
      </c>
      <c r="C24" s="5">
        <f t="shared" si="9"/>
        <v>31931.01780527654</v>
      </c>
      <c r="D24" s="5">
        <f t="shared" si="0"/>
        <v>31000.149790375777</v>
      </c>
      <c r="E24" s="5">
        <f t="shared" si="1"/>
        <v>21500.149790375777</v>
      </c>
      <c r="F24" s="5">
        <f t="shared" si="2"/>
        <v>7321.5489065576912</v>
      </c>
      <c r="G24" s="5">
        <f t="shared" si="3"/>
        <v>23678.600883818086</v>
      </c>
      <c r="H24" s="22">
        <f t="shared" si="10"/>
        <v>14371.845649023988</v>
      </c>
      <c r="I24" s="5">
        <f t="shared" si="4"/>
        <v>37231.251330847706</v>
      </c>
      <c r="J24" s="26">
        <f t="shared" si="5"/>
        <v>0.14731604520891697</v>
      </c>
      <c r="L24" s="22">
        <f t="shared" si="11"/>
        <v>66436.928723875782</v>
      </c>
      <c r="M24" s="5">
        <f>scrimecost*Meta!O21</f>
        <v>1812.396</v>
      </c>
      <c r="N24" s="5">
        <f>L24-Grade9!L24</f>
        <v>650.56492876207631</v>
      </c>
      <c r="O24" s="5">
        <f>Grade9!M24-M24</f>
        <v>37.33400000000006</v>
      </c>
      <c r="P24" s="22">
        <f t="shared" si="12"/>
        <v>147.07103035885285</v>
      </c>
      <c r="Q24" s="22"/>
      <c r="R24" s="22"/>
      <c r="S24" s="22">
        <f t="shared" si="6"/>
        <v>655.69438424086775</v>
      </c>
      <c r="T24" s="22">
        <f t="shared" si="7"/>
        <v>729.67410663307294</v>
      </c>
    </row>
    <row r="25" spans="1:20" x14ac:dyDescent="0.2">
      <c r="A25" s="5">
        <v>34</v>
      </c>
      <c r="B25" s="1">
        <f t="shared" si="8"/>
        <v>1.559658717706504</v>
      </c>
      <c r="C25" s="5">
        <f t="shared" si="9"/>
        <v>32729.293250408453</v>
      </c>
      <c r="D25" s="5">
        <f t="shared" si="0"/>
        <v>31752.923535135171</v>
      </c>
      <c r="E25" s="5">
        <f t="shared" si="1"/>
        <v>22252.923535135171</v>
      </c>
      <c r="F25" s="5">
        <f t="shared" si="2"/>
        <v>7567.3295342216334</v>
      </c>
      <c r="G25" s="5">
        <f t="shared" si="3"/>
        <v>24185.594000913537</v>
      </c>
      <c r="H25" s="22">
        <f t="shared" si="10"/>
        <v>14731.141790249587</v>
      </c>
      <c r="I25" s="5">
        <f t="shared" si="4"/>
        <v>38077.060709118901</v>
      </c>
      <c r="J25" s="26">
        <f t="shared" si="5"/>
        <v>0.14921463852374806</v>
      </c>
      <c r="L25" s="22">
        <f t="shared" si="11"/>
        <v>68097.85194197268</v>
      </c>
      <c r="M25" s="5">
        <f>scrimecost*Meta!O22</f>
        <v>1812.396</v>
      </c>
      <c r="N25" s="5">
        <f>L25-Grade9!L25</f>
        <v>666.82905198114167</v>
      </c>
      <c r="O25" s="5">
        <f>Grade9!M25-M25</f>
        <v>37.33400000000006</v>
      </c>
      <c r="P25" s="22">
        <f t="shared" si="12"/>
        <v>150.43676725588665</v>
      </c>
      <c r="Q25" s="22"/>
      <c r="R25" s="22"/>
      <c r="S25" s="22">
        <f t="shared" si="6"/>
        <v>670.86724276220059</v>
      </c>
      <c r="T25" s="22">
        <f t="shared" si="7"/>
        <v>751.00592172620736</v>
      </c>
    </row>
    <row r="26" spans="1:20" x14ac:dyDescent="0.2">
      <c r="A26" s="5">
        <v>35</v>
      </c>
      <c r="B26" s="1">
        <f t="shared" si="8"/>
        <v>1.5986501856491666</v>
      </c>
      <c r="C26" s="5">
        <f t="shared" si="9"/>
        <v>33547.525581668662</v>
      </c>
      <c r="D26" s="5">
        <f t="shared" si="0"/>
        <v>32524.516623513548</v>
      </c>
      <c r="E26" s="5">
        <f t="shared" si="1"/>
        <v>23024.516623513548</v>
      </c>
      <c r="F26" s="5">
        <f t="shared" si="2"/>
        <v>7819.2546775771734</v>
      </c>
      <c r="G26" s="5">
        <f t="shared" si="3"/>
        <v>24705.261945936374</v>
      </c>
      <c r="H26" s="22">
        <f t="shared" si="10"/>
        <v>15099.420335005829</v>
      </c>
      <c r="I26" s="5">
        <f t="shared" si="4"/>
        <v>38944.015321846869</v>
      </c>
      <c r="J26" s="26">
        <f t="shared" si="5"/>
        <v>0.15106692468455887</v>
      </c>
      <c r="L26" s="22">
        <f t="shared" si="11"/>
        <v>69800.29824052201</v>
      </c>
      <c r="M26" s="5">
        <f>scrimecost*Meta!O23</f>
        <v>1406.556</v>
      </c>
      <c r="N26" s="5">
        <f>L26-Grade9!L26</f>
        <v>683.4997782806895</v>
      </c>
      <c r="O26" s="5">
        <f>Grade9!M26-M26</f>
        <v>28.973999999999933</v>
      </c>
      <c r="P26" s="22">
        <f t="shared" si="12"/>
        <v>153.8866475753463</v>
      </c>
      <c r="Q26" s="22"/>
      <c r="R26" s="22"/>
      <c r="S26" s="22">
        <f t="shared" si="6"/>
        <v>678.22662274657057</v>
      </c>
      <c r="T26" s="22">
        <f t="shared" si="7"/>
        <v>763.76703910025617</v>
      </c>
    </row>
    <row r="27" spans="1:20" x14ac:dyDescent="0.2">
      <c r="A27" s="5">
        <v>36</v>
      </c>
      <c r="B27" s="1">
        <f t="shared" si="8"/>
        <v>1.6386164402903955</v>
      </c>
      <c r="C27" s="5">
        <f t="shared" si="9"/>
        <v>34386.213721210377</v>
      </c>
      <c r="D27" s="5">
        <f t="shared" si="0"/>
        <v>33315.399539101381</v>
      </c>
      <c r="E27" s="5">
        <f t="shared" si="1"/>
        <v>23815.399539101381</v>
      </c>
      <c r="F27" s="5">
        <f t="shared" si="2"/>
        <v>8077.4779495166003</v>
      </c>
      <c r="G27" s="5">
        <f t="shared" si="3"/>
        <v>25237.921589584781</v>
      </c>
      <c r="H27" s="22">
        <f t="shared" si="10"/>
        <v>15476.905843380971</v>
      </c>
      <c r="I27" s="5">
        <f t="shared" si="4"/>
        <v>39832.643799893034</v>
      </c>
      <c r="J27" s="26">
        <f t="shared" si="5"/>
        <v>0.15287403313413037</v>
      </c>
      <c r="L27" s="22">
        <f t="shared" si="11"/>
        <v>71545.305696535041</v>
      </c>
      <c r="M27" s="5">
        <f>scrimecost*Meta!O24</f>
        <v>1406.556</v>
      </c>
      <c r="N27" s="5">
        <f>L27-Grade9!L27</f>
        <v>700.58727273768454</v>
      </c>
      <c r="O27" s="5">
        <f>Grade9!M27-M27</f>
        <v>28.973999999999933</v>
      </c>
      <c r="P27" s="22">
        <f t="shared" si="12"/>
        <v>157.42277490279238</v>
      </c>
      <c r="Q27" s="22"/>
      <c r="R27" s="22"/>
      <c r="S27" s="22">
        <f t="shared" si="6"/>
        <v>694.16760723052005</v>
      </c>
      <c r="T27" s="22">
        <f t="shared" si="7"/>
        <v>786.37505137835365</v>
      </c>
    </row>
    <row r="28" spans="1:20" x14ac:dyDescent="0.2">
      <c r="A28" s="5">
        <v>37</v>
      </c>
      <c r="B28" s="1">
        <f t="shared" si="8"/>
        <v>1.6795818512976552</v>
      </c>
      <c r="C28" s="5">
        <f t="shared" si="9"/>
        <v>35245.869064240629</v>
      </c>
      <c r="D28" s="5">
        <f t="shared" si="0"/>
        <v>34126.054527578912</v>
      </c>
      <c r="E28" s="5">
        <f t="shared" si="1"/>
        <v>24626.054527578912</v>
      </c>
      <c r="F28" s="5">
        <f t="shared" si="2"/>
        <v>8342.1568032545147</v>
      </c>
      <c r="G28" s="5">
        <f t="shared" si="3"/>
        <v>25783.897724324397</v>
      </c>
      <c r="H28" s="22">
        <f t="shared" si="10"/>
        <v>15863.828489465495</v>
      </c>
      <c r="I28" s="5">
        <f t="shared" si="4"/>
        <v>40743.48798989036</v>
      </c>
      <c r="J28" s="26">
        <f t="shared" si="5"/>
        <v>0.15463706576785871</v>
      </c>
      <c r="L28" s="22">
        <f t="shared" si="11"/>
        <v>73333.938338948414</v>
      </c>
      <c r="M28" s="5">
        <f>scrimecost*Meta!O25</f>
        <v>1406.556</v>
      </c>
      <c r="N28" s="5">
        <f>L28-Grade9!L28</f>
        <v>718.10195455614303</v>
      </c>
      <c r="O28" s="5">
        <f>Grade9!M28-M28</f>
        <v>28.973999999999933</v>
      </c>
      <c r="P28" s="22">
        <f t="shared" si="12"/>
        <v>161.04730541342471</v>
      </c>
      <c r="Q28" s="22"/>
      <c r="R28" s="22"/>
      <c r="S28" s="22">
        <f t="shared" si="6"/>
        <v>710.50711632659625</v>
      </c>
      <c r="T28" s="22">
        <f t="shared" si="7"/>
        <v>809.67945367088669</v>
      </c>
    </row>
    <row r="29" spans="1:20" x14ac:dyDescent="0.2">
      <c r="A29" s="5">
        <v>38</v>
      </c>
      <c r="B29" s="1">
        <f t="shared" si="8"/>
        <v>1.7215713975800966</v>
      </c>
      <c r="C29" s="5">
        <f t="shared" si="9"/>
        <v>36127.01579084665</v>
      </c>
      <c r="D29" s="5">
        <f t="shared" si="0"/>
        <v>34956.975890768386</v>
      </c>
      <c r="E29" s="5">
        <f t="shared" si="1"/>
        <v>25456.975890768386</v>
      </c>
      <c r="F29" s="5">
        <f t="shared" si="2"/>
        <v>8613.4526283358791</v>
      </c>
      <c r="G29" s="5">
        <f t="shared" si="3"/>
        <v>26343.523262432507</v>
      </c>
      <c r="H29" s="22">
        <f t="shared" si="10"/>
        <v>16260.424201702132</v>
      </c>
      <c r="I29" s="5">
        <f t="shared" si="4"/>
        <v>41677.103284637618</v>
      </c>
      <c r="J29" s="26">
        <f t="shared" si="5"/>
        <v>0.15635709760564245</v>
      </c>
      <c r="L29" s="22">
        <f t="shared" si="11"/>
        <v>75167.28679742213</v>
      </c>
      <c r="M29" s="5">
        <f>scrimecost*Meta!O26</f>
        <v>1406.556</v>
      </c>
      <c r="N29" s="5">
        <f>L29-Grade9!L29</f>
        <v>736.05450342003314</v>
      </c>
      <c r="O29" s="5">
        <f>Grade9!M29-M29</f>
        <v>28.973999999999933</v>
      </c>
      <c r="P29" s="22">
        <f t="shared" si="12"/>
        <v>164.76244918682281</v>
      </c>
      <c r="Q29" s="22"/>
      <c r="R29" s="22"/>
      <c r="S29" s="22">
        <f t="shared" si="6"/>
        <v>727.25511315005235</v>
      </c>
      <c r="T29" s="22">
        <f t="shared" si="7"/>
        <v>833.70186686028444</v>
      </c>
    </row>
    <row r="30" spans="1:20" x14ac:dyDescent="0.2">
      <c r="A30" s="5">
        <v>39</v>
      </c>
      <c r="B30" s="1">
        <f t="shared" si="8"/>
        <v>1.7646106825195991</v>
      </c>
      <c r="C30" s="5">
        <f t="shared" si="9"/>
        <v>37030.191185617812</v>
      </c>
      <c r="D30" s="5">
        <f t="shared" si="0"/>
        <v>35808.670288037589</v>
      </c>
      <c r="E30" s="5">
        <f t="shared" si="1"/>
        <v>26308.670288037589</v>
      </c>
      <c r="F30" s="5">
        <f t="shared" si="2"/>
        <v>8891.5308490442731</v>
      </c>
      <c r="G30" s="5">
        <f t="shared" si="3"/>
        <v>26917.139438993316</v>
      </c>
      <c r="H30" s="22">
        <f t="shared" si="10"/>
        <v>16666.934806744684</v>
      </c>
      <c r="I30" s="5">
        <f t="shared" si="4"/>
        <v>42634.058961753552</v>
      </c>
      <c r="J30" s="26">
        <f t="shared" si="5"/>
        <v>0.15803517744738263</v>
      </c>
      <c r="L30" s="22">
        <f t="shared" si="11"/>
        <v>77046.46896735768</v>
      </c>
      <c r="M30" s="5">
        <f>scrimecost*Meta!O27</f>
        <v>1406.556</v>
      </c>
      <c r="N30" s="5">
        <f>L30-Grade9!L30</f>
        <v>754.45586600554816</v>
      </c>
      <c r="O30" s="5">
        <f>Grade9!M30-M30</f>
        <v>28.973999999999933</v>
      </c>
      <c r="P30" s="22">
        <f t="shared" si="12"/>
        <v>168.57047155455584</v>
      </c>
      <c r="Q30" s="22"/>
      <c r="R30" s="22"/>
      <c r="S30" s="22">
        <f t="shared" si="6"/>
        <v>744.42180989411531</v>
      </c>
      <c r="T30" s="22">
        <f t="shared" si="7"/>
        <v>858.46458411787125</v>
      </c>
    </row>
    <row r="31" spans="1:20" x14ac:dyDescent="0.2">
      <c r="A31" s="5">
        <v>40</v>
      </c>
      <c r="B31" s="1">
        <f t="shared" si="8"/>
        <v>1.8087259495825889</v>
      </c>
      <c r="C31" s="5">
        <f t="shared" si="9"/>
        <v>37955.945965258252</v>
      </c>
      <c r="D31" s="5">
        <f t="shared" si="0"/>
        <v>36681.657045238528</v>
      </c>
      <c r="E31" s="5">
        <f t="shared" si="1"/>
        <v>27181.657045238528</v>
      </c>
      <c r="F31" s="5">
        <f t="shared" si="2"/>
        <v>9176.5610252703791</v>
      </c>
      <c r="G31" s="5">
        <f t="shared" si="3"/>
        <v>27505.09601996815</v>
      </c>
      <c r="H31" s="22">
        <f t="shared" si="10"/>
        <v>17083.608176913302</v>
      </c>
      <c r="I31" s="5">
        <f t="shared" si="4"/>
        <v>43614.938530797393</v>
      </c>
      <c r="J31" s="26">
        <f t="shared" si="5"/>
        <v>0.15967232851249502</v>
      </c>
      <c r="L31" s="22">
        <f t="shared" si="11"/>
        <v>78972.630691541621</v>
      </c>
      <c r="M31" s="5">
        <f>scrimecost*Meta!O28</f>
        <v>1230.336</v>
      </c>
      <c r="N31" s="5">
        <f>L31-Grade9!L31</f>
        <v>773.31726265570614</v>
      </c>
      <c r="O31" s="5">
        <f>Grade9!M31-M31</f>
        <v>25.343999999999824</v>
      </c>
      <c r="P31" s="22">
        <f t="shared" si="12"/>
        <v>172.47369448148217</v>
      </c>
      <c r="Q31" s="22"/>
      <c r="R31" s="22"/>
      <c r="S31" s="22">
        <f t="shared" si="6"/>
        <v>758.46027405678342</v>
      </c>
      <c r="T31" s="22">
        <f t="shared" si="7"/>
        <v>879.86377397472256</v>
      </c>
    </row>
    <row r="32" spans="1:20" x14ac:dyDescent="0.2">
      <c r="A32" s="5">
        <v>41</v>
      </c>
      <c r="B32" s="1">
        <f t="shared" si="8"/>
        <v>1.8539440983221533</v>
      </c>
      <c r="C32" s="5">
        <f t="shared" si="9"/>
        <v>38904.844614389709</v>
      </c>
      <c r="D32" s="5">
        <f t="shared" si="0"/>
        <v>37576.468471369488</v>
      </c>
      <c r="E32" s="5">
        <f t="shared" si="1"/>
        <v>28076.468471369488</v>
      </c>
      <c r="F32" s="5">
        <f t="shared" si="2"/>
        <v>9468.7169559021386</v>
      </c>
      <c r="G32" s="5">
        <f t="shared" si="3"/>
        <v>28107.751515467349</v>
      </c>
      <c r="H32" s="22">
        <f t="shared" si="10"/>
        <v>17510.698381336129</v>
      </c>
      <c r="I32" s="5">
        <f t="shared" si="4"/>
        <v>44620.340089067322</v>
      </c>
      <c r="J32" s="26">
        <f t="shared" si="5"/>
        <v>0.16126954906382424</v>
      </c>
      <c r="L32" s="22">
        <f t="shared" si="11"/>
        <v>80946.946458830134</v>
      </c>
      <c r="M32" s="5">
        <f>scrimecost*Meta!O29</f>
        <v>1230.336</v>
      </c>
      <c r="N32" s="5">
        <f>L32-Grade9!L32</f>
        <v>792.65019422206387</v>
      </c>
      <c r="O32" s="5">
        <f>Grade9!M32-M32</f>
        <v>25.343999999999824</v>
      </c>
      <c r="P32" s="22">
        <f t="shared" si="12"/>
        <v>176.47449798158172</v>
      </c>
      <c r="Q32" s="22"/>
      <c r="R32" s="22"/>
      <c r="S32" s="22">
        <f t="shared" si="6"/>
        <v>776.49603482347868</v>
      </c>
      <c r="T32" s="22">
        <f t="shared" si="7"/>
        <v>906.1521908679473</v>
      </c>
    </row>
    <row r="33" spans="1:20" x14ac:dyDescent="0.2">
      <c r="A33" s="5">
        <v>42</v>
      </c>
      <c r="B33" s="1">
        <f t="shared" si="8"/>
        <v>1.9002927007802071</v>
      </c>
      <c r="C33" s="5">
        <f t="shared" si="9"/>
        <v>39877.465729749441</v>
      </c>
      <c r="D33" s="5">
        <f t="shared" si="0"/>
        <v>38493.650183153717</v>
      </c>
      <c r="E33" s="5">
        <f t="shared" si="1"/>
        <v>28993.650183153717</v>
      </c>
      <c r="F33" s="5">
        <f t="shared" si="2"/>
        <v>9768.1767847996889</v>
      </c>
      <c r="G33" s="5">
        <f t="shared" si="3"/>
        <v>28725.473398354028</v>
      </c>
      <c r="H33" s="22">
        <f t="shared" si="10"/>
        <v>17948.465840869532</v>
      </c>
      <c r="I33" s="5">
        <f t="shared" si="4"/>
        <v>45650.876686293996</v>
      </c>
      <c r="J33" s="26">
        <f t="shared" si="5"/>
        <v>0.1628278130163405</v>
      </c>
      <c r="L33" s="22">
        <f t="shared" si="11"/>
        <v>82970.620120300897</v>
      </c>
      <c r="M33" s="5">
        <f>scrimecost*Meta!O30</f>
        <v>1230.336</v>
      </c>
      <c r="N33" s="5">
        <f>L33-Grade9!L33</f>
        <v>812.46644907763402</v>
      </c>
      <c r="O33" s="5">
        <f>Grade9!M33-M33</f>
        <v>25.343999999999824</v>
      </c>
      <c r="P33" s="22">
        <f t="shared" si="12"/>
        <v>180.57532156918373</v>
      </c>
      <c r="Q33" s="22"/>
      <c r="R33" s="22"/>
      <c r="S33" s="22">
        <f t="shared" si="6"/>
        <v>794.9826896093806</v>
      </c>
      <c r="T33" s="22">
        <f t="shared" si="7"/>
        <v>933.25189102294485</v>
      </c>
    </row>
    <row r="34" spans="1:20" x14ac:dyDescent="0.2">
      <c r="A34" s="5">
        <v>43</v>
      </c>
      <c r="B34" s="1">
        <f t="shared" si="8"/>
        <v>1.9478000182997122</v>
      </c>
      <c r="C34" s="5">
        <f t="shared" si="9"/>
        <v>40874.40237299318</v>
      </c>
      <c r="D34" s="5">
        <f t="shared" si="0"/>
        <v>39433.761437732566</v>
      </c>
      <c r="E34" s="5">
        <f t="shared" si="1"/>
        <v>29933.761437732566</v>
      </c>
      <c r="F34" s="5">
        <f t="shared" si="2"/>
        <v>10075.123109419683</v>
      </c>
      <c r="G34" s="5">
        <f t="shared" si="3"/>
        <v>29358.638328312882</v>
      </c>
      <c r="H34" s="22">
        <f t="shared" si="10"/>
        <v>18397.177486891273</v>
      </c>
      <c r="I34" s="5">
        <f t="shared" si="4"/>
        <v>46707.176698451352</v>
      </c>
      <c r="J34" s="26">
        <f t="shared" si="5"/>
        <v>0.16434807053099051</v>
      </c>
      <c r="L34" s="22">
        <f t="shared" si="11"/>
        <v>85044.885623308408</v>
      </c>
      <c r="M34" s="5">
        <f>scrimecost*Meta!O31</f>
        <v>1230.336</v>
      </c>
      <c r="N34" s="5">
        <f>L34-Grade9!L34</f>
        <v>832.77811030455632</v>
      </c>
      <c r="O34" s="5">
        <f>Grade9!M34-M34</f>
        <v>25.343999999999824</v>
      </c>
      <c r="P34" s="22">
        <f t="shared" si="12"/>
        <v>184.77866574647578</v>
      </c>
      <c r="Q34" s="22"/>
      <c r="R34" s="22"/>
      <c r="S34" s="22">
        <f t="shared" si="6"/>
        <v>813.93151076490267</v>
      </c>
      <c r="T34" s="22">
        <f t="shared" si="7"/>
        <v>961.18807160526296</v>
      </c>
    </row>
    <row r="35" spans="1:20" x14ac:dyDescent="0.2">
      <c r="A35" s="5">
        <v>44</v>
      </c>
      <c r="B35" s="1">
        <f t="shared" si="8"/>
        <v>1.9964950187572048</v>
      </c>
      <c r="C35" s="5">
        <f t="shared" si="9"/>
        <v>41896.262432318006</v>
      </c>
      <c r="D35" s="5">
        <f t="shared" si="0"/>
        <v>40397.375473675878</v>
      </c>
      <c r="E35" s="5">
        <f t="shared" si="1"/>
        <v>30897.375473675878</v>
      </c>
      <c r="F35" s="5">
        <f t="shared" si="2"/>
        <v>10389.743092155175</v>
      </c>
      <c r="G35" s="5">
        <f t="shared" si="3"/>
        <v>30007.632381520703</v>
      </c>
      <c r="H35" s="22">
        <f t="shared" si="10"/>
        <v>18857.106924063552</v>
      </c>
      <c r="I35" s="5">
        <f t="shared" si="4"/>
        <v>47789.884210912627</v>
      </c>
      <c r="J35" s="26">
        <f t="shared" si="5"/>
        <v>0.16583124859406373</v>
      </c>
      <c r="L35" s="22">
        <f t="shared" si="11"/>
        <v>87171.007763891117</v>
      </c>
      <c r="M35" s="5">
        <f>scrimecost*Meta!O32</f>
        <v>1230.336</v>
      </c>
      <c r="N35" s="5">
        <f>L35-Grade9!L35</f>
        <v>853.59756306216877</v>
      </c>
      <c r="O35" s="5">
        <f>Grade9!M35-M35</f>
        <v>25.343999999999824</v>
      </c>
      <c r="P35" s="22">
        <f t="shared" si="12"/>
        <v>189.08709352820017</v>
      </c>
      <c r="Q35" s="22"/>
      <c r="R35" s="22"/>
      <c r="S35" s="22">
        <f t="shared" si="6"/>
        <v>833.35405244932531</v>
      </c>
      <c r="T35" s="22">
        <f t="shared" si="7"/>
        <v>989.98671332661229</v>
      </c>
    </row>
    <row r="36" spans="1:20" x14ac:dyDescent="0.2">
      <c r="A36" s="5">
        <v>45</v>
      </c>
      <c r="B36" s="1">
        <f t="shared" si="8"/>
        <v>2.0464073942261352</v>
      </c>
      <c r="C36" s="5">
        <f t="shared" si="9"/>
        <v>42943.668993125968</v>
      </c>
      <c r="D36" s="5">
        <f t="shared" si="0"/>
        <v>41385.079860517784</v>
      </c>
      <c r="E36" s="5">
        <f t="shared" si="1"/>
        <v>31885.079860517784</v>
      </c>
      <c r="F36" s="5">
        <f t="shared" si="2"/>
        <v>10712.228574459055</v>
      </c>
      <c r="G36" s="5">
        <f t="shared" si="3"/>
        <v>30672.851286058729</v>
      </c>
      <c r="H36" s="22">
        <f t="shared" si="10"/>
        <v>19328.53459716514</v>
      </c>
      <c r="I36" s="5">
        <f t="shared" si="4"/>
        <v>48899.65941118545</v>
      </c>
      <c r="J36" s="26">
        <f t="shared" si="5"/>
        <v>0.16727825158242784</v>
      </c>
      <c r="L36" s="22">
        <f t="shared" si="11"/>
        <v>89350.282957988398</v>
      </c>
      <c r="M36" s="5">
        <f>scrimecost*Meta!O33</f>
        <v>994.30800000000011</v>
      </c>
      <c r="N36" s="5">
        <f>L36-Grade9!L36</f>
        <v>874.93750213875319</v>
      </c>
      <c r="O36" s="5">
        <f>Grade9!M36-M36</f>
        <v>20.481999999999971</v>
      </c>
      <c r="P36" s="22">
        <f t="shared" si="12"/>
        <v>193.50323200446763</v>
      </c>
      <c r="Q36" s="22"/>
      <c r="R36" s="22"/>
      <c r="S36" s="22">
        <f t="shared" si="6"/>
        <v>848.49739767588198</v>
      </c>
      <c r="T36" s="22">
        <f t="shared" si="7"/>
        <v>1013.9805696050371</v>
      </c>
    </row>
    <row r="37" spans="1:20" x14ac:dyDescent="0.2">
      <c r="A37" s="5">
        <v>46</v>
      </c>
      <c r="B37" s="1">
        <f t="shared" ref="B37:B56" si="13">(1+experiencepremium)^(A37-startage)</f>
        <v>2.097567579081788</v>
      </c>
      <c r="C37" s="5">
        <f t="shared" ref="C37:C56" si="14">pretaxincome*B37/expnorm</f>
        <v>44017.260717954101</v>
      </c>
      <c r="D37" s="5">
        <f t="shared" ref="D37:D56" si="15">IF(A37&lt;startage,1,0)*(C37*(1-initialunempprob))+IF(A37=startage,1,0)*(C37*(1-unempprob))+IF(A37&gt;startage,1,0)*(C37*(1-unempprob)+unempprob*300*52)</f>
        <v>42397.476857030713</v>
      </c>
      <c r="E37" s="5">
        <f t="shared" si="1"/>
        <v>32897.476857030713</v>
      </c>
      <c r="F37" s="5">
        <f t="shared" si="2"/>
        <v>11042.776193820528</v>
      </c>
      <c r="G37" s="5">
        <f t="shared" si="3"/>
        <v>31354.700663210184</v>
      </c>
      <c r="H37" s="22">
        <f t="shared" ref="H37:H56" si="16">benefits*B37/expnorm</f>
        <v>19811.747962094265</v>
      </c>
      <c r="I37" s="5">
        <f t="shared" ref="I37:I56" si="17">G37+IF(A37&lt;startage,1,0)*(H37*(1-initialunempprob))+IF(A37&gt;=startage,1,0)*(H37*(1-unempprob))</f>
        <v>50037.178991465073</v>
      </c>
      <c r="J37" s="26">
        <f t="shared" si="5"/>
        <v>0.16868996181497814</v>
      </c>
      <c r="L37" s="22">
        <f t="shared" ref="L37:L56" si="18">(sincome+sbenefits)*(1-sunemp)*B37/expnorm</f>
        <v>91584.040031938086</v>
      </c>
      <c r="M37" s="5">
        <f>scrimecost*Meta!O34</f>
        <v>994.30800000000011</v>
      </c>
      <c r="N37" s="5">
        <f>L37-Grade9!L37</f>
        <v>896.81093969216454</v>
      </c>
      <c r="O37" s="5">
        <f>Grade9!M37-M37</f>
        <v>20.481999999999971</v>
      </c>
      <c r="P37" s="22">
        <f t="shared" si="12"/>
        <v>198.02977394264175</v>
      </c>
      <c r="Q37" s="22"/>
      <c r="R37" s="22"/>
      <c r="S37" s="22">
        <f t="shared" si="6"/>
        <v>868.9032055330382</v>
      </c>
      <c r="T37" s="22">
        <f t="shared" si="7"/>
        <v>1044.5514146622957</v>
      </c>
    </row>
    <row r="38" spans="1:20" x14ac:dyDescent="0.2">
      <c r="A38" s="5">
        <v>47</v>
      </c>
      <c r="B38" s="1">
        <f t="shared" si="13"/>
        <v>2.1500067685588333</v>
      </c>
      <c r="C38" s="5">
        <f t="shared" si="14"/>
        <v>45117.69223590297</v>
      </c>
      <c r="D38" s="5">
        <f t="shared" si="15"/>
        <v>43435.183778456492</v>
      </c>
      <c r="E38" s="5">
        <f t="shared" si="1"/>
        <v>33935.183778456492</v>
      </c>
      <c r="F38" s="5">
        <f t="shared" si="2"/>
        <v>11381.587503666044</v>
      </c>
      <c r="G38" s="5">
        <f t="shared" si="3"/>
        <v>32053.596274790449</v>
      </c>
      <c r="H38" s="22">
        <f t="shared" si="16"/>
        <v>20307.041661146628</v>
      </c>
      <c r="I38" s="5">
        <f t="shared" si="17"/>
        <v>51203.136561251718</v>
      </c>
      <c r="J38" s="26">
        <f t="shared" ref="J38:J56" si="19">(F38-(IF(A38&gt;startage,1,0)*(unempprob*300*52)))/(IF(A38&lt;startage,1,0)*((C38+H38)*(1-initialunempprob))+IF(A38&gt;=startage,1,0)*((C38+H38)*(1-unempprob)))</f>
        <v>0.17006724009063701</v>
      </c>
      <c r="L38" s="22">
        <f t="shared" si="18"/>
        <v>93873.641032736574</v>
      </c>
      <c r="M38" s="5">
        <f>scrimecost*Meta!O35</f>
        <v>994.30800000000011</v>
      </c>
      <c r="N38" s="5">
        <f>L38-Grade9!L38</f>
        <v>919.23121318453923</v>
      </c>
      <c r="O38" s="5">
        <f>Grade9!M38-M38</f>
        <v>20.481999999999971</v>
      </c>
      <c r="P38" s="22">
        <f t="shared" si="12"/>
        <v>202.66947942927035</v>
      </c>
      <c r="Q38" s="22"/>
      <c r="R38" s="22"/>
      <c r="S38" s="22">
        <f t="shared" ref="S38:S69" si="20">IF(A38&lt;startage,1,0)*(N38-Q38-R38)+IF(A38&gt;=startage,1,0)*completionprob*(N38*spart+O38+P38)</f>
        <v>889.81915858671698</v>
      </c>
      <c r="T38" s="22">
        <f t="shared" ref="T38:T69" si="21">S38/sreturn^(A38-startage+1)</f>
        <v>1076.0674097575236</v>
      </c>
    </row>
    <row r="39" spans="1:20" x14ac:dyDescent="0.2">
      <c r="A39" s="5">
        <v>48</v>
      </c>
      <c r="B39" s="1">
        <f t="shared" si="13"/>
        <v>2.2037569377728037</v>
      </c>
      <c r="C39" s="5">
        <f t="shared" si="14"/>
        <v>46245.634541800529</v>
      </c>
      <c r="D39" s="5">
        <f t="shared" si="15"/>
        <v>44498.833372917892</v>
      </c>
      <c r="E39" s="5">
        <f t="shared" si="1"/>
        <v>34998.833372917892</v>
      </c>
      <c r="F39" s="5">
        <f t="shared" si="2"/>
        <v>11778.75243354948</v>
      </c>
      <c r="G39" s="5">
        <f t="shared" si="3"/>
        <v>32720.08093936841</v>
      </c>
      <c r="H39" s="22">
        <f t="shared" si="16"/>
        <v>20814.717702675291</v>
      </c>
      <c r="I39" s="5">
        <f t="shared" si="17"/>
        <v>52348.359732991208</v>
      </c>
      <c r="J39" s="26">
        <f t="shared" si="19"/>
        <v>0.17219974633051155</v>
      </c>
      <c r="L39" s="22">
        <f t="shared" si="18"/>
        <v>96220.482058554961</v>
      </c>
      <c r="M39" s="5">
        <f>scrimecost*Meta!O36</f>
        <v>994.30800000000011</v>
      </c>
      <c r="N39" s="5">
        <f>L39-Grade9!L39</f>
        <v>942.21199351412361</v>
      </c>
      <c r="O39" s="5">
        <f>Grade9!M39-M39</f>
        <v>20.481999999999971</v>
      </c>
      <c r="P39" s="22">
        <f t="shared" ref="P39:P56" si="22">(spart-initialspart)*(L39*J39+nptrans)</f>
        <v>208.10828342054452</v>
      </c>
      <c r="Q39" s="22"/>
      <c r="R39" s="22"/>
      <c r="S39" s="22">
        <f t="shared" si="20"/>
        <v>911.92745421679535</v>
      </c>
      <c r="T39" s="22">
        <f t="shared" si="21"/>
        <v>1109.3723075377297</v>
      </c>
    </row>
    <row r="40" spans="1:20" x14ac:dyDescent="0.2">
      <c r="A40" s="5">
        <v>49</v>
      </c>
      <c r="B40" s="1">
        <f t="shared" si="13"/>
        <v>2.2588508612171236</v>
      </c>
      <c r="C40" s="5">
        <f t="shared" si="14"/>
        <v>47401.775405345543</v>
      </c>
      <c r="D40" s="5">
        <f t="shared" si="15"/>
        <v>45589.074207240839</v>
      </c>
      <c r="E40" s="5">
        <f t="shared" si="1"/>
        <v>36089.074207240839</v>
      </c>
      <c r="F40" s="5">
        <f t="shared" si="2"/>
        <v>12243.740149388219</v>
      </c>
      <c r="G40" s="5">
        <f t="shared" si="3"/>
        <v>33345.334057852619</v>
      </c>
      <c r="H40" s="22">
        <f t="shared" si="16"/>
        <v>21335.085645242169</v>
      </c>
      <c r="I40" s="5">
        <f t="shared" si="17"/>
        <v>53464.319821315978</v>
      </c>
      <c r="J40" s="26">
        <f t="shared" si="19"/>
        <v>0.17517340099039172</v>
      </c>
      <c r="L40" s="22">
        <f t="shared" si="18"/>
        <v>98625.99411001883</v>
      </c>
      <c r="M40" s="5">
        <f>scrimecost*Meta!O37</f>
        <v>994.30800000000011</v>
      </c>
      <c r="N40" s="5">
        <f>L40-Grade9!L40</f>
        <v>965.76729335196433</v>
      </c>
      <c r="O40" s="5">
        <f>Grade9!M40-M40</f>
        <v>20.481999999999971</v>
      </c>
      <c r="P40" s="22">
        <f t="shared" si="22"/>
        <v>214.47585732879327</v>
      </c>
      <c r="Q40" s="22"/>
      <c r="R40" s="22"/>
      <c r="S40" s="22">
        <f t="shared" si="20"/>
        <v>935.36540105848644</v>
      </c>
      <c r="T40" s="22">
        <f t="shared" si="21"/>
        <v>1144.6629748806954</v>
      </c>
    </row>
    <row r="41" spans="1:20" x14ac:dyDescent="0.2">
      <c r="A41" s="5">
        <v>50</v>
      </c>
      <c r="B41" s="1">
        <f t="shared" si="13"/>
        <v>2.3153221327475517</v>
      </c>
      <c r="C41" s="5">
        <f t="shared" si="14"/>
        <v>48586.819790479181</v>
      </c>
      <c r="D41" s="5">
        <f t="shared" si="15"/>
        <v>46706.571062421863</v>
      </c>
      <c r="E41" s="5">
        <f t="shared" si="1"/>
        <v>37206.571062421863</v>
      </c>
      <c r="F41" s="5">
        <f t="shared" si="2"/>
        <v>12720.352558122924</v>
      </c>
      <c r="G41" s="5">
        <f t="shared" si="3"/>
        <v>33986.218504298937</v>
      </c>
      <c r="H41" s="22">
        <f t="shared" si="16"/>
        <v>21868.462786373224</v>
      </c>
      <c r="I41" s="5">
        <f t="shared" si="17"/>
        <v>54608.178911848881</v>
      </c>
      <c r="J41" s="26">
        <f t="shared" si="19"/>
        <v>0.1780745274878357</v>
      </c>
      <c r="L41" s="22">
        <f t="shared" si="18"/>
        <v>101091.6439627693</v>
      </c>
      <c r="M41" s="5">
        <f>scrimecost*Meta!O38</f>
        <v>664.29600000000005</v>
      </c>
      <c r="N41" s="5">
        <f>L41-Grade9!L41</f>
        <v>989.91147568577435</v>
      </c>
      <c r="O41" s="5">
        <f>Grade9!M41-M41</f>
        <v>13.683999999999969</v>
      </c>
      <c r="P41" s="22">
        <f t="shared" si="22"/>
        <v>221.00262058474817</v>
      </c>
      <c r="Q41" s="22"/>
      <c r="R41" s="22"/>
      <c r="S41" s="22">
        <f t="shared" si="20"/>
        <v>952.72725657123715</v>
      </c>
      <c r="T41" s="22">
        <f t="shared" si="21"/>
        <v>1172.8547418972539</v>
      </c>
    </row>
    <row r="42" spans="1:20" x14ac:dyDescent="0.2">
      <c r="A42" s="5">
        <v>51</v>
      </c>
      <c r="B42" s="1">
        <f t="shared" si="13"/>
        <v>2.3732051860662402</v>
      </c>
      <c r="C42" s="5">
        <f t="shared" si="14"/>
        <v>49801.490285241154</v>
      </c>
      <c r="D42" s="5">
        <f t="shared" si="15"/>
        <v>47852.005338982402</v>
      </c>
      <c r="E42" s="5">
        <f t="shared" si="1"/>
        <v>38352.005338982402</v>
      </c>
      <c r="F42" s="5">
        <f t="shared" si="2"/>
        <v>13208.880277075994</v>
      </c>
      <c r="G42" s="5">
        <f t="shared" si="3"/>
        <v>34643.125061906409</v>
      </c>
      <c r="H42" s="22">
        <f t="shared" si="16"/>
        <v>22415.174356032549</v>
      </c>
      <c r="I42" s="5">
        <f t="shared" si="17"/>
        <v>55780.634479645101</v>
      </c>
      <c r="J42" s="26">
        <f t="shared" si="19"/>
        <v>0.1809048948024152</v>
      </c>
      <c r="L42" s="22">
        <f t="shared" si="18"/>
        <v>103618.93506183852</v>
      </c>
      <c r="M42" s="5">
        <f>scrimecost*Meta!O39</f>
        <v>664.29600000000005</v>
      </c>
      <c r="N42" s="5">
        <f>L42-Grade9!L42</f>
        <v>1014.6592625779012</v>
      </c>
      <c r="O42" s="5">
        <f>Grade9!M42-M42</f>
        <v>13.683999999999969</v>
      </c>
      <c r="P42" s="22">
        <f t="shared" si="22"/>
        <v>227.69255292210192</v>
      </c>
      <c r="Q42" s="22"/>
      <c r="R42" s="22"/>
      <c r="S42" s="22">
        <f t="shared" si="20"/>
        <v>977.35174947178564</v>
      </c>
      <c r="T42" s="22">
        <f t="shared" si="21"/>
        <v>1210.335680944426</v>
      </c>
    </row>
    <row r="43" spans="1:20" x14ac:dyDescent="0.2">
      <c r="A43" s="5">
        <v>52</v>
      </c>
      <c r="B43" s="1">
        <f t="shared" si="13"/>
        <v>2.4325353157178964</v>
      </c>
      <c r="C43" s="5">
        <f t="shared" si="14"/>
        <v>51046.527542372183</v>
      </c>
      <c r="D43" s="5">
        <f t="shared" si="15"/>
        <v>49026.075472456963</v>
      </c>
      <c r="E43" s="5">
        <f t="shared" si="1"/>
        <v>39526.075472456963</v>
      </c>
      <c r="F43" s="5">
        <f t="shared" si="2"/>
        <v>13709.621189002894</v>
      </c>
      <c r="G43" s="5">
        <f t="shared" si="3"/>
        <v>35316.45428345407</v>
      </c>
      <c r="H43" s="22">
        <f t="shared" si="16"/>
        <v>22975.553714933369</v>
      </c>
      <c r="I43" s="5">
        <f t="shared" si="17"/>
        <v>56982.401436636239</v>
      </c>
      <c r="J43" s="26">
        <f t="shared" si="19"/>
        <v>0.18366622876785862</v>
      </c>
      <c r="L43" s="22">
        <f t="shared" si="18"/>
        <v>106209.4084383845</v>
      </c>
      <c r="M43" s="5">
        <f>scrimecost*Meta!O40</f>
        <v>664.29600000000005</v>
      </c>
      <c r="N43" s="5">
        <f>L43-Grade9!L43</f>
        <v>1040.0257441423746</v>
      </c>
      <c r="O43" s="5">
        <f>Grade9!M43-M43</f>
        <v>13.683999999999969</v>
      </c>
      <c r="P43" s="22">
        <f t="shared" si="22"/>
        <v>234.54973356788958</v>
      </c>
      <c r="Q43" s="22"/>
      <c r="R43" s="22"/>
      <c r="S43" s="22">
        <f t="shared" si="20"/>
        <v>1002.5918546948794</v>
      </c>
      <c r="T43" s="22">
        <f t="shared" si="21"/>
        <v>1248.9884371421776</v>
      </c>
    </row>
    <row r="44" spans="1:20" x14ac:dyDescent="0.2">
      <c r="A44" s="5">
        <v>53</v>
      </c>
      <c r="B44" s="1">
        <f t="shared" si="13"/>
        <v>2.4933486986108435</v>
      </c>
      <c r="C44" s="5">
        <f t="shared" si="14"/>
        <v>52322.690730931485</v>
      </c>
      <c r="D44" s="5">
        <f t="shared" si="15"/>
        <v>50229.497359268382</v>
      </c>
      <c r="E44" s="5">
        <f t="shared" si="1"/>
        <v>40729.497359268382</v>
      </c>
      <c r="F44" s="5">
        <f t="shared" si="2"/>
        <v>14222.880623727966</v>
      </c>
      <c r="G44" s="5">
        <f t="shared" si="3"/>
        <v>36006.616735540418</v>
      </c>
      <c r="H44" s="22">
        <f t="shared" si="16"/>
        <v>23549.942557806698</v>
      </c>
      <c r="I44" s="5">
        <f t="shared" si="17"/>
        <v>58214.212567552138</v>
      </c>
      <c r="J44" s="26">
        <f t="shared" si="19"/>
        <v>0.18636021312438877</v>
      </c>
      <c r="L44" s="22">
        <f t="shared" si="18"/>
        <v>108864.64364934409</v>
      </c>
      <c r="M44" s="5">
        <f>scrimecost*Meta!O41</f>
        <v>664.29600000000005</v>
      </c>
      <c r="N44" s="5">
        <f>L44-Grade9!L44</f>
        <v>1066.0263877459365</v>
      </c>
      <c r="O44" s="5">
        <f>Grade9!M44-M44</f>
        <v>13.683999999999969</v>
      </c>
      <c r="P44" s="22">
        <f t="shared" si="22"/>
        <v>241.5783437298218</v>
      </c>
      <c r="Q44" s="22"/>
      <c r="R44" s="22"/>
      <c r="S44" s="22">
        <f t="shared" si="20"/>
        <v>1028.4629625485336</v>
      </c>
      <c r="T44" s="22">
        <f t="shared" si="21"/>
        <v>1288.8494960624862</v>
      </c>
    </row>
    <row r="45" spans="1:20" x14ac:dyDescent="0.2">
      <c r="A45" s="5">
        <v>54</v>
      </c>
      <c r="B45" s="1">
        <f t="shared" si="13"/>
        <v>2.555682416076114</v>
      </c>
      <c r="C45" s="5">
        <f t="shared" si="14"/>
        <v>53630.757999204761</v>
      </c>
      <c r="D45" s="5">
        <f t="shared" si="15"/>
        <v>51463.004793250082</v>
      </c>
      <c r="E45" s="5">
        <f t="shared" si="1"/>
        <v>41963.004793250082</v>
      </c>
      <c r="F45" s="5">
        <f t="shared" si="2"/>
        <v>14748.971544321161</v>
      </c>
      <c r="G45" s="5">
        <f t="shared" si="3"/>
        <v>36714.033248928921</v>
      </c>
      <c r="H45" s="22">
        <f t="shared" si="16"/>
        <v>24138.691121751861</v>
      </c>
      <c r="I45" s="5">
        <f t="shared" si="17"/>
        <v>59476.81897674092</v>
      </c>
      <c r="J45" s="26">
        <f t="shared" si="19"/>
        <v>0.18898849054539382</v>
      </c>
      <c r="L45" s="22">
        <f t="shared" si="18"/>
        <v>111586.25974057766</v>
      </c>
      <c r="M45" s="5">
        <f>scrimecost*Meta!O42</f>
        <v>664.29600000000005</v>
      </c>
      <c r="N45" s="5">
        <f>L45-Grade9!L45</f>
        <v>1092.6770474395453</v>
      </c>
      <c r="O45" s="5">
        <f>Grade9!M45-M45</f>
        <v>13.683999999999969</v>
      </c>
      <c r="P45" s="22">
        <f t="shared" si="22"/>
        <v>248.7826691458024</v>
      </c>
      <c r="Q45" s="22"/>
      <c r="R45" s="22"/>
      <c r="S45" s="22">
        <f t="shared" si="20"/>
        <v>1054.9808480984984</v>
      </c>
      <c r="T45" s="22">
        <f t="shared" si="21"/>
        <v>1329.9564783960909</v>
      </c>
    </row>
    <row r="46" spans="1:20" x14ac:dyDescent="0.2">
      <c r="A46" s="5">
        <v>55</v>
      </c>
      <c r="B46" s="1">
        <f t="shared" si="13"/>
        <v>2.6195744764780171</v>
      </c>
      <c r="C46" s="5">
        <f t="shared" si="14"/>
        <v>54971.526949184881</v>
      </c>
      <c r="D46" s="5">
        <f t="shared" si="15"/>
        <v>52727.349913081336</v>
      </c>
      <c r="E46" s="5">
        <f t="shared" si="1"/>
        <v>43227.349913081336</v>
      </c>
      <c r="F46" s="5">
        <f t="shared" si="2"/>
        <v>15288.214737929189</v>
      </c>
      <c r="G46" s="5">
        <f t="shared" si="3"/>
        <v>37439.135175152143</v>
      </c>
      <c r="H46" s="22">
        <f t="shared" si="16"/>
        <v>24742.158399795659</v>
      </c>
      <c r="I46" s="5">
        <f t="shared" si="17"/>
        <v>60770.990546159446</v>
      </c>
      <c r="J46" s="26">
        <f t="shared" si="19"/>
        <v>0.19155266363905729</v>
      </c>
      <c r="L46" s="22">
        <f t="shared" si="18"/>
        <v>114375.91623409213</v>
      </c>
      <c r="M46" s="5">
        <f>scrimecost*Meta!O43</f>
        <v>368.46</v>
      </c>
      <c r="N46" s="5">
        <f>L46-Grade9!L46</f>
        <v>1119.9939736255765</v>
      </c>
      <c r="O46" s="5">
        <f>Grade9!M46-M46</f>
        <v>7.589999999999975</v>
      </c>
      <c r="P46" s="22">
        <f t="shared" si="22"/>
        <v>256.1671026971826</v>
      </c>
      <c r="Q46" s="22"/>
      <c r="R46" s="22"/>
      <c r="S46" s="22">
        <f t="shared" si="20"/>
        <v>1076.1895607872723</v>
      </c>
      <c r="T46" s="22">
        <f t="shared" si="21"/>
        <v>1364.7746045752258</v>
      </c>
    </row>
    <row r="47" spans="1:20" x14ac:dyDescent="0.2">
      <c r="A47" s="5">
        <v>56</v>
      </c>
      <c r="B47" s="1">
        <f t="shared" si="13"/>
        <v>2.6850638383899672</v>
      </c>
      <c r="C47" s="5">
        <f t="shared" si="14"/>
        <v>56345.815122914493</v>
      </c>
      <c r="D47" s="5">
        <f t="shared" si="15"/>
        <v>54023.303660908365</v>
      </c>
      <c r="E47" s="5">
        <f t="shared" si="1"/>
        <v>44523.303660908365</v>
      </c>
      <c r="F47" s="5">
        <f t="shared" si="2"/>
        <v>15840.939011377417</v>
      </c>
      <c r="G47" s="5">
        <f t="shared" si="3"/>
        <v>38182.364649530951</v>
      </c>
      <c r="H47" s="22">
        <f t="shared" si="16"/>
        <v>25360.712359790548</v>
      </c>
      <c r="I47" s="5">
        <f t="shared" si="17"/>
        <v>62097.516404813432</v>
      </c>
      <c r="J47" s="26">
        <f t="shared" si="19"/>
        <v>0.1940542959255582</v>
      </c>
      <c r="L47" s="22">
        <f t="shared" si="18"/>
        <v>117235.31413994441</v>
      </c>
      <c r="M47" s="5">
        <f>scrimecost*Meta!O44</f>
        <v>368.46</v>
      </c>
      <c r="N47" s="5">
        <f>L47-Grade9!L47</f>
        <v>1147.9938229662075</v>
      </c>
      <c r="O47" s="5">
        <f>Grade9!M47-M47</f>
        <v>7.589999999999975</v>
      </c>
      <c r="P47" s="22">
        <f t="shared" si="22"/>
        <v>263.73614708734721</v>
      </c>
      <c r="Q47" s="22"/>
      <c r="R47" s="22"/>
      <c r="S47" s="22">
        <f t="shared" si="20"/>
        <v>1104.0499142932283</v>
      </c>
      <c r="T47" s="22">
        <f t="shared" si="21"/>
        <v>1408.4459001538482</v>
      </c>
    </row>
    <row r="48" spans="1:20" x14ac:dyDescent="0.2">
      <c r="A48" s="5">
        <v>57</v>
      </c>
      <c r="B48" s="1">
        <f t="shared" si="13"/>
        <v>2.7521904343497163</v>
      </c>
      <c r="C48" s="5">
        <f t="shared" si="14"/>
        <v>57754.460500987363</v>
      </c>
      <c r="D48" s="5">
        <f t="shared" si="15"/>
        <v>55351.656252431079</v>
      </c>
      <c r="E48" s="5">
        <f t="shared" si="1"/>
        <v>45851.656252431079</v>
      </c>
      <c r="F48" s="5">
        <f t="shared" si="2"/>
        <v>16407.481391661855</v>
      </c>
      <c r="G48" s="5">
        <f t="shared" si="3"/>
        <v>38944.174860769228</v>
      </c>
      <c r="H48" s="22">
        <f t="shared" si="16"/>
        <v>25994.730168785311</v>
      </c>
      <c r="I48" s="5">
        <f t="shared" si="17"/>
        <v>63457.205409933769</v>
      </c>
      <c r="J48" s="26">
        <f t="shared" si="19"/>
        <v>0.19649491279043715</v>
      </c>
      <c r="L48" s="22">
        <f t="shared" si="18"/>
        <v>120166.19699344302</v>
      </c>
      <c r="M48" s="5">
        <f>scrimecost*Meta!O45</f>
        <v>368.46</v>
      </c>
      <c r="N48" s="5">
        <f>L48-Grade9!L48</f>
        <v>1176.6936685403634</v>
      </c>
      <c r="O48" s="5">
        <f>Grade9!M48-M48</f>
        <v>7.589999999999975</v>
      </c>
      <c r="P48" s="22">
        <f t="shared" si="22"/>
        <v>271.49441758726596</v>
      </c>
      <c r="Q48" s="22"/>
      <c r="R48" s="22"/>
      <c r="S48" s="22">
        <f t="shared" si="20"/>
        <v>1132.6067766368399</v>
      </c>
      <c r="T48" s="22">
        <f t="shared" si="21"/>
        <v>1453.4828818240376</v>
      </c>
    </row>
    <row r="49" spans="1:20" x14ac:dyDescent="0.2">
      <c r="A49" s="5">
        <v>58</v>
      </c>
      <c r="B49" s="1">
        <f t="shared" si="13"/>
        <v>2.8209951952084591</v>
      </c>
      <c r="C49" s="5">
        <f t="shared" si="14"/>
        <v>59198.322013512035</v>
      </c>
      <c r="D49" s="5">
        <f t="shared" si="15"/>
        <v>56713.217658741843</v>
      </c>
      <c r="E49" s="5">
        <f t="shared" si="1"/>
        <v>47213.217658741843</v>
      </c>
      <c r="F49" s="5">
        <f t="shared" si="2"/>
        <v>16988.187331453395</v>
      </c>
      <c r="G49" s="5">
        <f t="shared" si="3"/>
        <v>39725.030327288448</v>
      </c>
      <c r="H49" s="22">
        <f t="shared" si="16"/>
        <v>26644.598423004943</v>
      </c>
      <c r="I49" s="5">
        <f t="shared" si="17"/>
        <v>64850.886640182114</v>
      </c>
      <c r="J49" s="26">
        <f t="shared" si="19"/>
        <v>0.19887600241470924</v>
      </c>
      <c r="L49" s="22">
        <f t="shared" si="18"/>
        <v>123170.35191827909</v>
      </c>
      <c r="M49" s="5">
        <f>scrimecost*Meta!O46</f>
        <v>368.46</v>
      </c>
      <c r="N49" s="5">
        <f>L49-Grade9!L49</f>
        <v>1206.1110102538514</v>
      </c>
      <c r="O49" s="5">
        <f>Grade9!M49-M49</f>
        <v>7.589999999999975</v>
      </c>
      <c r="P49" s="22">
        <f t="shared" si="22"/>
        <v>279.44664484968257</v>
      </c>
      <c r="Q49" s="22"/>
      <c r="R49" s="22"/>
      <c r="S49" s="22">
        <f t="shared" si="20"/>
        <v>1161.8775605390258</v>
      </c>
      <c r="T49" s="22">
        <f t="shared" si="21"/>
        <v>1499.9280734046688</v>
      </c>
    </row>
    <row r="50" spans="1:20" x14ac:dyDescent="0.2">
      <c r="A50" s="5">
        <v>59</v>
      </c>
      <c r="B50" s="1">
        <f t="shared" si="13"/>
        <v>2.8915200750886707</v>
      </c>
      <c r="C50" s="5">
        <f t="shared" si="14"/>
        <v>60678.280063849845</v>
      </c>
      <c r="D50" s="5">
        <f t="shared" si="15"/>
        <v>58108.818100210396</v>
      </c>
      <c r="E50" s="5">
        <f t="shared" si="1"/>
        <v>48608.818100210396</v>
      </c>
      <c r="F50" s="5">
        <f t="shared" si="2"/>
        <v>17583.410919739734</v>
      </c>
      <c r="G50" s="5">
        <f t="shared" si="3"/>
        <v>40525.407180470662</v>
      </c>
      <c r="H50" s="22">
        <f t="shared" si="16"/>
        <v>27310.713383580067</v>
      </c>
      <c r="I50" s="5">
        <f t="shared" si="17"/>
        <v>66279.409901186664</v>
      </c>
      <c r="J50" s="26">
        <f t="shared" si="19"/>
        <v>0.2011990166822919</v>
      </c>
      <c r="L50" s="22">
        <f t="shared" si="18"/>
        <v>126249.61071623607</v>
      </c>
      <c r="M50" s="5">
        <f>scrimecost*Meta!O47</f>
        <v>368.46</v>
      </c>
      <c r="N50" s="5">
        <f>L50-Grade9!L50</f>
        <v>1236.2637855102366</v>
      </c>
      <c r="O50" s="5">
        <f>Grade9!M50-M50</f>
        <v>7.589999999999975</v>
      </c>
      <c r="P50" s="22">
        <f t="shared" si="22"/>
        <v>287.59767779365984</v>
      </c>
      <c r="Q50" s="22"/>
      <c r="R50" s="22"/>
      <c r="S50" s="22">
        <f t="shared" si="20"/>
        <v>1191.8801140388105</v>
      </c>
      <c r="T50" s="22">
        <f t="shared" si="21"/>
        <v>1547.8253217036922</v>
      </c>
    </row>
    <row r="51" spans="1:20" x14ac:dyDescent="0.2">
      <c r="A51" s="5">
        <v>60</v>
      </c>
      <c r="B51" s="1">
        <f t="shared" si="13"/>
        <v>2.9638080769658868</v>
      </c>
      <c r="C51" s="5">
        <f t="shared" si="14"/>
        <v>62195.237065446076</v>
      </c>
      <c r="D51" s="5">
        <f t="shared" si="15"/>
        <v>59539.308552715644</v>
      </c>
      <c r="E51" s="5">
        <f t="shared" si="1"/>
        <v>50039.308552715644</v>
      </c>
      <c r="F51" s="5">
        <f t="shared" si="2"/>
        <v>18193.515097733223</v>
      </c>
      <c r="G51" s="5">
        <f t="shared" si="3"/>
        <v>41345.79345498242</v>
      </c>
      <c r="H51" s="22">
        <f t="shared" si="16"/>
        <v>27993.48121816956</v>
      </c>
      <c r="I51" s="5">
        <f t="shared" si="17"/>
        <v>67743.646243716314</v>
      </c>
      <c r="J51" s="26">
        <f t="shared" si="19"/>
        <v>0.2034653720652993</v>
      </c>
      <c r="L51" s="22">
        <f t="shared" si="18"/>
        <v>129405.85098414193</v>
      </c>
      <c r="M51" s="5">
        <f>scrimecost*Meta!O48</f>
        <v>194.376</v>
      </c>
      <c r="N51" s="5">
        <f>L51-Grade9!L51</f>
        <v>1267.1703801479307</v>
      </c>
      <c r="O51" s="5">
        <f>Grade9!M51-M51</f>
        <v>4.0039999999999907</v>
      </c>
      <c r="P51" s="22">
        <f t="shared" si="22"/>
        <v>295.9524865612363</v>
      </c>
      <c r="Q51" s="22"/>
      <c r="R51" s="22"/>
      <c r="S51" s="22">
        <f t="shared" si="20"/>
        <v>1219.1184513760159</v>
      </c>
      <c r="T51" s="22">
        <f t="shared" si="21"/>
        <v>1592.6288615044555</v>
      </c>
    </row>
    <row r="52" spans="1:20" x14ac:dyDescent="0.2">
      <c r="A52" s="5">
        <v>61</v>
      </c>
      <c r="B52" s="1">
        <f t="shared" si="13"/>
        <v>3.0379032788900342</v>
      </c>
      <c r="C52" s="5">
        <f t="shared" si="14"/>
        <v>63750.117992082232</v>
      </c>
      <c r="D52" s="5">
        <f t="shared" si="15"/>
        <v>61005.561266533536</v>
      </c>
      <c r="E52" s="5">
        <f t="shared" si="1"/>
        <v>51505.561266533536</v>
      </c>
      <c r="F52" s="5">
        <f t="shared" si="2"/>
        <v>18818.871880176554</v>
      </c>
      <c r="G52" s="5">
        <f t="shared" si="3"/>
        <v>42186.689386356986</v>
      </c>
      <c r="H52" s="22">
        <f t="shared" si="16"/>
        <v>28693.318248623804</v>
      </c>
      <c r="I52" s="5">
        <f t="shared" si="17"/>
        <v>69244.488494809237</v>
      </c>
      <c r="J52" s="26">
        <f t="shared" si="19"/>
        <v>0.20567645048774552</v>
      </c>
      <c r="L52" s="22">
        <f t="shared" si="18"/>
        <v>132640.99725874551</v>
      </c>
      <c r="M52" s="5">
        <f>scrimecost*Meta!O49</f>
        <v>194.376</v>
      </c>
      <c r="N52" s="5">
        <f>L52-Grade9!L52</f>
        <v>1298.8496396516857</v>
      </c>
      <c r="O52" s="5">
        <f>Grade9!M52-M52</f>
        <v>4.0039999999999907</v>
      </c>
      <c r="P52" s="22">
        <f t="shared" si="22"/>
        <v>304.51616554800233</v>
      </c>
      <c r="Q52" s="22"/>
      <c r="R52" s="22"/>
      <c r="S52" s="22">
        <f t="shared" si="20"/>
        <v>1250.639884146738</v>
      </c>
      <c r="T52" s="22">
        <f t="shared" si="21"/>
        <v>1643.539915427355</v>
      </c>
    </row>
    <row r="53" spans="1:20" x14ac:dyDescent="0.2">
      <c r="A53" s="5">
        <v>62</v>
      </c>
      <c r="B53" s="1">
        <f t="shared" si="13"/>
        <v>3.1138508608622844</v>
      </c>
      <c r="C53" s="5">
        <f t="shared" si="14"/>
        <v>65343.870941884277</v>
      </c>
      <c r="D53" s="5">
        <f t="shared" si="15"/>
        <v>62508.470298196866</v>
      </c>
      <c r="E53" s="5">
        <f t="shared" si="1"/>
        <v>53008.470298196866</v>
      </c>
      <c r="F53" s="5">
        <f t="shared" si="2"/>
        <v>19459.862582180962</v>
      </c>
      <c r="G53" s="5">
        <f t="shared" si="3"/>
        <v>43048.607716015904</v>
      </c>
      <c r="H53" s="22">
        <f t="shared" si="16"/>
        <v>29410.651204839392</v>
      </c>
      <c r="I53" s="5">
        <f t="shared" si="17"/>
        <v>70782.851802179444</v>
      </c>
      <c r="J53" s="26">
        <f t="shared" si="19"/>
        <v>0.20783360016818087</v>
      </c>
      <c r="L53" s="22">
        <f t="shared" si="18"/>
        <v>135957.02219021413</v>
      </c>
      <c r="M53" s="5">
        <f>scrimecost*Meta!O50</f>
        <v>194.376</v>
      </c>
      <c r="N53" s="5">
        <f>L53-Grade9!L53</f>
        <v>1331.3208806429757</v>
      </c>
      <c r="O53" s="5">
        <f>Grade9!M53-M53</f>
        <v>4.0039999999999907</v>
      </c>
      <c r="P53" s="22">
        <f t="shared" si="22"/>
        <v>313.29393650943746</v>
      </c>
      <c r="Q53" s="22"/>
      <c r="R53" s="22"/>
      <c r="S53" s="22">
        <f t="shared" si="20"/>
        <v>1282.9493527366853</v>
      </c>
      <c r="T53" s="22">
        <f t="shared" si="21"/>
        <v>1696.0427595058466</v>
      </c>
    </row>
    <row r="54" spans="1:20" x14ac:dyDescent="0.2">
      <c r="A54" s="5">
        <v>63</v>
      </c>
      <c r="B54" s="1">
        <f t="shared" si="13"/>
        <v>3.1916971323838421</v>
      </c>
      <c r="C54" s="5">
        <f t="shared" si="14"/>
        <v>66977.467715431398</v>
      </c>
      <c r="D54" s="5">
        <f t="shared" si="15"/>
        <v>64048.952055651804</v>
      </c>
      <c r="E54" s="5">
        <f t="shared" si="1"/>
        <v>54548.952055651804</v>
      </c>
      <c r="F54" s="5">
        <f t="shared" si="2"/>
        <v>20116.878051735494</v>
      </c>
      <c r="G54" s="5">
        <f t="shared" si="3"/>
        <v>43932.074003916307</v>
      </c>
      <c r="H54" s="22">
        <f t="shared" si="16"/>
        <v>30145.917484960381</v>
      </c>
      <c r="I54" s="5">
        <f t="shared" si="17"/>
        <v>72359.674192233942</v>
      </c>
      <c r="J54" s="26">
        <f t="shared" si="19"/>
        <v>0.20993813644177639</v>
      </c>
      <c r="L54" s="22">
        <f t="shared" si="18"/>
        <v>139355.94774496948</v>
      </c>
      <c r="M54" s="5">
        <f>scrimecost*Meta!O51</f>
        <v>194.376</v>
      </c>
      <c r="N54" s="5">
        <f>L54-Grade9!L54</f>
        <v>1364.6039026590588</v>
      </c>
      <c r="O54" s="5">
        <f>Grade9!M54-M54</f>
        <v>4.0039999999999907</v>
      </c>
      <c r="P54" s="22">
        <f t="shared" si="22"/>
        <v>322.2911517449084</v>
      </c>
      <c r="Q54" s="22"/>
      <c r="R54" s="22"/>
      <c r="S54" s="22">
        <f t="shared" si="20"/>
        <v>1316.066558041389</v>
      </c>
      <c r="T54" s="22">
        <f t="shared" si="21"/>
        <v>1750.1869560747903</v>
      </c>
    </row>
    <row r="55" spans="1:20" x14ac:dyDescent="0.2">
      <c r="A55" s="5">
        <v>64</v>
      </c>
      <c r="B55" s="1">
        <f t="shared" si="13"/>
        <v>3.2714895606934378</v>
      </c>
      <c r="C55" s="5">
        <f t="shared" si="14"/>
        <v>68651.904408317176</v>
      </c>
      <c r="D55" s="5">
        <f t="shared" si="15"/>
        <v>65627.945857043087</v>
      </c>
      <c r="E55" s="5">
        <f t="shared" si="1"/>
        <v>56127.945857043087</v>
      </c>
      <c r="F55" s="5">
        <f t="shared" si="2"/>
        <v>20790.318908028876</v>
      </c>
      <c r="G55" s="5">
        <f t="shared" si="3"/>
        <v>44837.626949014215</v>
      </c>
      <c r="H55" s="22">
        <f t="shared" si="16"/>
        <v>30899.56542208439</v>
      </c>
      <c r="I55" s="5">
        <f t="shared" si="17"/>
        <v>73975.917142039791</v>
      </c>
      <c r="J55" s="26">
        <f t="shared" si="19"/>
        <v>0.21199134256235733</v>
      </c>
      <c r="L55" s="22">
        <f t="shared" si="18"/>
        <v>142839.84643859373</v>
      </c>
      <c r="M55" s="5">
        <f>scrimecost*Meta!O52</f>
        <v>194.376</v>
      </c>
      <c r="N55" s="5">
        <f>L55-Grade9!L55</f>
        <v>1398.7190002255375</v>
      </c>
      <c r="O55" s="5">
        <f>Grade9!M55-M55</f>
        <v>4.0039999999999907</v>
      </c>
      <c r="P55" s="22">
        <f t="shared" si="22"/>
        <v>331.51329736126621</v>
      </c>
      <c r="Q55" s="22"/>
      <c r="R55" s="22"/>
      <c r="S55" s="22">
        <f t="shared" si="20"/>
        <v>1350.0116934787056</v>
      </c>
      <c r="T55" s="22">
        <f t="shared" si="21"/>
        <v>1806.0236094277629</v>
      </c>
    </row>
    <row r="56" spans="1:20" x14ac:dyDescent="0.2">
      <c r="A56" s="5">
        <v>65</v>
      </c>
      <c r="B56" s="1">
        <f t="shared" si="13"/>
        <v>3.3532767997107733</v>
      </c>
      <c r="C56" s="5">
        <f t="shared" si="14"/>
        <v>70368.202018525088</v>
      </c>
      <c r="D56" s="5">
        <f t="shared" si="15"/>
        <v>67246.414503469146</v>
      </c>
      <c r="E56" s="5">
        <f t="shared" si="1"/>
        <v>57746.414503469146</v>
      </c>
      <c r="F56" s="5">
        <f t="shared" si="2"/>
        <v>21480.595785729591</v>
      </c>
      <c r="G56" s="5">
        <f t="shared" si="3"/>
        <v>45765.818717739559</v>
      </c>
      <c r="H56" s="22">
        <f t="shared" si="16"/>
        <v>31672.054557636497</v>
      </c>
      <c r="I56" s="5">
        <f t="shared" si="17"/>
        <v>75632.566165590775</v>
      </c>
      <c r="J56" s="26">
        <f t="shared" si="19"/>
        <v>0.2139944704848753</v>
      </c>
      <c r="L56" s="22">
        <f t="shared" si="18"/>
        <v>146410.84259955856</v>
      </c>
      <c r="M56" s="5">
        <f>scrimecost*Meta!O53</f>
        <v>58.74</v>
      </c>
      <c r="N56" s="5">
        <f>L56-Grade9!L56</f>
        <v>1433.6869752311613</v>
      </c>
      <c r="O56" s="5">
        <f>Grade9!M56-M56</f>
        <v>1.2100000000000009</v>
      </c>
      <c r="P56" s="22">
        <f t="shared" si="22"/>
        <v>340.96599661803293</v>
      </c>
      <c r="Q56" s="22"/>
      <c r="R56" s="22"/>
      <c r="S56" s="22">
        <f t="shared" si="20"/>
        <v>1382.0673373019433</v>
      </c>
      <c r="T56" s="22">
        <f t="shared" si="21"/>
        <v>1859.9205819321746</v>
      </c>
    </row>
    <row r="57" spans="1:20" x14ac:dyDescent="0.2">
      <c r="A57" s="5">
        <v>66</v>
      </c>
      <c r="C57" s="5"/>
      <c r="H57" s="21"/>
      <c r="I57" s="5"/>
      <c r="M57" s="5">
        <f>scrimecost*Meta!O54</f>
        <v>58.74</v>
      </c>
      <c r="N57" s="5">
        <f>L57-Grade9!L57</f>
        <v>0</v>
      </c>
      <c r="O57" s="5">
        <f>Grade9!M57-M57</f>
        <v>1.2100000000000009</v>
      </c>
      <c r="Q57" s="22"/>
      <c r="R57" s="22"/>
      <c r="S57" s="22">
        <f t="shared" si="20"/>
        <v>1.1858000000000009</v>
      </c>
      <c r="T57" s="22">
        <f t="shared" si="21"/>
        <v>1.6052990437723769</v>
      </c>
    </row>
    <row r="58" spans="1:20" x14ac:dyDescent="0.2">
      <c r="A58" s="5">
        <v>67</v>
      </c>
      <c r="C58" s="5"/>
      <c r="H58" s="21"/>
      <c r="I58" s="5"/>
      <c r="M58" s="5">
        <f>scrimecost*Meta!O55</f>
        <v>58.74</v>
      </c>
      <c r="N58" s="5">
        <f>L58-Grade9!L58</f>
        <v>0</v>
      </c>
      <c r="O58" s="5">
        <f>Grade9!M58-M58</f>
        <v>1.2100000000000009</v>
      </c>
      <c r="Q58" s="22"/>
      <c r="R58" s="22"/>
      <c r="S58" s="22">
        <f t="shared" si="20"/>
        <v>1.1858000000000009</v>
      </c>
      <c r="T58" s="22">
        <f t="shared" si="21"/>
        <v>1.614861389633083</v>
      </c>
    </row>
    <row r="59" spans="1:20" x14ac:dyDescent="0.2">
      <c r="A59" s="5">
        <v>68</v>
      </c>
      <c r="H59" s="21"/>
      <c r="I59" s="5"/>
      <c r="M59" s="5">
        <f>scrimecost*Meta!O56</f>
        <v>58.74</v>
      </c>
      <c r="N59" s="5">
        <f>L59-Grade9!L59</f>
        <v>0</v>
      </c>
      <c r="O59" s="5">
        <f>Grade9!M59-M59</f>
        <v>1.2100000000000009</v>
      </c>
      <c r="Q59" s="22"/>
      <c r="R59" s="22"/>
      <c r="S59" s="22">
        <f t="shared" si="20"/>
        <v>1.1858000000000009</v>
      </c>
      <c r="T59" s="22">
        <f t="shared" si="21"/>
        <v>1.6244806958830167</v>
      </c>
    </row>
    <row r="60" spans="1:20" x14ac:dyDescent="0.2">
      <c r="A60" s="5">
        <v>69</v>
      </c>
      <c r="H60" s="21"/>
      <c r="I60" s="5"/>
      <c r="M60" s="5">
        <f>scrimecost*Meta!O57</f>
        <v>58.74</v>
      </c>
      <c r="N60" s="5">
        <f>L60-Grade9!L60</f>
        <v>0</v>
      </c>
      <c r="O60" s="5">
        <f>Grade9!M60-M60</f>
        <v>1.2100000000000009</v>
      </c>
      <c r="Q60" s="22"/>
      <c r="R60" s="22"/>
      <c r="S60" s="22">
        <f t="shared" si="20"/>
        <v>1.1858000000000009</v>
      </c>
      <c r="T60" s="22">
        <f t="shared" si="21"/>
        <v>1.6341573018202944</v>
      </c>
    </row>
    <row r="61" spans="1:20" x14ac:dyDescent="0.2">
      <c r="A61" s="5">
        <v>70</v>
      </c>
      <c r="H61" s="21"/>
      <c r="I61" s="5"/>
      <c r="M61" s="5">
        <f>scrimecost*Meta!O58</f>
        <v>58.74</v>
      </c>
      <c r="N61" s="5">
        <f>L61-Grade9!L61</f>
        <v>0</v>
      </c>
      <c r="O61" s="5">
        <f>Grade9!M61-M61</f>
        <v>1.2100000000000009</v>
      </c>
      <c r="Q61" s="22"/>
      <c r="R61" s="22"/>
      <c r="S61" s="22">
        <f t="shared" si="20"/>
        <v>1.1858000000000009</v>
      </c>
      <c r="T61" s="22">
        <f t="shared" si="21"/>
        <v>1.6438915487641428</v>
      </c>
    </row>
    <row r="62" spans="1:20" x14ac:dyDescent="0.2">
      <c r="A62" s="5">
        <v>71</v>
      </c>
      <c r="H62" s="21"/>
      <c r="I62" s="5"/>
      <c r="M62" s="5">
        <f>scrimecost*Meta!O59</f>
        <v>58.74</v>
      </c>
      <c r="N62" s="5">
        <f>L62-Grade9!L62</f>
        <v>0</v>
      </c>
      <c r="O62" s="5">
        <f>Grade9!M62-M62</f>
        <v>1.2100000000000009</v>
      </c>
      <c r="Q62" s="22"/>
      <c r="R62" s="22"/>
      <c r="S62" s="22">
        <f t="shared" si="20"/>
        <v>1.1858000000000009</v>
      </c>
      <c r="T62" s="22">
        <f t="shared" si="21"/>
        <v>1.6536837800669379</v>
      </c>
    </row>
    <row r="63" spans="1:20" x14ac:dyDescent="0.2">
      <c r="A63" s="5">
        <v>72</v>
      </c>
      <c r="H63" s="21"/>
      <c r="M63" s="5">
        <f>scrimecost*Meta!O60</f>
        <v>58.74</v>
      </c>
      <c r="N63" s="5">
        <f>L63-Grade9!L63</f>
        <v>0</v>
      </c>
      <c r="O63" s="5">
        <f>Grade9!M63-M63</f>
        <v>1.2100000000000009</v>
      </c>
      <c r="Q63" s="22"/>
      <c r="R63" s="22"/>
      <c r="S63" s="22">
        <f t="shared" si="20"/>
        <v>1.1858000000000009</v>
      </c>
      <c r="T63" s="22">
        <f t="shared" si="21"/>
        <v>1.663534341126315</v>
      </c>
    </row>
    <row r="64" spans="1:20" x14ac:dyDescent="0.2">
      <c r="A64" s="5">
        <v>73</v>
      </c>
      <c r="H64" s="21"/>
      <c r="M64" s="5">
        <f>scrimecost*Meta!O61</f>
        <v>58.74</v>
      </c>
      <c r="N64" s="5">
        <f>L64-Grade9!L64</f>
        <v>0</v>
      </c>
      <c r="O64" s="5">
        <f>Grade9!M64-M64</f>
        <v>1.2100000000000009</v>
      </c>
      <c r="Q64" s="22"/>
      <c r="R64" s="22"/>
      <c r="S64" s="22">
        <f t="shared" si="20"/>
        <v>1.1858000000000009</v>
      </c>
      <c r="T64" s="22">
        <f t="shared" si="21"/>
        <v>1.6734435793973543</v>
      </c>
    </row>
    <row r="65" spans="1:20" x14ac:dyDescent="0.2">
      <c r="A65" s="5">
        <v>74</v>
      </c>
      <c r="H65" s="21"/>
      <c r="M65" s="5">
        <f>scrimecost*Meta!O62</f>
        <v>58.74</v>
      </c>
      <c r="N65" s="5">
        <f>L65-Grade9!L65</f>
        <v>0</v>
      </c>
      <c r="O65" s="5">
        <f>Grade9!M65-M65</f>
        <v>1.2100000000000009</v>
      </c>
      <c r="Q65" s="22"/>
      <c r="R65" s="22"/>
      <c r="S65" s="22">
        <f t="shared" si="20"/>
        <v>1.1858000000000009</v>
      </c>
      <c r="T65" s="22">
        <f t="shared" si="21"/>
        <v>1.6834118444048336</v>
      </c>
    </row>
    <row r="66" spans="1:20" x14ac:dyDescent="0.2">
      <c r="A66" s="5">
        <v>75</v>
      </c>
      <c r="H66" s="21"/>
      <c r="M66" s="5">
        <f>scrimecost*Meta!O63</f>
        <v>58.74</v>
      </c>
      <c r="N66" s="5">
        <f>L66-Grade9!L66</f>
        <v>0</v>
      </c>
      <c r="O66" s="5">
        <f>Grade9!M66-M66</f>
        <v>1.2100000000000009</v>
      </c>
      <c r="Q66" s="22"/>
      <c r="R66" s="22"/>
      <c r="S66" s="22">
        <f t="shared" si="20"/>
        <v>1.1858000000000009</v>
      </c>
      <c r="T66" s="22">
        <f t="shared" si="21"/>
        <v>1.6934394877555581</v>
      </c>
    </row>
    <row r="67" spans="1:20" x14ac:dyDescent="0.2">
      <c r="A67" s="5">
        <v>76</v>
      </c>
      <c r="H67" s="21"/>
      <c r="M67" s="5">
        <f>scrimecost*Meta!O64</f>
        <v>58.74</v>
      </c>
      <c r="N67" s="5">
        <f>L67-Grade9!L67</f>
        <v>0</v>
      </c>
      <c r="O67" s="5">
        <f>Grade9!M67-M67</f>
        <v>1.2100000000000009</v>
      </c>
      <c r="Q67" s="22"/>
      <c r="R67" s="22"/>
      <c r="S67" s="22">
        <f t="shared" si="20"/>
        <v>1.1858000000000009</v>
      </c>
      <c r="T67" s="22">
        <f t="shared" si="21"/>
        <v>1.7035268631507632</v>
      </c>
    </row>
    <row r="68" spans="1:20" x14ac:dyDescent="0.2">
      <c r="A68" s="5">
        <v>77</v>
      </c>
      <c r="H68" s="21"/>
      <c r="M68" s="5">
        <f>scrimecost*Meta!O65</f>
        <v>58.74</v>
      </c>
      <c r="N68" s="5">
        <f>L68-Grade9!L68</f>
        <v>0</v>
      </c>
      <c r="O68" s="5">
        <f>Grade9!M68-M68</f>
        <v>1.2100000000000009</v>
      </c>
      <c r="Q68" s="22"/>
      <c r="R68" s="22"/>
      <c r="S68" s="22">
        <f t="shared" si="20"/>
        <v>1.1858000000000009</v>
      </c>
      <c r="T68" s="22">
        <f t="shared" si="21"/>
        <v>1.7136743263985899</v>
      </c>
    </row>
    <row r="69" spans="1:20" x14ac:dyDescent="0.2">
      <c r="A69" s="5">
        <v>78</v>
      </c>
      <c r="H69" s="21"/>
      <c r="M69" s="5">
        <f>scrimecost*Meta!O66</f>
        <v>58.74</v>
      </c>
      <c r="N69" s="5">
        <f>L69-Grade9!L69</f>
        <v>0</v>
      </c>
      <c r="O69" s="5">
        <f>Grade9!M69-M69</f>
        <v>1.2100000000000009</v>
      </c>
      <c r="Q69" s="22"/>
      <c r="R69" s="22"/>
      <c r="S69" s="22">
        <f t="shared" si="20"/>
        <v>1.1858000000000009</v>
      </c>
      <c r="T69" s="22">
        <f t="shared" si="21"/>
        <v>1.723882235426635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2.4856836144948602E-8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P8" sqref="P8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Meta!A5+6</f>
        <v>17</v>
      </c>
      <c r="C2" s="7">
        <f>Meta!B5</f>
        <v>42625</v>
      </c>
      <c r="D2" s="7">
        <f>Meta!C5</f>
        <v>19185</v>
      </c>
      <c r="E2" s="1">
        <f>Meta!D5</f>
        <v>5.3999999999999999E-2</v>
      </c>
      <c r="F2" s="1">
        <f>Meta!F5</f>
        <v>0.65100000000000002</v>
      </c>
      <c r="G2" s="1">
        <f>Meta!I5</f>
        <v>1.9210422854781857</v>
      </c>
      <c r="H2" s="1">
        <f>Meta!E5</f>
        <v>0.98</v>
      </c>
      <c r="I2" s="13"/>
      <c r="J2" s="1">
        <f>Meta!X4</f>
        <v>0.745</v>
      </c>
      <c r="K2" s="1">
        <f>Meta!D4</f>
        <v>5.7000000000000002E-2</v>
      </c>
      <c r="L2" s="29"/>
      <c r="N2" s="22">
        <f>Meta!T5</f>
        <v>62757</v>
      </c>
      <c r="O2" s="22">
        <f>Meta!U5</f>
        <v>27305</v>
      </c>
      <c r="P2" s="1">
        <f>Meta!V5</f>
        <v>3.6999999999999998E-2</v>
      </c>
      <c r="Q2" s="1">
        <f>Meta!X5</f>
        <v>0.754</v>
      </c>
      <c r="R2" s="22">
        <f>Meta!W5</f>
        <v>1046</v>
      </c>
      <c r="T2" s="12">
        <f>IRR(S5:S69)+1</f>
        <v>0.99062928778078796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B7" s="1">
        <v>1</v>
      </c>
      <c r="C7" s="5">
        <f>0.1*Grade10!C7</f>
        <v>2098.4907068988305</v>
      </c>
      <c r="D7" s="5">
        <f t="shared" ref="D7:D36" si="0">IF(A7&lt;startage,1,0)*(C7*(1-initialunempprob))+IF(A7=startage,1,0)*(C7*(1-unempprob))+IF(A7&gt;startage,1,0)*(C7*(1-unempprob)+unempprob*300*52)</f>
        <v>1978.876736605597</v>
      </c>
      <c r="E7" s="5">
        <f t="shared" ref="E7:E56" si="1">IF(D7-9500&gt;0,1,0)*(D7-9500)</f>
        <v>0</v>
      </c>
      <c r="F7" s="5">
        <f t="shared" ref="F7:F56" si="2">IF(E7&lt;=8500,1,0)*(0.1*E7+0.1*E7+0.0765*D7)+IF(AND(E7&gt;8500,E7&lt;=34500),1,0)*(850+0.15*(E7-8500)+0.1*E7+0.0765*D7)+IF(AND(E7&gt;34500,E7&lt;=83600),1,0)*(4750+0.25*(E7-34500)+0.1*E7+0.0765*D7)+IF(AND(E7&gt;83600,E7&lt;=174400,D7&lt;=106800),1,0)*(17025+0.28*(E7-83600)+0.1*E7+0.0765*D7)+IF(AND(E7&gt;83600,E7&lt;=174400,D7&gt;106800),1,0)*(17025+0.28*(E7-83600)+0.1*E7+8170.2+0.0145*(D7-106800))+IF(AND(E7&gt;174400,E7&lt;=379150),1,0)*(42449+0.33*(E7-174400)+0.1*E7+8170.2+0.0145*(D7-106800))+IF(E7&gt;379150,1,0)*(110016.5+0.35*(E7-379150)+0.1*E7+8170.2+0.0145*(D7-106800))</f>
        <v>151.38407035032816</v>
      </c>
      <c r="G7" s="5">
        <f t="shared" ref="G7:G56" si="3">D7-F7</f>
        <v>1827.4926662552689</v>
      </c>
      <c r="H7" s="22">
        <f>0.1*Grade10!H7</f>
        <v>944.51059215774478</v>
      </c>
      <c r="I7" s="5">
        <f t="shared" ref="I7:I36" si="4">G7+IF(A7&lt;startage,1,0)*(H7*(1-initialunempprob))+IF(A7&gt;=startage,1,0)*(H7*(1-unempprob))</f>
        <v>2718.1661546600221</v>
      </c>
      <c r="J7" s="26">
        <f t="shared" ref="J7:J38" si="5">(F7-(IF(A7&gt;startage,1,0)*(unempprob*300*52)))/(IF(A7&lt;startage,1,0)*((C7+H7)*(1-initialunempprob))+IF(A7&gt;=startage,1,0)*((C7+H7)*(1-unempprob)))</f>
        <v>5.2755330445481974E-2</v>
      </c>
      <c r="L7" s="22">
        <f>0.1*Grade10!L7</f>
        <v>4366.2021164547687</v>
      </c>
      <c r="M7" s="5">
        <f>scrimecost*Meta!O4</f>
        <v>2456.0079999999998</v>
      </c>
      <c r="N7" s="5">
        <f>L7-Grade10!L7</f>
        <v>-39295.819048092919</v>
      </c>
      <c r="O7" s="5"/>
      <c r="P7" s="22"/>
      <c r="Q7" s="22">
        <f>0.05*feel*Grade10!G7</f>
        <v>225.78828749454178</v>
      </c>
      <c r="R7" s="22">
        <f>hstuition</f>
        <v>11298</v>
      </c>
      <c r="S7" s="22">
        <f t="shared" ref="S7:S38" si="6">IF(A7&lt;startage,1,0)*(N7-Q7-R7)+IF(A7&gt;=startage,1,0)*completionprob*(N7*spart+O7+P7)</f>
        <v>-50819.607335587461</v>
      </c>
      <c r="T7" s="22">
        <f t="shared" ref="T7:T38" si="7">S7/sreturn^(A7-startage+1)</f>
        <v>-50819.607335587461</v>
      </c>
    </row>
    <row r="8" spans="1:20" x14ac:dyDescent="0.2">
      <c r="A8" s="5">
        <v>17</v>
      </c>
      <c r="B8" s="1">
        <f t="shared" ref="B8:B36" si="8">(1+experiencepremium)^(A8-startage)</f>
        <v>1</v>
      </c>
      <c r="C8" s="5">
        <f t="shared" ref="C8:C36" si="9">pretaxincome*B8/expnorm</f>
        <v>22188.475663558747</v>
      </c>
      <c r="D8" s="5">
        <f t="shared" si="0"/>
        <v>20990.297977726575</v>
      </c>
      <c r="E8" s="5">
        <f t="shared" si="1"/>
        <v>11490.297977726575</v>
      </c>
      <c r="F8" s="5">
        <f t="shared" si="2"/>
        <v>4053.3322897277267</v>
      </c>
      <c r="G8" s="5">
        <f t="shared" si="3"/>
        <v>16936.965687998847</v>
      </c>
      <c r="H8" s="22">
        <f t="shared" ref="H8:H36" si="10">benefits*B8/expnorm</f>
        <v>9986.7661139090815</v>
      </c>
      <c r="I8" s="5">
        <f t="shared" si="4"/>
        <v>26384.446431756838</v>
      </c>
      <c r="J8" s="26">
        <f t="shared" si="5"/>
        <v>0.13316780855846996</v>
      </c>
      <c r="L8" s="22">
        <f t="shared" ref="L8:L36" si="11">(sincome+sbenefits)*(1-sunemp)*B8/expnorm</f>
        <v>45147.213393281054</v>
      </c>
      <c r="M8" s="5">
        <f>scrimecost*Meta!O5</f>
        <v>2836.7520000000004</v>
      </c>
      <c r="N8" s="5">
        <f>L8-Grade10!L8</f>
        <v>393.64169961967127</v>
      </c>
      <c r="O8" s="5">
        <f>Grade10!M8-M8</f>
        <v>59.66399999999976</v>
      </c>
      <c r="P8" s="22">
        <f t="shared" ref="P8:P39" si="12">(spart-initialspart)*(L8*J8+nptrans)</f>
        <v>113.09539923094368</v>
      </c>
      <c r="Q8" s="22"/>
      <c r="R8" s="22"/>
      <c r="S8" s="22">
        <f t="shared" si="6"/>
        <v>460.1739359292921</v>
      </c>
      <c r="T8" s="22">
        <f t="shared" si="7"/>
        <v>464.5268836742913</v>
      </c>
    </row>
    <row r="9" spans="1:20" x14ac:dyDescent="0.2">
      <c r="A9" s="5">
        <v>18</v>
      </c>
      <c r="B9" s="1">
        <f t="shared" si="8"/>
        <v>1.0249999999999999</v>
      </c>
      <c r="C9" s="5">
        <f t="shared" si="9"/>
        <v>22743.187555147713</v>
      </c>
      <c r="D9" s="5">
        <f t="shared" si="0"/>
        <v>22357.455427169738</v>
      </c>
      <c r="E9" s="5">
        <f t="shared" si="1"/>
        <v>12857.455427169738</v>
      </c>
      <c r="F9" s="5">
        <f t="shared" si="2"/>
        <v>4499.7091969709199</v>
      </c>
      <c r="G9" s="5">
        <f t="shared" si="3"/>
        <v>17857.74623019882</v>
      </c>
      <c r="H9" s="22">
        <f t="shared" si="10"/>
        <v>10236.435266756807</v>
      </c>
      <c r="I9" s="5">
        <f t="shared" si="4"/>
        <v>27541.413992550759</v>
      </c>
      <c r="J9" s="26">
        <f t="shared" si="5"/>
        <v>0.11722624591891166</v>
      </c>
      <c r="L9" s="22">
        <f t="shared" si="11"/>
        <v>46275.893728113071</v>
      </c>
      <c r="M9" s="5">
        <f>scrimecost*Meta!O6</f>
        <v>3447.616</v>
      </c>
      <c r="N9" s="5">
        <f>L9-Grade10!L9</f>
        <v>403.48274211015087</v>
      </c>
      <c r="O9" s="5">
        <f>Grade10!M9-M9</f>
        <v>72.511999999999716</v>
      </c>
      <c r="P9" s="22">
        <f t="shared" si="12"/>
        <v>107.80874368460293</v>
      </c>
      <c r="Q9" s="22"/>
      <c r="R9" s="22"/>
      <c r="S9" s="22">
        <f t="shared" si="6"/>
        <v>474.85579661094329</v>
      </c>
      <c r="T9" s="22">
        <f t="shared" si="7"/>
        <v>483.88194370273078</v>
      </c>
    </row>
    <row r="10" spans="1:20" x14ac:dyDescent="0.2">
      <c r="A10" s="5">
        <v>19</v>
      </c>
      <c r="B10" s="1">
        <f t="shared" si="8"/>
        <v>1.0506249999999999</v>
      </c>
      <c r="C10" s="5">
        <f t="shared" si="9"/>
        <v>23311.76724402641</v>
      </c>
      <c r="D10" s="5">
        <f t="shared" si="0"/>
        <v>22895.331812848985</v>
      </c>
      <c r="E10" s="5">
        <f t="shared" si="1"/>
        <v>13395.331812848985</v>
      </c>
      <c r="F10" s="5">
        <f t="shared" si="2"/>
        <v>4675.3258368951938</v>
      </c>
      <c r="G10" s="5">
        <f t="shared" si="3"/>
        <v>18220.005975953791</v>
      </c>
      <c r="H10" s="22">
        <f t="shared" si="10"/>
        <v>10492.346148425728</v>
      </c>
      <c r="I10" s="5">
        <f t="shared" si="4"/>
        <v>28145.765432364529</v>
      </c>
      <c r="J10" s="26">
        <f t="shared" si="5"/>
        <v>0.11985874608257295</v>
      </c>
      <c r="L10" s="22">
        <f t="shared" si="11"/>
        <v>47432.7910713159</v>
      </c>
      <c r="M10" s="5">
        <f>scrimecost*Meta!O7</f>
        <v>3685.058</v>
      </c>
      <c r="N10" s="5">
        <f>L10-Grade10!L10</f>
        <v>413.56981066292064</v>
      </c>
      <c r="O10" s="5">
        <f>Grade10!M10-M10</f>
        <v>77.506000000000313</v>
      </c>
      <c r="P10" s="22">
        <f t="shared" si="12"/>
        <v>110.15311374904137</v>
      </c>
      <c r="Q10" s="22"/>
      <c r="R10" s="22"/>
      <c r="S10" s="22">
        <f t="shared" si="6"/>
        <v>489.50093596910619</v>
      </c>
      <c r="T10" s="22">
        <f t="shared" si="7"/>
        <v>503.5238375645597</v>
      </c>
    </row>
    <row r="11" spans="1:20" x14ac:dyDescent="0.2">
      <c r="A11" s="5">
        <v>20</v>
      </c>
      <c r="B11" s="1">
        <f t="shared" si="8"/>
        <v>1.0768906249999999</v>
      </c>
      <c r="C11" s="5">
        <f t="shared" si="9"/>
        <v>23894.561425127067</v>
      </c>
      <c r="D11" s="5">
        <f t="shared" si="0"/>
        <v>23446.655108170205</v>
      </c>
      <c r="E11" s="5">
        <f t="shared" si="1"/>
        <v>13946.655108170205</v>
      </c>
      <c r="F11" s="5">
        <f t="shared" si="2"/>
        <v>4855.3328928175724</v>
      </c>
      <c r="G11" s="5">
        <f t="shared" si="3"/>
        <v>18591.322215352633</v>
      </c>
      <c r="H11" s="22">
        <f t="shared" si="10"/>
        <v>10754.654802136371</v>
      </c>
      <c r="I11" s="5">
        <f t="shared" si="4"/>
        <v>28765.225658173636</v>
      </c>
      <c r="J11" s="26">
        <f t="shared" si="5"/>
        <v>0.12242703892516932</v>
      </c>
      <c r="L11" s="22">
        <f t="shared" si="11"/>
        <v>48618.610848098797</v>
      </c>
      <c r="M11" s="5">
        <f>scrimecost*Meta!O8</f>
        <v>3529.2040000000002</v>
      </c>
      <c r="N11" s="5">
        <f>L11-Grade10!L11</f>
        <v>423.90905592949275</v>
      </c>
      <c r="O11" s="5">
        <f>Grade10!M11-M11</f>
        <v>74.228000000000065</v>
      </c>
      <c r="P11" s="22">
        <f t="shared" si="12"/>
        <v>112.55609306509076</v>
      </c>
      <c r="Q11" s="22"/>
      <c r="R11" s="22"/>
      <c r="S11" s="22">
        <f t="shared" si="6"/>
        <v>496.28329081120978</v>
      </c>
      <c r="T11" s="22">
        <f t="shared" si="7"/>
        <v>515.32949323668561</v>
      </c>
    </row>
    <row r="12" spans="1:20" x14ac:dyDescent="0.2">
      <c r="A12" s="5">
        <v>21</v>
      </c>
      <c r="B12" s="1">
        <f t="shared" si="8"/>
        <v>1.1038128906249998</v>
      </c>
      <c r="C12" s="5">
        <f t="shared" si="9"/>
        <v>24491.925460755243</v>
      </c>
      <c r="D12" s="5">
        <f t="shared" si="0"/>
        <v>24011.76148587446</v>
      </c>
      <c r="E12" s="5">
        <f t="shared" si="1"/>
        <v>14511.76148587446</v>
      </c>
      <c r="F12" s="5">
        <f t="shared" si="2"/>
        <v>5039.840125138011</v>
      </c>
      <c r="G12" s="5">
        <f t="shared" si="3"/>
        <v>18971.921360736451</v>
      </c>
      <c r="H12" s="22">
        <f t="shared" si="10"/>
        <v>11023.521172189779</v>
      </c>
      <c r="I12" s="5">
        <f t="shared" si="4"/>
        <v>29400.17238962798</v>
      </c>
      <c r="J12" s="26">
        <f t="shared" si="5"/>
        <v>0.12493269047892187</v>
      </c>
      <c r="L12" s="22">
        <f t="shared" si="11"/>
        <v>49834.076119301266</v>
      </c>
      <c r="M12" s="5">
        <f>scrimecost*Meta!O9</f>
        <v>3204.944</v>
      </c>
      <c r="N12" s="5">
        <f>L12-Grade10!L12</f>
        <v>434.50678232773498</v>
      </c>
      <c r="O12" s="5">
        <f>Grade10!M12-M12</f>
        <v>67.407999999999902</v>
      </c>
      <c r="P12" s="22">
        <f t="shared" si="12"/>
        <v>115.01914686404139</v>
      </c>
      <c r="Q12" s="22"/>
      <c r="R12" s="22"/>
      <c r="S12" s="22">
        <f t="shared" si="6"/>
        <v>499.84435552437037</v>
      </c>
      <c r="T12" s="22">
        <f t="shared" si="7"/>
        <v>523.93688513136647</v>
      </c>
    </row>
    <row r="13" spans="1:20" x14ac:dyDescent="0.2">
      <c r="A13" s="5">
        <v>22</v>
      </c>
      <c r="B13" s="1">
        <f t="shared" si="8"/>
        <v>1.1314082128906247</v>
      </c>
      <c r="C13" s="5">
        <f t="shared" si="9"/>
        <v>25104.223597274122</v>
      </c>
      <c r="D13" s="5">
        <f t="shared" si="0"/>
        <v>24590.99552302132</v>
      </c>
      <c r="E13" s="5">
        <f t="shared" si="1"/>
        <v>15090.99552302132</v>
      </c>
      <c r="F13" s="5">
        <f t="shared" si="2"/>
        <v>5228.9600382664612</v>
      </c>
      <c r="G13" s="5">
        <f t="shared" si="3"/>
        <v>19362.035484754859</v>
      </c>
      <c r="H13" s="22">
        <f t="shared" si="10"/>
        <v>11299.109201494522</v>
      </c>
      <c r="I13" s="5">
        <f t="shared" si="4"/>
        <v>30050.992789368676</v>
      </c>
      <c r="J13" s="26">
        <f t="shared" si="5"/>
        <v>0.12737722858014391</v>
      </c>
      <c r="L13" s="22">
        <f t="shared" si="11"/>
        <v>51079.928022283792</v>
      </c>
      <c r="M13" s="5">
        <f>scrimecost*Meta!O10</f>
        <v>2937.1679999999997</v>
      </c>
      <c r="N13" s="5">
        <f>L13-Grade10!L13</f>
        <v>445.36945188592654</v>
      </c>
      <c r="O13" s="5">
        <f>Grade10!M13-M13</f>
        <v>61.776000000000295</v>
      </c>
      <c r="P13" s="22">
        <f t="shared" si="12"/>
        <v>117.54377700796577</v>
      </c>
      <c r="Q13" s="22"/>
      <c r="R13" s="22"/>
      <c r="S13" s="22">
        <f t="shared" si="6"/>
        <v>504.82577685535551</v>
      </c>
      <c r="T13" s="22">
        <f t="shared" si="7"/>
        <v>534.1639075415959</v>
      </c>
    </row>
    <row r="14" spans="1:20" x14ac:dyDescent="0.2">
      <c r="A14" s="5">
        <v>23</v>
      </c>
      <c r="B14" s="1">
        <f t="shared" si="8"/>
        <v>1.1596934182128902</v>
      </c>
      <c r="C14" s="5">
        <f t="shared" si="9"/>
        <v>25731.829187205971</v>
      </c>
      <c r="D14" s="5">
        <f t="shared" si="0"/>
        <v>25184.71041109685</v>
      </c>
      <c r="E14" s="5">
        <f t="shared" si="1"/>
        <v>15684.71041109685</v>
      </c>
      <c r="F14" s="5">
        <f t="shared" si="2"/>
        <v>5422.8079492231218</v>
      </c>
      <c r="G14" s="5">
        <f t="shared" si="3"/>
        <v>19761.902461873728</v>
      </c>
      <c r="H14" s="22">
        <f t="shared" si="10"/>
        <v>11581.586931531883</v>
      </c>
      <c r="I14" s="5">
        <f t="shared" si="4"/>
        <v>30718.083699102888</v>
      </c>
      <c r="J14" s="26">
        <f t="shared" si="5"/>
        <v>0.1297621438008483</v>
      </c>
      <c r="L14" s="22">
        <f t="shared" si="11"/>
        <v>52356.926222840884</v>
      </c>
      <c r="M14" s="5">
        <f>scrimecost*Meta!O11</f>
        <v>2744.7040000000002</v>
      </c>
      <c r="N14" s="5">
        <f>L14-Grade10!L14</f>
        <v>456.50368818306742</v>
      </c>
      <c r="O14" s="5">
        <f>Grade10!M14-M14</f>
        <v>57.728000000000065</v>
      </c>
      <c r="P14" s="22">
        <f t="shared" si="12"/>
        <v>120.13152290548825</v>
      </c>
      <c r="Q14" s="22"/>
      <c r="R14" s="22"/>
      <c r="S14" s="22">
        <f t="shared" si="6"/>
        <v>511.62203771961072</v>
      </c>
      <c r="T14" s="22">
        <f t="shared" si="7"/>
        <v>546.4760049149487</v>
      </c>
    </row>
    <row r="15" spans="1:20" x14ac:dyDescent="0.2">
      <c r="A15" s="5">
        <v>24</v>
      </c>
      <c r="B15" s="1">
        <f t="shared" si="8"/>
        <v>1.1886857536682125</v>
      </c>
      <c r="C15" s="5">
        <f t="shared" si="9"/>
        <v>26375.124916886125</v>
      </c>
      <c r="D15" s="5">
        <f t="shared" si="0"/>
        <v>25793.268171374275</v>
      </c>
      <c r="E15" s="5">
        <f t="shared" si="1"/>
        <v>16293.268171374275</v>
      </c>
      <c r="F15" s="5">
        <f t="shared" si="2"/>
        <v>5621.5020579537013</v>
      </c>
      <c r="G15" s="5">
        <f t="shared" si="3"/>
        <v>20171.766113420574</v>
      </c>
      <c r="H15" s="22">
        <f t="shared" si="10"/>
        <v>11871.126604820181</v>
      </c>
      <c r="I15" s="5">
        <f t="shared" si="4"/>
        <v>31401.851881580464</v>
      </c>
      <c r="J15" s="26">
        <f t="shared" si="5"/>
        <v>0.1320888903576331</v>
      </c>
      <c r="L15" s="22">
        <f t="shared" si="11"/>
        <v>53665.849378411905</v>
      </c>
      <c r="M15" s="5">
        <f>scrimecost*Meta!O12</f>
        <v>2622.3220000000001</v>
      </c>
      <c r="N15" s="5">
        <f>L15-Grade10!L15</f>
        <v>467.91628038765339</v>
      </c>
      <c r="O15" s="5">
        <f>Grade10!M15-M15</f>
        <v>55.153999999999996</v>
      </c>
      <c r="P15" s="22">
        <f t="shared" si="12"/>
        <v>122.78396245044884</v>
      </c>
      <c r="Q15" s="22"/>
      <c r="R15" s="22"/>
      <c r="S15" s="22">
        <f t="shared" si="6"/>
        <v>520.13190110548476</v>
      </c>
      <c r="T15" s="22">
        <f t="shared" si="7"/>
        <v>560.82088917711712</v>
      </c>
    </row>
    <row r="16" spans="1:20" x14ac:dyDescent="0.2">
      <c r="A16" s="5">
        <v>25</v>
      </c>
      <c r="B16" s="1">
        <f t="shared" si="8"/>
        <v>1.2184028975099177</v>
      </c>
      <c r="C16" s="5">
        <f t="shared" si="9"/>
        <v>27034.503039808271</v>
      </c>
      <c r="D16" s="5">
        <f t="shared" si="0"/>
        <v>26417.039875658626</v>
      </c>
      <c r="E16" s="5">
        <f t="shared" si="1"/>
        <v>16917.039875658626</v>
      </c>
      <c r="F16" s="5">
        <f t="shared" si="2"/>
        <v>5825.1635194025412</v>
      </c>
      <c r="G16" s="5">
        <f t="shared" si="3"/>
        <v>20591.876356256085</v>
      </c>
      <c r="H16" s="22">
        <f t="shared" si="10"/>
        <v>12167.904769940686</v>
      </c>
      <c r="I16" s="5">
        <f t="shared" si="4"/>
        <v>32102.714268619973</v>
      </c>
      <c r="J16" s="26">
        <f t="shared" si="5"/>
        <v>0.13435888699839871</v>
      </c>
      <c r="L16" s="22">
        <f t="shared" si="11"/>
        <v>55007.495612872197</v>
      </c>
      <c r="M16" s="5">
        <f>scrimecost*Meta!O13</f>
        <v>2201.83</v>
      </c>
      <c r="N16" s="5">
        <f>L16-Grade10!L16</f>
        <v>479.61418739733926</v>
      </c>
      <c r="O16" s="5">
        <f>Grade10!M16-M16</f>
        <v>46.309999999999945</v>
      </c>
      <c r="P16" s="22">
        <f t="shared" si="12"/>
        <v>125.50271298403338</v>
      </c>
      <c r="Q16" s="22"/>
      <c r="R16" s="22"/>
      <c r="S16" s="22">
        <f t="shared" si="6"/>
        <v>522.77297407599451</v>
      </c>
      <c r="T16" s="22">
        <f t="shared" si="7"/>
        <v>569.00050857953215</v>
      </c>
    </row>
    <row r="17" spans="1:20" x14ac:dyDescent="0.2">
      <c r="A17" s="5">
        <v>26</v>
      </c>
      <c r="B17" s="1">
        <f t="shared" si="8"/>
        <v>1.2488629699476654</v>
      </c>
      <c r="C17" s="5">
        <f t="shared" si="9"/>
        <v>27710.365615803476</v>
      </c>
      <c r="D17" s="5">
        <f t="shared" si="0"/>
        <v>27056.405872550087</v>
      </c>
      <c r="E17" s="5">
        <f t="shared" si="1"/>
        <v>17556.405872550087</v>
      </c>
      <c r="F17" s="5">
        <f t="shared" si="2"/>
        <v>6033.9165173876036</v>
      </c>
      <c r="G17" s="5">
        <f t="shared" si="3"/>
        <v>21022.489355162485</v>
      </c>
      <c r="H17" s="22">
        <f t="shared" si="10"/>
        <v>12472.1023891892</v>
      </c>
      <c r="I17" s="5">
        <f t="shared" si="4"/>
        <v>32821.098215335471</v>
      </c>
      <c r="J17" s="26">
        <f t="shared" si="5"/>
        <v>0.13657351786743832</v>
      </c>
      <c r="L17" s="22">
        <f t="shared" si="11"/>
        <v>56382.68300319399</v>
      </c>
      <c r="M17" s="5">
        <f>scrimecost*Meta!O14</f>
        <v>2201.83</v>
      </c>
      <c r="N17" s="5">
        <f>L17-Grade10!L17</f>
        <v>491.60454208226292</v>
      </c>
      <c r="O17" s="5">
        <f>Grade10!M17-M17</f>
        <v>46.309999999999945</v>
      </c>
      <c r="P17" s="22">
        <f t="shared" si="12"/>
        <v>128.28943228095756</v>
      </c>
      <c r="Q17" s="22"/>
      <c r="R17" s="22"/>
      <c r="S17" s="22">
        <f t="shared" si="6"/>
        <v>534.363871870764</v>
      </c>
      <c r="T17" s="22">
        <f t="shared" si="7"/>
        <v>587.11807562053275</v>
      </c>
    </row>
    <row r="18" spans="1:20" x14ac:dyDescent="0.2">
      <c r="A18" s="5">
        <v>27</v>
      </c>
      <c r="B18" s="1">
        <f t="shared" si="8"/>
        <v>1.2800845441963571</v>
      </c>
      <c r="C18" s="5">
        <f t="shared" si="9"/>
        <v>28403.124756198562</v>
      </c>
      <c r="D18" s="5">
        <f t="shared" si="0"/>
        <v>27711.756019363838</v>
      </c>
      <c r="E18" s="5">
        <f t="shared" si="1"/>
        <v>18211.756019363838</v>
      </c>
      <c r="F18" s="5">
        <f t="shared" si="2"/>
        <v>6247.8883403222935</v>
      </c>
      <c r="G18" s="5">
        <f t="shared" si="3"/>
        <v>21463.867679041545</v>
      </c>
      <c r="H18" s="22">
        <f t="shared" si="10"/>
        <v>12783.904948918931</v>
      </c>
      <c r="I18" s="5">
        <f t="shared" si="4"/>
        <v>33557.441760718852</v>
      </c>
      <c r="J18" s="26">
        <f t="shared" si="5"/>
        <v>0.13873413334942825</v>
      </c>
      <c r="L18" s="22">
        <f t="shared" si="11"/>
        <v>57792.250078273843</v>
      </c>
      <c r="M18" s="5">
        <f>scrimecost*Meta!O15</f>
        <v>2201.83</v>
      </c>
      <c r="N18" s="5">
        <f>L18-Grade10!L18</f>
        <v>503.89465563432168</v>
      </c>
      <c r="O18" s="5">
        <f>Grade10!M18-M18</f>
        <v>46.309999999999945</v>
      </c>
      <c r="P18" s="22">
        <f t="shared" si="12"/>
        <v>131.14581956030486</v>
      </c>
      <c r="Q18" s="22"/>
      <c r="R18" s="22"/>
      <c r="S18" s="22">
        <f t="shared" si="6"/>
        <v>546.24454211041166</v>
      </c>
      <c r="T18" s="22">
        <f t="shared" si="7"/>
        <v>605.84888121189181</v>
      </c>
    </row>
    <row r="19" spans="1:20" x14ac:dyDescent="0.2">
      <c r="A19" s="5">
        <v>28</v>
      </c>
      <c r="B19" s="1">
        <f t="shared" si="8"/>
        <v>1.312086657801266</v>
      </c>
      <c r="C19" s="5">
        <f t="shared" si="9"/>
        <v>29113.202875103525</v>
      </c>
      <c r="D19" s="5">
        <f t="shared" si="0"/>
        <v>28383.489919847936</v>
      </c>
      <c r="E19" s="5">
        <f t="shared" si="1"/>
        <v>18883.489919847936</v>
      </c>
      <c r="F19" s="5">
        <f t="shared" si="2"/>
        <v>6467.2094588303517</v>
      </c>
      <c r="G19" s="5">
        <f t="shared" si="3"/>
        <v>21916.280461017584</v>
      </c>
      <c r="H19" s="22">
        <f t="shared" si="10"/>
        <v>13103.502572641904</v>
      </c>
      <c r="I19" s="5">
        <f t="shared" si="4"/>
        <v>34312.193894736825</v>
      </c>
      <c r="J19" s="26">
        <f t="shared" si="5"/>
        <v>0.14084205089283305</v>
      </c>
      <c r="L19" s="22">
        <f t="shared" si="11"/>
        <v>59237.056330230691</v>
      </c>
      <c r="M19" s="5">
        <f>scrimecost*Meta!O16</f>
        <v>2201.83</v>
      </c>
      <c r="N19" s="5">
        <f>L19-Grade10!L19</f>
        <v>516.49202202518791</v>
      </c>
      <c r="O19" s="5">
        <f>Grade10!M19-M19</f>
        <v>46.309999999999945</v>
      </c>
      <c r="P19" s="22">
        <f t="shared" si="12"/>
        <v>134.07361652163584</v>
      </c>
      <c r="Q19" s="22"/>
      <c r="R19" s="22"/>
      <c r="S19" s="22">
        <f t="shared" si="6"/>
        <v>558.42222910605494</v>
      </c>
      <c r="T19" s="22">
        <f t="shared" si="7"/>
        <v>625.21405682969566</v>
      </c>
    </row>
    <row r="20" spans="1:20" x14ac:dyDescent="0.2">
      <c r="A20" s="5">
        <v>29</v>
      </c>
      <c r="B20" s="1">
        <f t="shared" si="8"/>
        <v>1.3448888242462975</v>
      </c>
      <c r="C20" s="5">
        <f t="shared" si="9"/>
        <v>29841.032946981111</v>
      </c>
      <c r="D20" s="5">
        <f t="shared" si="0"/>
        <v>29072.017167844133</v>
      </c>
      <c r="E20" s="5">
        <f t="shared" si="1"/>
        <v>19572.017167844133</v>
      </c>
      <c r="F20" s="5">
        <f t="shared" si="2"/>
        <v>6692.0136053011092</v>
      </c>
      <c r="G20" s="5">
        <f t="shared" si="3"/>
        <v>22380.003562543025</v>
      </c>
      <c r="H20" s="22">
        <f t="shared" si="10"/>
        <v>13431.09013695795</v>
      </c>
      <c r="I20" s="5">
        <f t="shared" si="4"/>
        <v>35085.814832105243</v>
      </c>
      <c r="J20" s="26">
        <f t="shared" si="5"/>
        <v>0.14289855581322794</v>
      </c>
      <c r="L20" s="22">
        <f t="shared" si="11"/>
        <v>60717.982738486447</v>
      </c>
      <c r="M20" s="5">
        <f>scrimecost*Meta!O17</f>
        <v>2201.83</v>
      </c>
      <c r="N20" s="5">
        <f>L20-Grade10!L20</f>
        <v>529.40432257580687</v>
      </c>
      <c r="O20" s="5">
        <f>Grade10!M20-M20</f>
        <v>46.309999999999945</v>
      </c>
      <c r="P20" s="22">
        <f t="shared" si="12"/>
        <v>137.07460840700006</v>
      </c>
      <c r="Q20" s="22"/>
      <c r="R20" s="22"/>
      <c r="S20" s="22">
        <f t="shared" si="6"/>
        <v>570.90435827657518</v>
      </c>
      <c r="T20" s="22">
        <f t="shared" si="7"/>
        <v>645.23546574935847</v>
      </c>
    </row>
    <row r="21" spans="1:20" x14ac:dyDescent="0.2">
      <c r="A21" s="5">
        <v>30</v>
      </c>
      <c r="B21" s="1">
        <f t="shared" si="8"/>
        <v>1.3785110448524549</v>
      </c>
      <c r="C21" s="5">
        <f t="shared" si="9"/>
        <v>30587.058770655636</v>
      </c>
      <c r="D21" s="5">
        <f t="shared" si="0"/>
        <v>29777.757597040232</v>
      </c>
      <c r="E21" s="5">
        <f t="shared" si="1"/>
        <v>20277.757597040232</v>
      </c>
      <c r="F21" s="5">
        <f t="shared" si="2"/>
        <v>6922.4378554336363</v>
      </c>
      <c r="G21" s="5">
        <f t="shared" si="3"/>
        <v>22855.319741606596</v>
      </c>
      <c r="H21" s="22">
        <f t="shared" si="10"/>
        <v>13766.867390381898</v>
      </c>
      <c r="I21" s="5">
        <f t="shared" si="4"/>
        <v>35878.776292907874</v>
      </c>
      <c r="J21" s="26">
        <f t="shared" si="5"/>
        <v>0.14490490207702786</v>
      </c>
      <c r="L21" s="22">
        <f t="shared" si="11"/>
        <v>62235.932306948613</v>
      </c>
      <c r="M21" s="5">
        <f>scrimecost*Meta!O18</f>
        <v>1775.0620000000001</v>
      </c>
      <c r="N21" s="5">
        <f>L21-Grade10!L21</f>
        <v>542.63943064022169</v>
      </c>
      <c r="O21" s="5">
        <f>Grade10!M21-M21</f>
        <v>37.333999999999833</v>
      </c>
      <c r="P21" s="22">
        <f t="shared" si="12"/>
        <v>140.15062508949842</v>
      </c>
      <c r="Q21" s="22"/>
      <c r="R21" s="22"/>
      <c r="S21" s="22">
        <f t="shared" si="6"/>
        <v>574.90206067638087</v>
      </c>
      <c r="T21" s="22">
        <f t="shared" si="7"/>
        <v>655.89991385762312</v>
      </c>
    </row>
    <row r="22" spans="1:20" x14ac:dyDescent="0.2">
      <c r="A22" s="5">
        <v>31</v>
      </c>
      <c r="B22" s="1">
        <f t="shared" si="8"/>
        <v>1.4129738209737661</v>
      </c>
      <c r="C22" s="5">
        <f t="shared" si="9"/>
        <v>31351.735239922025</v>
      </c>
      <c r="D22" s="5">
        <f t="shared" si="0"/>
        <v>30501.141536966235</v>
      </c>
      <c r="E22" s="5">
        <f t="shared" si="1"/>
        <v>21001.141536966235</v>
      </c>
      <c r="F22" s="5">
        <f t="shared" si="2"/>
        <v>7158.6227118194756</v>
      </c>
      <c r="G22" s="5">
        <f t="shared" si="3"/>
        <v>23342.518825146759</v>
      </c>
      <c r="H22" s="22">
        <f t="shared" si="10"/>
        <v>14111.039075141443</v>
      </c>
      <c r="I22" s="5">
        <f t="shared" si="4"/>
        <v>36691.561790230568</v>
      </c>
      <c r="J22" s="26">
        <f t="shared" si="5"/>
        <v>0.14686231306610092</v>
      </c>
      <c r="L22" s="22">
        <f t="shared" si="11"/>
        <v>63791.830614622326</v>
      </c>
      <c r="M22" s="5">
        <f>scrimecost*Meta!O19</f>
        <v>1775.0620000000001</v>
      </c>
      <c r="N22" s="5">
        <f>L22-Grade10!L22</f>
        <v>556.20541640621377</v>
      </c>
      <c r="O22" s="5">
        <f>Grade10!M22-M22</f>
        <v>37.333999999999833</v>
      </c>
      <c r="P22" s="22">
        <f t="shared" si="12"/>
        <v>143.30354218905924</v>
      </c>
      <c r="Q22" s="22"/>
      <c r="R22" s="22"/>
      <c r="S22" s="22">
        <f t="shared" si="6"/>
        <v>588.01609763615738</v>
      </c>
      <c r="T22" s="22">
        <f t="shared" si="7"/>
        <v>677.20750185843701</v>
      </c>
    </row>
    <row r="23" spans="1:20" x14ac:dyDescent="0.2">
      <c r="A23" s="5">
        <v>32</v>
      </c>
      <c r="B23" s="1">
        <f t="shared" si="8"/>
        <v>1.4482981664981105</v>
      </c>
      <c r="C23" s="5">
        <f t="shared" si="9"/>
        <v>32135.528620920079</v>
      </c>
      <c r="D23" s="5">
        <f t="shared" si="0"/>
        <v>31242.610075390396</v>
      </c>
      <c r="E23" s="5">
        <f t="shared" si="1"/>
        <v>21742.610075390396</v>
      </c>
      <c r="F23" s="5">
        <f t="shared" si="2"/>
        <v>7400.7121896149638</v>
      </c>
      <c r="G23" s="5">
        <f t="shared" si="3"/>
        <v>23841.897885775434</v>
      </c>
      <c r="H23" s="22">
        <f t="shared" si="10"/>
        <v>14463.815052019982</v>
      </c>
      <c r="I23" s="5">
        <f t="shared" si="4"/>
        <v>37524.666924986333</v>
      </c>
      <c r="J23" s="26">
        <f t="shared" si="5"/>
        <v>0.1487719823237332</v>
      </c>
      <c r="L23" s="22">
        <f t="shared" si="11"/>
        <v>65386.626379987894</v>
      </c>
      <c r="M23" s="5">
        <f>scrimecost*Meta!O20</f>
        <v>1775.0620000000001</v>
      </c>
      <c r="N23" s="5">
        <f>L23-Grade10!L23</f>
        <v>570.11055181638221</v>
      </c>
      <c r="O23" s="5">
        <f>Grade10!M23-M23</f>
        <v>37.333999999999833</v>
      </c>
      <c r="P23" s="22">
        <f t="shared" si="12"/>
        <v>146.5352822161091</v>
      </c>
      <c r="Q23" s="22"/>
      <c r="R23" s="22"/>
      <c r="S23" s="22">
        <f t="shared" si="6"/>
        <v>601.4579855199479</v>
      </c>
      <c r="T23" s="22">
        <f t="shared" si="7"/>
        <v>699.24066399147046</v>
      </c>
    </row>
    <row r="24" spans="1:20" x14ac:dyDescent="0.2">
      <c r="A24" s="5">
        <v>33</v>
      </c>
      <c r="B24" s="1">
        <f t="shared" si="8"/>
        <v>1.4845056206605631</v>
      </c>
      <c r="C24" s="5">
        <f t="shared" si="9"/>
        <v>32938.916836443081</v>
      </c>
      <c r="D24" s="5">
        <f t="shared" si="0"/>
        <v>32002.615327275154</v>
      </c>
      <c r="E24" s="5">
        <f t="shared" si="1"/>
        <v>22502.615327275154</v>
      </c>
      <c r="F24" s="5">
        <f t="shared" si="2"/>
        <v>7648.8539043553374</v>
      </c>
      <c r="G24" s="5">
        <f t="shared" si="3"/>
        <v>24353.761422919815</v>
      </c>
      <c r="H24" s="22">
        <f t="shared" si="10"/>
        <v>14825.410428320482</v>
      </c>
      <c r="I24" s="5">
        <f t="shared" si="4"/>
        <v>38378.59968811099</v>
      </c>
      <c r="J24" s="26">
        <f t="shared" si="5"/>
        <v>0.15063507428239883</v>
      </c>
      <c r="L24" s="22">
        <f t="shared" si="11"/>
        <v>67021.292039487584</v>
      </c>
      <c r="M24" s="5">
        <f>scrimecost*Meta!O21</f>
        <v>1775.0620000000001</v>
      </c>
      <c r="N24" s="5">
        <f>L24-Grade10!L24</f>
        <v>584.36331561180123</v>
      </c>
      <c r="O24" s="5">
        <f>Grade10!M24-M24</f>
        <v>37.333999999999833</v>
      </c>
      <c r="P24" s="22">
        <f t="shared" si="12"/>
        <v>149.84781574383518</v>
      </c>
      <c r="Q24" s="22"/>
      <c r="R24" s="22"/>
      <c r="S24" s="22">
        <f t="shared" si="6"/>
        <v>615.23592060083047</v>
      </c>
      <c r="T24" s="22">
        <f t="shared" si="7"/>
        <v>722.02444496632245</v>
      </c>
    </row>
    <row r="25" spans="1:20" x14ac:dyDescent="0.2">
      <c r="A25" s="5">
        <v>34</v>
      </c>
      <c r="B25" s="1">
        <f t="shared" si="8"/>
        <v>1.521618261177077</v>
      </c>
      <c r="C25" s="5">
        <f t="shared" si="9"/>
        <v>33762.389757354147</v>
      </c>
      <c r="D25" s="5">
        <f t="shared" si="0"/>
        <v>32781.62071045702</v>
      </c>
      <c r="E25" s="5">
        <f t="shared" si="1"/>
        <v>23281.62071045702</v>
      </c>
      <c r="F25" s="5">
        <f t="shared" si="2"/>
        <v>7903.1991619642176</v>
      </c>
      <c r="G25" s="5">
        <f t="shared" si="3"/>
        <v>24878.421548492803</v>
      </c>
      <c r="H25" s="22">
        <f t="shared" si="10"/>
        <v>15196.04568902849</v>
      </c>
      <c r="I25" s="5">
        <f t="shared" si="4"/>
        <v>39253.880770313757</v>
      </c>
      <c r="J25" s="26">
        <f t="shared" si="5"/>
        <v>0.1524527249737799</v>
      </c>
      <c r="L25" s="22">
        <f t="shared" si="11"/>
        <v>68696.824340474763</v>
      </c>
      <c r="M25" s="5">
        <f>scrimecost*Meta!O22</f>
        <v>1775.0620000000001</v>
      </c>
      <c r="N25" s="5">
        <f>L25-Grade10!L25</f>
        <v>598.9723985020828</v>
      </c>
      <c r="O25" s="5">
        <f>Grade10!M25-M25</f>
        <v>37.333999999999833</v>
      </c>
      <c r="P25" s="22">
        <f t="shared" si="12"/>
        <v>153.24316260975436</v>
      </c>
      <c r="Q25" s="22"/>
      <c r="R25" s="22"/>
      <c r="S25" s="22">
        <f t="shared" si="6"/>
        <v>629.3583040587182</v>
      </c>
      <c r="T25" s="22">
        <f t="shared" si="7"/>
        <v>745.58475721295713</v>
      </c>
    </row>
    <row r="26" spans="1:20" x14ac:dyDescent="0.2">
      <c r="A26" s="5">
        <v>35</v>
      </c>
      <c r="B26" s="1">
        <f t="shared" si="8"/>
        <v>1.559658717706504</v>
      </c>
      <c r="C26" s="5">
        <f t="shared" si="9"/>
        <v>34606.449501288007</v>
      </c>
      <c r="D26" s="5">
        <f t="shared" si="0"/>
        <v>33580.101228218453</v>
      </c>
      <c r="E26" s="5">
        <f t="shared" si="1"/>
        <v>24080.101228218453</v>
      </c>
      <c r="F26" s="5">
        <f t="shared" si="2"/>
        <v>8163.9030510133252</v>
      </c>
      <c r="G26" s="5">
        <f t="shared" si="3"/>
        <v>25416.198177205129</v>
      </c>
      <c r="H26" s="22">
        <f t="shared" si="10"/>
        <v>15575.946831254203</v>
      </c>
      <c r="I26" s="5">
        <f t="shared" si="4"/>
        <v>40151.043879571604</v>
      </c>
      <c r="J26" s="26">
        <f t="shared" si="5"/>
        <v>0.15422604272146884</v>
      </c>
      <c r="L26" s="22">
        <f t="shared" si="11"/>
        <v>70414.244948986627</v>
      </c>
      <c r="M26" s="5">
        <f>scrimecost*Meta!O23</f>
        <v>1377.5819999999999</v>
      </c>
      <c r="N26" s="5">
        <f>L26-Grade10!L26</f>
        <v>613.94670846461668</v>
      </c>
      <c r="O26" s="5">
        <f>Grade10!M26-M26</f>
        <v>28.97400000000016</v>
      </c>
      <c r="P26" s="22">
        <f t="shared" si="12"/>
        <v>156.72339314732162</v>
      </c>
      <c r="Q26" s="22"/>
      <c r="R26" s="22"/>
      <c r="S26" s="22">
        <f t="shared" si="6"/>
        <v>635.64094710304994</v>
      </c>
      <c r="T26" s="22">
        <f t="shared" si="7"/>
        <v>760.15079882912426</v>
      </c>
    </row>
    <row r="27" spans="1:20" x14ac:dyDescent="0.2">
      <c r="A27" s="5">
        <v>36</v>
      </c>
      <c r="B27" s="1">
        <f t="shared" si="8"/>
        <v>1.5986501856491666</v>
      </c>
      <c r="C27" s="5">
        <f t="shared" si="9"/>
        <v>35471.610738820207</v>
      </c>
      <c r="D27" s="5">
        <f t="shared" si="0"/>
        <v>34398.543758923915</v>
      </c>
      <c r="E27" s="5">
        <f t="shared" si="1"/>
        <v>24898.543758923915</v>
      </c>
      <c r="F27" s="5">
        <f t="shared" si="2"/>
        <v>8431.1245372886588</v>
      </c>
      <c r="G27" s="5">
        <f t="shared" si="3"/>
        <v>25967.419221635257</v>
      </c>
      <c r="H27" s="22">
        <f t="shared" si="10"/>
        <v>15965.34550203556</v>
      </c>
      <c r="I27" s="5">
        <f t="shared" si="4"/>
        <v>41070.636066560895</v>
      </c>
      <c r="J27" s="26">
        <f t="shared" si="5"/>
        <v>0.15595610881677507</v>
      </c>
      <c r="L27" s="22">
        <f t="shared" si="11"/>
        <v>72174.601072711303</v>
      </c>
      <c r="M27" s="5">
        <f>scrimecost*Meta!O24</f>
        <v>1377.5819999999999</v>
      </c>
      <c r="N27" s="5">
        <f>L27-Grade10!L27</f>
        <v>629.29537617626193</v>
      </c>
      <c r="O27" s="5">
        <f>Grade10!M27-M27</f>
        <v>28.97400000000016</v>
      </c>
      <c r="P27" s="22">
        <f t="shared" si="12"/>
        <v>160.29062944832799</v>
      </c>
      <c r="Q27" s="22"/>
      <c r="R27" s="22"/>
      <c r="S27" s="22">
        <f t="shared" si="6"/>
        <v>650.47827622352497</v>
      </c>
      <c r="T27" s="22">
        <f t="shared" si="7"/>
        <v>785.25285423543164</v>
      </c>
    </row>
    <row r="28" spans="1:20" x14ac:dyDescent="0.2">
      <c r="A28" s="5">
        <v>37</v>
      </c>
      <c r="B28" s="1">
        <f t="shared" si="8"/>
        <v>1.6386164402903955</v>
      </c>
      <c r="C28" s="5">
        <f t="shared" si="9"/>
        <v>36358.401007290711</v>
      </c>
      <c r="D28" s="5">
        <f t="shared" si="0"/>
        <v>35237.447352897012</v>
      </c>
      <c r="E28" s="5">
        <f t="shared" si="1"/>
        <v>25737.447352897012</v>
      </c>
      <c r="F28" s="5">
        <f t="shared" si="2"/>
        <v>8705.0265607208748</v>
      </c>
      <c r="G28" s="5">
        <f t="shared" si="3"/>
        <v>26532.420792176137</v>
      </c>
      <c r="H28" s="22">
        <f t="shared" si="10"/>
        <v>16364.479139586445</v>
      </c>
      <c r="I28" s="5">
        <f t="shared" si="4"/>
        <v>42013.218058224913</v>
      </c>
      <c r="J28" s="26">
        <f t="shared" si="5"/>
        <v>0.15764397817804945</v>
      </c>
      <c r="L28" s="22">
        <f t="shared" si="11"/>
        <v>73978.966099529076</v>
      </c>
      <c r="M28" s="5">
        <f>scrimecost*Meta!O25</f>
        <v>1377.5819999999999</v>
      </c>
      <c r="N28" s="5">
        <f>L28-Grade10!L28</f>
        <v>645.02776058066229</v>
      </c>
      <c r="O28" s="5">
        <f>Grade10!M28-M28</f>
        <v>28.97400000000016</v>
      </c>
      <c r="P28" s="22">
        <f t="shared" si="12"/>
        <v>163.94704665685953</v>
      </c>
      <c r="Q28" s="22"/>
      <c r="R28" s="22"/>
      <c r="S28" s="22">
        <f t="shared" si="6"/>
        <v>665.68653857198547</v>
      </c>
      <c r="T28" s="22">
        <f t="shared" si="7"/>
        <v>811.21381404478927</v>
      </c>
    </row>
    <row r="29" spans="1:20" x14ac:dyDescent="0.2">
      <c r="A29" s="5">
        <v>38</v>
      </c>
      <c r="B29" s="1">
        <f t="shared" si="8"/>
        <v>1.6795818512976552</v>
      </c>
      <c r="C29" s="5">
        <f t="shared" si="9"/>
        <v>37267.361032472974</v>
      </c>
      <c r="D29" s="5">
        <f t="shared" si="0"/>
        <v>36097.323536719436</v>
      </c>
      <c r="E29" s="5">
        <f t="shared" si="1"/>
        <v>26597.323536719436</v>
      </c>
      <c r="F29" s="5">
        <f t="shared" si="2"/>
        <v>8985.7761347388951</v>
      </c>
      <c r="G29" s="5">
        <f t="shared" si="3"/>
        <v>27111.547401980541</v>
      </c>
      <c r="H29" s="22">
        <f t="shared" si="10"/>
        <v>16773.591118076107</v>
      </c>
      <c r="I29" s="5">
        <f t="shared" si="4"/>
        <v>42979.364599680535</v>
      </c>
      <c r="J29" s="26">
        <f t="shared" si="5"/>
        <v>0.15929067999392688</v>
      </c>
      <c r="L29" s="22">
        <f t="shared" si="11"/>
        <v>75828.440252017288</v>
      </c>
      <c r="M29" s="5">
        <f>scrimecost*Meta!O26</f>
        <v>1377.5819999999999</v>
      </c>
      <c r="N29" s="5">
        <f>L29-Grade10!L29</f>
        <v>661.15345459515811</v>
      </c>
      <c r="O29" s="5">
        <f>Grade10!M29-M29</f>
        <v>28.97400000000016</v>
      </c>
      <c r="P29" s="22">
        <f t="shared" si="12"/>
        <v>167.69487429560434</v>
      </c>
      <c r="Q29" s="22"/>
      <c r="R29" s="22"/>
      <c r="S29" s="22">
        <f t="shared" si="6"/>
        <v>681.27500747914667</v>
      </c>
      <c r="T29" s="22">
        <f t="shared" si="7"/>
        <v>838.06336484542828</v>
      </c>
    </row>
    <row r="30" spans="1:20" x14ac:dyDescent="0.2">
      <c r="A30" s="5">
        <v>39</v>
      </c>
      <c r="B30" s="1">
        <f t="shared" si="8"/>
        <v>1.7215713975800966</v>
      </c>
      <c r="C30" s="5">
        <f t="shared" si="9"/>
        <v>38199.045058284792</v>
      </c>
      <c r="D30" s="5">
        <f t="shared" si="0"/>
        <v>36978.696625137411</v>
      </c>
      <c r="E30" s="5">
        <f t="shared" si="1"/>
        <v>27478.696625137411</v>
      </c>
      <c r="F30" s="5">
        <f t="shared" si="2"/>
        <v>9273.5444481073646</v>
      </c>
      <c r="G30" s="5">
        <f t="shared" si="3"/>
        <v>27705.152177030046</v>
      </c>
      <c r="H30" s="22">
        <f t="shared" si="10"/>
        <v>17192.930896028007</v>
      </c>
      <c r="I30" s="5">
        <f t="shared" si="4"/>
        <v>43969.664804672539</v>
      </c>
      <c r="J30" s="26">
        <f t="shared" si="5"/>
        <v>0.16089721835088044</v>
      </c>
      <c r="L30" s="22">
        <f t="shared" si="11"/>
        <v>77724.15125831771</v>
      </c>
      <c r="M30" s="5">
        <f>scrimecost*Meta!O27</f>
        <v>1377.5819999999999</v>
      </c>
      <c r="N30" s="5">
        <f>L30-Grade10!L30</f>
        <v>677.68229096003051</v>
      </c>
      <c r="O30" s="5">
        <f>Grade10!M30-M30</f>
        <v>28.97400000000016</v>
      </c>
      <c r="P30" s="22">
        <f t="shared" si="12"/>
        <v>171.53639762531779</v>
      </c>
      <c r="Q30" s="22"/>
      <c r="R30" s="22"/>
      <c r="S30" s="22">
        <f t="shared" si="6"/>
        <v>697.25318810899739</v>
      </c>
      <c r="T30" s="22">
        <f t="shared" si="7"/>
        <v>865.83222214995817</v>
      </c>
    </row>
    <row r="31" spans="1:20" x14ac:dyDescent="0.2">
      <c r="A31" s="5">
        <v>40</v>
      </c>
      <c r="B31" s="1">
        <f t="shared" si="8"/>
        <v>1.7646106825195991</v>
      </c>
      <c r="C31" s="5">
        <f t="shared" si="9"/>
        <v>39154.021184741912</v>
      </c>
      <c r="D31" s="5">
        <f t="shared" si="0"/>
        <v>37882.104040765851</v>
      </c>
      <c r="E31" s="5">
        <f t="shared" si="1"/>
        <v>28382.104040765851</v>
      </c>
      <c r="F31" s="5">
        <f t="shared" si="2"/>
        <v>9568.5069693100504</v>
      </c>
      <c r="G31" s="5">
        <f t="shared" si="3"/>
        <v>28313.597071455799</v>
      </c>
      <c r="H31" s="22">
        <f t="shared" si="10"/>
        <v>17622.754168428706</v>
      </c>
      <c r="I31" s="5">
        <f t="shared" si="4"/>
        <v>44984.722514789355</v>
      </c>
      <c r="J31" s="26">
        <f t="shared" si="5"/>
        <v>0.16246457284546933</v>
      </c>
      <c r="L31" s="22">
        <f t="shared" si="11"/>
        <v>79667.255039775657</v>
      </c>
      <c r="M31" s="5">
        <f>scrimecost*Meta!O28</f>
        <v>1204.992</v>
      </c>
      <c r="N31" s="5">
        <f>L31-Grade10!L31</f>
        <v>694.62434823403601</v>
      </c>
      <c r="O31" s="5">
        <f>Grade10!M31-M31</f>
        <v>25.344000000000051</v>
      </c>
      <c r="P31" s="22">
        <f t="shared" si="12"/>
        <v>175.4739590382741</v>
      </c>
      <c r="Q31" s="22"/>
      <c r="R31" s="22"/>
      <c r="S31" s="22">
        <f t="shared" si="6"/>
        <v>710.07342325460252</v>
      </c>
      <c r="T31" s="22">
        <f t="shared" si="7"/>
        <v>890.09288577890936</v>
      </c>
    </row>
    <row r="32" spans="1:20" x14ac:dyDescent="0.2">
      <c r="A32" s="5">
        <v>41</v>
      </c>
      <c r="B32" s="1">
        <f t="shared" si="8"/>
        <v>1.8087259495825889</v>
      </c>
      <c r="C32" s="5">
        <f t="shared" si="9"/>
        <v>40132.871714360459</v>
      </c>
      <c r="D32" s="5">
        <f t="shared" si="0"/>
        <v>38808.096641784992</v>
      </c>
      <c r="E32" s="5">
        <f t="shared" si="1"/>
        <v>29308.096641784992</v>
      </c>
      <c r="F32" s="5">
        <f t="shared" si="2"/>
        <v>9870.8435535427998</v>
      </c>
      <c r="G32" s="5">
        <f t="shared" si="3"/>
        <v>28937.253088242192</v>
      </c>
      <c r="H32" s="22">
        <f t="shared" si="10"/>
        <v>18063.323022639426</v>
      </c>
      <c r="I32" s="5">
        <f t="shared" si="4"/>
        <v>46025.156667659088</v>
      </c>
      <c r="J32" s="26">
        <f t="shared" si="5"/>
        <v>0.1639936991816536</v>
      </c>
      <c r="L32" s="22">
        <f t="shared" si="11"/>
        <v>81658.936415770062</v>
      </c>
      <c r="M32" s="5">
        <f>scrimecost*Meta!O29</f>
        <v>1204.992</v>
      </c>
      <c r="N32" s="5">
        <f>L32-Grade10!L32</f>
        <v>711.98995693992765</v>
      </c>
      <c r="O32" s="5">
        <f>Grade10!M32-M32</f>
        <v>25.344000000000051</v>
      </c>
      <c r="P32" s="22">
        <f t="shared" si="12"/>
        <v>179.50995948655432</v>
      </c>
      <c r="Q32" s="22"/>
      <c r="R32" s="22"/>
      <c r="S32" s="22">
        <f t="shared" si="6"/>
        <v>726.86049927887461</v>
      </c>
      <c r="T32" s="22">
        <f t="shared" si="7"/>
        <v>919.75461610372281</v>
      </c>
    </row>
    <row r="33" spans="1:20" x14ac:dyDescent="0.2">
      <c r="A33" s="5">
        <v>42</v>
      </c>
      <c r="B33" s="1">
        <f t="shared" si="8"/>
        <v>1.8539440983221533</v>
      </c>
      <c r="C33" s="5">
        <f t="shared" si="9"/>
        <v>41136.193507219468</v>
      </c>
      <c r="D33" s="5">
        <f t="shared" si="0"/>
        <v>39757.239057829618</v>
      </c>
      <c r="E33" s="5">
        <f t="shared" si="1"/>
        <v>30257.239057829618</v>
      </c>
      <c r="F33" s="5">
        <f t="shared" si="2"/>
        <v>10180.73855238137</v>
      </c>
      <c r="G33" s="5">
        <f t="shared" si="3"/>
        <v>29576.500505448246</v>
      </c>
      <c r="H33" s="22">
        <f t="shared" si="10"/>
        <v>18514.906098205407</v>
      </c>
      <c r="I33" s="5">
        <f t="shared" si="4"/>
        <v>47091.601674350561</v>
      </c>
      <c r="J33" s="26">
        <f t="shared" si="5"/>
        <v>0.16548552975354069</v>
      </c>
      <c r="L33" s="22">
        <f t="shared" si="11"/>
        <v>83700.409826164294</v>
      </c>
      <c r="M33" s="5">
        <f>scrimecost*Meta!O30</f>
        <v>1204.992</v>
      </c>
      <c r="N33" s="5">
        <f>L33-Grade10!L33</f>
        <v>729.7897058633971</v>
      </c>
      <c r="O33" s="5">
        <f>Grade10!M33-M33</f>
        <v>25.344000000000051</v>
      </c>
      <c r="P33" s="22">
        <f t="shared" si="12"/>
        <v>183.64685994604153</v>
      </c>
      <c r="Q33" s="22"/>
      <c r="R33" s="22"/>
      <c r="S33" s="22">
        <f t="shared" si="6"/>
        <v>744.0672522037022</v>
      </c>
      <c r="T33" s="22">
        <f t="shared" si="7"/>
        <v>950.433937128661</v>
      </c>
    </row>
    <row r="34" spans="1:20" x14ac:dyDescent="0.2">
      <c r="A34" s="5">
        <v>43</v>
      </c>
      <c r="B34" s="1">
        <f t="shared" si="8"/>
        <v>1.9002927007802071</v>
      </c>
      <c r="C34" s="5">
        <f t="shared" si="9"/>
        <v>42164.598344899947</v>
      </c>
      <c r="D34" s="5">
        <f t="shared" si="0"/>
        <v>40730.110034275349</v>
      </c>
      <c r="E34" s="5">
        <f t="shared" si="1"/>
        <v>31230.110034275349</v>
      </c>
      <c r="F34" s="5">
        <f t="shared" si="2"/>
        <v>10498.380926190901</v>
      </c>
      <c r="G34" s="5">
        <f t="shared" si="3"/>
        <v>30231.729108084448</v>
      </c>
      <c r="H34" s="22">
        <f t="shared" si="10"/>
        <v>18977.778750660542</v>
      </c>
      <c r="I34" s="5">
        <f t="shared" si="4"/>
        <v>48184.707806209321</v>
      </c>
      <c r="J34" s="26">
        <f t="shared" si="5"/>
        <v>0.16694097421391835</v>
      </c>
      <c r="L34" s="22">
        <f t="shared" si="11"/>
        <v>85792.9200718184</v>
      </c>
      <c r="M34" s="5">
        <f>scrimecost*Meta!O31</f>
        <v>1204.992</v>
      </c>
      <c r="N34" s="5">
        <f>L34-Grade10!L34</f>
        <v>748.03444850999222</v>
      </c>
      <c r="O34" s="5">
        <f>Grade10!M34-M34</f>
        <v>25.344000000000051</v>
      </c>
      <c r="P34" s="22">
        <f t="shared" si="12"/>
        <v>187.88718291701591</v>
      </c>
      <c r="Q34" s="22"/>
      <c r="R34" s="22"/>
      <c r="S34" s="22">
        <f t="shared" si="6"/>
        <v>761.70417395167908</v>
      </c>
      <c r="T34" s="22">
        <f t="shared" si="7"/>
        <v>982.16604577954467</v>
      </c>
    </row>
    <row r="35" spans="1:20" x14ac:dyDescent="0.2">
      <c r="A35" s="5">
        <v>44</v>
      </c>
      <c r="B35" s="1">
        <f t="shared" si="8"/>
        <v>1.9478000182997122</v>
      </c>
      <c r="C35" s="5">
        <f t="shared" si="9"/>
        <v>43218.713303522447</v>
      </c>
      <c r="D35" s="5">
        <f t="shared" si="0"/>
        <v>41727.302785132233</v>
      </c>
      <c r="E35" s="5">
        <f t="shared" si="1"/>
        <v>32227.302785132233</v>
      </c>
      <c r="F35" s="5">
        <f t="shared" si="2"/>
        <v>10823.964359345675</v>
      </c>
      <c r="G35" s="5">
        <f t="shared" si="3"/>
        <v>30903.338425786558</v>
      </c>
      <c r="H35" s="22">
        <f t="shared" si="10"/>
        <v>19452.223219427055</v>
      </c>
      <c r="I35" s="5">
        <f t="shared" si="4"/>
        <v>49305.141591364547</v>
      </c>
      <c r="J35" s="26">
        <f t="shared" si="5"/>
        <v>0.16836092002892095</v>
      </c>
      <c r="L35" s="22">
        <f t="shared" si="11"/>
        <v>87937.743073613849</v>
      </c>
      <c r="M35" s="5">
        <f>scrimecost*Meta!O32</f>
        <v>1204.992</v>
      </c>
      <c r="N35" s="5">
        <f>L35-Grade10!L35</f>
        <v>766.73530972273147</v>
      </c>
      <c r="O35" s="5">
        <f>Grade10!M35-M35</f>
        <v>25.344000000000051</v>
      </c>
      <c r="P35" s="22">
        <f t="shared" si="12"/>
        <v>192.23351396226462</v>
      </c>
      <c r="Q35" s="22"/>
      <c r="R35" s="22"/>
      <c r="S35" s="22">
        <f t="shared" si="6"/>
        <v>779.78201874334002</v>
      </c>
      <c r="T35" s="22">
        <f t="shared" si="7"/>
        <v>1014.9873591355398</v>
      </c>
    </row>
    <row r="36" spans="1:20" x14ac:dyDescent="0.2">
      <c r="A36" s="5">
        <v>45</v>
      </c>
      <c r="B36" s="1">
        <f t="shared" si="8"/>
        <v>1.9964950187572048</v>
      </c>
      <c r="C36" s="5">
        <f t="shared" si="9"/>
        <v>44299.181136110506</v>
      </c>
      <c r="D36" s="5">
        <f t="shared" si="0"/>
        <v>42749.42535476054</v>
      </c>
      <c r="E36" s="5">
        <f t="shared" si="1"/>
        <v>33249.42535476054</v>
      </c>
      <c r="F36" s="5">
        <f t="shared" si="2"/>
        <v>11157.687378329316</v>
      </c>
      <c r="G36" s="5">
        <f t="shared" si="3"/>
        <v>31591.737976431225</v>
      </c>
      <c r="H36" s="22">
        <f t="shared" si="10"/>
        <v>19938.528799912729</v>
      </c>
      <c r="I36" s="5">
        <f t="shared" si="4"/>
        <v>50453.586221148667</v>
      </c>
      <c r="J36" s="26">
        <f t="shared" si="5"/>
        <v>0.16974623301916736</v>
      </c>
      <c r="L36" s="22">
        <f t="shared" si="11"/>
        <v>90136.186650454183</v>
      </c>
      <c r="M36" s="5">
        <f>scrimecost*Meta!O33</f>
        <v>973.82600000000002</v>
      </c>
      <c r="N36" s="5">
        <f>L36-Grade10!L36</f>
        <v>785.90369246578484</v>
      </c>
      <c r="O36" s="5">
        <f>Grade10!M36-M36</f>
        <v>20.482000000000085</v>
      </c>
      <c r="P36" s="22">
        <f t="shared" si="12"/>
        <v>196.68850328364459</v>
      </c>
      <c r="Q36" s="22"/>
      <c r="R36" s="22"/>
      <c r="S36" s="22">
        <f t="shared" si="6"/>
        <v>793.54704965478959</v>
      </c>
      <c r="T36" s="22">
        <f t="shared" si="7"/>
        <v>1042.6749376286546</v>
      </c>
    </row>
    <row r="37" spans="1:20" x14ac:dyDescent="0.2">
      <c r="A37" s="5">
        <v>46</v>
      </c>
      <c r="B37" s="1">
        <f t="shared" ref="B37:B56" si="13">(1+experiencepremium)^(A37-startage)</f>
        <v>2.0464073942261352</v>
      </c>
      <c r="C37" s="5">
        <f t="shared" ref="C37:C56" si="14">pretaxincome*B37/expnorm</f>
        <v>45406.660664513271</v>
      </c>
      <c r="D37" s="5">
        <f t="shared" ref="D37:D56" si="15">IF(A37&lt;startage,1,0)*(C37*(1-initialunempprob))+IF(A37=startage,1,0)*(C37*(1-unempprob))+IF(A37&gt;startage,1,0)*(C37*(1-unempprob)+unempprob*300*52)</f>
        <v>43797.100988629551</v>
      </c>
      <c r="E37" s="5">
        <f t="shared" si="1"/>
        <v>34297.100988629551</v>
      </c>
      <c r="F37" s="5">
        <f t="shared" si="2"/>
        <v>11499.753472787548</v>
      </c>
      <c r="G37" s="5">
        <f t="shared" si="3"/>
        <v>32297.347515842004</v>
      </c>
      <c r="H37" s="22">
        <f t="shared" ref="H37:H56" si="16">benefits*B37/expnorm</f>
        <v>20436.992019910547</v>
      </c>
      <c r="I37" s="5">
        <f t="shared" ref="I37:I56" si="17">G37+IF(A37&lt;startage,1,0)*(H37*(1-initialunempprob))+IF(A37&gt;=startage,1,0)*(H37*(1-unempprob))</f>
        <v>51630.741966677379</v>
      </c>
      <c r="J37" s="26">
        <f t="shared" si="5"/>
        <v>0.17109775788770046</v>
      </c>
      <c r="L37" s="22">
        <f t="shared" ref="L37:L56" si="18">(sincome+sbenefits)*(1-sunemp)*B37/expnorm</f>
        <v>92389.591316715552</v>
      </c>
      <c r="M37" s="5">
        <f>scrimecost*Meta!O34</f>
        <v>973.82600000000002</v>
      </c>
      <c r="N37" s="5">
        <f>L37-Grade10!L37</f>
        <v>805.55128477746621</v>
      </c>
      <c r="O37" s="5">
        <f>Grade10!M37-M37</f>
        <v>20.482000000000085</v>
      </c>
      <c r="P37" s="22">
        <f t="shared" si="12"/>
        <v>201.25486733805911</v>
      </c>
      <c r="Q37" s="22"/>
      <c r="R37" s="22"/>
      <c r="S37" s="22">
        <f t="shared" si="6"/>
        <v>812.54008533906324</v>
      </c>
      <c r="T37" s="22">
        <f t="shared" si="7"/>
        <v>1077.7297839304763</v>
      </c>
    </row>
    <row r="38" spans="1:20" x14ac:dyDescent="0.2">
      <c r="A38" s="5">
        <v>47</v>
      </c>
      <c r="B38" s="1">
        <f t="shared" si="13"/>
        <v>2.097567579081788</v>
      </c>
      <c r="C38" s="5">
        <f t="shared" si="14"/>
        <v>46541.827181126093</v>
      </c>
      <c r="D38" s="5">
        <f t="shared" si="15"/>
        <v>44870.96851334528</v>
      </c>
      <c r="E38" s="5">
        <f t="shared" si="1"/>
        <v>35370.96851334528</v>
      </c>
      <c r="F38" s="5">
        <f t="shared" si="2"/>
        <v>11937.468070941763</v>
      </c>
      <c r="G38" s="5">
        <f t="shared" si="3"/>
        <v>32933.500442403514</v>
      </c>
      <c r="H38" s="22">
        <f t="shared" si="16"/>
        <v>20947.916820408307</v>
      </c>
      <c r="I38" s="5">
        <f t="shared" si="17"/>
        <v>52750.229754509768</v>
      </c>
      <c r="J38" s="26">
        <f t="shared" si="5"/>
        <v>0.17378050457646674</v>
      </c>
      <c r="L38" s="22">
        <f t="shared" si="18"/>
        <v>94699.331099633418</v>
      </c>
      <c r="M38" s="5">
        <f>scrimecost*Meta!O35</f>
        <v>973.82600000000002</v>
      </c>
      <c r="N38" s="5">
        <f>L38-Grade10!L38</f>
        <v>825.69006689684466</v>
      </c>
      <c r="O38" s="5">
        <f>Grade10!M38-M38</f>
        <v>20.482000000000085</v>
      </c>
      <c r="P38" s="22">
        <f t="shared" si="12"/>
        <v>207.09807787393385</v>
      </c>
      <c r="Q38" s="22"/>
      <c r="R38" s="22"/>
      <c r="S38" s="22">
        <f t="shared" si="6"/>
        <v>833.14738054787165</v>
      </c>
      <c r="T38" s="22">
        <f t="shared" si="7"/>
        <v>1115.5158855477914</v>
      </c>
    </row>
    <row r="39" spans="1:20" x14ac:dyDescent="0.2">
      <c r="A39" s="5">
        <v>48</v>
      </c>
      <c r="B39" s="1">
        <f t="shared" si="13"/>
        <v>2.1500067685588333</v>
      </c>
      <c r="C39" s="5">
        <f t="shared" si="14"/>
        <v>47705.372860654257</v>
      </c>
      <c r="D39" s="5">
        <f t="shared" si="15"/>
        <v>45971.682726178929</v>
      </c>
      <c r="E39" s="5">
        <f t="shared" si="1"/>
        <v>36471.682726178929</v>
      </c>
      <c r="F39" s="5">
        <f t="shared" si="2"/>
        <v>12406.922682715314</v>
      </c>
      <c r="G39" s="5">
        <f t="shared" si="3"/>
        <v>33564.760043463612</v>
      </c>
      <c r="H39" s="22">
        <f t="shared" si="16"/>
        <v>21471.614740918521</v>
      </c>
      <c r="I39" s="5">
        <f t="shared" si="17"/>
        <v>53876.907588372531</v>
      </c>
      <c r="J39" s="26">
        <f t="shared" ref="J39:J56" si="19">(F39-(IF(A39&gt;startage,1,0)*(unempprob*300*52)))/(IF(A39&lt;startage,1,0)*((C39+H39)*(1-initialunempprob))+IF(A39&gt;=startage,1,0)*((C39+H39)*(1-unempprob)))</f>
        <v>0.17671561631232477</v>
      </c>
      <c r="L39" s="22">
        <f t="shared" si="18"/>
        <v>97066.814377124276</v>
      </c>
      <c r="M39" s="5">
        <f>scrimecost*Meta!O36</f>
        <v>973.82600000000002</v>
      </c>
      <c r="N39" s="5">
        <f>L39-Grade10!L39</f>
        <v>846.33231856931525</v>
      </c>
      <c r="O39" s="5">
        <f>Grade10!M39-M39</f>
        <v>20.482000000000085</v>
      </c>
      <c r="P39" s="22">
        <f t="shared" si="12"/>
        <v>213.36499733514808</v>
      </c>
      <c r="Q39" s="22"/>
      <c r="R39" s="22"/>
      <c r="S39" s="22">
        <f t="shared" ref="S39:S69" si="20">IF(A39&lt;startage,1,0)*(N39-Q39-R39)+IF(A39&gt;=startage,1,0)*completionprob*(N39*spart+O39+P39)</f>
        <v>854.54193422568358</v>
      </c>
      <c r="T39" s="22">
        <f t="shared" ref="T39:T69" si="21">S39/sreturn^(A39-startage+1)</f>
        <v>1154.9844620127942</v>
      </c>
    </row>
    <row r="40" spans="1:20" x14ac:dyDescent="0.2">
      <c r="A40" s="5">
        <v>49</v>
      </c>
      <c r="B40" s="1">
        <f t="shared" si="13"/>
        <v>2.2037569377728037</v>
      </c>
      <c r="C40" s="5">
        <f t="shared" si="14"/>
        <v>48898.007182170608</v>
      </c>
      <c r="D40" s="5">
        <f t="shared" si="15"/>
        <v>47099.914794333396</v>
      </c>
      <c r="E40" s="5">
        <f t="shared" si="1"/>
        <v>37599.914794333396</v>
      </c>
      <c r="F40" s="5">
        <f t="shared" si="2"/>
        <v>12888.113659783194</v>
      </c>
      <c r="G40" s="5">
        <f t="shared" si="3"/>
        <v>34211.801134550202</v>
      </c>
      <c r="H40" s="22">
        <f t="shared" si="16"/>
        <v>22008.405109441479</v>
      </c>
      <c r="I40" s="5">
        <f t="shared" si="17"/>
        <v>55031.752368081841</v>
      </c>
      <c r="J40" s="26">
        <f t="shared" si="19"/>
        <v>0.17957913995706423</v>
      </c>
      <c r="L40" s="22">
        <f t="shared" si="18"/>
        <v>99493.48473655236</v>
      </c>
      <c r="M40" s="5">
        <f>scrimecost*Meta!O37</f>
        <v>973.82600000000002</v>
      </c>
      <c r="N40" s="5">
        <f>L40-Grade10!L40</f>
        <v>867.4906265335303</v>
      </c>
      <c r="O40" s="5">
        <f>Grade10!M40-M40</f>
        <v>20.482000000000085</v>
      </c>
      <c r="P40" s="22">
        <f t="shared" ref="P40:P56" si="22">(spart-initialspart)*(L40*J40+nptrans)</f>
        <v>219.78858978289253</v>
      </c>
      <c r="Q40" s="22"/>
      <c r="R40" s="22"/>
      <c r="S40" s="22">
        <f t="shared" si="20"/>
        <v>876.47135174539096</v>
      </c>
      <c r="T40" s="22">
        <f t="shared" si="21"/>
        <v>1195.8296684653276</v>
      </c>
    </row>
    <row r="41" spans="1:20" x14ac:dyDescent="0.2">
      <c r="A41" s="5">
        <v>50</v>
      </c>
      <c r="B41" s="1">
        <f t="shared" si="13"/>
        <v>2.2588508612171236</v>
      </c>
      <c r="C41" s="5">
        <f t="shared" si="14"/>
        <v>50120.457361724868</v>
      </c>
      <c r="D41" s="5">
        <f t="shared" si="15"/>
        <v>48256.352664191727</v>
      </c>
      <c r="E41" s="5">
        <f t="shared" si="1"/>
        <v>38756.352664191727</v>
      </c>
      <c r="F41" s="5">
        <f t="shared" si="2"/>
        <v>13381.33441127777</v>
      </c>
      <c r="G41" s="5">
        <f t="shared" si="3"/>
        <v>34875.018252913957</v>
      </c>
      <c r="H41" s="22">
        <f t="shared" si="16"/>
        <v>22558.615237177517</v>
      </c>
      <c r="I41" s="5">
        <f t="shared" si="17"/>
        <v>56215.468267283883</v>
      </c>
      <c r="J41" s="26">
        <f t="shared" si="19"/>
        <v>0.18237282156168802</v>
      </c>
      <c r="L41" s="22">
        <f t="shared" si="18"/>
        <v>101980.82185496617</v>
      </c>
      <c r="M41" s="5">
        <f>scrimecost*Meta!O38</f>
        <v>650.61199999999997</v>
      </c>
      <c r="N41" s="5">
        <f>L41-Grade10!L41</f>
        <v>889.17789219686529</v>
      </c>
      <c r="O41" s="5">
        <f>Grade10!M41-M41</f>
        <v>13.684000000000083</v>
      </c>
      <c r="P41" s="22">
        <f t="shared" si="22"/>
        <v>226.37277204183056</v>
      </c>
      <c r="Q41" s="22"/>
      <c r="R41" s="22"/>
      <c r="S41" s="22">
        <f t="shared" si="20"/>
        <v>892.28696470310172</v>
      </c>
      <c r="T41" s="22">
        <f t="shared" si="21"/>
        <v>1228.9238803746839</v>
      </c>
    </row>
    <row r="42" spans="1:20" x14ac:dyDescent="0.2">
      <c r="A42" s="5">
        <v>51</v>
      </c>
      <c r="B42" s="1">
        <f t="shared" si="13"/>
        <v>2.3153221327475517</v>
      </c>
      <c r="C42" s="5">
        <f t="shared" si="14"/>
        <v>51373.468795767985</v>
      </c>
      <c r="D42" s="5">
        <f t="shared" si="15"/>
        <v>49441.70148079651</v>
      </c>
      <c r="E42" s="5">
        <f t="shared" si="1"/>
        <v>39941.70148079651</v>
      </c>
      <c r="F42" s="5">
        <f t="shared" si="2"/>
        <v>13886.885681559712</v>
      </c>
      <c r="G42" s="5">
        <f t="shared" si="3"/>
        <v>35554.8157992368</v>
      </c>
      <c r="H42" s="22">
        <f t="shared" si="16"/>
        <v>23122.580618106953</v>
      </c>
      <c r="I42" s="5">
        <f t="shared" si="17"/>
        <v>57428.777063965972</v>
      </c>
      <c r="J42" s="26">
        <f t="shared" si="19"/>
        <v>0.18509836459058937</v>
      </c>
      <c r="L42" s="22">
        <f t="shared" si="18"/>
        <v>104530.34240134031</v>
      </c>
      <c r="M42" s="5">
        <f>scrimecost*Meta!O39</f>
        <v>650.61199999999997</v>
      </c>
      <c r="N42" s="5">
        <f>L42-Grade10!L42</f>
        <v>911.40733950179128</v>
      </c>
      <c r="O42" s="5">
        <f>Grade10!M42-M42</f>
        <v>13.684000000000083</v>
      </c>
      <c r="P42" s="22">
        <f t="shared" si="22"/>
        <v>233.12155885724209</v>
      </c>
      <c r="Q42" s="22"/>
      <c r="R42" s="22"/>
      <c r="S42" s="22">
        <f t="shared" si="20"/>
        <v>915.32655898476094</v>
      </c>
      <c r="T42" s="22">
        <f t="shared" si="21"/>
        <v>1272.5807084272594</v>
      </c>
    </row>
    <row r="43" spans="1:20" x14ac:dyDescent="0.2">
      <c r="A43" s="5">
        <v>52</v>
      </c>
      <c r="B43" s="1">
        <f t="shared" si="13"/>
        <v>2.3732051860662402</v>
      </c>
      <c r="C43" s="5">
        <f t="shared" si="14"/>
        <v>52657.805515662185</v>
      </c>
      <c r="D43" s="5">
        <f t="shared" si="15"/>
        <v>50656.684017816428</v>
      </c>
      <c r="E43" s="5">
        <f t="shared" si="1"/>
        <v>41156.684017816428</v>
      </c>
      <c r="F43" s="5">
        <f t="shared" si="2"/>
        <v>14405.075733598707</v>
      </c>
      <c r="G43" s="5">
        <f t="shared" si="3"/>
        <v>36251.60828421772</v>
      </c>
      <c r="H43" s="22">
        <f t="shared" si="16"/>
        <v>23700.645133559625</v>
      </c>
      <c r="I43" s="5">
        <f t="shared" si="17"/>
        <v>58672.418580565121</v>
      </c>
      <c r="J43" s="26">
        <f t="shared" si="19"/>
        <v>0.18775743096024924</v>
      </c>
      <c r="L43" s="22">
        <f t="shared" si="18"/>
        <v>107143.60096137383</v>
      </c>
      <c r="M43" s="5">
        <f>scrimecost*Meta!O40</f>
        <v>650.61199999999997</v>
      </c>
      <c r="N43" s="5">
        <f>L43-Grade10!L43</f>
        <v>934.19252298932406</v>
      </c>
      <c r="O43" s="5">
        <f>Grade10!M43-M43</f>
        <v>13.684000000000083</v>
      </c>
      <c r="P43" s="22">
        <f t="shared" si="22"/>
        <v>240.03906534303897</v>
      </c>
      <c r="Q43" s="22"/>
      <c r="R43" s="22"/>
      <c r="S43" s="22">
        <f t="shared" si="20"/>
        <v>938.94214312344957</v>
      </c>
      <c r="T43" s="22">
        <f t="shared" si="21"/>
        <v>1317.7618789886551</v>
      </c>
    </row>
    <row r="44" spans="1:20" x14ac:dyDescent="0.2">
      <c r="A44" s="5">
        <v>53</v>
      </c>
      <c r="B44" s="1">
        <f t="shared" si="13"/>
        <v>2.4325353157178964</v>
      </c>
      <c r="C44" s="5">
        <f t="shared" si="14"/>
        <v>53974.25065355374</v>
      </c>
      <c r="D44" s="5">
        <f t="shared" si="15"/>
        <v>51902.041118261834</v>
      </c>
      <c r="E44" s="5">
        <f t="shared" si="1"/>
        <v>42402.041118261834</v>
      </c>
      <c r="F44" s="5">
        <f t="shared" si="2"/>
        <v>14936.22053693867</v>
      </c>
      <c r="G44" s="5">
        <f t="shared" si="3"/>
        <v>36965.820581323162</v>
      </c>
      <c r="H44" s="22">
        <f t="shared" si="16"/>
        <v>24293.161261898618</v>
      </c>
      <c r="I44" s="5">
        <f t="shared" si="17"/>
        <v>59947.151135079257</v>
      </c>
      <c r="J44" s="26">
        <f t="shared" si="19"/>
        <v>0.19035164205260025</v>
      </c>
      <c r="L44" s="22">
        <f t="shared" si="18"/>
        <v>109822.19098540816</v>
      </c>
      <c r="M44" s="5">
        <f>scrimecost*Meta!O41</f>
        <v>650.61199999999997</v>
      </c>
      <c r="N44" s="5">
        <f>L44-Grade10!L44</f>
        <v>957.54733606407535</v>
      </c>
      <c r="O44" s="5">
        <f>Grade10!M44-M44</f>
        <v>13.684000000000083</v>
      </c>
      <c r="P44" s="22">
        <f t="shared" si="22"/>
        <v>247.12950949098067</v>
      </c>
      <c r="Q44" s="22"/>
      <c r="R44" s="22"/>
      <c r="S44" s="22">
        <f t="shared" si="20"/>
        <v>963.14811686562769</v>
      </c>
      <c r="T44" s="22">
        <f t="shared" si="21"/>
        <v>1364.5203715135553</v>
      </c>
    </row>
    <row r="45" spans="1:20" x14ac:dyDescent="0.2">
      <c r="A45" s="5">
        <v>54</v>
      </c>
      <c r="B45" s="1">
        <f t="shared" si="13"/>
        <v>2.4933486986108435</v>
      </c>
      <c r="C45" s="5">
        <f t="shared" si="14"/>
        <v>55323.606919892576</v>
      </c>
      <c r="D45" s="5">
        <f t="shared" si="15"/>
        <v>53178.532146218378</v>
      </c>
      <c r="E45" s="5">
        <f t="shared" si="1"/>
        <v>43678.532146218378</v>
      </c>
      <c r="F45" s="5">
        <f t="shared" si="2"/>
        <v>15480.643960362138</v>
      </c>
      <c r="G45" s="5">
        <f t="shared" si="3"/>
        <v>37697.888185856238</v>
      </c>
      <c r="H45" s="22">
        <f t="shared" si="16"/>
        <v>24900.490293446081</v>
      </c>
      <c r="I45" s="5">
        <f t="shared" si="17"/>
        <v>61253.752003456233</v>
      </c>
      <c r="J45" s="26">
        <f t="shared" si="19"/>
        <v>0.19288257970367451</v>
      </c>
      <c r="L45" s="22">
        <f t="shared" si="18"/>
        <v>112567.74576004336</v>
      </c>
      <c r="M45" s="5">
        <f>scrimecost*Meta!O42</f>
        <v>650.61199999999997</v>
      </c>
      <c r="N45" s="5">
        <f>L45-Grade10!L45</f>
        <v>981.48601946569397</v>
      </c>
      <c r="O45" s="5">
        <f>Grade10!M45-M45</f>
        <v>13.684000000000083</v>
      </c>
      <c r="P45" s="22">
        <f t="shared" si="22"/>
        <v>254.397214742621</v>
      </c>
      <c r="Q45" s="22"/>
      <c r="R45" s="22"/>
      <c r="S45" s="22">
        <f t="shared" si="20"/>
        <v>987.95923995135934</v>
      </c>
      <c r="T45" s="22">
        <f t="shared" si="21"/>
        <v>1412.9110044849783</v>
      </c>
    </row>
    <row r="46" spans="1:20" x14ac:dyDescent="0.2">
      <c r="A46" s="5">
        <v>55</v>
      </c>
      <c r="B46" s="1">
        <f t="shared" si="13"/>
        <v>2.555682416076114</v>
      </c>
      <c r="C46" s="5">
        <f t="shared" si="14"/>
        <v>56706.697092889881</v>
      </c>
      <c r="D46" s="5">
        <f t="shared" si="15"/>
        <v>54486.935449873825</v>
      </c>
      <c r="E46" s="5">
        <f t="shared" si="1"/>
        <v>44986.935449873825</v>
      </c>
      <c r="F46" s="5">
        <f t="shared" si="2"/>
        <v>16038.677969371185</v>
      </c>
      <c r="G46" s="5">
        <f t="shared" si="3"/>
        <v>38448.257480502638</v>
      </c>
      <c r="H46" s="22">
        <f t="shared" si="16"/>
        <v>25523.002550782225</v>
      </c>
      <c r="I46" s="5">
        <f t="shared" si="17"/>
        <v>62593.017893542623</v>
      </c>
      <c r="J46" s="26">
        <f t="shared" si="19"/>
        <v>0.19535178716813709</v>
      </c>
      <c r="L46" s="22">
        <f t="shared" si="18"/>
        <v>115381.93940404442</v>
      </c>
      <c r="M46" s="5">
        <f>scrimecost*Meta!O43</f>
        <v>360.86999999999995</v>
      </c>
      <c r="N46" s="5">
        <f>L46-Grade10!L46</f>
        <v>1006.0231699522847</v>
      </c>
      <c r="O46" s="5">
        <f>Grade10!M46-M46</f>
        <v>7.5900000000000318</v>
      </c>
      <c r="P46" s="22">
        <f t="shared" si="22"/>
        <v>261.84661262555221</v>
      </c>
      <c r="Q46" s="22"/>
      <c r="R46" s="22"/>
      <c r="S46" s="22">
        <f t="shared" si="20"/>
        <v>1007.4185211141835</v>
      </c>
      <c r="T46" s="22">
        <f t="shared" si="21"/>
        <v>1454.3687945618315</v>
      </c>
    </row>
    <row r="47" spans="1:20" x14ac:dyDescent="0.2">
      <c r="A47" s="5">
        <v>56</v>
      </c>
      <c r="B47" s="1">
        <f t="shared" si="13"/>
        <v>2.6195744764780171</v>
      </c>
      <c r="C47" s="5">
        <f t="shared" si="14"/>
        <v>58124.364520212133</v>
      </c>
      <c r="D47" s="5">
        <f t="shared" si="15"/>
        <v>55828.048836120674</v>
      </c>
      <c r="E47" s="5">
        <f t="shared" si="1"/>
        <v>46328.048836120674</v>
      </c>
      <c r="F47" s="5">
        <f t="shared" si="2"/>
        <v>16610.662828605466</v>
      </c>
      <c r="G47" s="5">
        <f t="shared" si="3"/>
        <v>39217.386007515204</v>
      </c>
      <c r="H47" s="22">
        <f t="shared" si="16"/>
        <v>26161.077614551785</v>
      </c>
      <c r="I47" s="5">
        <f t="shared" si="17"/>
        <v>63965.765430881191</v>
      </c>
      <c r="J47" s="26">
        <f t="shared" si="19"/>
        <v>0.19776077006029577</v>
      </c>
      <c r="L47" s="22">
        <f t="shared" si="18"/>
        <v>118266.48788914553</v>
      </c>
      <c r="M47" s="5">
        <f>scrimecost*Meta!O44</f>
        <v>360.86999999999995</v>
      </c>
      <c r="N47" s="5">
        <f>L47-Grade10!L47</f>
        <v>1031.1737492011162</v>
      </c>
      <c r="O47" s="5">
        <f>Grade10!M47-M47</f>
        <v>7.5900000000000318</v>
      </c>
      <c r="P47" s="22">
        <f t="shared" si="22"/>
        <v>269.48224545555684</v>
      </c>
      <c r="Q47" s="22"/>
      <c r="R47" s="22"/>
      <c r="S47" s="22">
        <f t="shared" si="20"/>
        <v>1033.4857073061344</v>
      </c>
      <c r="T47" s="22">
        <f t="shared" si="21"/>
        <v>1506.1142855284754</v>
      </c>
    </row>
    <row r="48" spans="1:20" x14ac:dyDescent="0.2">
      <c r="A48" s="5">
        <v>57</v>
      </c>
      <c r="B48" s="1">
        <f t="shared" si="13"/>
        <v>2.6850638383899672</v>
      </c>
      <c r="C48" s="5">
        <f t="shared" si="14"/>
        <v>59577.473633217422</v>
      </c>
      <c r="D48" s="5">
        <f t="shared" si="15"/>
        <v>57202.690057023683</v>
      </c>
      <c r="E48" s="5">
        <f t="shared" si="1"/>
        <v>47702.690057023683</v>
      </c>
      <c r="F48" s="5">
        <f t="shared" si="2"/>
        <v>17196.9473093206</v>
      </c>
      <c r="G48" s="5">
        <f t="shared" si="3"/>
        <v>40005.742747703087</v>
      </c>
      <c r="H48" s="22">
        <f t="shared" si="16"/>
        <v>26815.104554915571</v>
      </c>
      <c r="I48" s="5">
        <f t="shared" si="17"/>
        <v>65372.831656653216</v>
      </c>
      <c r="J48" s="26">
        <f t="shared" si="19"/>
        <v>0.20011099727215789</v>
      </c>
      <c r="L48" s="22">
        <f t="shared" si="18"/>
        <v>121223.15008637417</v>
      </c>
      <c r="M48" s="5">
        <f>scrimecost*Meta!O45</f>
        <v>360.86999999999995</v>
      </c>
      <c r="N48" s="5">
        <f>L48-Grade10!L48</f>
        <v>1056.9530929311441</v>
      </c>
      <c r="O48" s="5">
        <f>Grade10!M48-M48</f>
        <v>7.5900000000000318</v>
      </c>
      <c r="P48" s="22">
        <f t="shared" si="22"/>
        <v>277.3087691063115</v>
      </c>
      <c r="Q48" s="22"/>
      <c r="R48" s="22"/>
      <c r="S48" s="22">
        <f t="shared" si="20"/>
        <v>1060.2045731528663</v>
      </c>
      <c r="T48" s="22">
        <f t="shared" si="21"/>
        <v>1559.6672843921888</v>
      </c>
    </row>
    <row r="49" spans="1:20" x14ac:dyDescent="0.2">
      <c r="A49" s="5">
        <v>58</v>
      </c>
      <c r="B49" s="1">
        <f t="shared" si="13"/>
        <v>2.7521904343497163</v>
      </c>
      <c r="C49" s="5">
        <f t="shared" si="14"/>
        <v>61066.910474047858</v>
      </c>
      <c r="D49" s="5">
        <f t="shared" si="15"/>
        <v>58611.697308449271</v>
      </c>
      <c r="E49" s="5">
        <f t="shared" si="1"/>
        <v>49111.697308449271</v>
      </c>
      <c r="F49" s="5">
        <f t="shared" si="2"/>
        <v>17797.888902053615</v>
      </c>
      <c r="G49" s="5">
        <f t="shared" si="3"/>
        <v>40813.808406395656</v>
      </c>
      <c r="H49" s="22">
        <f t="shared" si="16"/>
        <v>27485.482168788461</v>
      </c>
      <c r="I49" s="5">
        <f t="shared" si="17"/>
        <v>66815.074538069544</v>
      </c>
      <c r="J49" s="26">
        <f t="shared" si="19"/>
        <v>0.20240390186909657</v>
      </c>
      <c r="L49" s="22">
        <f t="shared" si="18"/>
        <v>124253.72883853353</v>
      </c>
      <c r="M49" s="5">
        <f>scrimecost*Meta!O46</f>
        <v>360.86999999999995</v>
      </c>
      <c r="N49" s="5">
        <f>L49-Grade10!L49</f>
        <v>1083.3769202544354</v>
      </c>
      <c r="O49" s="5">
        <f>Grade10!M49-M49</f>
        <v>7.5900000000000318</v>
      </c>
      <c r="P49" s="22">
        <f t="shared" si="22"/>
        <v>285.33095584833512</v>
      </c>
      <c r="Q49" s="22"/>
      <c r="R49" s="22"/>
      <c r="S49" s="22">
        <f t="shared" si="20"/>
        <v>1087.5914106457758</v>
      </c>
      <c r="T49" s="22">
        <f t="shared" si="21"/>
        <v>1615.0906191286099</v>
      </c>
    </row>
    <row r="50" spans="1:20" x14ac:dyDescent="0.2">
      <c r="A50" s="5">
        <v>59</v>
      </c>
      <c r="B50" s="1">
        <f t="shared" si="13"/>
        <v>2.8209951952084591</v>
      </c>
      <c r="C50" s="5">
        <f t="shared" si="14"/>
        <v>62593.583235899052</v>
      </c>
      <c r="D50" s="5">
        <f t="shared" si="15"/>
        <v>60055.9297411605</v>
      </c>
      <c r="E50" s="5">
        <f t="shared" si="1"/>
        <v>50555.9297411605</v>
      </c>
      <c r="F50" s="5">
        <f t="shared" si="2"/>
        <v>18413.854034604956</v>
      </c>
      <c r="G50" s="5">
        <f t="shared" si="3"/>
        <v>41642.075706555544</v>
      </c>
      <c r="H50" s="22">
        <f t="shared" si="16"/>
        <v>28172.619223008172</v>
      </c>
      <c r="I50" s="5">
        <f t="shared" si="17"/>
        <v>68293.37349152127</v>
      </c>
      <c r="J50" s="26">
        <f t="shared" si="19"/>
        <v>0.20464088196367086</v>
      </c>
      <c r="L50" s="22">
        <f t="shared" si="18"/>
        <v>127360.07205949684</v>
      </c>
      <c r="M50" s="5">
        <f>scrimecost*Meta!O47</f>
        <v>360.86999999999995</v>
      </c>
      <c r="N50" s="5">
        <f>L50-Grade10!L50</f>
        <v>1110.461343260773</v>
      </c>
      <c r="O50" s="5">
        <f>Grade10!M50-M50</f>
        <v>7.5900000000000318</v>
      </c>
      <c r="P50" s="22">
        <f t="shared" si="22"/>
        <v>293.55369725890927</v>
      </c>
      <c r="Q50" s="22"/>
      <c r="R50" s="22"/>
      <c r="S50" s="22">
        <f t="shared" si="20"/>
        <v>1115.6629190759816</v>
      </c>
      <c r="T50" s="22">
        <f t="shared" si="21"/>
        <v>1672.4492986700823</v>
      </c>
    </row>
    <row r="51" spans="1:20" x14ac:dyDescent="0.2">
      <c r="A51" s="5">
        <v>60</v>
      </c>
      <c r="B51" s="1">
        <f t="shared" si="13"/>
        <v>2.8915200750886707</v>
      </c>
      <c r="C51" s="5">
        <f t="shared" si="14"/>
        <v>64158.422816796534</v>
      </c>
      <c r="D51" s="5">
        <f t="shared" si="15"/>
        <v>61536.267984689519</v>
      </c>
      <c r="E51" s="5">
        <f t="shared" si="1"/>
        <v>52036.267984689519</v>
      </c>
      <c r="F51" s="5">
        <f t="shared" si="2"/>
        <v>19045.21829547008</v>
      </c>
      <c r="G51" s="5">
        <f t="shared" si="3"/>
        <v>42491.049689219435</v>
      </c>
      <c r="H51" s="22">
        <f t="shared" si="16"/>
        <v>28876.934703583382</v>
      </c>
      <c r="I51" s="5">
        <f t="shared" si="17"/>
        <v>69808.629918809311</v>
      </c>
      <c r="J51" s="26">
        <f t="shared" si="19"/>
        <v>0.20682330156813361</v>
      </c>
      <c r="L51" s="22">
        <f t="shared" si="18"/>
        <v>130544.07386098427</v>
      </c>
      <c r="M51" s="5">
        <f>scrimecost*Meta!O48</f>
        <v>190.37199999999999</v>
      </c>
      <c r="N51" s="5">
        <f>L51-Grade10!L51</f>
        <v>1138.2228768423374</v>
      </c>
      <c r="O51" s="5">
        <f>Grade10!M51-M51</f>
        <v>4.0040000000000191</v>
      </c>
      <c r="P51" s="22">
        <f t="shared" si="22"/>
        <v>301.98200720474779</v>
      </c>
      <c r="Q51" s="22"/>
      <c r="R51" s="22"/>
      <c r="S51" s="22">
        <f t="shared" si="20"/>
        <v>1140.921935216993</v>
      </c>
      <c r="T51" s="22">
        <f t="shared" si="21"/>
        <v>1726.4926274502343</v>
      </c>
    </row>
    <row r="52" spans="1:20" x14ac:dyDescent="0.2">
      <c r="A52" s="5">
        <v>61</v>
      </c>
      <c r="B52" s="1">
        <f t="shared" si="13"/>
        <v>2.9638080769658868</v>
      </c>
      <c r="C52" s="5">
        <f t="shared" si="14"/>
        <v>65762.38338721644</v>
      </c>
      <c r="D52" s="5">
        <f t="shared" si="15"/>
        <v>63053.614684306747</v>
      </c>
      <c r="E52" s="5">
        <f t="shared" si="1"/>
        <v>53553.614684306747</v>
      </c>
      <c r="F52" s="5">
        <f t="shared" si="2"/>
        <v>19692.366662856828</v>
      </c>
      <c r="G52" s="5">
        <f t="shared" si="3"/>
        <v>43361.248021449923</v>
      </c>
      <c r="H52" s="22">
        <f t="shared" si="16"/>
        <v>29598.858071172959</v>
      </c>
      <c r="I52" s="5">
        <f t="shared" si="17"/>
        <v>71361.767756779533</v>
      </c>
      <c r="J52" s="26">
        <f t="shared" si="19"/>
        <v>0.20895249142614597</v>
      </c>
      <c r="L52" s="22">
        <f t="shared" si="18"/>
        <v>133807.67570750887</v>
      </c>
      <c r="M52" s="5">
        <f>scrimecost*Meta!O49</f>
        <v>190.37199999999999</v>
      </c>
      <c r="N52" s="5">
        <f>L52-Grade10!L52</f>
        <v>1166.6784487633558</v>
      </c>
      <c r="O52" s="5">
        <f>Grade10!M52-M52</f>
        <v>4.0040000000000191</v>
      </c>
      <c r="P52" s="22">
        <f t="shared" si="22"/>
        <v>310.62102489923217</v>
      </c>
      <c r="Q52" s="22"/>
      <c r="R52" s="22"/>
      <c r="S52" s="22">
        <f t="shared" si="20"/>
        <v>1170.4145637614665</v>
      </c>
      <c r="T52" s="22">
        <f t="shared" si="21"/>
        <v>1787.8758237820566</v>
      </c>
    </row>
    <row r="53" spans="1:20" x14ac:dyDescent="0.2">
      <c r="A53" s="5">
        <v>62</v>
      </c>
      <c r="B53" s="1">
        <f t="shared" si="13"/>
        <v>3.0379032788900342</v>
      </c>
      <c r="C53" s="5">
        <f t="shared" si="14"/>
        <v>67406.442971896846</v>
      </c>
      <c r="D53" s="5">
        <f t="shared" si="15"/>
        <v>64608.895051414416</v>
      </c>
      <c r="E53" s="5">
        <f t="shared" si="1"/>
        <v>55108.895051414416</v>
      </c>
      <c r="F53" s="5">
        <f t="shared" si="2"/>
        <v>20355.69373942825</v>
      </c>
      <c r="G53" s="5">
        <f t="shared" si="3"/>
        <v>44253.201311986166</v>
      </c>
      <c r="H53" s="22">
        <f t="shared" si="16"/>
        <v>30338.829522952281</v>
      </c>
      <c r="I53" s="5">
        <f t="shared" si="17"/>
        <v>72953.734040699026</v>
      </c>
      <c r="J53" s="26">
        <f t="shared" si="19"/>
        <v>0.21102974982420694</v>
      </c>
      <c r="L53" s="22">
        <f t="shared" si="18"/>
        <v>137152.86760019659</v>
      </c>
      <c r="M53" s="5">
        <f>scrimecost*Meta!O50</f>
        <v>190.37199999999999</v>
      </c>
      <c r="N53" s="5">
        <f>L53-Grade10!L53</f>
        <v>1195.8454099824594</v>
      </c>
      <c r="O53" s="5">
        <f>Grade10!M53-M53</f>
        <v>4.0040000000000191</v>
      </c>
      <c r="P53" s="22">
        <f t="shared" si="22"/>
        <v>319.47601803607893</v>
      </c>
      <c r="Q53" s="22"/>
      <c r="R53" s="22"/>
      <c r="S53" s="22">
        <f t="shared" si="20"/>
        <v>1200.6445080195961</v>
      </c>
      <c r="T53" s="22">
        <f t="shared" si="21"/>
        <v>1851.4027716339119</v>
      </c>
    </row>
    <row r="54" spans="1:20" x14ac:dyDescent="0.2">
      <c r="A54" s="5">
        <v>63</v>
      </c>
      <c r="B54" s="1">
        <f t="shared" si="13"/>
        <v>3.1138508608622844</v>
      </c>
      <c r="C54" s="5">
        <f t="shared" si="14"/>
        <v>69091.604046194261</v>
      </c>
      <c r="D54" s="5">
        <f t="shared" si="15"/>
        <v>66203.057427699765</v>
      </c>
      <c r="E54" s="5">
        <f t="shared" si="1"/>
        <v>56703.057427699765</v>
      </c>
      <c r="F54" s="5">
        <f t="shared" si="2"/>
        <v>21035.603992913952</v>
      </c>
      <c r="G54" s="5">
        <f t="shared" si="3"/>
        <v>45167.453434785813</v>
      </c>
      <c r="H54" s="22">
        <f t="shared" si="16"/>
        <v>31097.300261026081</v>
      </c>
      <c r="I54" s="5">
        <f t="shared" si="17"/>
        <v>74585.499481716484</v>
      </c>
      <c r="J54" s="26">
        <f t="shared" si="19"/>
        <v>0.21305634338329071</v>
      </c>
      <c r="L54" s="22">
        <f t="shared" si="18"/>
        <v>140581.68929020147</v>
      </c>
      <c r="M54" s="5">
        <f>scrimecost*Meta!O51</f>
        <v>190.37199999999999</v>
      </c>
      <c r="N54" s="5">
        <f>L54-Grade10!L54</f>
        <v>1225.7415452319838</v>
      </c>
      <c r="O54" s="5">
        <f>Grade10!M54-M54</f>
        <v>4.0040000000000191</v>
      </c>
      <c r="P54" s="22">
        <f t="shared" si="22"/>
        <v>328.55238600134652</v>
      </c>
      <c r="Q54" s="22"/>
      <c r="R54" s="22"/>
      <c r="S54" s="22">
        <f t="shared" si="20"/>
        <v>1231.6302008841369</v>
      </c>
      <c r="T54" s="22">
        <f t="shared" si="21"/>
        <v>1917.1479827857652</v>
      </c>
    </row>
    <row r="55" spans="1:20" x14ac:dyDescent="0.2">
      <c r="A55" s="5">
        <v>64</v>
      </c>
      <c r="B55" s="1">
        <f t="shared" si="13"/>
        <v>3.1916971323838421</v>
      </c>
      <c r="C55" s="5">
        <f t="shared" si="14"/>
        <v>70818.894147349114</v>
      </c>
      <c r="D55" s="5">
        <f t="shared" si="15"/>
        <v>67837.073863392259</v>
      </c>
      <c r="E55" s="5">
        <f t="shared" si="1"/>
        <v>58337.073863392259</v>
      </c>
      <c r="F55" s="5">
        <f t="shared" si="2"/>
        <v>21732.512002736796</v>
      </c>
      <c r="G55" s="5">
        <f t="shared" si="3"/>
        <v>46104.561860655464</v>
      </c>
      <c r="H55" s="22">
        <f t="shared" si="16"/>
        <v>31874.732767551741</v>
      </c>
      <c r="I55" s="5">
        <f t="shared" si="17"/>
        <v>76258.059058759405</v>
      </c>
      <c r="J55" s="26">
        <f t="shared" si="19"/>
        <v>0.21503350783117728</v>
      </c>
      <c r="L55" s="22">
        <f t="shared" si="18"/>
        <v>144096.23152245654</v>
      </c>
      <c r="M55" s="5">
        <f>scrimecost*Meta!O52</f>
        <v>190.37199999999999</v>
      </c>
      <c r="N55" s="5">
        <f>L55-Grade10!L55</f>
        <v>1256.3850838628132</v>
      </c>
      <c r="O55" s="5">
        <f>Grade10!M55-M55</f>
        <v>4.0040000000000191</v>
      </c>
      <c r="P55" s="22">
        <f t="shared" si="22"/>
        <v>337.85566316574591</v>
      </c>
      <c r="Q55" s="22"/>
      <c r="R55" s="22"/>
      <c r="S55" s="22">
        <f t="shared" si="20"/>
        <v>1263.3905360703411</v>
      </c>
      <c r="T55" s="22">
        <f t="shared" si="21"/>
        <v>1985.1885555200454</v>
      </c>
    </row>
    <row r="56" spans="1:20" x14ac:dyDescent="0.2">
      <c r="A56" s="5">
        <v>65</v>
      </c>
      <c r="B56" s="1">
        <f t="shared" si="13"/>
        <v>3.2714895606934378</v>
      </c>
      <c r="C56" s="5">
        <f t="shared" si="14"/>
        <v>72589.36650103284</v>
      </c>
      <c r="D56" s="5">
        <f t="shared" si="15"/>
        <v>69511.940709977061</v>
      </c>
      <c r="E56" s="5">
        <f t="shared" si="1"/>
        <v>60011.940709977061</v>
      </c>
      <c r="F56" s="5">
        <f t="shared" si="2"/>
        <v>22446.842712805217</v>
      </c>
      <c r="G56" s="5">
        <f t="shared" si="3"/>
        <v>47065.097997171848</v>
      </c>
      <c r="H56" s="22">
        <f t="shared" si="16"/>
        <v>32671.601086740531</v>
      </c>
      <c r="I56" s="5">
        <f t="shared" si="17"/>
        <v>77972.432625228394</v>
      </c>
      <c r="J56" s="26">
        <f t="shared" si="19"/>
        <v>0.21696244875594478</v>
      </c>
      <c r="L56" s="22">
        <f t="shared" si="18"/>
        <v>147698.63731051792</v>
      </c>
      <c r="M56" s="5">
        <f>scrimecost*Meta!O53</f>
        <v>57.53</v>
      </c>
      <c r="N56" s="5">
        <f>L56-Grade10!L56</f>
        <v>1287.7947109593661</v>
      </c>
      <c r="O56" s="5">
        <f>Grade10!M56-M56</f>
        <v>1.2100000000000009</v>
      </c>
      <c r="P56" s="22">
        <f t="shared" si="22"/>
        <v>347.39152225925534</v>
      </c>
      <c r="Q56" s="22"/>
      <c r="R56" s="22"/>
      <c r="S56" s="22">
        <f t="shared" si="20"/>
        <v>1293.2067596361651</v>
      </c>
      <c r="T56" s="22">
        <f t="shared" si="21"/>
        <v>2051.2611080893075</v>
      </c>
    </row>
    <row r="57" spans="1:20" x14ac:dyDescent="0.2">
      <c r="A57" s="5">
        <v>66</v>
      </c>
      <c r="C57" s="5"/>
      <c r="H57" s="21"/>
      <c r="I57" s="5"/>
      <c r="M57" s="5">
        <f>scrimecost*Meta!O54</f>
        <v>57.53</v>
      </c>
      <c r="N57" s="5">
        <f>L57-Grade10!L57</f>
        <v>0</v>
      </c>
      <c r="O57" s="5">
        <f>Grade10!M57-M57</f>
        <v>1.2100000000000009</v>
      </c>
      <c r="Q57" s="22"/>
      <c r="R57" s="22"/>
      <c r="S57" s="22">
        <f t="shared" si="20"/>
        <v>1.1858000000000009</v>
      </c>
      <c r="T57" s="22">
        <f t="shared" si="21"/>
        <v>1.8986864986943754</v>
      </c>
    </row>
    <row r="58" spans="1:20" x14ac:dyDescent="0.2">
      <c r="A58" s="5">
        <v>67</v>
      </c>
      <c r="C58" s="5"/>
      <c r="H58" s="21"/>
      <c r="I58" s="5"/>
      <c r="M58" s="5">
        <f>scrimecost*Meta!O55</f>
        <v>57.53</v>
      </c>
      <c r="N58" s="5">
        <f>L58-Grade10!L58</f>
        <v>0</v>
      </c>
      <c r="O58" s="5">
        <f>Grade10!M58-M58</f>
        <v>1.2100000000000009</v>
      </c>
      <c r="Q58" s="22"/>
      <c r="R58" s="22"/>
      <c r="S58" s="22">
        <f t="shared" si="20"/>
        <v>1.1858000000000009</v>
      </c>
      <c r="T58" s="22">
        <f t="shared" si="21"/>
        <v>1.9166468447019382</v>
      </c>
    </row>
    <row r="59" spans="1:20" x14ac:dyDescent="0.2">
      <c r="A59" s="5">
        <v>68</v>
      </c>
      <c r="H59" s="21"/>
      <c r="I59" s="5"/>
      <c r="M59" s="5">
        <f>scrimecost*Meta!O56</f>
        <v>57.53</v>
      </c>
      <c r="N59" s="5">
        <f>L59-Grade10!L59</f>
        <v>0</v>
      </c>
      <c r="O59" s="5">
        <f>Grade10!M59-M59</f>
        <v>1.2100000000000009</v>
      </c>
      <c r="Q59" s="22"/>
      <c r="R59" s="22"/>
      <c r="S59" s="22">
        <f t="shared" si="20"/>
        <v>1.1858000000000009</v>
      </c>
      <c r="T59" s="22">
        <f t="shared" si="21"/>
        <v>1.9347770839640919</v>
      </c>
    </row>
    <row r="60" spans="1:20" x14ac:dyDescent="0.2">
      <c r="A60" s="5">
        <v>69</v>
      </c>
      <c r="H60" s="21"/>
      <c r="I60" s="5"/>
      <c r="M60" s="5">
        <f>scrimecost*Meta!O57</f>
        <v>57.53</v>
      </c>
      <c r="N60" s="5">
        <f>L60-Grade10!L60</f>
        <v>0</v>
      </c>
      <c r="O60" s="5">
        <f>Grade10!M60-M60</f>
        <v>1.2100000000000009</v>
      </c>
      <c r="Q60" s="22"/>
      <c r="R60" s="22"/>
      <c r="S60" s="22">
        <f t="shared" si="20"/>
        <v>1.1858000000000009</v>
      </c>
      <c r="T60" s="22">
        <f t="shared" si="21"/>
        <v>1.9530788235611205</v>
      </c>
    </row>
    <row r="61" spans="1:20" x14ac:dyDescent="0.2">
      <c r="A61" s="5">
        <v>70</v>
      </c>
      <c r="H61" s="21"/>
      <c r="I61" s="5"/>
      <c r="M61" s="5">
        <f>scrimecost*Meta!O58</f>
        <v>57.53</v>
      </c>
      <c r="N61" s="5">
        <f>L61-Grade10!L61</f>
        <v>0</v>
      </c>
      <c r="O61" s="5">
        <f>Grade10!M61-M61</f>
        <v>1.2100000000000009</v>
      </c>
      <c r="Q61" s="22"/>
      <c r="R61" s="22"/>
      <c r="S61" s="22">
        <f t="shared" si="20"/>
        <v>1.1858000000000009</v>
      </c>
      <c r="T61" s="22">
        <f t="shared" si="21"/>
        <v>1.9715536857752471</v>
      </c>
    </row>
    <row r="62" spans="1:20" x14ac:dyDescent="0.2">
      <c r="A62" s="5">
        <v>71</v>
      </c>
      <c r="H62" s="21"/>
      <c r="I62" s="5"/>
      <c r="M62" s="5">
        <f>scrimecost*Meta!O59</f>
        <v>57.53</v>
      </c>
      <c r="N62" s="5">
        <f>L62-Grade10!L62</f>
        <v>0</v>
      </c>
      <c r="O62" s="5">
        <f>Grade10!M62-M62</f>
        <v>1.2100000000000009</v>
      </c>
      <c r="Q62" s="22"/>
      <c r="R62" s="22"/>
      <c r="S62" s="22">
        <f t="shared" si="20"/>
        <v>1.1858000000000009</v>
      </c>
      <c r="T62" s="22">
        <f t="shared" si="21"/>
        <v>1.9902033082344361</v>
      </c>
    </row>
    <row r="63" spans="1:20" x14ac:dyDescent="0.2">
      <c r="A63" s="5">
        <v>72</v>
      </c>
      <c r="H63" s="21"/>
      <c r="M63" s="5">
        <f>scrimecost*Meta!O60</f>
        <v>57.53</v>
      </c>
      <c r="N63" s="5">
        <f>L63-Grade10!L63</f>
        <v>0</v>
      </c>
      <c r="O63" s="5">
        <f>Grade10!M63-M63</f>
        <v>1.2100000000000009</v>
      </c>
      <c r="Q63" s="22"/>
      <c r="R63" s="22"/>
      <c r="S63" s="22">
        <f t="shared" si="20"/>
        <v>1.1858000000000009</v>
      </c>
      <c r="T63" s="22">
        <f t="shared" si="21"/>
        <v>2.0090293440575517</v>
      </c>
    </row>
    <row r="64" spans="1:20" x14ac:dyDescent="0.2">
      <c r="A64" s="5">
        <v>73</v>
      </c>
      <c r="H64" s="21"/>
      <c r="M64" s="5">
        <f>scrimecost*Meta!O61</f>
        <v>57.53</v>
      </c>
      <c r="N64" s="5">
        <f>L64-Grade10!L64</f>
        <v>0</v>
      </c>
      <c r="O64" s="5">
        <f>Grade10!M64-M64</f>
        <v>1.2100000000000009</v>
      </c>
      <c r="Q64" s="22"/>
      <c r="R64" s="22"/>
      <c r="S64" s="22">
        <f t="shared" si="20"/>
        <v>1.1858000000000009</v>
      </c>
      <c r="T64" s="22">
        <f t="shared" si="21"/>
        <v>2.0280334620008946</v>
      </c>
    </row>
    <row r="65" spans="1:20" x14ac:dyDescent="0.2">
      <c r="A65" s="5">
        <v>74</v>
      </c>
      <c r="H65" s="21"/>
      <c r="M65" s="5">
        <f>scrimecost*Meta!O62</f>
        <v>57.53</v>
      </c>
      <c r="N65" s="5">
        <f>L65-Grade10!L65</f>
        <v>0</v>
      </c>
      <c r="O65" s="5">
        <f>Grade10!M65-M65</f>
        <v>1.2100000000000009</v>
      </c>
      <c r="Q65" s="22"/>
      <c r="R65" s="22"/>
      <c r="S65" s="22">
        <f t="shared" si="20"/>
        <v>1.1858000000000009</v>
      </c>
      <c r="T65" s="22">
        <f t="shared" si="21"/>
        <v>2.0472173466061192</v>
      </c>
    </row>
    <row r="66" spans="1:20" x14ac:dyDescent="0.2">
      <c r="A66" s="5">
        <v>75</v>
      </c>
      <c r="H66" s="21"/>
      <c r="M66" s="5">
        <f>scrimecost*Meta!O63</f>
        <v>57.53</v>
      </c>
      <c r="N66" s="5">
        <f>L66-Grade10!L66</f>
        <v>0</v>
      </c>
      <c r="O66" s="5">
        <f>Grade10!M66-M66</f>
        <v>1.2100000000000009</v>
      </c>
      <c r="Q66" s="22"/>
      <c r="R66" s="22"/>
      <c r="S66" s="22">
        <f t="shared" si="20"/>
        <v>1.1858000000000009</v>
      </c>
      <c r="T66" s="22">
        <f t="shared" si="21"/>
        <v>2.0665826983495554</v>
      </c>
    </row>
    <row r="67" spans="1:20" x14ac:dyDescent="0.2">
      <c r="A67" s="5">
        <v>76</v>
      </c>
      <c r="H67" s="21"/>
      <c r="M67" s="5">
        <f>scrimecost*Meta!O64</f>
        <v>57.53</v>
      </c>
      <c r="N67" s="5">
        <f>L67-Grade10!L67</f>
        <v>0</v>
      </c>
      <c r="O67" s="5">
        <f>Grade10!M67-M67</f>
        <v>1.2100000000000009</v>
      </c>
      <c r="Q67" s="22"/>
      <c r="R67" s="22"/>
      <c r="S67" s="22">
        <f t="shared" si="20"/>
        <v>1.1858000000000009</v>
      </c>
      <c r="T67" s="22">
        <f t="shared" si="21"/>
        <v>2.0861312337929387</v>
      </c>
    </row>
    <row r="68" spans="1:20" x14ac:dyDescent="0.2">
      <c r="A68" s="5">
        <v>77</v>
      </c>
      <c r="H68" s="21"/>
      <c r="M68" s="5">
        <f>scrimecost*Meta!O65</f>
        <v>57.53</v>
      </c>
      <c r="N68" s="5">
        <f>L68-Grade10!L68</f>
        <v>0</v>
      </c>
      <c r="O68" s="5">
        <f>Grade10!M68-M68</f>
        <v>1.2100000000000009</v>
      </c>
      <c r="Q68" s="22"/>
      <c r="R68" s="22"/>
      <c r="S68" s="22">
        <f t="shared" si="20"/>
        <v>1.1858000000000009</v>
      </c>
      <c r="T68" s="22">
        <f t="shared" si="21"/>
        <v>2.1058646857355683</v>
      </c>
    </row>
    <row r="69" spans="1:20" x14ac:dyDescent="0.2">
      <c r="A69" s="5">
        <v>78</v>
      </c>
      <c r="H69" s="21"/>
      <c r="M69" s="5">
        <f>scrimecost*Meta!O66</f>
        <v>57.53</v>
      </c>
      <c r="N69" s="5">
        <f>L69-Grade10!L69</f>
        <v>0</v>
      </c>
      <c r="O69" s="5">
        <f>Grade10!M69-M69</f>
        <v>1.2100000000000009</v>
      </c>
      <c r="Q69" s="22"/>
      <c r="R69" s="22"/>
      <c r="S69" s="22">
        <f t="shared" si="20"/>
        <v>1.1858000000000009</v>
      </c>
      <c r="T69" s="22">
        <f t="shared" si="21"/>
        <v>2.1257848033679037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2.9284441538379724E-10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P9" sqref="P9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Meta!A6+6</f>
        <v>18</v>
      </c>
      <c r="C2" s="7">
        <f>Meta!B6</f>
        <v>48688</v>
      </c>
      <c r="D2" s="7">
        <f>Meta!C6</f>
        <v>21914</v>
      </c>
      <c r="E2" s="1">
        <f>Meta!D6</f>
        <v>4.4999999999999998E-2</v>
      </c>
      <c r="F2" s="1">
        <f>Meta!F6</f>
        <v>0.70899999999999996</v>
      </c>
      <c r="G2" s="1">
        <f>Meta!I6</f>
        <v>1.8929079672445346</v>
      </c>
      <c r="H2" s="1">
        <f>Meta!E6</f>
        <v>0.98</v>
      </c>
      <c r="I2" s="13"/>
      <c r="J2" s="1">
        <f>Meta!X5</f>
        <v>0.754</v>
      </c>
      <c r="K2" s="1">
        <f>Meta!D5</f>
        <v>5.3999999999999999E-2</v>
      </c>
      <c r="L2" s="29"/>
      <c r="N2" s="22">
        <f>Meta!T6</f>
        <v>63938</v>
      </c>
      <c r="O2" s="22">
        <f>Meta!U6</f>
        <v>27819</v>
      </c>
      <c r="P2" s="1">
        <f>Meta!V6</f>
        <v>3.5999999999999997E-2</v>
      </c>
      <c r="Q2" s="1">
        <f>Meta!X6</f>
        <v>0.76200000000000001</v>
      </c>
      <c r="R2" s="22">
        <f>Meta!W6</f>
        <v>1025</v>
      </c>
      <c r="T2" s="12">
        <f>IRR(S5:S69)+1</f>
        <v>0.99170746409751054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B8" s="1">
        <v>1</v>
      </c>
      <c r="C8" s="5">
        <f>0.1*Grade11!C8</f>
        <v>2218.8475663558747</v>
      </c>
      <c r="D8" s="5">
        <f t="shared" ref="D8:D36" si="0">IF(A8&lt;startage,1,0)*(C8*(1-initialunempprob))+IF(A8=startage,1,0)*(C8*(1-unempprob))+IF(A8&gt;startage,1,0)*(C8*(1-unempprob)+unempprob*300*52)</f>
        <v>2099.0297977726573</v>
      </c>
      <c r="E8" s="5">
        <f t="shared" ref="E8:E56" si="1">IF(D8-9500&gt;0,1,0)*(D8-9500)</f>
        <v>0</v>
      </c>
      <c r="F8" s="5">
        <f t="shared" ref="F8:F56" si="2">IF(E8&lt;=8500,1,0)*(0.1*E8+0.1*E8+0.0765*D8)+IF(AND(E8&gt;8500,E8&lt;=34500),1,0)*(850+0.15*(E8-8500)+0.1*E8+0.0765*D8)+IF(AND(E8&gt;34500,E8&lt;=83600),1,0)*(4750+0.25*(E8-34500)+0.1*E8+0.0765*D8)+IF(AND(E8&gt;83600,E8&lt;=174400,D8&lt;=106800),1,0)*(17025+0.28*(E8-83600)+0.1*E8+0.0765*D8)+IF(AND(E8&gt;83600,E8&lt;=174400,D8&gt;106800),1,0)*(17025+0.28*(E8-83600)+0.1*E8+8170.2+0.0145*(D8-106800))+IF(AND(E8&gt;174400,E8&lt;=379150),1,0)*(42449+0.33*(E8-174400)+0.1*E8+8170.2+0.0145*(D8-106800))+IF(E8&gt;379150,1,0)*(110016.5+0.35*(E8-379150)+0.1*E8+8170.2+0.0145*(D8-106800))</f>
        <v>160.57577952960827</v>
      </c>
      <c r="G8" s="5">
        <f t="shared" ref="G8:G56" si="3">D8-F8</f>
        <v>1938.4540182430489</v>
      </c>
      <c r="H8" s="22">
        <f>0.1*Grade11!H8</f>
        <v>998.67661139090819</v>
      </c>
      <c r="I8" s="5">
        <f t="shared" ref="I8:I36" si="4">G8+IF(A8&lt;startage,1,0)*(H8*(1-initialunempprob))+IF(A8&gt;=startage,1,0)*(H8*(1-unempprob))</f>
        <v>2883.2020926188479</v>
      </c>
      <c r="J8" s="26">
        <f t="shared" ref="J8:J39" si="5">(F8-(IF(A8&gt;startage,1,0)*(unempprob*300*52)))/(IF(A8&lt;startage,1,0)*((C8+H8)*(1-initialunempprob))+IF(A8&gt;=startage,1,0)*((C8+H8)*(1-unempprob)))</f>
        <v>5.2755419834978147E-2</v>
      </c>
      <c r="L8" s="22">
        <f>0.1*Grade11!L8</f>
        <v>4514.7213393281054</v>
      </c>
      <c r="M8" s="5">
        <f>scrimecost*Meta!O5</f>
        <v>2779.8</v>
      </c>
      <c r="N8" s="5">
        <f>L8-Grade11!L8</f>
        <v>-40632.492053952948</v>
      </c>
      <c r="O8" s="5"/>
      <c r="P8" s="22"/>
      <c r="Q8" s="22">
        <f>0.05*feel*Grade11!G8</f>
        <v>237.1175196319839</v>
      </c>
      <c r="R8" s="22">
        <f>hstuition</f>
        <v>11298</v>
      </c>
      <c r="S8" s="22">
        <f t="shared" ref="S8:S39" si="6">IF(A8&lt;startage,1,0)*(N8-Q8-R8)+IF(A8&gt;=startage,1,0)*completionprob*(N8*spart+O8+P8)</f>
        <v>-52167.60957358493</v>
      </c>
      <c r="T8" s="22">
        <f t="shared" ref="T8:T39" si="7">S8/sreturn^(A8-startage+1)</f>
        <v>-52167.60957358493</v>
      </c>
    </row>
    <row r="9" spans="1:20" x14ac:dyDescent="0.2">
      <c r="A9" s="5">
        <v>18</v>
      </c>
      <c r="B9" s="1">
        <f t="shared" ref="B9:B36" si="8">(1+experiencepremium)^(A9-startage)</f>
        <v>1</v>
      </c>
      <c r="C9" s="5">
        <f t="shared" ref="C9:C36" si="9">pretaxincome*B9/expnorm</f>
        <v>25721.271632066757</v>
      </c>
      <c r="D9" s="5">
        <f t="shared" si="0"/>
        <v>24563.814408623752</v>
      </c>
      <c r="E9" s="5">
        <f t="shared" si="1"/>
        <v>15063.814408623752</v>
      </c>
      <c r="F9" s="5">
        <f t="shared" si="2"/>
        <v>5220.0854044156549</v>
      </c>
      <c r="G9" s="5">
        <f t="shared" si="3"/>
        <v>19343.729004208097</v>
      </c>
      <c r="H9" s="22">
        <f t="shared" ref="H9:H36" si="10">benefits*B9/expnorm</f>
        <v>11576.896700318579</v>
      </c>
      <c r="I9" s="5">
        <f t="shared" si="4"/>
        <v>30399.665353012337</v>
      </c>
      <c r="J9" s="26">
        <f t="shared" si="5"/>
        <v>0.14655030687790763</v>
      </c>
      <c r="L9" s="22">
        <f t="shared" ref="L9:L36" si="11">(sincome+sbenefits)*(1-sunemp)*B9/expnorm</f>
        <v>46729.027258921735</v>
      </c>
      <c r="M9" s="5">
        <f>scrimecost*Meta!O6</f>
        <v>3378.3999999999996</v>
      </c>
      <c r="N9" s="5">
        <f>L9-Grade11!L9</f>
        <v>453.13353080866364</v>
      </c>
      <c r="O9" s="5">
        <f>Grade11!M9-M9</f>
        <v>69.216000000000349</v>
      </c>
      <c r="P9" s="22">
        <f t="shared" ref="P9:P56" si="12">(spart-initialspart)*(L9*J9+nptrans)</f>
        <v>107.21722627920882</v>
      </c>
      <c r="Q9" s="22"/>
      <c r="R9" s="22"/>
      <c r="S9" s="22">
        <f t="shared" si="6"/>
        <v>511.28655722030265</v>
      </c>
      <c r="T9" s="22">
        <f t="shared" si="7"/>
        <v>515.56187255844827</v>
      </c>
    </row>
    <row r="10" spans="1:20" x14ac:dyDescent="0.2">
      <c r="A10" s="5">
        <v>19</v>
      </c>
      <c r="B10" s="1">
        <f t="shared" si="8"/>
        <v>1.0249999999999999</v>
      </c>
      <c r="C10" s="5">
        <f t="shared" si="9"/>
        <v>26364.303422868426</v>
      </c>
      <c r="D10" s="5">
        <f t="shared" si="0"/>
        <v>25879.909768839345</v>
      </c>
      <c r="E10" s="5">
        <f t="shared" si="1"/>
        <v>16379.909768839345</v>
      </c>
      <c r="F10" s="5">
        <f t="shared" si="2"/>
        <v>5649.7905395260459</v>
      </c>
      <c r="G10" s="5">
        <f t="shared" si="3"/>
        <v>20230.119229313299</v>
      </c>
      <c r="H10" s="22">
        <f t="shared" si="10"/>
        <v>11866.319117826542</v>
      </c>
      <c r="I10" s="5">
        <f t="shared" si="4"/>
        <v>31562.453986837645</v>
      </c>
      <c r="J10" s="26">
        <f t="shared" si="5"/>
        <v>0.13551786912720606</v>
      </c>
      <c r="L10" s="22">
        <f t="shared" si="11"/>
        <v>47897.252940394777</v>
      </c>
      <c r="M10" s="5">
        <f>scrimecost*Meta!O7</f>
        <v>3611.0750000000003</v>
      </c>
      <c r="N10" s="5">
        <f>L10-Grade11!L10</f>
        <v>464.4618690788775</v>
      </c>
      <c r="O10" s="5">
        <f>Grade11!M10-M10</f>
        <v>73.98299999999972</v>
      </c>
      <c r="P10" s="22">
        <f t="shared" si="12"/>
        <v>104.35946924423293</v>
      </c>
      <c r="Q10" s="22"/>
      <c r="R10" s="22"/>
      <c r="S10" s="22">
        <f t="shared" si="6"/>
        <v>521.61716521269057</v>
      </c>
      <c r="T10" s="22">
        <f t="shared" si="7"/>
        <v>530.37703442473219</v>
      </c>
    </row>
    <row r="11" spans="1:20" x14ac:dyDescent="0.2">
      <c r="A11" s="5">
        <v>20</v>
      </c>
      <c r="B11" s="1">
        <f t="shared" si="8"/>
        <v>1.0506249999999999</v>
      </c>
      <c r="C11" s="5">
        <f t="shared" si="9"/>
        <v>27023.411008440136</v>
      </c>
      <c r="D11" s="5">
        <f t="shared" si="0"/>
        <v>26509.357513060328</v>
      </c>
      <c r="E11" s="5">
        <f t="shared" si="1"/>
        <v>17009.357513060328</v>
      </c>
      <c r="F11" s="5">
        <f t="shared" si="2"/>
        <v>5855.3052280141965</v>
      </c>
      <c r="G11" s="5">
        <f t="shared" si="3"/>
        <v>20654.052285046131</v>
      </c>
      <c r="H11" s="22">
        <f t="shared" si="10"/>
        <v>12162.977095772205</v>
      </c>
      <c r="I11" s="5">
        <f t="shared" si="4"/>
        <v>32269.695411508586</v>
      </c>
      <c r="J11" s="26">
        <f t="shared" si="5"/>
        <v>0.13770422307001598</v>
      </c>
      <c r="L11" s="22">
        <f t="shared" si="11"/>
        <v>49094.684263904644</v>
      </c>
      <c r="M11" s="5">
        <f>scrimecost*Meta!O8</f>
        <v>3458.35</v>
      </c>
      <c r="N11" s="5">
        <f>L11-Grade11!L11</f>
        <v>476.07341580584762</v>
      </c>
      <c r="O11" s="5">
        <f>Grade11!M11-M11</f>
        <v>70.854000000000269</v>
      </c>
      <c r="P11" s="22">
        <f t="shared" si="12"/>
        <v>106.51636282742992</v>
      </c>
      <c r="Q11" s="22"/>
      <c r="R11" s="22"/>
      <c r="S11" s="22">
        <f t="shared" si="6"/>
        <v>529.33553955805633</v>
      </c>
      <c r="T11" s="22">
        <f t="shared" si="7"/>
        <v>542.72560016592081</v>
      </c>
    </row>
    <row r="12" spans="1:20" x14ac:dyDescent="0.2">
      <c r="A12" s="5">
        <v>21</v>
      </c>
      <c r="B12" s="1">
        <f t="shared" si="8"/>
        <v>1.0768906249999999</v>
      </c>
      <c r="C12" s="5">
        <f t="shared" si="9"/>
        <v>27698.996283651137</v>
      </c>
      <c r="D12" s="5">
        <f t="shared" si="0"/>
        <v>27154.541450886834</v>
      </c>
      <c r="E12" s="5">
        <f t="shared" si="1"/>
        <v>17654.541450886834</v>
      </c>
      <c r="F12" s="5">
        <f t="shared" si="2"/>
        <v>6065.9577837145516</v>
      </c>
      <c r="G12" s="5">
        <f t="shared" si="3"/>
        <v>21088.583667172283</v>
      </c>
      <c r="H12" s="22">
        <f t="shared" si="10"/>
        <v>12467.05152316651</v>
      </c>
      <c r="I12" s="5">
        <f t="shared" si="4"/>
        <v>32994.617871796298</v>
      </c>
      <c r="J12" s="26">
        <f t="shared" si="5"/>
        <v>0.13983725130690375</v>
      </c>
      <c r="L12" s="22">
        <f t="shared" si="11"/>
        <v>50322.051370502268</v>
      </c>
      <c r="M12" s="5">
        <f>scrimecost*Meta!O9</f>
        <v>3140.6</v>
      </c>
      <c r="N12" s="5">
        <f>L12-Grade11!L12</f>
        <v>487.97525120100181</v>
      </c>
      <c r="O12" s="5">
        <f>Grade11!M12-M12</f>
        <v>64.344000000000051</v>
      </c>
      <c r="P12" s="22">
        <f t="shared" si="12"/>
        <v>108.72717875020687</v>
      </c>
      <c r="Q12" s="22"/>
      <c r="R12" s="22"/>
      <c r="S12" s="22">
        <f t="shared" si="6"/>
        <v>534.01015376206294</v>
      </c>
      <c r="T12" s="22">
        <f t="shared" si="7"/>
        <v>552.0967453947502</v>
      </c>
    </row>
    <row r="13" spans="1:20" x14ac:dyDescent="0.2">
      <c r="A13" s="5">
        <v>22</v>
      </c>
      <c r="B13" s="1">
        <f t="shared" si="8"/>
        <v>1.1038128906249998</v>
      </c>
      <c r="C13" s="5">
        <f t="shared" si="9"/>
        <v>28391.471190742413</v>
      </c>
      <c r="D13" s="5">
        <f t="shared" si="0"/>
        <v>27815.854987159004</v>
      </c>
      <c r="E13" s="5">
        <f t="shared" si="1"/>
        <v>18315.854987159004</v>
      </c>
      <c r="F13" s="5">
        <f t="shared" si="2"/>
        <v>6281.8766533074149</v>
      </c>
      <c r="G13" s="5">
        <f t="shared" si="3"/>
        <v>21533.978333851588</v>
      </c>
      <c r="H13" s="22">
        <f t="shared" si="10"/>
        <v>12778.727811245672</v>
      </c>
      <c r="I13" s="5">
        <f t="shared" si="4"/>
        <v>33737.663393591203</v>
      </c>
      <c r="J13" s="26">
        <f t="shared" si="5"/>
        <v>0.14191825446484305</v>
      </c>
      <c r="L13" s="22">
        <f t="shared" si="11"/>
        <v>51580.102654764807</v>
      </c>
      <c r="M13" s="5">
        <f>scrimecost*Meta!O10</f>
        <v>2878.2</v>
      </c>
      <c r="N13" s="5">
        <f>L13-Grade11!L13</f>
        <v>500.17463248101558</v>
      </c>
      <c r="O13" s="5">
        <f>Grade11!M13-M13</f>
        <v>58.967999999999847</v>
      </c>
      <c r="P13" s="22">
        <f t="shared" si="12"/>
        <v>110.99326507105322</v>
      </c>
      <c r="Q13" s="22"/>
      <c r="R13" s="22"/>
      <c r="S13" s="22">
        <f t="shared" si="6"/>
        <v>540.07244832115521</v>
      </c>
      <c r="T13" s="22">
        <f t="shared" si="7"/>
        <v>563.03334028706809</v>
      </c>
    </row>
    <row r="14" spans="1:20" x14ac:dyDescent="0.2">
      <c r="A14" s="5">
        <v>23</v>
      </c>
      <c r="B14" s="1">
        <f t="shared" si="8"/>
        <v>1.1314082128906247</v>
      </c>
      <c r="C14" s="5">
        <f t="shared" si="9"/>
        <v>29101.257970510971</v>
      </c>
      <c r="D14" s="5">
        <f t="shared" si="0"/>
        <v>28493.701361837975</v>
      </c>
      <c r="E14" s="5">
        <f t="shared" si="1"/>
        <v>18993.701361837975</v>
      </c>
      <c r="F14" s="5">
        <f t="shared" si="2"/>
        <v>6503.1934946400988</v>
      </c>
      <c r="G14" s="5">
        <f t="shared" si="3"/>
        <v>21990.507867197877</v>
      </c>
      <c r="H14" s="22">
        <f t="shared" si="10"/>
        <v>13098.196006526812</v>
      </c>
      <c r="I14" s="5">
        <f t="shared" si="4"/>
        <v>34499.285053430984</v>
      </c>
      <c r="J14" s="26">
        <f t="shared" si="5"/>
        <v>0.14394850144819843</v>
      </c>
      <c r="L14" s="22">
        <f t="shared" si="11"/>
        <v>52869.605221133927</v>
      </c>
      <c r="M14" s="5">
        <f>scrimecost*Meta!O11</f>
        <v>2689.6</v>
      </c>
      <c r="N14" s="5">
        <f>L14-Grade11!L14</f>
        <v>512.67899829304224</v>
      </c>
      <c r="O14" s="5">
        <f>Grade11!M14-M14</f>
        <v>55.104000000000269</v>
      </c>
      <c r="P14" s="22">
        <f t="shared" si="12"/>
        <v>113.31600354992071</v>
      </c>
      <c r="Q14" s="22"/>
      <c r="R14" s="22"/>
      <c r="S14" s="22">
        <f t="shared" si="6"/>
        <v>547.89977224423467</v>
      </c>
      <c r="T14" s="22">
        <f t="shared" si="7"/>
        <v>575.96968802690481</v>
      </c>
    </row>
    <row r="15" spans="1:20" x14ac:dyDescent="0.2">
      <c r="A15" s="5">
        <v>24</v>
      </c>
      <c r="B15" s="1">
        <f t="shared" si="8"/>
        <v>1.1596934182128902</v>
      </c>
      <c r="C15" s="5">
        <f t="shared" si="9"/>
        <v>29828.789419773744</v>
      </c>
      <c r="D15" s="5">
        <f t="shared" si="0"/>
        <v>29188.493895883923</v>
      </c>
      <c r="E15" s="5">
        <f t="shared" si="1"/>
        <v>19688.493895883923</v>
      </c>
      <c r="F15" s="5">
        <f t="shared" si="2"/>
        <v>6730.0432570061002</v>
      </c>
      <c r="G15" s="5">
        <f t="shared" si="3"/>
        <v>22458.450638877825</v>
      </c>
      <c r="H15" s="22">
        <f t="shared" si="10"/>
        <v>13425.650906689982</v>
      </c>
      <c r="I15" s="5">
        <f t="shared" si="4"/>
        <v>35279.947254766754</v>
      </c>
      <c r="J15" s="26">
        <f t="shared" si="5"/>
        <v>0.14592923021244755</v>
      </c>
      <c r="L15" s="22">
        <f t="shared" si="11"/>
        <v>54191.345351662269</v>
      </c>
      <c r="M15" s="5">
        <f>scrimecost*Meta!O12</f>
        <v>2569.6750000000002</v>
      </c>
      <c r="N15" s="5">
        <f>L15-Grade11!L15</f>
        <v>525.49597325036302</v>
      </c>
      <c r="O15" s="5">
        <f>Grade11!M15-M15</f>
        <v>52.646999999999935</v>
      </c>
      <c r="P15" s="22">
        <f t="shared" si="12"/>
        <v>115.69681049075989</v>
      </c>
      <c r="Q15" s="22"/>
      <c r="R15" s="22"/>
      <c r="S15" s="22">
        <f t="shared" si="6"/>
        <v>557.39630726538564</v>
      </c>
      <c r="T15" s="22">
        <f t="shared" si="7"/>
        <v>590.85241289796807</v>
      </c>
    </row>
    <row r="16" spans="1:20" x14ac:dyDescent="0.2">
      <c r="A16" s="5">
        <v>25</v>
      </c>
      <c r="B16" s="1">
        <f t="shared" si="8"/>
        <v>1.1886857536682125</v>
      </c>
      <c r="C16" s="5">
        <f t="shared" si="9"/>
        <v>30574.50915526809</v>
      </c>
      <c r="D16" s="5">
        <f t="shared" si="0"/>
        <v>29900.656243281024</v>
      </c>
      <c r="E16" s="5">
        <f t="shared" si="1"/>
        <v>20400.656243281024</v>
      </c>
      <c r="F16" s="5">
        <f t="shared" si="2"/>
        <v>6962.5642634312544</v>
      </c>
      <c r="G16" s="5">
        <f t="shared" si="3"/>
        <v>22938.091979849771</v>
      </c>
      <c r="H16" s="22">
        <f t="shared" si="10"/>
        <v>13761.292179357231</v>
      </c>
      <c r="I16" s="5">
        <f t="shared" si="4"/>
        <v>36080.12601113593</v>
      </c>
      <c r="J16" s="26">
        <f t="shared" si="5"/>
        <v>0.14786164851903211</v>
      </c>
      <c r="L16" s="22">
        <f t="shared" si="11"/>
        <v>55546.128985453834</v>
      </c>
      <c r="M16" s="5">
        <f>scrimecost*Meta!O13</f>
        <v>2157.625</v>
      </c>
      <c r="N16" s="5">
        <f>L16-Grade11!L16</f>
        <v>538.63337258163665</v>
      </c>
      <c r="O16" s="5">
        <f>Grade11!M16-M16</f>
        <v>44.204999999999927</v>
      </c>
      <c r="P16" s="22">
        <f t="shared" si="12"/>
        <v>118.13713760512009</v>
      </c>
      <c r="Q16" s="22"/>
      <c r="R16" s="22"/>
      <c r="S16" s="22">
        <f t="shared" si="6"/>
        <v>561.3251521620806</v>
      </c>
      <c r="T16" s="22">
        <f t="shared" si="7"/>
        <v>599.99253501536987</v>
      </c>
    </row>
    <row r="17" spans="1:20" x14ac:dyDescent="0.2">
      <c r="A17" s="5">
        <v>26</v>
      </c>
      <c r="B17" s="1">
        <f t="shared" si="8"/>
        <v>1.2184028975099177</v>
      </c>
      <c r="C17" s="5">
        <f t="shared" si="9"/>
        <v>31338.87188414979</v>
      </c>
      <c r="D17" s="5">
        <f t="shared" si="0"/>
        <v>30630.622649363049</v>
      </c>
      <c r="E17" s="5">
        <f t="shared" si="1"/>
        <v>21130.622649363049</v>
      </c>
      <c r="F17" s="5">
        <f t="shared" si="2"/>
        <v>7200.8982950170357</v>
      </c>
      <c r="G17" s="5">
        <f t="shared" si="3"/>
        <v>23429.724354346014</v>
      </c>
      <c r="H17" s="22">
        <f t="shared" si="10"/>
        <v>14105.324483841161</v>
      </c>
      <c r="I17" s="5">
        <f t="shared" si="4"/>
        <v>36900.309236414323</v>
      </c>
      <c r="J17" s="26">
        <f t="shared" si="5"/>
        <v>0.14974693467179756</v>
      </c>
      <c r="L17" s="22">
        <f t="shared" si="11"/>
        <v>56934.782210090176</v>
      </c>
      <c r="M17" s="5">
        <f>scrimecost*Meta!O14</f>
        <v>2157.625</v>
      </c>
      <c r="N17" s="5">
        <f>L17-Grade11!L17</f>
        <v>552.09920689618593</v>
      </c>
      <c r="O17" s="5">
        <f>Grade11!M17-M17</f>
        <v>44.204999999999927</v>
      </c>
      <c r="P17" s="22">
        <f t="shared" si="12"/>
        <v>120.63847289733927</v>
      </c>
      <c r="Q17" s="22"/>
      <c r="R17" s="22"/>
      <c r="S17" s="22">
        <f t="shared" si="6"/>
        <v>573.83220718118821</v>
      </c>
      <c r="T17" s="22">
        <f t="shared" si="7"/>
        <v>618.49000018634945</v>
      </c>
    </row>
    <row r="18" spans="1:20" x14ac:dyDescent="0.2">
      <c r="A18" s="5">
        <v>27</v>
      </c>
      <c r="B18" s="1">
        <f t="shared" si="8"/>
        <v>1.2488629699476654</v>
      </c>
      <c r="C18" s="5">
        <f t="shared" si="9"/>
        <v>32122.343681253529</v>
      </c>
      <c r="D18" s="5">
        <f t="shared" si="0"/>
        <v>31378.838215597119</v>
      </c>
      <c r="E18" s="5">
        <f t="shared" si="1"/>
        <v>21878.838215597119</v>
      </c>
      <c r="F18" s="5">
        <f t="shared" si="2"/>
        <v>7445.1906773924593</v>
      </c>
      <c r="G18" s="5">
        <f t="shared" si="3"/>
        <v>23933.647538204659</v>
      </c>
      <c r="H18" s="22">
        <f t="shared" si="10"/>
        <v>14457.957595937189</v>
      </c>
      <c r="I18" s="5">
        <f t="shared" si="4"/>
        <v>37740.99704232467</v>
      </c>
      <c r="J18" s="26">
        <f t="shared" si="5"/>
        <v>0.1515862382354711</v>
      </c>
      <c r="L18" s="22">
        <f t="shared" si="11"/>
        <v>58358.151765342416</v>
      </c>
      <c r="M18" s="5">
        <f>scrimecost*Meta!O15</f>
        <v>2157.625</v>
      </c>
      <c r="N18" s="5">
        <f>L18-Grade11!L18</f>
        <v>565.90168706857366</v>
      </c>
      <c r="O18" s="5">
        <f>Grade11!M18-M18</f>
        <v>44.204999999999927</v>
      </c>
      <c r="P18" s="22">
        <f t="shared" si="12"/>
        <v>123.2023415718639</v>
      </c>
      <c r="Q18" s="22"/>
      <c r="R18" s="22"/>
      <c r="S18" s="22">
        <f t="shared" si="6"/>
        <v>586.65193857575457</v>
      </c>
      <c r="T18" s="22">
        <f t="shared" si="7"/>
        <v>637.59468841632952</v>
      </c>
    </row>
    <row r="19" spans="1:20" x14ac:dyDescent="0.2">
      <c r="A19" s="5">
        <v>28</v>
      </c>
      <c r="B19" s="1">
        <f t="shared" si="8"/>
        <v>1.2800845441963571</v>
      </c>
      <c r="C19" s="5">
        <f t="shared" si="9"/>
        <v>32925.402273284868</v>
      </c>
      <c r="D19" s="5">
        <f t="shared" si="0"/>
        <v>32145.759170987047</v>
      </c>
      <c r="E19" s="5">
        <f t="shared" si="1"/>
        <v>22645.759170987047</v>
      </c>
      <c r="F19" s="5">
        <f t="shared" si="2"/>
        <v>7695.5903693272703</v>
      </c>
      <c r="G19" s="5">
        <f t="shared" si="3"/>
        <v>24450.168801659776</v>
      </c>
      <c r="H19" s="22">
        <f t="shared" si="10"/>
        <v>14819.406535835618</v>
      </c>
      <c r="I19" s="5">
        <f t="shared" si="4"/>
        <v>38602.702043382793</v>
      </c>
      <c r="J19" s="26">
        <f t="shared" si="5"/>
        <v>0.15338068073661604</v>
      </c>
      <c r="L19" s="22">
        <f t="shared" si="11"/>
        <v>59817.105559475982</v>
      </c>
      <c r="M19" s="5">
        <f>scrimecost*Meta!O16</f>
        <v>2157.625</v>
      </c>
      <c r="N19" s="5">
        <f>L19-Grade11!L19</f>
        <v>580.04922924529092</v>
      </c>
      <c r="O19" s="5">
        <f>Grade11!M19-M19</f>
        <v>44.204999999999927</v>
      </c>
      <c r="P19" s="22">
        <f t="shared" si="12"/>
        <v>125.83030696325169</v>
      </c>
      <c r="Q19" s="22"/>
      <c r="R19" s="22"/>
      <c r="S19" s="22">
        <f t="shared" si="6"/>
        <v>599.79216325519997</v>
      </c>
      <c r="T19" s="22">
        <f t="shared" si="7"/>
        <v>657.32686973576676</v>
      </c>
    </row>
    <row r="20" spans="1:20" x14ac:dyDescent="0.2">
      <c r="A20" s="5">
        <v>29</v>
      </c>
      <c r="B20" s="1">
        <f t="shared" si="8"/>
        <v>1.312086657801266</v>
      </c>
      <c r="C20" s="5">
        <f t="shared" si="9"/>
        <v>33748.537330116982</v>
      </c>
      <c r="D20" s="5">
        <f t="shared" si="0"/>
        <v>32931.853150261712</v>
      </c>
      <c r="E20" s="5">
        <f t="shared" si="1"/>
        <v>23431.853150261712</v>
      </c>
      <c r="F20" s="5">
        <f t="shared" si="2"/>
        <v>7952.2500535604486</v>
      </c>
      <c r="G20" s="5">
        <f t="shared" si="3"/>
        <v>24979.603096701263</v>
      </c>
      <c r="H20" s="22">
        <f t="shared" si="10"/>
        <v>15189.891699231508</v>
      </c>
      <c r="I20" s="5">
        <f t="shared" si="4"/>
        <v>39485.949669467351</v>
      </c>
      <c r="J20" s="26">
        <f t="shared" si="5"/>
        <v>0.15513135634748912</v>
      </c>
      <c r="L20" s="22">
        <f t="shared" si="11"/>
        <v>61312.533198462872</v>
      </c>
      <c r="M20" s="5">
        <f>scrimecost*Meta!O17</f>
        <v>2157.625</v>
      </c>
      <c r="N20" s="5">
        <f>L20-Grade11!L20</f>
        <v>594.55045997642446</v>
      </c>
      <c r="O20" s="5">
        <f>Grade11!M20-M20</f>
        <v>44.204999999999927</v>
      </c>
      <c r="P20" s="22">
        <f t="shared" si="12"/>
        <v>128.52397148942413</v>
      </c>
      <c r="Q20" s="22"/>
      <c r="R20" s="22"/>
      <c r="S20" s="22">
        <f t="shared" si="6"/>
        <v>613.26089355163037</v>
      </c>
      <c r="T20" s="22">
        <f t="shared" si="7"/>
        <v>677.70749369702673</v>
      </c>
    </row>
    <row r="21" spans="1:20" x14ac:dyDescent="0.2">
      <c r="A21" s="5">
        <v>30</v>
      </c>
      <c r="B21" s="1">
        <f t="shared" si="8"/>
        <v>1.3448888242462975</v>
      </c>
      <c r="C21" s="5">
        <f t="shared" si="9"/>
        <v>34592.250763369913</v>
      </c>
      <c r="D21" s="5">
        <f t="shared" si="0"/>
        <v>33737.599479018267</v>
      </c>
      <c r="E21" s="5">
        <f t="shared" si="1"/>
        <v>24237.599479018267</v>
      </c>
      <c r="F21" s="5">
        <f t="shared" si="2"/>
        <v>8215.3262298994632</v>
      </c>
      <c r="G21" s="5">
        <f t="shared" si="3"/>
        <v>25522.273249118804</v>
      </c>
      <c r="H21" s="22">
        <f t="shared" si="10"/>
        <v>15569.638991712294</v>
      </c>
      <c r="I21" s="5">
        <f t="shared" si="4"/>
        <v>40391.278486204043</v>
      </c>
      <c r="J21" s="26">
        <f t="shared" si="5"/>
        <v>0.15683933255321902</v>
      </c>
      <c r="L21" s="22">
        <f t="shared" si="11"/>
        <v>62845.346528424445</v>
      </c>
      <c r="M21" s="5">
        <f>scrimecost*Meta!O18</f>
        <v>1739.425</v>
      </c>
      <c r="N21" s="5">
        <f>L21-Grade11!L21</f>
        <v>609.41422147583216</v>
      </c>
      <c r="O21" s="5">
        <f>Grade11!M21-M21</f>
        <v>35.637000000000171</v>
      </c>
      <c r="P21" s="22">
        <f t="shared" si="12"/>
        <v>131.28497762875091</v>
      </c>
      <c r="Q21" s="22"/>
      <c r="R21" s="22"/>
      <c r="S21" s="22">
        <f t="shared" si="6"/>
        <v>618.66970210546845</v>
      </c>
      <c r="T21" s="22">
        <f t="shared" si="7"/>
        <v>689.40159269394815</v>
      </c>
    </row>
    <row r="22" spans="1:20" x14ac:dyDescent="0.2">
      <c r="A22" s="5">
        <v>31</v>
      </c>
      <c r="B22" s="1">
        <f t="shared" si="8"/>
        <v>1.3785110448524549</v>
      </c>
      <c r="C22" s="5">
        <f t="shared" si="9"/>
        <v>35457.057032454155</v>
      </c>
      <c r="D22" s="5">
        <f t="shared" si="0"/>
        <v>34563.48946599372</v>
      </c>
      <c r="E22" s="5">
        <f t="shared" si="1"/>
        <v>25063.48946599372</v>
      </c>
      <c r="F22" s="5">
        <f t="shared" si="2"/>
        <v>8484.9793106469497</v>
      </c>
      <c r="G22" s="5">
        <f t="shared" si="3"/>
        <v>26078.510155346768</v>
      </c>
      <c r="H22" s="22">
        <f t="shared" si="10"/>
        <v>15958.879966505101</v>
      </c>
      <c r="I22" s="5">
        <f t="shared" si="4"/>
        <v>41319.240523359142</v>
      </c>
      <c r="J22" s="26">
        <f t="shared" si="5"/>
        <v>0.15850565080271162</v>
      </c>
      <c r="L22" s="22">
        <f t="shared" si="11"/>
        <v>64416.480191635048</v>
      </c>
      <c r="M22" s="5">
        <f>scrimecost*Meta!O19</f>
        <v>1739.425</v>
      </c>
      <c r="N22" s="5">
        <f>L22-Grade11!L22</f>
        <v>624.64957701272215</v>
      </c>
      <c r="O22" s="5">
        <f>Grade11!M22-M22</f>
        <v>35.637000000000171</v>
      </c>
      <c r="P22" s="22">
        <f t="shared" si="12"/>
        <v>134.1150089215609</v>
      </c>
      <c r="Q22" s="22"/>
      <c r="R22" s="22"/>
      <c r="S22" s="22">
        <f t="shared" si="6"/>
        <v>632.82028687315028</v>
      </c>
      <c r="T22" s="22">
        <f t="shared" si="7"/>
        <v>711.06654456812089</v>
      </c>
    </row>
    <row r="23" spans="1:20" x14ac:dyDescent="0.2">
      <c r="A23" s="5">
        <v>32</v>
      </c>
      <c r="B23" s="1">
        <f t="shared" si="8"/>
        <v>1.4129738209737661</v>
      </c>
      <c r="C23" s="5">
        <f t="shared" si="9"/>
        <v>36343.483458265509</v>
      </c>
      <c r="D23" s="5">
        <f t="shared" si="0"/>
        <v>35410.026702643561</v>
      </c>
      <c r="E23" s="5">
        <f t="shared" si="1"/>
        <v>25910.026702643561</v>
      </c>
      <c r="F23" s="5">
        <f t="shared" si="2"/>
        <v>8761.3737184131223</v>
      </c>
      <c r="G23" s="5">
        <f t="shared" si="3"/>
        <v>26648.652984230437</v>
      </c>
      <c r="H23" s="22">
        <f t="shared" si="10"/>
        <v>16357.851965667727</v>
      </c>
      <c r="I23" s="5">
        <f t="shared" si="4"/>
        <v>42270.401611443114</v>
      </c>
      <c r="J23" s="26">
        <f t="shared" si="5"/>
        <v>0.16013132714367995</v>
      </c>
      <c r="L23" s="22">
        <f t="shared" si="11"/>
        <v>66026.892196425921</v>
      </c>
      <c r="M23" s="5">
        <f>scrimecost*Meta!O20</f>
        <v>1739.425</v>
      </c>
      <c r="N23" s="5">
        <f>L23-Grade11!L23</f>
        <v>640.26581643802638</v>
      </c>
      <c r="O23" s="5">
        <f>Grade11!M23-M23</f>
        <v>35.637000000000171</v>
      </c>
      <c r="P23" s="22">
        <f t="shared" si="12"/>
        <v>137.01579099669104</v>
      </c>
      <c r="Q23" s="22"/>
      <c r="R23" s="22"/>
      <c r="S23" s="22">
        <f t="shared" si="6"/>
        <v>647.324636260018</v>
      </c>
      <c r="T23" s="22">
        <f t="shared" si="7"/>
        <v>733.44644254347565</v>
      </c>
    </row>
    <row r="24" spans="1:20" x14ac:dyDescent="0.2">
      <c r="A24" s="5">
        <v>33</v>
      </c>
      <c r="B24" s="1">
        <f t="shared" si="8"/>
        <v>1.4482981664981105</v>
      </c>
      <c r="C24" s="5">
        <f t="shared" si="9"/>
        <v>37252.070544722148</v>
      </c>
      <c r="D24" s="5">
        <f t="shared" si="0"/>
        <v>36277.72737020965</v>
      </c>
      <c r="E24" s="5">
        <f t="shared" si="1"/>
        <v>26777.72737020965</v>
      </c>
      <c r="F24" s="5">
        <f t="shared" si="2"/>
        <v>9044.67798637345</v>
      </c>
      <c r="G24" s="5">
        <f t="shared" si="3"/>
        <v>27233.049383836202</v>
      </c>
      <c r="H24" s="22">
        <f t="shared" si="10"/>
        <v>16766.798264809422</v>
      </c>
      <c r="I24" s="5">
        <f t="shared" si="4"/>
        <v>43245.341726729195</v>
      </c>
      <c r="J24" s="26">
        <f t="shared" si="5"/>
        <v>0.16171735284218564</v>
      </c>
      <c r="L24" s="22">
        <f t="shared" si="11"/>
        <v>67677.564501336587</v>
      </c>
      <c r="M24" s="5">
        <f>scrimecost*Meta!O21</f>
        <v>1739.425</v>
      </c>
      <c r="N24" s="5">
        <f>L24-Grade11!L24</f>
        <v>656.27246184900287</v>
      </c>
      <c r="O24" s="5">
        <f>Grade11!M24-M24</f>
        <v>35.637000000000171</v>
      </c>
      <c r="P24" s="22">
        <f t="shared" si="12"/>
        <v>139.98909262369952</v>
      </c>
      <c r="Q24" s="22"/>
      <c r="R24" s="22"/>
      <c r="S24" s="22">
        <f t="shared" si="6"/>
        <v>662.19159438158715</v>
      </c>
      <c r="T24" s="22">
        <f t="shared" si="7"/>
        <v>756.56518461536552</v>
      </c>
    </row>
    <row r="25" spans="1:20" x14ac:dyDescent="0.2">
      <c r="A25" s="5">
        <v>34</v>
      </c>
      <c r="B25" s="1">
        <f t="shared" si="8"/>
        <v>1.4845056206605631</v>
      </c>
      <c r="C25" s="5">
        <f t="shared" si="9"/>
        <v>38183.3723083402</v>
      </c>
      <c r="D25" s="5">
        <f t="shared" si="0"/>
        <v>37167.120554464891</v>
      </c>
      <c r="E25" s="5">
        <f t="shared" si="1"/>
        <v>27667.120554464891</v>
      </c>
      <c r="F25" s="5">
        <f t="shared" si="2"/>
        <v>9335.0648610327862</v>
      </c>
      <c r="G25" s="5">
        <f t="shared" si="3"/>
        <v>27832.055693432107</v>
      </c>
      <c r="H25" s="22">
        <f t="shared" si="10"/>
        <v>17185.968221429655</v>
      </c>
      <c r="I25" s="5">
        <f t="shared" si="4"/>
        <v>44244.65534489743</v>
      </c>
      <c r="J25" s="26">
        <f t="shared" si="5"/>
        <v>0.1632646949870693</v>
      </c>
      <c r="L25" s="22">
        <f t="shared" si="11"/>
        <v>69369.503613869994</v>
      </c>
      <c r="M25" s="5">
        <f>scrimecost*Meta!O22</f>
        <v>1739.425</v>
      </c>
      <c r="N25" s="5">
        <f>L25-Grade11!L25</f>
        <v>672.67927339523158</v>
      </c>
      <c r="O25" s="5">
        <f>Grade11!M25-M25</f>
        <v>35.637000000000171</v>
      </c>
      <c r="P25" s="22">
        <f t="shared" si="12"/>
        <v>143.03672679138322</v>
      </c>
      <c r="Q25" s="22"/>
      <c r="R25" s="22"/>
      <c r="S25" s="22">
        <f t="shared" si="6"/>
        <v>677.43022645617884</v>
      </c>
      <c r="T25" s="22">
        <f t="shared" si="7"/>
        <v>780.44747019216766</v>
      </c>
    </row>
    <row r="26" spans="1:20" x14ac:dyDescent="0.2">
      <c r="A26" s="5">
        <v>35</v>
      </c>
      <c r="B26" s="1">
        <f t="shared" si="8"/>
        <v>1.521618261177077</v>
      </c>
      <c r="C26" s="5">
        <f t="shared" si="9"/>
        <v>39137.956616048694</v>
      </c>
      <c r="D26" s="5">
        <f t="shared" si="0"/>
        <v>38078.748568326504</v>
      </c>
      <c r="E26" s="5">
        <f t="shared" si="1"/>
        <v>28578.748568326504</v>
      </c>
      <c r="F26" s="5">
        <f t="shared" si="2"/>
        <v>9632.7114075586032</v>
      </c>
      <c r="G26" s="5">
        <f t="shared" si="3"/>
        <v>28446.037160767901</v>
      </c>
      <c r="H26" s="22">
        <f t="shared" si="10"/>
        <v>17615.617426965397</v>
      </c>
      <c r="I26" s="5">
        <f t="shared" si="4"/>
        <v>45268.951803519856</v>
      </c>
      <c r="J26" s="26">
        <f t="shared" si="5"/>
        <v>0.16477429707963867</v>
      </c>
      <c r="L26" s="22">
        <f t="shared" si="11"/>
        <v>71103.741204216727</v>
      </c>
      <c r="M26" s="5">
        <f>scrimecost*Meta!O23</f>
        <v>1349.925</v>
      </c>
      <c r="N26" s="5">
        <f>L26-Grade11!L26</f>
        <v>689.49625523010036</v>
      </c>
      <c r="O26" s="5">
        <f>Grade11!M26-M26</f>
        <v>27.656999999999925</v>
      </c>
      <c r="P26" s="22">
        <f t="shared" si="12"/>
        <v>146.16055181325896</v>
      </c>
      <c r="Q26" s="22"/>
      <c r="R26" s="22"/>
      <c r="S26" s="22">
        <f t="shared" si="6"/>
        <v>685.22942433262335</v>
      </c>
      <c r="T26" s="22">
        <f t="shared" si="7"/>
        <v>796.03383619727549</v>
      </c>
    </row>
    <row r="27" spans="1:20" x14ac:dyDescent="0.2">
      <c r="A27" s="5">
        <v>36</v>
      </c>
      <c r="B27" s="1">
        <f t="shared" si="8"/>
        <v>1.559658717706504</v>
      </c>
      <c r="C27" s="5">
        <f t="shared" si="9"/>
        <v>40116.40553144992</v>
      </c>
      <c r="D27" s="5">
        <f t="shared" si="0"/>
        <v>39013.167282534669</v>
      </c>
      <c r="E27" s="5">
        <f t="shared" si="1"/>
        <v>29513.167282534669</v>
      </c>
      <c r="F27" s="5">
        <f t="shared" si="2"/>
        <v>9937.7991177475687</v>
      </c>
      <c r="G27" s="5">
        <f t="shared" si="3"/>
        <v>29075.368164787098</v>
      </c>
      <c r="H27" s="22">
        <f t="shared" si="10"/>
        <v>18056.00786263953</v>
      </c>
      <c r="I27" s="5">
        <f t="shared" si="4"/>
        <v>46318.855673607846</v>
      </c>
      <c r="J27" s="26">
        <f t="shared" si="5"/>
        <v>0.16624707960897461</v>
      </c>
      <c r="L27" s="22">
        <f t="shared" si="11"/>
        <v>72881.334734322154</v>
      </c>
      <c r="M27" s="5">
        <f>scrimecost*Meta!O24</f>
        <v>1349.925</v>
      </c>
      <c r="N27" s="5">
        <f>L27-Grade11!L27</f>
        <v>706.73366161085141</v>
      </c>
      <c r="O27" s="5">
        <f>Grade11!M27-M27</f>
        <v>27.656999999999925</v>
      </c>
      <c r="P27" s="22">
        <f t="shared" si="12"/>
        <v>149.3624724606816</v>
      </c>
      <c r="Q27" s="22"/>
      <c r="R27" s="22"/>
      <c r="S27" s="22">
        <f t="shared" si="6"/>
        <v>701.23951215598731</v>
      </c>
      <c r="T27" s="22">
        <f t="shared" si="7"/>
        <v>821.44468047313069</v>
      </c>
    </row>
    <row r="28" spans="1:20" x14ac:dyDescent="0.2">
      <c r="A28" s="5">
        <v>37</v>
      </c>
      <c r="B28" s="1">
        <f t="shared" si="8"/>
        <v>1.5986501856491666</v>
      </c>
      <c r="C28" s="5">
        <f t="shared" si="9"/>
        <v>41119.31566973617</v>
      </c>
      <c r="D28" s="5">
        <f t="shared" si="0"/>
        <v>39970.946464598041</v>
      </c>
      <c r="E28" s="5">
        <f t="shared" si="1"/>
        <v>30470.946464598041</v>
      </c>
      <c r="F28" s="5">
        <f t="shared" si="2"/>
        <v>10250.51402069126</v>
      </c>
      <c r="G28" s="5">
        <f t="shared" si="3"/>
        <v>29720.432443906779</v>
      </c>
      <c r="H28" s="22">
        <f t="shared" si="10"/>
        <v>18507.408059205522</v>
      </c>
      <c r="I28" s="5">
        <f t="shared" si="4"/>
        <v>47395.007140448055</v>
      </c>
      <c r="J28" s="26">
        <f t="shared" si="5"/>
        <v>0.16768394061320488</v>
      </c>
      <c r="L28" s="22">
        <f t="shared" si="11"/>
        <v>74703.368102680208</v>
      </c>
      <c r="M28" s="5">
        <f>scrimecost*Meta!O25</f>
        <v>1349.925</v>
      </c>
      <c r="N28" s="5">
        <f>L28-Grade11!L28</f>
        <v>724.40200315113179</v>
      </c>
      <c r="O28" s="5">
        <f>Grade11!M28-M28</f>
        <v>27.656999999999925</v>
      </c>
      <c r="P28" s="22">
        <f t="shared" si="12"/>
        <v>152.64444112428984</v>
      </c>
      <c r="Q28" s="22"/>
      <c r="R28" s="22"/>
      <c r="S28" s="22">
        <f t="shared" si="6"/>
        <v>717.64985217494313</v>
      </c>
      <c r="T28" s="22">
        <f t="shared" si="7"/>
        <v>847.69761324065087</v>
      </c>
    </row>
    <row r="29" spans="1:20" x14ac:dyDescent="0.2">
      <c r="A29" s="5">
        <v>38</v>
      </c>
      <c r="B29" s="1">
        <f t="shared" si="8"/>
        <v>1.6386164402903955</v>
      </c>
      <c r="C29" s="5">
        <f t="shared" si="9"/>
        <v>42147.298561479562</v>
      </c>
      <c r="D29" s="5">
        <f t="shared" si="0"/>
        <v>40952.670126212979</v>
      </c>
      <c r="E29" s="5">
        <f t="shared" si="1"/>
        <v>31452.670126212979</v>
      </c>
      <c r="F29" s="5">
        <f t="shared" si="2"/>
        <v>10571.046796208539</v>
      </c>
      <c r="G29" s="5">
        <f t="shared" si="3"/>
        <v>30381.623330004441</v>
      </c>
      <c r="H29" s="22">
        <f t="shared" si="10"/>
        <v>18970.093260685655</v>
      </c>
      <c r="I29" s="5">
        <f t="shared" si="4"/>
        <v>48498.062393959241</v>
      </c>
      <c r="J29" s="26">
        <f t="shared" si="5"/>
        <v>0.16908575622708802</v>
      </c>
      <c r="L29" s="22">
        <f t="shared" si="11"/>
        <v>76570.952305247207</v>
      </c>
      <c r="M29" s="5">
        <f>scrimecost*Meta!O26</f>
        <v>1349.925</v>
      </c>
      <c r="N29" s="5">
        <f>L29-Grade11!L29</f>
        <v>742.51205322991882</v>
      </c>
      <c r="O29" s="5">
        <f>Grade11!M29-M29</f>
        <v>27.656999999999925</v>
      </c>
      <c r="P29" s="22">
        <f t="shared" si="12"/>
        <v>156.00845900448823</v>
      </c>
      <c r="Q29" s="22"/>
      <c r="R29" s="22"/>
      <c r="S29" s="22">
        <f t="shared" si="6"/>
        <v>734.47045069437252</v>
      </c>
      <c r="T29" s="22">
        <f t="shared" si="7"/>
        <v>874.82081240000014</v>
      </c>
    </row>
    <row r="30" spans="1:20" x14ac:dyDescent="0.2">
      <c r="A30" s="5">
        <v>39</v>
      </c>
      <c r="B30" s="1">
        <f t="shared" si="8"/>
        <v>1.6795818512976552</v>
      </c>
      <c r="C30" s="5">
        <f t="shared" si="9"/>
        <v>43200.98102551655</v>
      </c>
      <c r="D30" s="5">
        <f t="shared" si="0"/>
        <v>41958.936879368302</v>
      </c>
      <c r="E30" s="5">
        <f t="shared" si="1"/>
        <v>32458.936879368302</v>
      </c>
      <c r="F30" s="5">
        <f t="shared" si="2"/>
        <v>10899.592891113751</v>
      </c>
      <c r="G30" s="5">
        <f t="shared" si="3"/>
        <v>31059.34398825455</v>
      </c>
      <c r="H30" s="22">
        <f t="shared" si="10"/>
        <v>19444.345592202793</v>
      </c>
      <c r="I30" s="5">
        <f t="shared" si="4"/>
        <v>49628.694028808211</v>
      </c>
      <c r="J30" s="26">
        <f t="shared" si="5"/>
        <v>0.17045338121624232</v>
      </c>
      <c r="L30" s="22">
        <f t="shared" si="11"/>
        <v>78485.226112878372</v>
      </c>
      <c r="M30" s="5">
        <f>scrimecost*Meta!O27</f>
        <v>1349.925</v>
      </c>
      <c r="N30" s="5">
        <f>L30-Grade11!L30</f>
        <v>761.07485456066206</v>
      </c>
      <c r="O30" s="5">
        <f>Grade11!M30-M30</f>
        <v>27.656999999999925</v>
      </c>
      <c r="P30" s="22">
        <f t="shared" si="12"/>
        <v>159.45657733169159</v>
      </c>
      <c r="Q30" s="22"/>
      <c r="R30" s="22"/>
      <c r="S30" s="22">
        <f t="shared" si="6"/>
        <v>751.71156417677764</v>
      </c>
      <c r="T30" s="22">
        <f t="shared" si="7"/>
        <v>902.84340104196087</v>
      </c>
    </row>
    <row r="31" spans="1:20" x14ac:dyDescent="0.2">
      <c r="A31" s="5">
        <v>40</v>
      </c>
      <c r="B31" s="1">
        <f t="shared" si="8"/>
        <v>1.7215713975800966</v>
      </c>
      <c r="C31" s="5">
        <f t="shared" si="9"/>
        <v>44281.005551154456</v>
      </c>
      <c r="D31" s="5">
        <f t="shared" si="0"/>
        <v>42990.360301352506</v>
      </c>
      <c r="E31" s="5">
        <f t="shared" si="1"/>
        <v>33490.360301352506</v>
      </c>
      <c r="F31" s="5">
        <f t="shared" si="2"/>
        <v>11236.352638391592</v>
      </c>
      <c r="G31" s="5">
        <f t="shared" si="3"/>
        <v>31754.007662960914</v>
      </c>
      <c r="H31" s="22">
        <f t="shared" si="10"/>
        <v>19930.454232007865</v>
      </c>
      <c r="I31" s="5">
        <f t="shared" si="4"/>
        <v>50787.591454528425</v>
      </c>
      <c r="J31" s="26">
        <f t="shared" si="5"/>
        <v>0.17178764949834402</v>
      </c>
      <c r="L31" s="22">
        <f t="shared" si="11"/>
        <v>80447.35676570033</v>
      </c>
      <c r="M31" s="5">
        <f>scrimecost*Meta!O28</f>
        <v>1180.8</v>
      </c>
      <c r="N31" s="5">
        <f>L31-Grade11!L31</f>
        <v>780.10172592467279</v>
      </c>
      <c r="O31" s="5">
        <f>Grade11!M31-M31</f>
        <v>24.192000000000007</v>
      </c>
      <c r="P31" s="22">
        <f t="shared" si="12"/>
        <v>162.99089861707503</v>
      </c>
      <c r="Q31" s="22"/>
      <c r="R31" s="22"/>
      <c r="S31" s="22">
        <f t="shared" si="6"/>
        <v>765.98800549624218</v>
      </c>
      <c r="T31" s="22">
        <f t="shared" si="7"/>
        <v>927.68296952867513</v>
      </c>
    </row>
    <row r="32" spans="1:20" x14ac:dyDescent="0.2">
      <c r="A32" s="5">
        <v>41</v>
      </c>
      <c r="B32" s="1">
        <f t="shared" si="8"/>
        <v>1.7646106825195991</v>
      </c>
      <c r="C32" s="5">
        <f t="shared" si="9"/>
        <v>45388.030689933323</v>
      </c>
      <c r="D32" s="5">
        <f t="shared" si="0"/>
        <v>44047.569308886319</v>
      </c>
      <c r="E32" s="5">
        <f t="shared" si="1"/>
        <v>34547.569308886319</v>
      </c>
      <c r="F32" s="5">
        <f t="shared" si="2"/>
        <v>11586.288310240016</v>
      </c>
      <c r="G32" s="5">
        <f t="shared" si="3"/>
        <v>32461.280998646303</v>
      </c>
      <c r="H32" s="22">
        <f t="shared" si="10"/>
        <v>20428.715587808059</v>
      </c>
      <c r="I32" s="5">
        <f t="shared" si="4"/>
        <v>51970.704385003002</v>
      </c>
      <c r="J32" s="26">
        <f t="shared" si="5"/>
        <v>0.17316505568639987</v>
      </c>
      <c r="L32" s="22">
        <f t="shared" si="11"/>
        <v>82458.540684842839</v>
      </c>
      <c r="M32" s="5">
        <f>scrimecost*Meta!O29</f>
        <v>1180.8</v>
      </c>
      <c r="N32" s="5">
        <f>L32-Grade11!L32</f>
        <v>799.60426907277724</v>
      </c>
      <c r="O32" s="5">
        <f>Grade11!M32-M32</f>
        <v>24.192000000000007</v>
      </c>
      <c r="P32" s="22">
        <f t="shared" si="12"/>
        <v>166.66350231608075</v>
      </c>
      <c r="Q32" s="22"/>
      <c r="R32" s="22"/>
      <c r="S32" s="22">
        <f t="shared" si="6"/>
        <v>784.15087624254625</v>
      </c>
      <c r="T32" s="22">
        <f t="shared" si="7"/>
        <v>957.62100785538439</v>
      </c>
    </row>
    <row r="33" spans="1:20" x14ac:dyDescent="0.2">
      <c r="A33" s="5">
        <v>42</v>
      </c>
      <c r="B33" s="1">
        <f t="shared" si="8"/>
        <v>1.8087259495825889</v>
      </c>
      <c r="C33" s="5">
        <f t="shared" si="9"/>
        <v>46522.731457181653</v>
      </c>
      <c r="D33" s="5">
        <f t="shared" si="0"/>
        <v>45131.208541608474</v>
      </c>
      <c r="E33" s="5">
        <f t="shared" si="1"/>
        <v>35631.208541608474</v>
      </c>
      <c r="F33" s="5">
        <f t="shared" si="2"/>
        <v>12048.460442996013</v>
      </c>
      <c r="G33" s="5">
        <f t="shared" si="3"/>
        <v>33082.748098612457</v>
      </c>
      <c r="H33" s="22">
        <f t="shared" si="10"/>
        <v>20939.433477503262</v>
      </c>
      <c r="I33" s="5">
        <f t="shared" si="4"/>
        <v>53079.907069628069</v>
      </c>
      <c r="J33" s="26">
        <f t="shared" si="5"/>
        <v>0.1761151665235933</v>
      </c>
      <c r="L33" s="22">
        <f t="shared" si="11"/>
        <v>84520.004201963908</v>
      </c>
      <c r="M33" s="5">
        <f>scrimecost*Meta!O30</f>
        <v>1180.8</v>
      </c>
      <c r="N33" s="5">
        <f>L33-Grade11!L33</f>
        <v>819.59437579961377</v>
      </c>
      <c r="O33" s="5">
        <f>Grade11!M33-M33</f>
        <v>24.192000000000007</v>
      </c>
      <c r="P33" s="22">
        <f t="shared" si="12"/>
        <v>171.51403691682955</v>
      </c>
      <c r="Q33" s="22"/>
      <c r="R33" s="22"/>
      <c r="S33" s="22">
        <f t="shared" si="6"/>
        <v>803.83221225061254</v>
      </c>
      <c r="T33" s="22">
        <f t="shared" si="7"/>
        <v>989.86474484684663</v>
      </c>
    </row>
    <row r="34" spans="1:20" x14ac:dyDescent="0.2">
      <c r="A34" s="5">
        <v>43</v>
      </c>
      <c r="B34" s="1">
        <f t="shared" si="8"/>
        <v>1.8539440983221533</v>
      </c>
      <c r="C34" s="5">
        <f t="shared" si="9"/>
        <v>47685.799743611191</v>
      </c>
      <c r="D34" s="5">
        <f t="shared" si="0"/>
        <v>46241.938755148687</v>
      </c>
      <c r="E34" s="5">
        <f t="shared" si="1"/>
        <v>36741.938755148687</v>
      </c>
      <c r="F34" s="5">
        <f t="shared" si="2"/>
        <v>12522.186879070916</v>
      </c>
      <c r="G34" s="5">
        <f t="shared" si="3"/>
        <v>33719.751876077775</v>
      </c>
      <c r="H34" s="22">
        <f t="shared" si="10"/>
        <v>21462.919314440838</v>
      </c>
      <c r="I34" s="5">
        <f t="shared" si="4"/>
        <v>54216.839821368776</v>
      </c>
      <c r="J34" s="26">
        <f t="shared" si="5"/>
        <v>0.17899332343792843</v>
      </c>
      <c r="L34" s="22">
        <f t="shared" si="11"/>
        <v>86633.00430701299</v>
      </c>
      <c r="M34" s="5">
        <f>scrimecost*Meta!O31</f>
        <v>1180.8</v>
      </c>
      <c r="N34" s="5">
        <f>L34-Grade11!L34</f>
        <v>840.08423519459029</v>
      </c>
      <c r="O34" s="5">
        <f>Grade11!M34-M34</f>
        <v>24.192000000000007</v>
      </c>
      <c r="P34" s="22">
        <f t="shared" si="12"/>
        <v>176.48583488259712</v>
      </c>
      <c r="Q34" s="22"/>
      <c r="R34" s="22"/>
      <c r="S34" s="22">
        <f t="shared" si="6"/>
        <v>824.00558165885741</v>
      </c>
      <c r="T34" s="22">
        <f t="shared" si="7"/>
        <v>1023.1917325661607</v>
      </c>
    </row>
    <row r="35" spans="1:20" x14ac:dyDescent="0.2">
      <c r="A35" s="5">
        <v>44</v>
      </c>
      <c r="B35" s="1">
        <f t="shared" si="8"/>
        <v>1.9002927007802071</v>
      </c>
      <c r="C35" s="5">
        <f t="shared" si="9"/>
        <v>48877.944737201462</v>
      </c>
      <c r="D35" s="5">
        <f t="shared" si="0"/>
        <v>47380.437224027395</v>
      </c>
      <c r="E35" s="5">
        <f t="shared" si="1"/>
        <v>37880.437224027395</v>
      </c>
      <c r="F35" s="5">
        <f t="shared" si="2"/>
        <v>13007.756476047683</v>
      </c>
      <c r="G35" s="5">
        <f t="shared" si="3"/>
        <v>34372.680747979713</v>
      </c>
      <c r="H35" s="22">
        <f t="shared" si="10"/>
        <v>21999.492297301858</v>
      </c>
      <c r="I35" s="5">
        <f t="shared" si="4"/>
        <v>55382.195891902986</v>
      </c>
      <c r="J35" s="26">
        <f t="shared" si="5"/>
        <v>0.18180128140313331</v>
      </c>
      <c r="L35" s="22">
        <f t="shared" si="11"/>
        <v>88798.829414688313</v>
      </c>
      <c r="M35" s="5">
        <f>scrimecost*Meta!O32</f>
        <v>1180.8</v>
      </c>
      <c r="N35" s="5">
        <f>L35-Grade11!L35</f>
        <v>861.08634107446414</v>
      </c>
      <c r="O35" s="5">
        <f>Grade11!M35-M35</f>
        <v>24.192000000000007</v>
      </c>
      <c r="P35" s="22">
        <f t="shared" si="12"/>
        <v>181.58192779750883</v>
      </c>
      <c r="Q35" s="22"/>
      <c r="R35" s="22"/>
      <c r="S35" s="22">
        <f t="shared" si="6"/>
        <v>844.68328530232554</v>
      </c>
      <c r="T35" s="22">
        <f t="shared" si="7"/>
        <v>1057.6383434197262</v>
      </c>
    </row>
    <row r="36" spans="1:20" x14ac:dyDescent="0.2">
      <c r="A36" s="5">
        <v>45</v>
      </c>
      <c r="B36" s="1">
        <f t="shared" si="8"/>
        <v>1.9478000182997122</v>
      </c>
      <c r="C36" s="5">
        <f t="shared" si="9"/>
        <v>50099.893355631495</v>
      </c>
      <c r="D36" s="5">
        <f t="shared" si="0"/>
        <v>48547.398154628077</v>
      </c>
      <c r="E36" s="5">
        <f t="shared" si="1"/>
        <v>39047.398154628077</v>
      </c>
      <c r="F36" s="5">
        <f t="shared" si="2"/>
        <v>13505.465312948876</v>
      </c>
      <c r="G36" s="5">
        <f t="shared" si="3"/>
        <v>35041.932841679198</v>
      </c>
      <c r="H36" s="22">
        <f t="shared" si="10"/>
        <v>22549.479604734403</v>
      </c>
      <c r="I36" s="5">
        <f t="shared" si="4"/>
        <v>56576.685864200554</v>
      </c>
      <c r="J36" s="26">
        <f t="shared" si="5"/>
        <v>0.18454075258869915</v>
      </c>
      <c r="L36" s="22">
        <f t="shared" si="11"/>
        <v>91018.800150055511</v>
      </c>
      <c r="M36" s="5">
        <f>scrimecost*Meta!O33</f>
        <v>954.27500000000009</v>
      </c>
      <c r="N36" s="5">
        <f>L36-Grade11!L36</f>
        <v>882.61349960132793</v>
      </c>
      <c r="O36" s="5">
        <f>Grade11!M36-M36</f>
        <v>19.550999999999931</v>
      </c>
      <c r="P36" s="22">
        <f t="shared" si="12"/>
        <v>186.80542303529333</v>
      </c>
      <c r="Q36" s="22"/>
      <c r="R36" s="22"/>
      <c r="S36" s="22">
        <f t="shared" si="6"/>
        <v>861.32975153687505</v>
      </c>
      <c r="T36" s="22">
        <f t="shared" si="7"/>
        <v>1087.4997192515502</v>
      </c>
    </row>
    <row r="37" spans="1:20" x14ac:dyDescent="0.2">
      <c r="A37" s="5">
        <v>46</v>
      </c>
      <c r="B37" s="1">
        <f t="shared" ref="B37:B56" si="13">(1+experiencepremium)^(A37-startage)</f>
        <v>1.9964950187572048</v>
      </c>
      <c r="C37" s="5">
        <f t="shared" ref="C37:C56" si="14">pretaxincome*B37/expnorm</f>
        <v>51352.390689522283</v>
      </c>
      <c r="D37" s="5">
        <f t="shared" ref="D37:D56" si="15">IF(A37&lt;startage,1,0)*(C37*(1-initialunempprob))+IF(A37=startage,1,0)*(C37*(1-unempprob))+IF(A37&gt;startage,1,0)*(C37*(1-unempprob)+unempprob*300*52)</f>
        <v>49743.533108493779</v>
      </c>
      <c r="E37" s="5">
        <f t="shared" si="1"/>
        <v>40243.533108493779</v>
      </c>
      <c r="F37" s="5">
        <f t="shared" si="2"/>
        <v>14015.616870772596</v>
      </c>
      <c r="G37" s="5">
        <f t="shared" si="3"/>
        <v>35727.916237721183</v>
      </c>
      <c r="H37" s="22">
        <f t="shared" ref="H37:H56" si="16">benefits*B37/expnorm</f>
        <v>23113.216594852762</v>
      </c>
      <c r="I37" s="5">
        <f t="shared" ref="I37:I56" si="17">G37+IF(A37&lt;startage,1,0)*(H37*(1-initialunempprob))+IF(A37&gt;=startage,1,0)*(H37*(1-unempprob))</f>
        <v>57801.038085805572</v>
      </c>
      <c r="J37" s="26">
        <f t="shared" si="5"/>
        <v>0.18721340740388526</v>
      </c>
      <c r="L37" s="22">
        <f t="shared" ref="L37:L56" si="18">(sincome+sbenefits)*(1-sunemp)*B37/expnorm</f>
        <v>93294.270153806894</v>
      </c>
      <c r="M37" s="5">
        <f>scrimecost*Meta!O34</f>
        <v>954.27500000000009</v>
      </c>
      <c r="N37" s="5">
        <f>L37-Grade11!L37</f>
        <v>904.67883709134185</v>
      </c>
      <c r="O37" s="5">
        <f>Grade11!M37-M37</f>
        <v>19.550999999999931</v>
      </c>
      <c r="P37" s="22">
        <f t="shared" si="12"/>
        <v>192.15950565402244</v>
      </c>
      <c r="Q37" s="22"/>
      <c r="R37" s="22"/>
      <c r="S37" s="22">
        <f t="shared" si="6"/>
        <v>883.05426392727236</v>
      </c>
      <c r="T37" s="22">
        <f t="shared" si="7"/>
        <v>1124.2516013564705</v>
      </c>
    </row>
    <row r="38" spans="1:20" x14ac:dyDescent="0.2">
      <c r="A38" s="5">
        <v>47</v>
      </c>
      <c r="B38" s="1">
        <f t="shared" si="13"/>
        <v>2.0464073942261352</v>
      </c>
      <c r="C38" s="5">
        <f t="shared" si="14"/>
        <v>52636.200456760344</v>
      </c>
      <c r="D38" s="5">
        <f t="shared" si="15"/>
        <v>50969.571436206126</v>
      </c>
      <c r="E38" s="5">
        <f t="shared" si="1"/>
        <v>41469.571436206126</v>
      </c>
      <c r="F38" s="5">
        <f t="shared" si="2"/>
        <v>14538.522217541913</v>
      </c>
      <c r="G38" s="5">
        <f t="shared" si="3"/>
        <v>36431.049218664215</v>
      </c>
      <c r="H38" s="22">
        <f t="shared" si="16"/>
        <v>23691.047009724083</v>
      </c>
      <c r="I38" s="5">
        <f t="shared" si="17"/>
        <v>59055.999112950711</v>
      </c>
      <c r="J38" s="26">
        <f t="shared" si="5"/>
        <v>0.18982087551626198</v>
      </c>
      <c r="L38" s="22">
        <f t="shared" si="18"/>
        <v>95626.626907652069</v>
      </c>
      <c r="M38" s="5">
        <f>scrimecost*Meta!O35</f>
        <v>954.27500000000009</v>
      </c>
      <c r="N38" s="5">
        <f>L38-Grade11!L38</f>
        <v>927.29580801865086</v>
      </c>
      <c r="O38" s="5">
        <f>Grade11!M38-M38</f>
        <v>19.550999999999931</v>
      </c>
      <c r="P38" s="22">
        <f t="shared" si="12"/>
        <v>197.64744033821978</v>
      </c>
      <c r="Q38" s="22"/>
      <c r="R38" s="22"/>
      <c r="S38" s="22">
        <f t="shared" si="6"/>
        <v>905.32188912746301</v>
      </c>
      <c r="T38" s="22">
        <f t="shared" si="7"/>
        <v>1162.2393143170289</v>
      </c>
    </row>
    <row r="39" spans="1:20" x14ac:dyDescent="0.2">
      <c r="A39" s="5">
        <v>48</v>
      </c>
      <c r="B39" s="1">
        <f t="shared" si="13"/>
        <v>2.097567579081788</v>
      </c>
      <c r="C39" s="5">
        <f t="shared" si="14"/>
        <v>53952.105468179339</v>
      </c>
      <c r="D39" s="5">
        <f t="shared" si="15"/>
        <v>52226.26072211127</v>
      </c>
      <c r="E39" s="5">
        <f t="shared" si="1"/>
        <v>42726.26072211127</v>
      </c>
      <c r="F39" s="5">
        <f t="shared" si="2"/>
        <v>15074.500197980457</v>
      </c>
      <c r="G39" s="5">
        <f t="shared" si="3"/>
        <v>37151.760524130812</v>
      </c>
      <c r="H39" s="22">
        <f t="shared" si="16"/>
        <v>24283.323184967179</v>
      </c>
      <c r="I39" s="5">
        <f t="shared" si="17"/>
        <v>60342.334165774468</v>
      </c>
      <c r="J39" s="26">
        <f t="shared" si="5"/>
        <v>0.19236474684541</v>
      </c>
      <c r="L39" s="22">
        <f t="shared" si="18"/>
        <v>98017.292580343346</v>
      </c>
      <c r="M39" s="5">
        <f>scrimecost*Meta!O36</f>
        <v>954.27500000000009</v>
      </c>
      <c r="N39" s="5">
        <f>L39-Grade11!L39</f>
        <v>950.47820321907056</v>
      </c>
      <c r="O39" s="5">
        <f>Grade11!M39-M39</f>
        <v>19.550999999999931</v>
      </c>
      <c r="P39" s="22">
        <f t="shared" si="12"/>
        <v>203.27257338952205</v>
      </c>
      <c r="Q39" s="22"/>
      <c r="R39" s="22"/>
      <c r="S39" s="22">
        <f t="shared" si="6"/>
        <v>928.14620495760471</v>
      </c>
      <c r="T39" s="22">
        <f t="shared" si="7"/>
        <v>1201.5043631434155</v>
      </c>
    </row>
    <row r="40" spans="1:20" x14ac:dyDescent="0.2">
      <c r="A40" s="5">
        <v>49</v>
      </c>
      <c r="B40" s="1">
        <f t="shared" si="13"/>
        <v>2.1500067685588333</v>
      </c>
      <c r="C40" s="5">
        <f t="shared" si="14"/>
        <v>55300.908104883842</v>
      </c>
      <c r="D40" s="5">
        <f t="shared" si="15"/>
        <v>53514.367240164065</v>
      </c>
      <c r="E40" s="5">
        <f t="shared" si="1"/>
        <v>44014.367240164065</v>
      </c>
      <c r="F40" s="5">
        <f t="shared" si="2"/>
        <v>15623.877627929975</v>
      </c>
      <c r="G40" s="5">
        <f t="shared" si="3"/>
        <v>37890.489612234087</v>
      </c>
      <c r="H40" s="22">
        <f t="shared" si="16"/>
        <v>24890.406264591365</v>
      </c>
      <c r="I40" s="5">
        <f t="shared" si="17"/>
        <v>61660.827594918839</v>
      </c>
      <c r="J40" s="26">
        <f t="shared" ref="J40:J56" si="19">(F40-(IF(A40&gt;startage,1,0)*(unempprob*300*52)))/(IF(A40&lt;startage,1,0)*((C40+H40)*(1-initialunempprob))+IF(A40&gt;=startage,1,0)*((C40+H40)*(1-unempprob)))</f>
        <v>0.19484657253238374</v>
      </c>
      <c r="L40" s="22">
        <f t="shared" si="18"/>
        <v>100467.72489485197</v>
      </c>
      <c r="M40" s="5">
        <f>scrimecost*Meta!O37</f>
        <v>954.27500000000009</v>
      </c>
      <c r="N40" s="5">
        <f>L40-Grade11!L40</f>
        <v>974.2401582996099</v>
      </c>
      <c r="O40" s="5">
        <f>Grade11!M40-M40</f>
        <v>19.550999999999931</v>
      </c>
      <c r="P40" s="22">
        <f t="shared" si="12"/>
        <v>209.03833476710699</v>
      </c>
      <c r="Q40" s="22"/>
      <c r="R40" s="22"/>
      <c r="S40" s="22">
        <f t="shared" ref="S40:S69" si="20">IF(A40&lt;startage,1,0)*(N40-Q40-R40)+IF(A40&gt;=startage,1,0)*completionprob*(N40*spart+O40+P40)</f>
        <v>951.54112868358141</v>
      </c>
      <c r="T40" s="22">
        <f t="shared" ref="T40:T69" si="21">S40/sreturn^(A40-startage+1)</f>
        <v>1242.089646350026</v>
      </c>
    </row>
    <row r="41" spans="1:20" x14ac:dyDescent="0.2">
      <c r="A41" s="5">
        <v>50</v>
      </c>
      <c r="B41" s="1">
        <f t="shared" si="13"/>
        <v>2.2037569377728037</v>
      </c>
      <c r="C41" s="5">
        <f t="shared" si="14"/>
        <v>56683.430807505923</v>
      </c>
      <c r="D41" s="5">
        <f t="shared" si="15"/>
        <v>54834.676421168151</v>
      </c>
      <c r="E41" s="5">
        <f t="shared" si="1"/>
        <v>45334.676421168151</v>
      </c>
      <c r="F41" s="5">
        <f t="shared" si="2"/>
        <v>16186.989493628216</v>
      </c>
      <c r="G41" s="5">
        <f t="shared" si="3"/>
        <v>38647.686927539937</v>
      </c>
      <c r="H41" s="22">
        <f t="shared" si="16"/>
        <v>25512.666421206144</v>
      </c>
      <c r="I41" s="5">
        <f t="shared" si="17"/>
        <v>63012.283359791807</v>
      </c>
      <c r="J41" s="26">
        <f t="shared" si="19"/>
        <v>0.19726786588552875</v>
      </c>
      <c r="L41" s="22">
        <f t="shared" si="18"/>
        <v>102979.41801722324</v>
      </c>
      <c r="M41" s="5">
        <f>scrimecost*Meta!O38</f>
        <v>637.54999999999995</v>
      </c>
      <c r="N41" s="5">
        <f>L41-Grade11!L41</f>
        <v>998.59616225707578</v>
      </c>
      <c r="O41" s="5">
        <f>Grade11!M41-M41</f>
        <v>13.062000000000012</v>
      </c>
      <c r="P41" s="22">
        <f t="shared" si="12"/>
        <v>214.94824017913137</v>
      </c>
      <c r="Q41" s="22"/>
      <c r="R41" s="22"/>
      <c r="S41" s="22">
        <f t="shared" si="20"/>
        <v>969.16170550264269</v>
      </c>
      <c r="T41" s="22">
        <f t="shared" si="21"/>
        <v>1275.669113673152</v>
      </c>
    </row>
    <row r="42" spans="1:20" x14ac:dyDescent="0.2">
      <c r="A42" s="5">
        <v>51</v>
      </c>
      <c r="B42" s="1">
        <f t="shared" si="13"/>
        <v>2.2588508612171236</v>
      </c>
      <c r="C42" s="5">
        <f t="shared" si="14"/>
        <v>58100.516577693568</v>
      </c>
      <c r="D42" s="5">
        <f t="shared" si="15"/>
        <v>56187.993331697355</v>
      </c>
      <c r="E42" s="5">
        <f t="shared" si="1"/>
        <v>46687.993331697355</v>
      </c>
      <c r="F42" s="5">
        <f t="shared" si="2"/>
        <v>16764.179155968923</v>
      </c>
      <c r="G42" s="5">
        <f t="shared" si="3"/>
        <v>39423.814175728432</v>
      </c>
      <c r="H42" s="22">
        <f t="shared" si="16"/>
        <v>26150.4830817363</v>
      </c>
      <c r="I42" s="5">
        <f t="shared" si="17"/>
        <v>64397.525518786599</v>
      </c>
      <c r="J42" s="26">
        <f t="shared" si="19"/>
        <v>0.19963010330323122</v>
      </c>
      <c r="L42" s="22">
        <f t="shared" si="18"/>
        <v>105553.90346765381</v>
      </c>
      <c r="M42" s="5">
        <f>scrimecost*Meta!O39</f>
        <v>637.54999999999995</v>
      </c>
      <c r="N42" s="5">
        <f>L42-Grade11!L42</f>
        <v>1023.5610663135012</v>
      </c>
      <c r="O42" s="5">
        <f>Grade11!M42-M42</f>
        <v>13.062000000000012</v>
      </c>
      <c r="P42" s="22">
        <f t="shared" si="12"/>
        <v>221.00589322645641</v>
      </c>
      <c r="Q42" s="22"/>
      <c r="R42" s="22"/>
      <c r="S42" s="22">
        <f t="shared" si="20"/>
        <v>993.74099724219741</v>
      </c>
      <c r="T42" s="22">
        <f t="shared" si="21"/>
        <v>1318.9593785164816</v>
      </c>
    </row>
    <row r="43" spans="1:20" x14ac:dyDescent="0.2">
      <c r="A43" s="5">
        <v>52</v>
      </c>
      <c r="B43" s="1">
        <f t="shared" si="13"/>
        <v>2.3153221327475517</v>
      </c>
      <c r="C43" s="5">
        <f t="shared" si="14"/>
        <v>59553.029492135909</v>
      </c>
      <c r="D43" s="5">
        <f t="shared" si="15"/>
        <v>57575.143164989793</v>
      </c>
      <c r="E43" s="5">
        <f t="shared" si="1"/>
        <v>48075.143164989793</v>
      </c>
      <c r="F43" s="5">
        <f t="shared" si="2"/>
        <v>17355.798559868148</v>
      </c>
      <c r="G43" s="5">
        <f t="shared" si="3"/>
        <v>40219.344605121645</v>
      </c>
      <c r="H43" s="22">
        <f t="shared" si="16"/>
        <v>26804.245158779708</v>
      </c>
      <c r="I43" s="5">
        <f t="shared" si="17"/>
        <v>65817.398731756257</v>
      </c>
      <c r="J43" s="26">
        <f t="shared" si="19"/>
        <v>0.20193472517416053</v>
      </c>
      <c r="L43" s="22">
        <f t="shared" si="18"/>
        <v>108192.75105434516</v>
      </c>
      <c r="M43" s="5">
        <f>scrimecost*Meta!O40</f>
        <v>637.54999999999995</v>
      </c>
      <c r="N43" s="5">
        <f>L43-Grade11!L43</f>
        <v>1049.1500929713366</v>
      </c>
      <c r="O43" s="5">
        <f>Grade11!M43-M43</f>
        <v>13.062000000000012</v>
      </c>
      <c r="P43" s="22">
        <f t="shared" si="12"/>
        <v>227.21498759996467</v>
      </c>
      <c r="Q43" s="22"/>
      <c r="R43" s="22"/>
      <c r="S43" s="22">
        <f t="shared" si="20"/>
        <v>1018.9347712752407</v>
      </c>
      <c r="T43" s="22">
        <f t="shared" si="21"/>
        <v>1363.7068247697075</v>
      </c>
    </row>
    <row r="44" spans="1:20" x14ac:dyDescent="0.2">
      <c r="A44" s="5">
        <v>53</v>
      </c>
      <c r="B44" s="1">
        <f t="shared" si="13"/>
        <v>2.3732051860662402</v>
      </c>
      <c r="C44" s="5">
        <f t="shared" si="14"/>
        <v>61041.855229439294</v>
      </c>
      <c r="D44" s="5">
        <f t="shared" si="15"/>
        <v>58996.971744114526</v>
      </c>
      <c r="E44" s="5">
        <f t="shared" si="1"/>
        <v>49496.971744114526</v>
      </c>
      <c r="F44" s="5">
        <f t="shared" si="2"/>
        <v>17962.208448864847</v>
      </c>
      <c r="G44" s="5">
        <f t="shared" si="3"/>
        <v>41034.763295249679</v>
      </c>
      <c r="H44" s="22">
        <f t="shared" si="16"/>
        <v>27474.351287749192</v>
      </c>
      <c r="I44" s="5">
        <f t="shared" si="17"/>
        <v>67272.76877505015</v>
      </c>
      <c r="J44" s="26">
        <f t="shared" si="19"/>
        <v>0.20418313675555491</v>
      </c>
      <c r="L44" s="22">
        <f t="shared" si="18"/>
        <v>110897.56983070377</v>
      </c>
      <c r="M44" s="5">
        <f>scrimecost*Meta!O41</f>
        <v>637.54999999999995</v>
      </c>
      <c r="N44" s="5">
        <f>L44-Grade11!L44</f>
        <v>1075.3788452956069</v>
      </c>
      <c r="O44" s="5">
        <f>Grade11!M44-M44</f>
        <v>13.062000000000012</v>
      </c>
      <c r="P44" s="22">
        <f t="shared" si="12"/>
        <v>233.57930933281051</v>
      </c>
      <c r="Q44" s="22"/>
      <c r="R44" s="22"/>
      <c r="S44" s="22">
        <f t="shared" si="20"/>
        <v>1044.7583896591018</v>
      </c>
      <c r="T44" s="22">
        <f t="shared" si="21"/>
        <v>1409.9604038636269</v>
      </c>
    </row>
    <row r="45" spans="1:20" x14ac:dyDescent="0.2">
      <c r="A45" s="5">
        <v>54</v>
      </c>
      <c r="B45" s="1">
        <f t="shared" si="13"/>
        <v>2.4325353157178964</v>
      </c>
      <c r="C45" s="5">
        <f t="shared" si="14"/>
        <v>62567.901610175279</v>
      </c>
      <c r="D45" s="5">
        <f t="shared" si="15"/>
        <v>60454.346037717391</v>
      </c>
      <c r="E45" s="5">
        <f t="shared" si="1"/>
        <v>50954.346037717391</v>
      </c>
      <c r="F45" s="5">
        <f t="shared" si="2"/>
        <v>18583.778585086468</v>
      </c>
      <c r="G45" s="5">
        <f t="shared" si="3"/>
        <v>41870.567452630923</v>
      </c>
      <c r="H45" s="22">
        <f t="shared" si="16"/>
        <v>28161.210069942925</v>
      </c>
      <c r="I45" s="5">
        <f t="shared" si="17"/>
        <v>68764.523069426417</v>
      </c>
      <c r="J45" s="26">
        <f t="shared" si="19"/>
        <v>0.20637670903008604</v>
      </c>
      <c r="L45" s="22">
        <f t="shared" si="18"/>
        <v>113670.00907647137</v>
      </c>
      <c r="M45" s="5">
        <f>scrimecost*Meta!O42</f>
        <v>637.54999999999995</v>
      </c>
      <c r="N45" s="5">
        <f>L45-Grade11!L45</f>
        <v>1102.2633164280123</v>
      </c>
      <c r="O45" s="5">
        <f>Grade11!M45-M45</f>
        <v>13.062000000000012</v>
      </c>
      <c r="P45" s="22">
        <f t="shared" si="12"/>
        <v>240.10273910897757</v>
      </c>
      <c r="Q45" s="22"/>
      <c r="R45" s="22"/>
      <c r="S45" s="22">
        <f t="shared" si="20"/>
        <v>1071.2275985025806</v>
      </c>
      <c r="T45" s="22">
        <f t="shared" si="21"/>
        <v>1457.7707108456468</v>
      </c>
    </row>
    <row r="46" spans="1:20" x14ac:dyDescent="0.2">
      <c r="A46" s="5">
        <v>55</v>
      </c>
      <c r="B46" s="1">
        <f t="shared" si="13"/>
        <v>2.4933486986108435</v>
      </c>
      <c r="C46" s="5">
        <f t="shared" si="14"/>
        <v>64132.099150429662</v>
      </c>
      <c r="D46" s="5">
        <f t="shared" si="15"/>
        <v>61948.154688660325</v>
      </c>
      <c r="E46" s="5">
        <f t="shared" si="1"/>
        <v>52448.154688660325</v>
      </c>
      <c r="F46" s="5">
        <f t="shared" si="2"/>
        <v>19220.887974713627</v>
      </c>
      <c r="G46" s="5">
        <f t="shared" si="3"/>
        <v>42727.266713946694</v>
      </c>
      <c r="H46" s="22">
        <f t="shared" si="16"/>
        <v>28865.240321691497</v>
      </c>
      <c r="I46" s="5">
        <f t="shared" si="17"/>
        <v>70293.57122116207</v>
      </c>
      <c r="J46" s="26">
        <f t="shared" si="19"/>
        <v>0.20851677954182371</v>
      </c>
      <c r="L46" s="22">
        <f t="shared" si="18"/>
        <v>116511.75930338314</v>
      </c>
      <c r="M46" s="5">
        <f>scrimecost*Meta!O43</f>
        <v>353.625</v>
      </c>
      <c r="N46" s="5">
        <f>L46-Grade11!L46</f>
        <v>1129.8198993387196</v>
      </c>
      <c r="O46" s="5">
        <f>Grade11!M46-M46</f>
        <v>7.2449999999999477</v>
      </c>
      <c r="P46" s="22">
        <f t="shared" si="12"/>
        <v>246.78925462954876</v>
      </c>
      <c r="Q46" s="22"/>
      <c r="R46" s="22"/>
      <c r="S46" s="22">
        <f t="shared" si="20"/>
        <v>1092.6578775671401</v>
      </c>
      <c r="T46" s="22">
        <f t="shared" si="21"/>
        <v>1499.367477366128</v>
      </c>
    </row>
    <row r="47" spans="1:20" x14ac:dyDescent="0.2">
      <c r="A47" s="5">
        <v>56</v>
      </c>
      <c r="B47" s="1">
        <f t="shared" si="13"/>
        <v>2.555682416076114</v>
      </c>
      <c r="C47" s="5">
        <f t="shared" si="14"/>
        <v>65735.401629190383</v>
      </c>
      <c r="D47" s="5">
        <f t="shared" si="15"/>
        <v>63479.308555876814</v>
      </c>
      <c r="E47" s="5">
        <f t="shared" si="1"/>
        <v>53979.308555876814</v>
      </c>
      <c r="F47" s="5">
        <f t="shared" si="2"/>
        <v>19873.925099081462</v>
      </c>
      <c r="G47" s="5">
        <f t="shared" si="3"/>
        <v>43605.383456795353</v>
      </c>
      <c r="H47" s="22">
        <f t="shared" si="16"/>
        <v>29586.871329733774</v>
      </c>
      <c r="I47" s="5">
        <f t="shared" si="17"/>
        <v>71860.845576691107</v>
      </c>
      <c r="J47" s="26">
        <f t="shared" si="19"/>
        <v>0.21060465321181171</v>
      </c>
      <c r="L47" s="22">
        <f t="shared" si="18"/>
        <v>119424.5532859677</v>
      </c>
      <c r="M47" s="5">
        <f>scrimecost*Meta!O44</f>
        <v>353.625</v>
      </c>
      <c r="N47" s="5">
        <f>L47-Grade11!L47</f>
        <v>1158.0653968221741</v>
      </c>
      <c r="O47" s="5">
        <f>Grade11!M47-M47</f>
        <v>7.2449999999999477</v>
      </c>
      <c r="P47" s="22">
        <f t="shared" si="12"/>
        <v>253.64293303813429</v>
      </c>
      <c r="Q47" s="22"/>
      <c r="R47" s="22"/>
      <c r="S47" s="22">
        <f t="shared" si="20"/>
        <v>1120.4670901082984</v>
      </c>
      <c r="T47" s="22">
        <f t="shared" si="21"/>
        <v>1550.3844661816527</v>
      </c>
    </row>
    <row r="48" spans="1:20" x14ac:dyDescent="0.2">
      <c r="A48" s="5">
        <v>57</v>
      </c>
      <c r="B48" s="1">
        <f t="shared" si="13"/>
        <v>2.6195744764780171</v>
      </c>
      <c r="C48" s="5">
        <f t="shared" si="14"/>
        <v>67378.786669920155</v>
      </c>
      <c r="D48" s="5">
        <f t="shared" si="15"/>
        <v>65048.741269773745</v>
      </c>
      <c r="E48" s="5">
        <f t="shared" si="1"/>
        <v>55548.741269773745</v>
      </c>
      <c r="F48" s="5">
        <f t="shared" si="2"/>
        <v>20543.288151558503</v>
      </c>
      <c r="G48" s="5">
        <f t="shared" si="3"/>
        <v>44505.453118215242</v>
      </c>
      <c r="H48" s="22">
        <f t="shared" si="16"/>
        <v>30326.543112977124</v>
      </c>
      <c r="I48" s="5">
        <f t="shared" si="17"/>
        <v>73467.301791108388</v>
      </c>
      <c r="J48" s="26">
        <f t="shared" si="19"/>
        <v>0.21264160313375119</v>
      </c>
      <c r="L48" s="22">
        <f t="shared" si="18"/>
        <v>122410.16711811689</v>
      </c>
      <c r="M48" s="5">
        <f>scrimecost*Meta!O45</f>
        <v>353.625</v>
      </c>
      <c r="N48" s="5">
        <f>L48-Grade11!L48</f>
        <v>1187.0170317427255</v>
      </c>
      <c r="O48" s="5">
        <f>Grade11!M48-M48</f>
        <v>7.2449999999999477</v>
      </c>
      <c r="P48" s="22">
        <f t="shared" si="12"/>
        <v>260.66795340693437</v>
      </c>
      <c r="Q48" s="22"/>
      <c r="R48" s="22"/>
      <c r="S48" s="22">
        <f t="shared" si="20"/>
        <v>1148.9715329629935</v>
      </c>
      <c r="T48" s="22">
        <f t="shared" si="21"/>
        <v>1603.1198438899503</v>
      </c>
    </row>
    <row r="49" spans="1:20" x14ac:dyDescent="0.2">
      <c r="A49" s="5">
        <v>58</v>
      </c>
      <c r="B49" s="1">
        <f t="shared" si="13"/>
        <v>2.6850638383899672</v>
      </c>
      <c r="C49" s="5">
        <f t="shared" si="14"/>
        <v>69063.256336668142</v>
      </c>
      <c r="D49" s="5">
        <f t="shared" si="15"/>
        <v>66657.409801518079</v>
      </c>
      <c r="E49" s="5">
        <f t="shared" si="1"/>
        <v>57157.409801518079</v>
      </c>
      <c r="F49" s="5">
        <f t="shared" si="2"/>
        <v>21229.385280347458</v>
      </c>
      <c r="G49" s="5">
        <f t="shared" si="3"/>
        <v>45428.024521170621</v>
      </c>
      <c r="H49" s="22">
        <f t="shared" si="16"/>
        <v>31084.706690801548</v>
      </c>
      <c r="I49" s="5">
        <f t="shared" si="17"/>
        <v>75113.919410886097</v>
      </c>
      <c r="J49" s="26">
        <f t="shared" si="19"/>
        <v>0.2146288713502775</v>
      </c>
      <c r="L49" s="22">
        <f t="shared" si="18"/>
        <v>125470.42129606981</v>
      </c>
      <c r="M49" s="5">
        <f>scrimecost*Meta!O46</f>
        <v>353.625</v>
      </c>
      <c r="N49" s="5">
        <f>L49-Grade11!L49</f>
        <v>1216.6924575362791</v>
      </c>
      <c r="O49" s="5">
        <f>Grade11!M49-M49</f>
        <v>7.2449999999999477</v>
      </c>
      <c r="P49" s="22">
        <f t="shared" si="12"/>
        <v>267.86859928495448</v>
      </c>
      <c r="Q49" s="22"/>
      <c r="R49" s="22"/>
      <c r="S49" s="22">
        <f t="shared" si="20"/>
        <v>1178.1885868890472</v>
      </c>
      <c r="T49" s="22">
        <f t="shared" si="21"/>
        <v>1657.6313460686413</v>
      </c>
    </row>
    <row r="50" spans="1:20" x14ac:dyDescent="0.2">
      <c r="A50" s="5">
        <v>59</v>
      </c>
      <c r="B50" s="1">
        <f t="shared" si="13"/>
        <v>2.7521904343497163</v>
      </c>
      <c r="C50" s="5">
        <f t="shared" si="14"/>
        <v>70789.837745084849</v>
      </c>
      <c r="D50" s="5">
        <f t="shared" si="15"/>
        <v>68306.295046556028</v>
      </c>
      <c r="E50" s="5">
        <f t="shared" si="1"/>
        <v>58806.295046556028</v>
      </c>
      <c r="F50" s="5">
        <f t="shared" si="2"/>
        <v>21932.634837356149</v>
      </c>
      <c r="G50" s="5">
        <f t="shared" si="3"/>
        <v>46373.660209199879</v>
      </c>
      <c r="H50" s="22">
        <f t="shared" si="16"/>
        <v>31861.824358071586</v>
      </c>
      <c r="I50" s="5">
        <f t="shared" si="17"/>
        <v>76801.702471158234</v>
      </c>
      <c r="J50" s="26">
        <f t="shared" si="19"/>
        <v>0.21656766961030322</v>
      </c>
      <c r="L50" s="22">
        <f t="shared" si="18"/>
        <v>128607.18182847154</v>
      </c>
      <c r="M50" s="5">
        <f>scrimecost*Meta!O47</f>
        <v>353.625</v>
      </c>
      <c r="N50" s="5">
        <f>L50-Grade11!L50</f>
        <v>1247.1097689746966</v>
      </c>
      <c r="O50" s="5">
        <f>Grade11!M50-M50</f>
        <v>7.2449999999999477</v>
      </c>
      <c r="P50" s="22">
        <f t="shared" si="12"/>
        <v>275.24926130992515</v>
      </c>
      <c r="Q50" s="22"/>
      <c r="R50" s="22"/>
      <c r="S50" s="22">
        <f t="shared" si="20"/>
        <v>1208.136067163271</v>
      </c>
      <c r="T50" s="22">
        <f t="shared" si="21"/>
        <v>1713.9786469307462</v>
      </c>
    </row>
    <row r="51" spans="1:20" x14ac:dyDescent="0.2">
      <c r="A51" s="5">
        <v>60</v>
      </c>
      <c r="B51" s="1">
        <f t="shared" si="13"/>
        <v>2.8209951952084591</v>
      </c>
      <c r="C51" s="5">
        <f t="shared" si="14"/>
        <v>72559.583688711966</v>
      </c>
      <c r="D51" s="5">
        <f t="shared" si="15"/>
        <v>69996.402422719926</v>
      </c>
      <c r="E51" s="5">
        <f t="shared" si="1"/>
        <v>60496.402422719926</v>
      </c>
      <c r="F51" s="5">
        <f t="shared" si="2"/>
        <v>22653.465633290049</v>
      </c>
      <c r="G51" s="5">
        <f t="shared" si="3"/>
        <v>47342.936789429878</v>
      </c>
      <c r="H51" s="22">
        <f t="shared" si="16"/>
        <v>32658.369967023373</v>
      </c>
      <c r="I51" s="5">
        <f t="shared" si="17"/>
        <v>78531.680107937194</v>
      </c>
      <c r="J51" s="26">
        <f t="shared" si="19"/>
        <v>0.21845918010788926</v>
      </c>
      <c r="L51" s="22">
        <f t="shared" si="18"/>
        <v>131822.36137418333</v>
      </c>
      <c r="M51" s="5">
        <f>scrimecost*Meta!O48</f>
        <v>186.54999999999998</v>
      </c>
      <c r="N51" s="5">
        <f>L51-Grade11!L51</f>
        <v>1278.2875131990586</v>
      </c>
      <c r="O51" s="5">
        <f>Grade11!M51-M51</f>
        <v>3.8220000000000027</v>
      </c>
      <c r="P51" s="22">
        <f t="shared" si="12"/>
        <v>282.81443988552007</v>
      </c>
      <c r="Q51" s="22"/>
      <c r="R51" s="22"/>
      <c r="S51" s="22">
        <f t="shared" si="20"/>
        <v>1235.4776944443386</v>
      </c>
      <c r="T51" s="22">
        <f t="shared" si="21"/>
        <v>1767.4245547961405</v>
      </c>
    </row>
    <row r="52" spans="1:20" x14ac:dyDescent="0.2">
      <c r="A52" s="5">
        <v>61</v>
      </c>
      <c r="B52" s="1">
        <f t="shared" si="13"/>
        <v>2.8915200750886707</v>
      </c>
      <c r="C52" s="5">
        <f t="shared" si="14"/>
        <v>74373.573280929762</v>
      </c>
      <c r="D52" s="5">
        <f t="shared" si="15"/>
        <v>71728.762483287923</v>
      </c>
      <c r="E52" s="5">
        <f t="shared" si="1"/>
        <v>62228.762483287923</v>
      </c>
      <c r="F52" s="5">
        <f t="shared" si="2"/>
        <v>23392.317199122299</v>
      </c>
      <c r="G52" s="5">
        <f t="shared" si="3"/>
        <v>48336.445284165624</v>
      </c>
      <c r="H52" s="22">
        <f t="shared" si="16"/>
        <v>33474.829216198959</v>
      </c>
      <c r="I52" s="5">
        <f t="shared" si="17"/>
        <v>80304.907185635631</v>
      </c>
      <c r="J52" s="26">
        <f t="shared" si="19"/>
        <v>0.22030455620309514</v>
      </c>
      <c r="L52" s="22">
        <f t="shared" si="18"/>
        <v>135117.92040853793</v>
      </c>
      <c r="M52" s="5">
        <f>scrimecost*Meta!O49</f>
        <v>186.54999999999998</v>
      </c>
      <c r="N52" s="5">
        <f>L52-Grade11!L52</f>
        <v>1310.2447010290634</v>
      </c>
      <c r="O52" s="5">
        <f>Grade11!M52-M52</f>
        <v>3.8220000000000027</v>
      </c>
      <c r="P52" s="22">
        <f t="shared" si="12"/>
        <v>290.56874792550491</v>
      </c>
      <c r="Q52" s="22"/>
      <c r="R52" s="22"/>
      <c r="S52" s="22">
        <f t="shared" si="20"/>
        <v>1266.941265907458</v>
      </c>
      <c r="T52" s="22">
        <f t="shared" si="21"/>
        <v>1827.5904302581289</v>
      </c>
    </row>
    <row r="53" spans="1:20" x14ac:dyDescent="0.2">
      <c r="A53" s="5">
        <v>62</v>
      </c>
      <c r="B53" s="1">
        <f t="shared" si="13"/>
        <v>2.9638080769658868</v>
      </c>
      <c r="C53" s="5">
        <f t="shared" si="14"/>
        <v>76232.912612953005</v>
      </c>
      <c r="D53" s="5">
        <f t="shared" si="15"/>
        <v>73504.431545370113</v>
      </c>
      <c r="E53" s="5">
        <f t="shared" si="1"/>
        <v>64004.431545370113</v>
      </c>
      <c r="F53" s="5">
        <f t="shared" si="2"/>
        <v>24149.640054100353</v>
      </c>
      <c r="G53" s="5">
        <f t="shared" si="3"/>
        <v>49354.79149126976</v>
      </c>
      <c r="H53" s="22">
        <f t="shared" si="16"/>
        <v>34311.699946603927</v>
      </c>
      <c r="I53" s="5">
        <f t="shared" si="17"/>
        <v>82122.464940276506</v>
      </c>
      <c r="J53" s="26">
        <f t="shared" si="19"/>
        <v>0.22210492312524724</v>
      </c>
      <c r="L53" s="22">
        <f t="shared" si="18"/>
        <v>138495.86841875134</v>
      </c>
      <c r="M53" s="5">
        <f>scrimecost*Meta!O50</f>
        <v>186.54999999999998</v>
      </c>
      <c r="N53" s="5">
        <f>L53-Grade11!L53</f>
        <v>1343.0008185547485</v>
      </c>
      <c r="O53" s="5">
        <f>Grade11!M53-M53</f>
        <v>3.8220000000000027</v>
      </c>
      <c r="P53" s="22">
        <f t="shared" si="12"/>
        <v>298.51691366648924</v>
      </c>
      <c r="Q53" s="22"/>
      <c r="R53" s="22"/>
      <c r="S53" s="22">
        <f t="shared" si="20"/>
        <v>1299.1914266571034</v>
      </c>
      <c r="T53" s="22">
        <f t="shared" si="21"/>
        <v>1889.7830851621659</v>
      </c>
    </row>
    <row r="54" spans="1:20" x14ac:dyDescent="0.2">
      <c r="A54" s="5">
        <v>63</v>
      </c>
      <c r="B54" s="1">
        <f t="shared" si="13"/>
        <v>3.0379032788900342</v>
      </c>
      <c r="C54" s="5">
        <f t="shared" si="14"/>
        <v>78138.735428276821</v>
      </c>
      <c r="D54" s="5">
        <f t="shared" si="15"/>
        <v>75324.492334004361</v>
      </c>
      <c r="E54" s="5">
        <f t="shared" si="1"/>
        <v>65824.492334004361</v>
      </c>
      <c r="F54" s="5">
        <f t="shared" si="2"/>
        <v>24925.895980452857</v>
      </c>
      <c r="G54" s="5">
        <f t="shared" si="3"/>
        <v>50398.596353551504</v>
      </c>
      <c r="H54" s="22">
        <f t="shared" si="16"/>
        <v>35169.492445269032</v>
      </c>
      <c r="I54" s="5">
        <f t="shared" si="17"/>
        <v>83985.461638783425</v>
      </c>
      <c r="J54" s="26">
        <f t="shared" si="19"/>
        <v>0.22386137865905412</v>
      </c>
      <c r="L54" s="22">
        <f t="shared" si="18"/>
        <v>141958.26512922015</v>
      </c>
      <c r="M54" s="5">
        <f>scrimecost*Meta!O51</f>
        <v>186.54999999999998</v>
      </c>
      <c r="N54" s="5">
        <f>L54-Grade11!L54</f>
        <v>1376.575839018682</v>
      </c>
      <c r="O54" s="5">
        <f>Grade11!M54-M54</f>
        <v>3.8220000000000027</v>
      </c>
      <c r="P54" s="22">
        <f t="shared" si="12"/>
        <v>306.66378355099823</v>
      </c>
      <c r="Q54" s="22"/>
      <c r="R54" s="22"/>
      <c r="S54" s="22">
        <f t="shared" si="20"/>
        <v>1332.2478414255693</v>
      </c>
      <c r="T54" s="22">
        <f t="shared" si="21"/>
        <v>1954.0706185273298</v>
      </c>
    </row>
    <row r="55" spans="1:20" x14ac:dyDescent="0.2">
      <c r="A55" s="5">
        <v>64</v>
      </c>
      <c r="B55" s="1">
        <f t="shared" si="13"/>
        <v>3.1138508608622844</v>
      </c>
      <c r="C55" s="5">
        <f t="shared" si="14"/>
        <v>80092.203813983724</v>
      </c>
      <c r="D55" s="5">
        <f t="shared" si="15"/>
        <v>77190.054642354458</v>
      </c>
      <c r="E55" s="5">
        <f t="shared" si="1"/>
        <v>67690.054642354458</v>
      </c>
      <c r="F55" s="5">
        <f t="shared" si="2"/>
        <v>25721.558304964175</v>
      </c>
      <c r="G55" s="5">
        <f t="shared" si="3"/>
        <v>51468.496337390286</v>
      </c>
      <c r="H55" s="22">
        <f t="shared" si="16"/>
        <v>36048.729756400746</v>
      </c>
      <c r="I55" s="5">
        <f t="shared" si="17"/>
        <v>85895.033254752998</v>
      </c>
      <c r="J55" s="26">
        <f t="shared" si="19"/>
        <v>0.22557499381398771</v>
      </c>
      <c r="L55" s="22">
        <f t="shared" si="18"/>
        <v>145507.22175745061</v>
      </c>
      <c r="M55" s="5">
        <f>scrimecost*Meta!O52</f>
        <v>186.54999999999998</v>
      </c>
      <c r="N55" s="5">
        <f>L55-Grade11!L55</f>
        <v>1410.9902349940676</v>
      </c>
      <c r="O55" s="5">
        <f>Grade11!M55-M55</f>
        <v>3.8220000000000027</v>
      </c>
      <c r="P55" s="22">
        <f t="shared" si="12"/>
        <v>315.01432518261998</v>
      </c>
      <c r="Q55" s="22"/>
      <c r="R55" s="22"/>
      <c r="S55" s="22">
        <f t="shared" si="20"/>
        <v>1366.1306665631378</v>
      </c>
      <c r="T55" s="22">
        <f t="shared" si="21"/>
        <v>2020.523416005552</v>
      </c>
    </row>
    <row r="56" spans="1:20" x14ac:dyDescent="0.2">
      <c r="A56" s="5">
        <v>65</v>
      </c>
      <c r="B56" s="1">
        <f t="shared" si="13"/>
        <v>3.1916971323838421</v>
      </c>
      <c r="C56" s="5">
        <f t="shared" si="14"/>
        <v>82094.508909333337</v>
      </c>
      <c r="D56" s="5">
        <f t="shared" si="15"/>
        <v>79102.256008413329</v>
      </c>
      <c r="E56" s="5">
        <f t="shared" si="1"/>
        <v>69602.256008413329</v>
      </c>
      <c r="F56" s="5">
        <f t="shared" si="2"/>
        <v>26537.112187588282</v>
      </c>
      <c r="G56" s="5">
        <f t="shared" si="3"/>
        <v>52565.143820825047</v>
      </c>
      <c r="H56" s="22">
        <f t="shared" si="16"/>
        <v>36949.948000310775</v>
      </c>
      <c r="I56" s="5">
        <f t="shared" si="17"/>
        <v>87852.344161121844</v>
      </c>
      <c r="J56" s="26">
        <f t="shared" si="19"/>
        <v>0.22724681347733752</v>
      </c>
      <c r="L56" s="22">
        <f t="shared" si="18"/>
        <v>149144.9023013869</v>
      </c>
      <c r="M56" s="5">
        <f>scrimecost*Meta!O53</f>
        <v>56.375</v>
      </c>
      <c r="N56" s="5">
        <f>L56-Grade11!L56</f>
        <v>1446.2649908689782</v>
      </c>
      <c r="O56" s="5">
        <f>Grade11!M56-M56</f>
        <v>1.1550000000000011</v>
      </c>
      <c r="P56" s="22">
        <f t="shared" si="12"/>
        <v>323.57363035503226</v>
      </c>
      <c r="Q56" s="22"/>
      <c r="R56" s="22"/>
      <c r="S56" s="22">
        <f t="shared" si="20"/>
        <v>1398.2469023292497</v>
      </c>
      <c r="T56" s="22">
        <f t="shared" si="21"/>
        <v>2085.316268636981</v>
      </c>
    </row>
    <row r="57" spans="1:20" x14ac:dyDescent="0.2">
      <c r="A57" s="5">
        <v>66</v>
      </c>
      <c r="C57" s="5"/>
      <c r="H57" s="21"/>
      <c r="I57" s="5"/>
      <c r="M57" s="5">
        <f>scrimecost*Meta!O54</f>
        <v>56.375</v>
      </c>
      <c r="N57" s="5">
        <f>L57-Grade11!L57</f>
        <v>0</v>
      </c>
      <c r="O57" s="5">
        <f>Grade11!M57-M57</f>
        <v>1.1550000000000011</v>
      </c>
      <c r="Q57" s="22"/>
      <c r="R57" s="22"/>
      <c r="S57" s="22">
        <f t="shared" si="20"/>
        <v>1.131900000000001</v>
      </c>
      <c r="T57" s="22">
        <f t="shared" si="21"/>
        <v>1.7022076715994992</v>
      </c>
    </row>
    <row r="58" spans="1:20" x14ac:dyDescent="0.2">
      <c r="A58" s="5">
        <v>67</v>
      </c>
      <c r="C58" s="5"/>
      <c r="H58" s="21"/>
      <c r="I58" s="5"/>
      <c r="M58" s="5">
        <f>scrimecost*Meta!O55</f>
        <v>56.375</v>
      </c>
      <c r="N58" s="5">
        <f>L58-Grade11!L58</f>
        <v>0</v>
      </c>
      <c r="O58" s="5">
        <f>Grade11!M58-M58</f>
        <v>1.1550000000000011</v>
      </c>
      <c r="Q58" s="22"/>
      <c r="R58" s="22"/>
      <c r="S58" s="22">
        <f t="shared" si="20"/>
        <v>1.131900000000001</v>
      </c>
      <c r="T58" s="22">
        <f t="shared" si="21"/>
        <v>1.7164413228941151</v>
      </c>
    </row>
    <row r="59" spans="1:20" x14ac:dyDescent="0.2">
      <c r="A59" s="5">
        <v>68</v>
      </c>
      <c r="H59" s="21"/>
      <c r="I59" s="5"/>
      <c r="M59" s="5">
        <f>scrimecost*Meta!O56</f>
        <v>56.375</v>
      </c>
      <c r="N59" s="5">
        <f>L59-Grade11!L59</f>
        <v>0</v>
      </c>
      <c r="O59" s="5">
        <f>Grade11!M59-M59</f>
        <v>1.1550000000000011</v>
      </c>
      <c r="Q59" s="22"/>
      <c r="R59" s="22"/>
      <c r="S59" s="22">
        <f t="shared" si="20"/>
        <v>1.131900000000001</v>
      </c>
      <c r="T59" s="22">
        <f t="shared" si="21"/>
        <v>1.7307939942310897</v>
      </c>
    </row>
    <row r="60" spans="1:20" x14ac:dyDescent="0.2">
      <c r="A60" s="5">
        <v>69</v>
      </c>
      <c r="H60" s="21"/>
      <c r="I60" s="5"/>
      <c r="M60" s="5">
        <f>scrimecost*Meta!O57</f>
        <v>56.375</v>
      </c>
      <c r="N60" s="5">
        <f>L60-Grade11!L60</f>
        <v>0</v>
      </c>
      <c r="O60" s="5">
        <f>Grade11!M60-M60</f>
        <v>1.1550000000000011</v>
      </c>
      <c r="Q60" s="22"/>
      <c r="R60" s="22"/>
      <c r="S60" s="22">
        <f t="shared" si="20"/>
        <v>1.131900000000001</v>
      </c>
      <c r="T60" s="22">
        <f t="shared" si="21"/>
        <v>1.7452666808413857</v>
      </c>
    </row>
    <row r="61" spans="1:20" x14ac:dyDescent="0.2">
      <c r="A61" s="5">
        <v>70</v>
      </c>
      <c r="H61" s="21"/>
      <c r="I61" s="5"/>
      <c r="M61" s="5">
        <f>scrimecost*Meta!O58</f>
        <v>56.375</v>
      </c>
      <c r="N61" s="5">
        <f>L61-Grade11!L61</f>
        <v>0</v>
      </c>
      <c r="O61" s="5">
        <f>Grade11!M61-M61</f>
        <v>1.1550000000000011</v>
      </c>
      <c r="Q61" s="22"/>
      <c r="R61" s="22"/>
      <c r="S61" s="22">
        <f t="shared" si="20"/>
        <v>1.131900000000001</v>
      </c>
      <c r="T61" s="22">
        <f t="shared" si="21"/>
        <v>1.7598603862779645</v>
      </c>
    </row>
    <row r="62" spans="1:20" x14ac:dyDescent="0.2">
      <c r="A62" s="5">
        <v>71</v>
      </c>
      <c r="H62" s="21"/>
      <c r="I62" s="5"/>
      <c r="M62" s="5">
        <f>scrimecost*Meta!O59</f>
        <v>56.375</v>
      </c>
      <c r="N62" s="5">
        <f>L62-Grade11!L62</f>
        <v>0</v>
      </c>
      <c r="O62" s="5">
        <f>Grade11!M62-M62</f>
        <v>1.1550000000000011</v>
      </c>
      <c r="Q62" s="22"/>
      <c r="R62" s="22"/>
      <c r="S62" s="22">
        <f t="shared" si="20"/>
        <v>1.131900000000001</v>
      </c>
      <c r="T62" s="22">
        <f t="shared" si="21"/>
        <v>1.7745761224853753</v>
      </c>
    </row>
    <row r="63" spans="1:20" x14ac:dyDescent="0.2">
      <c r="A63" s="5">
        <v>72</v>
      </c>
      <c r="H63" s="21"/>
      <c r="M63" s="5">
        <f>scrimecost*Meta!O60</f>
        <v>56.375</v>
      </c>
      <c r="N63" s="5">
        <f>L63-Grade11!L63</f>
        <v>0</v>
      </c>
      <c r="O63" s="5">
        <f>Grade11!M63-M63</f>
        <v>1.1550000000000011</v>
      </c>
      <c r="Q63" s="22"/>
      <c r="R63" s="22"/>
      <c r="S63" s="22">
        <f t="shared" si="20"/>
        <v>1.131900000000001</v>
      </c>
      <c r="T63" s="22">
        <f t="shared" si="21"/>
        <v>1.7894149098699217</v>
      </c>
    </row>
    <row r="64" spans="1:20" x14ac:dyDescent="0.2">
      <c r="A64" s="5">
        <v>73</v>
      </c>
      <c r="H64" s="21"/>
      <c r="M64" s="5">
        <f>scrimecost*Meta!O61</f>
        <v>56.375</v>
      </c>
      <c r="N64" s="5">
        <f>L64-Grade11!L64</f>
        <v>0</v>
      </c>
      <c r="O64" s="5">
        <f>Grade11!M64-M64</f>
        <v>1.1550000000000011</v>
      </c>
      <c r="Q64" s="22"/>
      <c r="R64" s="22"/>
      <c r="S64" s="22">
        <f t="shared" si="20"/>
        <v>1.131900000000001</v>
      </c>
      <c r="T64" s="22">
        <f t="shared" si="21"/>
        <v>1.8043777773704197</v>
      </c>
    </row>
    <row r="65" spans="1:20" x14ac:dyDescent="0.2">
      <c r="A65" s="5">
        <v>74</v>
      </c>
      <c r="H65" s="21"/>
      <c r="M65" s="5">
        <f>scrimecost*Meta!O62</f>
        <v>56.375</v>
      </c>
      <c r="N65" s="5">
        <f>L65-Grade11!L65</f>
        <v>0</v>
      </c>
      <c r="O65" s="5">
        <f>Grade11!M65-M65</f>
        <v>1.1550000000000011</v>
      </c>
      <c r="Q65" s="22"/>
      <c r="R65" s="22"/>
      <c r="S65" s="22">
        <f t="shared" si="20"/>
        <v>1.131900000000001</v>
      </c>
      <c r="T65" s="22">
        <f t="shared" si="21"/>
        <v>1.8194657625295465</v>
      </c>
    </row>
    <row r="66" spans="1:20" x14ac:dyDescent="0.2">
      <c r="A66" s="5">
        <v>75</v>
      </c>
      <c r="H66" s="21"/>
      <c r="M66" s="5">
        <f>scrimecost*Meta!O63</f>
        <v>56.375</v>
      </c>
      <c r="N66" s="5">
        <f>L66-Grade11!L66</f>
        <v>0</v>
      </c>
      <c r="O66" s="5">
        <f>Grade11!M66-M66</f>
        <v>1.1550000000000011</v>
      </c>
      <c r="Q66" s="22"/>
      <c r="R66" s="22"/>
      <c r="S66" s="22">
        <f t="shared" si="20"/>
        <v>1.131900000000001</v>
      </c>
      <c r="T66" s="22">
        <f t="shared" si="21"/>
        <v>1.8346799115657821</v>
      </c>
    </row>
    <row r="67" spans="1:20" x14ac:dyDescent="0.2">
      <c r="A67" s="5">
        <v>76</v>
      </c>
      <c r="H67" s="21"/>
      <c r="M67" s="5">
        <f>scrimecost*Meta!O64</f>
        <v>56.375</v>
      </c>
      <c r="N67" s="5">
        <f>L67-Grade11!L67</f>
        <v>0</v>
      </c>
      <c r="O67" s="5">
        <f>Grade11!M67-M67</f>
        <v>1.1550000000000011</v>
      </c>
      <c r="Q67" s="22"/>
      <c r="R67" s="22"/>
      <c r="S67" s="22">
        <f t="shared" si="20"/>
        <v>1.131900000000001</v>
      </c>
      <c r="T67" s="22">
        <f t="shared" si="21"/>
        <v>1.8500212794459574</v>
      </c>
    </row>
    <row r="68" spans="1:20" x14ac:dyDescent="0.2">
      <c r="A68" s="5">
        <v>77</v>
      </c>
      <c r="H68" s="21"/>
      <c r="M68" s="5">
        <f>scrimecost*Meta!O65</f>
        <v>56.375</v>
      </c>
      <c r="N68" s="5">
        <f>L68-Grade11!L68</f>
        <v>0</v>
      </c>
      <c r="O68" s="5">
        <f>Grade11!M68-M68</f>
        <v>1.1550000000000011</v>
      </c>
      <c r="Q68" s="22"/>
      <c r="R68" s="22"/>
      <c r="S68" s="22">
        <f t="shared" si="20"/>
        <v>1.131900000000001</v>
      </c>
      <c r="T68" s="22">
        <f t="shared" si="21"/>
        <v>1.8654909299584057</v>
      </c>
    </row>
    <row r="69" spans="1:20" x14ac:dyDescent="0.2">
      <c r="A69" s="5">
        <v>78</v>
      </c>
      <c r="H69" s="21"/>
      <c r="M69" s="5">
        <f>scrimecost*Meta!O66</f>
        <v>56.375</v>
      </c>
      <c r="N69" s="5">
        <f>L69-Grade11!L69</f>
        <v>0</v>
      </c>
      <c r="O69" s="5">
        <f>Grade11!M69-M69</f>
        <v>1.1550000000000011</v>
      </c>
      <c r="Q69" s="22"/>
      <c r="R69" s="22"/>
      <c r="S69" s="22">
        <f t="shared" si="20"/>
        <v>1.131900000000001</v>
      </c>
      <c r="T69" s="22">
        <f t="shared" si="21"/>
        <v>1.8810899357867288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-3.0151880991979851E-11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N10" sqref="N10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Meta!A7+6</f>
        <v>19</v>
      </c>
      <c r="C2" s="7">
        <f>Meta!B7</f>
        <v>50629</v>
      </c>
      <c r="D2" s="7">
        <f>Meta!C7</f>
        <v>22666</v>
      </c>
      <c r="E2" s="1">
        <f>Meta!D7</f>
        <v>4.3999999999999997E-2</v>
      </c>
      <c r="F2" s="1">
        <f>Meta!F7</f>
        <v>0.71599999999999997</v>
      </c>
      <c r="G2" s="1">
        <f>Meta!I7</f>
        <v>1.8652741552202943</v>
      </c>
      <c r="H2" s="1">
        <f>Meta!E7</f>
        <v>0.81200000000000006</v>
      </c>
      <c r="I2" s="13"/>
      <c r="J2" s="1">
        <f>Meta!X6</f>
        <v>0.76200000000000001</v>
      </c>
      <c r="K2" s="1">
        <f>Meta!D6</f>
        <v>4.4999999999999998E-2</v>
      </c>
      <c r="L2" s="29"/>
      <c r="N2" s="22">
        <f>Meta!T7</f>
        <v>65254</v>
      </c>
      <c r="O2" s="22">
        <f>Meta!U7</f>
        <v>28308</v>
      </c>
      <c r="P2" s="1">
        <f>Meta!V7</f>
        <v>3.5000000000000003E-2</v>
      </c>
      <c r="Q2" s="1">
        <f>Meta!X7</f>
        <v>0.76600000000000001</v>
      </c>
      <c r="R2" s="22">
        <f>Meta!W7</f>
        <v>1017</v>
      </c>
      <c r="T2" s="12">
        <f>IRR(S5:S69)+1</f>
        <v>0.98433345143553941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B9" s="1">
        <v>1</v>
      </c>
      <c r="C9" s="5">
        <f>0.1*Grade12!C9</f>
        <v>2572.127163206676</v>
      </c>
      <c r="D9" s="5">
        <f t="shared" ref="D9:D36" si="0">IF(A9&lt;startage,1,0)*(C9*(1-initialunempprob))+IF(A9=startage,1,0)*(C9*(1-unempprob))+IF(A9&gt;startage,1,0)*(C9*(1-unempprob)+unempprob*300*52)</f>
        <v>2456.3814408623753</v>
      </c>
      <c r="E9" s="5">
        <f t="shared" ref="E9:E56" si="1">IF(D9-9500&gt;0,1,0)*(D9-9500)</f>
        <v>0</v>
      </c>
      <c r="F9" s="5">
        <f t="shared" ref="F9:F56" si="2">IF(E9&lt;=8500,1,0)*(0.1*E9+0.1*E9+0.0765*D9)+IF(AND(E9&gt;8500,E9&lt;=34500),1,0)*(850+0.15*(E9-8500)+0.1*E9+0.0765*D9)+IF(AND(E9&gt;34500,E9&lt;=83600),1,0)*(4750+0.25*(E9-34500)+0.1*E9+0.0765*D9)+IF(AND(E9&gt;83600,E9&lt;=174400,D9&lt;=106800),1,0)*(17025+0.28*(E9-83600)+0.1*E9+0.0765*D9)+IF(AND(E9&gt;83600,E9&lt;=174400,D9&gt;106800),1,0)*(17025+0.28*(E9-83600)+0.1*E9+8170.2+0.0145*(D9-106800))+IF(AND(E9&gt;174400,E9&lt;=379150),1,0)*(42449+0.33*(E9-174400)+0.1*E9+8170.2+0.0145*(D9-106800))+IF(E9&gt;379150,1,0)*(110016.5+0.35*(E9-379150)+0.1*E9+8170.2+0.0145*(D9-106800))</f>
        <v>187.9131802259717</v>
      </c>
      <c r="G9" s="5">
        <f t="shared" ref="G9:G56" si="3">D9-F9</f>
        <v>2268.4682606364036</v>
      </c>
      <c r="H9" s="22">
        <f>0.1*Grade12!H9</f>
        <v>1157.689670031858</v>
      </c>
      <c r="I9" s="5">
        <f t="shared" ref="I9:I36" si="4">G9+IF(A9&lt;startage,1,0)*(H9*(1-initialunempprob))+IF(A9&gt;=startage,1,0)*(H9*(1-unempprob))</f>
        <v>3374.0618955168279</v>
      </c>
      <c r="J9" s="26">
        <f t="shared" ref="J9:J56" si="5">(F9-(IF(A9&gt;startage,1,0)*(unempprob*300*52)))/(IF(A9&lt;startage,1,0)*((C9+H9)*(1-initialunempprob))+IF(A9&gt;=startage,1,0)*((C9+H9)*(1-unempprob)))</f>
        <v>5.2755332710121519E-2</v>
      </c>
      <c r="L9" s="22">
        <f>0.1*Grade12!L9</f>
        <v>4672.9027258921733</v>
      </c>
      <c r="M9" s="5">
        <f>scrimecost*Meta!O6</f>
        <v>3352.0319999999997</v>
      </c>
      <c r="N9" s="5">
        <f>L9-Grade12!L9</f>
        <v>-42056.124533029564</v>
      </c>
      <c r="O9" s="5"/>
      <c r="P9" s="22"/>
      <c r="Q9" s="22">
        <f>0.05*feel*Grade12!G9</f>
        <v>270.81220605891338</v>
      </c>
      <c r="R9" s="22">
        <f>coltuition</f>
        <v>8279</v>
      </c>
      <c r="S9" s="22">
        <f t="shared" ref="S9:S40" si="6">IF(A9&lt;startage,1,0)*(N9-Q9-R9)+IF(A9&gt;=startage,1,0)*completionprob*(N9*spart+O9+P9)</f>
        <v>-50605.93673908848</v>
      </c>
      <c r="T9" s="22">
        <f t="shared" ref="T9:T40" si="7">S9/sreturn^(A9-startage+1)</f>
        <v>-50605.93673908848</v>
      </c>
    </row>
    <row r="10" spans="1:20" x14ac:dyDescent="0.2">
      <c r="A10" s="5">
        <v>19</v>
      </c>
      <c r="B10" s="1">
        <f t="shared" ref="B10:B36" si="8">(1+experiencepremium)^(A10-startage)</f>
        <v>1</v>
      </c>
      <c r="C10" s="5">
        <f t="shared" ref="C10:C36" si="9">pretaxincome*B10/expnorm</f>
        <v>27142.926876623435</v>
      </c>
      <c r="D10" s="5">
        <f t="shared" si="0"/>
        <v>25948.638094052003</v>
      </c>
      <c r="E10" s="5">
        <f t="shared" si="1"/>
        <v>16448.638094052003</v>
      </c>
      <c r="F10" s="5">
        <f t="shared" si="2"/>
        <v>5672.2303377079788</v>
      </c>
      <c r="G10" s="5">
        <f t="shared" si="3"/>
        <v>20276.407756344022</v>
      </c>
      <c r="H10" s="22">
        <f t="shared" ref="H10:H36" si="10">benefits*B10/expnorm</f>
        <v>12151.564924955002</v>
      </c>
      <c r="I10" s="5">
        <f t="shared" si="4"/>
        <v>31893.303824601004</v>
      </c>
      <c r="J10" s="26">
        <f t="shared" si="5"/>
        <v>0.15099559913616659</v>
      </c>
      <c r="L10" s="22">
        <f t="shared" ref="L10:L36" si="11">(sincome+sbenefits)*(1-sunemp)*B10/expnorm</f>
        <v>48404.321556332725</v>
      </c>
      <c r="M10" s="5">
        <f>scrimecost*Meta!O7</f>
        <v>3582.8910000000001</v>
      </c>
      <c r="N10" s="5">
        <f>L10-Grade12!L10</f>
        <v>507.06861593794747</v>
      </c>
      <c r="O10" s="5">
        <f>Grade12!M10-M10</f>
        <v>28.184000000000196</v>
      </c>
      <c r="P10" s="22">
        <f t="shared" ref="P10:P56" si="12">(spart-initialspart)*(L10*J10+nptrans)</f>
        <v>55.451358136712543</v>
      </c>
      <c r="Q10" s="22"/>
      <c r="R10" s="22"/>
      <c r="S10" s="22">
        <f t="shared" si="6"/>
        <v>383.30453337148657</v>
      </c>
      <c r="T10" s="22">
        <f t="shared" si="7"/>
        <v>389.40516835273667</v>
      </c>
    </row>
    <row r="11" spans="1:20" x14ac:dyDescent="0.2">
      <c r="A11" s="5">
        <v>20</v>
      </c>
      <c r="B11" s="1">
        <f t="shared" si="8"/>
        <v>1.0249999999999999</v>
      </c>
      <c r="C11" s="5">
        <f t="shared" si="9"/>
        <v>27821.500048539023</v>
      </c>
      <c r="D11" s="5">
        <f t="shared" si="0"/>
        <v>27283.754046403305</v>
      </c>
      <c r="E11" s="5">
        <f t="shared" si="1"/>
        <v>17783.754046403305</v>
      </c>
      <c r="F11" s="5">
        <f t="shared" si="2"/>
        <v>6108.1456961506792</v>
      </c>
      <c r="G11" s="5">
        <f t="shared" si="3"/>
        <v>21175.608350252623</v>
      </c>
      <c r="H11" s="22">
        <f t="shared" si="10"/>
        <v>12455.354048078876</v>
      </c>
      <c r="I11" s="5">
        <f t="shared" si="4"/>
        <v>33082.926820216031</v>
      </c>
      <c r="J11" s="26">
        <f t="shared" si="5"/>
        <v>0.14080747456938181</v>
      </c>
      <c r="L11" s="22">
        <f t="shared" si="11"/>
        <v>49614.429595241032</v>
      </c>
      <c r="M11" s="5">
        <f>scrimecost*Meta!O8</f>
        <v>3431.3580000000002</v>
      </c>
      <c r="N11" s="5">
        <f>L11-Grade12!L11</f>
        <v>519.74533133638761</v>
      </c>
      <c r="O11" s="5">
        <f>Grade12!M11-M11</f>
        <v>26.991999999999734</v>
      </c>
      <c r="P11" s="22">
        <f t="shared" si="12"/>
        <v>54.160330134025187</v>
      </c>
      <c r="Q11" s="22"/>
      <c r="R11" s="22"/>
      <c r="S11" s="22">
        <f t="shared" si="6"/>
        <v>389.17313019741067</v>
      </c>
      <c r="T11" s="22">
        <f t="shared" si="7"/>
        <v>401.65979178819202</v>
      </c>
    </row>
    <row r="12" spans="1:20" x14ac:dyDescent="0.2">
      <c r="A12" s="5">
        <v>21</v>
      </c>
      <c r="B12" s="1">
        <f t="shared" si="8"/>
        <v>1.0506249999999999</v>
      </c>
      <c r="C12" s="5">
        <f t="shared" si="9"/>
        <v>28517.037549752498</v>
      </c>
      <c r="D12" s="5">
        <f t="shared" si="0"/>
        <v>27948.687897563388</v>
      </c>
      <c r="E12" s="5">
        <f t="shared" si="1"/>
        <v>18448.687897563388</v>
      </c>
      <c r="F12" s="5">
        <f t="shared" si="2"/>
        <v>6325.2465985544459</v>
      </c>
      <c r="G12" s="5">
        <f t="shared" si="3"/>
        <v>21623.44129900894</v>
      </c>
      <c r="H12" s="22">
        <f t="shared" si="10"/>
        <v>12766.737899280848</v>
      </c>
      <c r="I12" s="5">
        <f t="shared" si="4"/>
        <v>33828.442730721428</v>
      </c>
      <c r="J12" s="26">
        <f t="shared" si="5"/>
        <v>0.14287392659550316</v>
      </c>
      <c r="L12" s="22">
        <f t="shared" si="11"/>
        <v>50854.790335122067</v>
      </c>
      <c r="M12" s="5">
        <f>scrimecost*Meta!O9</f>
        <v>3116.0880000000002</v>
      </c>
      <c r="N12" s="5">
        <f>L12-Grade12!L12</f>
        <v>532.73896461979894</v>
      </c>
      <c r="O12" s="5">
        <f>Grade12!M12-M12</f>
        <v>24.511999999999716</v>
      </c>
      <c r="P12" s="22">
        <f t="shared" si="12"/>
        <v>55.279294325479782</v>
      </c>
      <c r="Q12" s="22"/>
      <c r="R12" s="22"/>
      <c r="S12" s="22">
        <f t="shared" si="6"/>
        <v>396.14990507408737</v>
      </c>
      <c r="T12" s="22">
        <f t="shared" si="7"/>
        <v>415.3677969982873</v>
      </c>
    </row>
    <row r="13" spans="1:20" x14ac:dyDescent="0.2">
      <c r="A13" s="5">
        <v>22</v>
      </c>
      <c r="B13" s="1">
        <f t="shared" si="8"/>
        <v>1.0768906249999999</v>
      </c>
      <c r="C13" s="5">
        <f t="shared" si="9"/>
        <v>29229.963488496305</v>
      </c>
      <c r="D13" s="5">
        <f t="shared" si="0"/>
        <v>28630.245095002469</v>
      </c>
      <c r="E13" s="5">
        <f t="shared" si="1"/>
        <v>19130.245095002469</v>
      </c>
      <c r="F13" s="5">
        <f t="shared" si="2"/>
        <v>6547.7750235183066</v>
      </c>
      <c r="G13" s="5">
        <f t="shared" si="3"/>
        <v>22082.47007148416</v>
      </c>
      <c r="H13" s="22">
        <f t="shared" si="10"/>
        <v>13085.906346762869</v>
      </c>
      <c r="I13" s="5">
        <f t="shared" si="4"/>
        <v>34592.596538989463</v>
      </c>
      <c r="J13" s="26">
        <f t="shared" si="5"/>
        <v>0.14488997735269474</v>
      </c>
      <c r="L13" s="22">
        <f t="shared" si="11"/>
        <v>52126.160093500112</v>
      </c>
      <c r="M13" s="5">
        <f>scrimecost*Meta!O10</f>
        <v>2855.7359999999999</v>
      </c>
      <c r="N13" s="5">
        <f>L13-Grade12!L13</f>
        <v>546.05743873530446</v>
      </c>
      <c r="O13" s="5">
        <f>Grade12!M13-M13</f>
        <v>22.463999999999942</v>
      </c>
      <c r="P13" s="22">
        <f t="shared" si="12"/>
        <v>56.426232621720736</v>
      </c>
      <c r="Q13" s="22"/>
      <c r="R13" s="22"/>
      <c r="S13" s="22">
        <f t="shared" si="6"/>
        <v>403.70222732268667</v>
      </c>
      <c r="T13" s="22">
        <f t="shared" si="7"/>
        <v>430.02347869499425</v>
      </c>
    </row>
    <row r="14" spans="1:20" x14ac:dyDescent="0.2">
      <c r="A14" s="5">
        <v>23</v>
      </c>
      <c r="B14" s="1">
        <f t="shared" si="8"/>
        <v>1.1038128906249998</v>
      </c>
      <c r="C14" s="5">
        <f t="shared" si="9"/>
        <v>29960.712575708712</v>
      </c>
      <c r="D14" s="5">
        <f t="shared" si="0"/>
        <v>29328.84122237753</v>
      </c>
      <c r="E14" s="5">
        <f t="shared" si="1"/>
        <v>19828.84122237753</v>
      </c>
      <c r="F14" s="5">
        <f t="shared" si="2"/>
        <v>6775.8666591062638</v>
      </c>
      <c r="G14" s="5">
        <f t="shared" si="3"/>
        <v>22552.974563271266</v>
      </c>
      <c r="H14" s="22">
        <f t="shared" si="10"/>
        <v>13413.054005431939</v>
      </c>
      <c r="I14" s="5">
        <f t="shared" si="4"/>
        <v>35375.854192464198</v>
      </c>
      <c r="J14" s="26">
        <f t="shared" si="5"/>
        <v>0.14685685614019869</v>
      </c>
      <c r="L14" s="22">
        <f t="shared" si="11"/>
        <v>53429.314095837617</v>
      </c>
      <c r="M14" s="5">
        <f>scrimecost*Meta!O11</f>
        <v>2668.6080000000002</v>
      </c>
      <c r="N14" s="5">
        <f>L14-Grade12!L14</f>
        <v>559.70887470369053</v>
      </c>
      <c r="O14" s="5">
        <f>Grade12!M14-M14</f>
        <v>20.991999999999734</v>
      </c>
      <c r="P14" s="22">
        <f t="shared" si="12"/>
        <v>57.601844375367712</v>
      </c>
      <c r="Q14" s="22"/>
      <c r="R14" s="22"/>
      <c r="S14" s="22">
        <f t="shared" si="6"/>
        <v>411.95264402749626</v>
      </c>
      <c r="T14" s="22">
        <f t="shared" si="7"/>
        <v>445.79590299764811</v>
      </c>
    </row>
    <row r="15" spans="1:20" x14ac:dyDescent="0.2">
      <c r="A15" s="5">
        <v>24</v>
      </c>
      <c r="B15" s="1">
        <f t="shared" si="8"/>
        <v>1.1314082128906247</v>
      </c>
      <c r="C15" s="5">
        <f t="shared" si="9"/>
        <v>30709.730390101427</v>
      </c>
      <c r="D15" s="5">
        <f t="shared" si="0"/>
        <v>30044.902252936965</v>
      </c>
      <c r="E15" s="5">
        <f t="shared" si="1"/>
        <v>20544.902252936965</v>
      </c>
      <c r="F15" s="5">
        <f t="shared" si="2"/>
        <v>7009.6605855839198</v>
      </c>
      <c r="G15" s="5">
        <f t="shared" si="3"/>
        <v>23035.241667353046</v>
      </c>
      <c r="H15" s="22">
        <f t="shared" si="10"/>
        <v>13748.380355567735</v>
      </c>
      <c r="I15" s="5">
        <f t="shared" si="4"/>
        <v>36178.693287275804</v>
      </c>
      <c r="J15" s="26">
        <f t="shared" si="5"/>
        <v>0.14877576227434891</v>
      </c>
      <c r="L15" s="22">
        <f t="shared" si="11"/>
        <v>54765.046948233547</v>
      </c>
      <c r="M15" s="5">
        <f>scrimecost*Meta!O12</f>
        <v>2549.6190000000001</v>
      </c>
      <c r="N15" s="5">
        <f>L15-Grade12!L15</f>
        <v>573.70159657127806</v>
      </c>
      <c r="O15" s="5">
        <f>Grade12!M15-M15</f>
        <v>20.05600000000004</v>
      </c>
      <c r="P15" s="22">
        <f t="shared" si="12"/>
        <v>58.806846422855855</v>
      </c>
      <c r="Q15" s="22"/>
      <c r="R15" s="22"/>
      <c r="S15" s="22">
        <f t="shared" si="6"/>
        <v>420.87443474992136</v>
      </c>
      <c r="T15" s="22">
        <f t="shared" si="7"/>
        <v>462.69955306824676</v>
      </c>
    </row>
    <row r="16" spans="1:20" x14ac:dyDescent="0.2">
      <c r="A16" s="5">
        <v>25</v>
      </c>
      <c r="B16" s="1">
        <f t="shared" si="8"/>
        <v>1.1596934182128902</v>
      </c>
      <c r="C16" s="5">
        <f t="shared" si="9"/>
        <v>31477.473649853961</v>
      </c>
      <c r="D16" s="5">
        <f t="shared" si="0"/>
        <v>30778.864809260387</v>
      </c>
      <c r="E16" s="5">
        <f t="shared" si="1"/>
        <v>21278.864809260387</v>
      </c>
      <c r="F16" s="5">
        <f t="shared" si="2"/>
        <v>7249.2993602235174</v>
      </c>
      <c r="G16" s="5">
        <f t="shared" si="3"/>
        <v>23529.565449036869</v>
      </c>
      <c r="H16" s="22">
        <f t="shared" si="10"/>
        <v>14092.08986445693</v>
      </c>
      <c r="I16" s="5">
        <f t="shared" si="4"/>
        <v>37001.603359457695</v>
      </c>
      <c r="J16" s="26">
        <f t="shared" si="5"/>
        <v>0.15064786581986131</v>
      </c>
      <c r="L16" s="22">
        <f t="shared" si="11"/>
        <v>56134.173121939384</v>
      </c>
      <c r="M16" s="5">
        <f>scrimecost*Meta!O13</f>
        <v>2140.7849999999999</v>
      </c>
      <c r="N16" s="5">
        <f>L16-Grade12!L16</f>
        <v>588.04413648555055</v>
      </c>
      <c r="O16" s="5">
        <f>Grade12!M16-M16</f>
        <v>16.840000000000146</v>
      </c>
      <c r="P16" s="22">
        <f t="shared" si="12"/>
        <v>60.041973521531212</v>
      </c>
      <c r="Q16" s="22"/>
      <c r="R16" s="22"/>
      <c r="S16" s="22">
        <f t="shared" si="6"/>
        <v>428.18691104040403</v>
      </c>
      <c r="T16" s="22">
        <f t="shared" si="7"/>
        <v>478.23094758887106</v>
      </c>
    </row>
    <row r="17" spans="1:20" x14ac:dyDescent="0.2">
      <c r="A17" s="5">
        <v>26</v>
      </c>
      <c r="B17" s="1">
        <f t="shared" si="8"/>
        <v>1.1886857536682125</v>
      </c>
      <c r="C17" s="5">
        <f t="shared" si="9"/>
        <v>32264.410491100309</v>
      </c>
      <c r="D17" s="5">
        <f t="shared" si="0"/>
        <v>31531.176429491894</v>
      </c>
      <c r="E17" s="5">
        <f t="shared" si="1"/>
        <v>22031.176429491894</v>
      </c>
      <c r="F17" s="5">
        <f t="shared" si="2"/>
        <v>7494.9291042291024</v>
      </c>
      <c r="G17" s="5">
        <f t="shared" si="3"/>
        <v>24036.24732526279</v>
      </c>
      <c r="H17" s="22">
        <f t="shared" si="10"/>
        <v>14444.392111068353</v>
      </c>
      <c r="I17" s="5">
        <f t="shared" si="4"/>
        <v>37845.086183444131</v>
      </c>
      <c r="J17" s="26">
        <f t="shared" si="5"/>
        <v>0.15247430830328798</v>
      </c>
      <c r="L17" s="22">
        <f t="shared" si="11"/>
        <v>57537.527449987872</v>
      </c>
      <c r="M17" s="5">
        <f>scrimecost*Meta!O14</f>
        <v>2140.7849999999999</v>
      </c>
      <c r="N17" s="5">
        <f>L17-Grade12!L17</f>
        <v>602.74523989769659</v>
      </c>
      <c r="O17" s="5">
        <f>Grade12!M17-M17</f>
        <v>16.840000000000146</v>
      </c>
      <c r="P17" s="22">
        <f t="shared" si="12"/>
        <v>61.307978797673442</v>
      </c>
      <c r="Q17" s="22"/>
      <c r="R17" s="22"/>
      <c r="S17" s="22">
        <f t="shared" si="6"/>
        <v>438.35887603815911</v>
      </c>
      <c r="T17" s="22">
        <f t="shared" si="7"/>
        <v>497.3840449583098</v>
      </c>
    </row>
    <row r="18" spans="1:20" x14ac:dyDescent="0.2">
      <c r="A18" s="5">
        <v>27</v>
      </c>
      <c r="B18" s="1">
        <f t="shared" si="8"/>
        <v>1.2184028975099177</v>
      </c>
      <c r="C18" s="5">
        <f t="shared" si="9"/>
        <v>33071.020753377816</v>
      </c>
      <c r="D18" s="5">
        <f t="shared" si="0"/>
        <v>32302.295840229192</v>
      </c>
      <c r="E18" s="5">
        <f t="shared" si="1"/>
        <v>22802.295840229192</v>
      </c>
      <c r="F18" s="5">
        <f t="shared" si="2"/>
        <v>7746.6995918348312</v>
      </c>
      <c r="G18" s="5">
        <f t="shared" si="3"/>
        <v>24555.596248394359</v>
      </c>
      <c r="H18" s="22">
        <f t="shared" si="10"/>
        <v>14805.501913845061</v>
      </c>
      <c r="I18" s="5">
        <f t="shared" si="4"/>
        <v>38709.656078030239</v>
      </c>
      <c r="J18" s="26">
        <f t="shared" si="5"/>
        <v>0.1542562034090702</v>
      </c>
      <c r="L18" s="22">
        <f t="shared" si="11"/>
        <v>58975.965636237561</v>
      </c>
      <c r="M18" s="5">
        <f>scrimecost*Meta!O15</f>
        <v>2140.7849999999999</v>
      </c>
      <c r="N18" s="5">
        <f>L18-Grade12!L18</f>
        <v>617.81387089514465</v>
      </c>
      <c r="O18" s="5">
        <f>Grade12!M18-M18</f>
        <v>16.840000000000146</v>
      </c>
      <c r="P18" s="22">
        <f t="shared" si="12"/>
        <v>62.605634205719234</v>
      </c>
      <c r="Q18" s="22"/>
      <c r="R18" s="22"/>
      <c r="S18" s="22">
        <f t="shared" si="6"/>
        <v>448.785140160857</v>
      </c>
      <c r="T18" s="22">
        <f t="shared" si="7"/>
        <v>517.3188092727072</v>
      </c>
    </row>
    <row r="19" spans="1:20" x14ac:dyDescent="0.2">
      <c r="A19" s="5">
        <v>28</v>
      </c>
      <c r="B19" s="1">
        <f t="shared" si="8"/>
        <v>1.2488629699476654</v>
      </c>
      <c r="C19" s="5">
        <f t="shared" si="9"/>
        <v>33897.796272212254</v>
      </c>
      <c r="D19" s="5">
        <f t="shared" si="0"/>
        <v>33092.693236234911</v>
      </c>
      <c r="E19" s="5">
        <f t="shared" si="1"/>
        <v>23592.693236234911</v>
      </c>
      <c r="F19" s="5">
        <f t="shared" si="2"/>
        <v>8004.7643416306983</v>
      </c>
      <c r="G19" s="5">
        <f t="shared" si="3"/>
        <v>25087.928894604214</v>
      </c>
      <c r="H19" s="22">
        <f t="shared" si="10"/>
        <v>15175.639461691184</v>
      </c>
      <c r="I19" s="5">
        <f t="shared" si="4"/>
        <v>39595.840219980986</v>
      </c>
      <c r="J19" s="26">
        <f t="shared" si="5"/>
        <v>0.15599463765861374</v>
      </c>
      <c r="L19" s="22">
        <f t="shared" si="11"/>
        <v>60450.364777143492</v>
      </c>
      <c r="M19" s="5">
        <f>scrimecost*Meta!O16</f>
        <v>2140.7849999999999</v>
      </c>
      <c r="N19" s="5">
        <f>L19-Grade12!L19</f>
        <v>633.2592176675098</v>
      </c>
      <c r="O19" s="5">
        <f>Grade12!M19-M19</f>
        <v>16.840000000000146</v>
      </c>
      <c r="P19" s="22">
        <f t="shared" si="12"/>
        <v>63.935730998966157</v>
      </c>
      <c r="Q19" s="22"/>
      <c r="R19" s="22"/>
      <c r="S19" s="22">
        <f t="shared" si="6"/>
        <v>459.47206088661039</v>
      </c>
      <c r="T19" s="22">
        <f t="shared" si="7"/>
        <v>538.06738104507747</v>
      </c>
    </row>
    <row r="20" spans="1:20" x14ac:dyDescent="0.2">
      <c r="A20" s="5">
        <v>29</v>
      </c>
      <c r="B20" s="1">
        <f t="shared" si="8"/>
        <v>1.2800845441963571</v>
      </c>
      <c r="C20" s="5">
        <f t="shared" si="9"/>
        <v>34745.241179017561</v>
      </c>
      <c r="D20" s="5">
        <f t="shared" si="0"/>
        <v>33902.850567140791</v>
      </c>
      <c r="E20" s="5">
        <f t="shared" si="1"/>
        <v>24402.850567140791</v>
      </c>
      <c r="F20" s="5">
        <f t="shared" si="2"/>
        <v>8269.2807101714679</v>
      </c>
      <c r="G20" s="5">
        <f t="shared" si="3"/>
        <v>25633.569856969323</v>
      </c>
      <c r="H20" s="22">
        <f t="shared" si="10"/>
        <v>15555.030448233463</v>
      </c>
      <c r="I20" s="5">
        <f t="shared" si="4"/>
        <v>40504.178965480511</v>
      </c>
      <c r="J20" s="26">
        <f t="shared" si="5"/>
        <v>0.15769067107280266</v>
      </c>
      <c r="L20" s="22">
        <f t="shared" si="11"/>
        <v>61961.623896572077</v>
      </c>
      <c r="M20" s="5">
        <f>scrimecost*Meta!O17</f>
        <v>2140.7849999999999</v>
      </c>
      <c r="N20" s="5">
        <f>L20-Grade12!L20</f>
        <v>649.09069810920482</v>
      </c>
      <c r="O20" s="5">
        <f>Grade12!M20-M20</f>
        <v>16.840000000000146</v>
      </c>
      <c r="P20" s="22">
        <f t="shared" si="12"/>
        <v>65.299080212044288</v>
      </c>
      <c r="Q20" s="22"/>
      <c r="R20" s="22"/>
      <c r="S20" s="22">
        <f t="shared" si="6"/>
        <v>470.42615463052061</v>
      </c>
      <c r="T20" s="22">
        <f t="shared" si="7"/>
        <v>559.66322619804441</v>
      </c>
    </row>
    <row r="21" spans="1:20" x14ac:dyDescent="0.2">
      <c r="A21" s="5">
        <v>30</v>
      </c>
      <c r="B21" s="1">
        <f t="shared" si="8"/>
        <v>1.312086657801266</v>
      </c>
      <c r="C21" s="5">
        <f t="shared" si="9"/>
        <v>35613.872208492998</v>
      </c>
      <c r="D21" s="5">
        <f t="shared" si="0"/>
        <v>34733.261831319309</v>
      </c>
      <c r="E21" s="5">
        <f t="shared" si="1"/>
        <v>25233.261831319309</v>
      </c>
      <c r="F21" s="5">
        <f t="shared" si="2"/>
        <v>8540.4099879257537</v>
      </c>
      <c r="G21" s="5">
        <f t="shared" si="3"/>
        <v>26192.851843393553</v>
      </c>
      <c r="H21" s="22">
        <f t="shared" si="10"/>
        <v>15943.906209439299</v>
      </c>
      <c r="I21" s="5">
        <f t="shared" si="4"/>
        <v>41435.226179617523</v>
      </c>
      <c r="J21" s="26">
        <f t="shared" si="5"/>
        <v>0.15934533781835275</v>
      </c>
      <c r="L21" s="22">
        <f t="shared" si="11"/>
        <v>63510.664493986376</v>
      </c>
      <c r="M21" s="5">
        <f>scrimecost*Meta!O18</f>
        <v>1725.8490000000002</v>
      </c>
      <c r="N21" s="5">
        <f>L21-Grade12!L21</f>
        <v>665.31796556193149</v>
      </c>
      <c r="O21" s="5">
        <f>Grade12!M21-M21</f>
        <v>13.575999999999794</v>
      </c>
      <c r="P21" s="22">
        <f t="shared" si="12"/>
        <v>66.696513155449338</v>
      </c>
      <c r="Q21" s="22"/>
      <c r="R21" s="22"/>
      <c r="S21" s="22">
        <f t="shared" si="6"/>
        <v>479.00373271802164</v>
      </c>
      <c r="T21" s="22">
        <f t="shared" si="7"/>
        <v>578.93787873521262</v>
      </c>
    </row>
    <row r="22" spans="1:20" x14ac:dyDescent="0.2">
      <c r="A22" s="5">
        <v>31</v>
      </c>
      <c r="B22" s="1">
        <f t="shared" si="8"/>
        <v>1.3448888242462975</v>
      </c>
      <c r="C22" s="5">
        <f t="shared" si="9"/>
        <v>36504.219013705319</v>
      </c>
      <c r="D22" s="5">
        <f t="shared" si="0"/>
        <v>35584.433377102287</v>
      </c>
      <c r="E22" s="5">
        <f t="shared" si="1"/>
        <v>26084.433377102287</v>
      </c>
      <c r="F22" s="5">
        <f t="shared" si="2"/>
        <v>8818.317497623897</v>
      </c>
      <c r="G22" s="5">
        <f t="shared" si="3"/>
        <v>26766.115879478391</v>
      </c>
      <c r="H22" s="22">
        <f t="shared" si="10"/>
        <v>16342.50386467528</v>
      </c>
      <c r="I22" s="5">
        <f t="shared" si="4"/>
        <v>42389.549574107958</v>
      </c>
      <c r="J22" s="26">
        <f t="shared" si="5"/>
        <v>0.16095964683840167</v>
      </c>
      <c r="L22" s="22">
        <f t="shared" si="11"/>
        <v>65098.431106336036</v>
      </c>
      <c r="M22" s="5">
        <f>scrimecost*Meta!O19</f>
        <v>1725.8490000000002</v>
      </c>
      <c r="N22" s="5">
        <f>L22-Grade12!L22</f>
        <v>681.95091470098851</v>
      </c>
      <c r="O22" s="5">
        <f>Grade12!M22-M22</f>
        <v>13.575999999999794</v>
      </c>
      <c r="P22" s="22">
        <f t="shared" si="12"/>
        <v>68.128881922439547</v>
      </c>
      <c r="Q22" s="22"/>
      <c r="R22" s="22"/>
      <c r="S22" s="22">
        <f t="shared" si="6"/>
        <v>490.512377457718</v>
      </c>
      <c r="T22" s="22">
        <f t="shared" si="7"/>
        <v>602.28326232948791</v>
      </c>
    </row>
    <row r="23" spans="1:20" x14ac:dyDescent="0.2">
      <c r="A23" s="5">
        <v>32</v>
      </c>
      <c r="B23" s="1">
        <f t="shared" si="8"/>
        <v>1.3785110448524549</v>
      </c>
      <c r="C23" s="5">
        <f t="shared" si="9"/>
        <v>37416.824489047947</v>
      </c>
      <c r="D23" s="5">
        <f t="shared" si="0"/>
        <v>36456.884211529839</v>
      </c>
      <c r="E23" s="5">
        <f t="shared" si="1"/>
        <v>26956.884211529839</v>
      </c>
      <c r="F23" s="5">
        <f t="shared" si="2"/>
        <v>9103.1726950644916</v>
      </c>
      <c r="G23" s="5">
        <f t="shared" si="3"/>
        <v>27353.711516465348</v>
      </c>
      <c r="H23" s="22">
        <f t="shared" si="10"/>
        <v>16751.066461292165</v>
      </c>
      <c r="I23" s="5">
        <f t="shared" si="4"/>
        <v>43367.731053460659</v>
      </c>
      <c r="J23" s="26">
        <f t="shared" si="5"/>
        <v>0.16253458246771763</v>
      </c>
      <c r="L23" s="22">
        <f t="shared" si="11"/>
        <v>66725.891883994438</v>
      </c>
      <c r="M23" s="5">
        <f>scrimecost*Meta!O20</f>
        <v>1725.8490000000002</v>
      </c>
      <c r="N23" s="5">
        <f>L23-Grade12!L23</f>
        <v>698.9996875685174</v>
      </c>
      <c r="O23" s="5">
        <f>Grade12!M23-M23</f>
        <v>13.575999999999794</v>
      </c>
      <c r="P23" s="22">
        <f t="shared" si="12"/>
        <v>69.597059908604493</v>
      </c>
      <c r="Q23" s="22"/>
      <c r="R23" s="22"/>
      <c r="S23" s="22">
        <f t="shared" si="6"/>
        <v>502.30873831590395</v>
      </c>
      <c r="T23" s="22">
        <f t="shared" si="7"/>
        <v>626.58401666279724</v>
      </c>
    </row>
    <row r="24" spans="1:20" x14ac:dyDescent="0.2">
      <c r="A24" s="5">
        <v>33</v>
      </c>
      <c r="B24" s="1">
        <f t="shared" si="8"/>
        <v>1.4129738209737661</v>
      </c>
      <c r="C24" s="5">
        <f t="shared" si="9"/>
        <v>38352.245101274144</v>
      </c>
      <c r="D24" s="5">
        <f t="shared" si="0"/>
        <v>37351.146316818078</v>
      </c>
      <c r="E24" s="5">
        <f t="shared" si="1"/>
        <v>27851.146316818078</v>
      </c>
      <c r="F24" s="5">
        <f t="shared" si="2"/>
        <v>9395.1492724411019</v>
      </c>
      <c r="G24" s="5">
        <f t="shared" si="3"/>
        <v>27955.997044376978</v>
      </c>
      <c r="H24" s="22">
        <f t="shared" si="10"/>
        <v>17169.843122824466</v>
      </c>
      <c r="I24" s="5">
        <f t="shared" si="4"/>
        <v>44370.367069797168</v>
      </c>
      <c r="J24" s="26">
        <f t="shared" si="5"/>
        <v>0.16407110503290392</v>
      </c>
      <c r="L24" s="22">
        <f t="shared" si="11"/>
        <v>68394.039181094282</v>
      </c>
      <c r="M24" s="5">
        <f>scrimecost*Meta!O21</f>
        <v>1725.8490000000002</v>
      </c>
      <c r="N24" s="5">
        <f>L24-Grade12!L24</f>
        <v>716.47467975769541</v>
      </c>
      <c r="O24" s="5">
        <f>Grade12!M24-M24</f>
        <v>13.575999999999794</v>
      </c>
      <c r="P24" s="22">
        <f t="shared" si="12"/>
        <v>71.101942344423534</v>
      </c>
      <c r="Q24" s="22"/>
      <c r="R24" s="22"/>
      <c r="S24" s="22">
        <f t="shared" si="6"/>
        <v>514.40000819552017</v>
      </c>
      <c r="T24" s="22">
        <f t="shared" si="7"/>
        <v>651.87946664108983</v>
      </c>
    </row>
    <row r="25" spans="1:20" x14ac:dyDescent="0.2">
      <c r="A25" s="5">
        <v>34</v>
      </c>
      <c r="B25" s="1">
        <f t="shared" si="8"/>
        <v>1.4482981664981105</v>
      </c>
      <c r="C25" s="5">
        <f t="shared" si="9"/>
        <v>39311.051228806005</v>
      </c>
      <c r="D25" s="5">
        <f t="shared" si="0"/>
        <v>38267.764974738544</v>
      </c>
      <c r="E25" s="5">
        <f t="shared" si="1"/>
        <v>28767.764974738544</v>
      </c>
      <c r="F25" s="5">
        <f t="shared" si="2"/>
        <v>9694.4252642521351</v>
      </c>
      <c r="G25" s="5">
        <f t="shared" si="3"/>
        <v>28573.339710486409</v>
      </c>
      <c r="H25" s="22">
        <f t="shared" si="10"/>
        <v>17599.08920089508</v>
      </c>
      <c r="I25" s="5">
        <f t="shared" si="4"/>
        <v>45398.068986542101</v>
      </c>
      <c r="J25" s="26">
        <f t="shared" si="5"/>
        <v>0.16557015143796383</v>
      </c>
      <c r="L25" s="22">
        <f t="shared" si="11"/>
        <v>70103.890160621653</v>
      </c>
      <c r="M25" s="5">
        <f>scrimecost*Meta!O22</f>
        <v>1725.8490000000002</v>
      </c>
      <c r="N25" s="5">
        <f>L25-Grade12!L25</f>
        <v>734.3865467516589</v>
      </c>
      <c r="O25" s="5">
        <f>Grade12!M25-M25</f>
        <v>13.575999999999794</v>
      </c>
      <c r="P25" s="22">
        <f t="shared" si="12"/>
        <v>72.644446841138105</v>
      </c>
      <c r="Q25" s="22"/>
      <c r="R25" s="22"/>
      <c r="S25" s="22">
        <f t="shared" si="6"/>
        <v>526.7935598221618</v>
      </c>
      <c r="T25" s="22">
        <f t="shared" si="7"/>
        <v>678.21055952231848</v>
      </c>
    </row>
    <row r="26" spans="1:20" x14ac:dyDescent="0.2">
      <c r="A26" s="5">
        <v>35</v>
      </c>
      <c r="B26" s="1">
        <f t="shared" si="8"/>
        <v>1.4845056206605631</v>
      </c>
      <c r="C26" s="5">
        <f t="shared" si="9"/>
        <v>40293.827509526149</v>
      </c>
      <c r="D26" s="5">
        <f t="shared" si="0"/>
        <v>39207.299099106996</v>
      </c>
      <c r="E26" s="5">
        <f t="shared" si="1"/>
        <v>29707.299099106996</v>
      </c>
      <c r="F26" s="5">
        <f t="shared" si="2"/>
        <v>10001.183155858434</v>
      </c>
      <c r="G26" s="5">
        <f t="shared" si="3"/>
        <v>29206.115943248562</v>
      </c>
      <c r="H26" s="22">
        <f t="shared" si="10"/>
        <v>18039.066430917454</v>
      </c>
      <c r="I26" s="5">
        <f t="shared" si="4"/>
        <v>46451.463451205651</v>
      </c>
      <c r="J26" s="26">
        <f t="shared" si="5"/>
        <v>0.16703263573558316</v>
      </c>
      <c r="L26" s="22">
        <f t="shared" si="11"/>
        <v>71856.487414637188</v>
      </c>
      <c r="M26" s="5">
        <f>scrimecost*Meta!O23</f>
        <v>1339.3889999999999</v>
      </c>
      <c r="N26" s="5">
        <f>L26-Grade12!L26</f>
        <v>752.74621042046056</v>
      </c>
      <c r="O26" s="5">
        <f>Grade12!M26-M26</f>
        <v>10.536000000000058</v>
      </c>
      <c r="P26" s="22">
        <f t="shared" si="12"/>
        <v>74.225513950270511</v>
      </c>
      <c r="Q26" s="22"/>
      <c r="R26" s="22"/>
      <c r="S26" s="22">
        <f t="shared" si="6"/>
        <v>537.02847023946288</v>
      </c>
      <c r="T26" s="22">
        <f t="shared" si="7"/>
        <v>702.39135259838758</v>
      </c>
    </row>
    <row r="27" spans="1:20" x14ac:dyDescent="0.2">
      <c r="A27" s="5">
        <v>36</v>
      </c>
      <c r="B27" s="1">
        <f t="shared" si="8"/>
        <v>1.521618261177077</v>
      </c>
      <c r="C27" s="5">
        <f t="shared" si="9"/>
        <v>41301.173197264303</v>
      </c>
      <c r="D27" s="5">
        <f t="shared" si="0"/>
        <v>40170.321576584676</v>
      </c>
      <c r="E27" s="5">
        <f t="shared" si="1"/>
        <v>30670.321576584676</v>
      </c>
      <c r="F27" s="5">
        <f t="shared" si="2"/>
        <v>10315.609994754897</v>
      </c>
      <c r="G27" s="5">
        <f t="shared" si="3"/>
        <v>29854.711581829779</v>
      </c>
      <c r="H27" s="22">
        <f t="shared" si="10"/>
        <v>18490.043091690386</v>
      </c>
      <c r="I27" s="5">
        <f t="shared" si="4"/>
        <v>47531.19277748579</v>
      </c>
      <c r="J27" s="26">
        <f t="shared" si="5"/>
        <v>0.16845944968448012</v>
      </c>
      <c r="L27" s="22">
        <f t="shared" si="11"/>
        <v>73652.899600003104</v>
      </c>
      <c r="M27" s="5">
        <f>scrimecost*Meta!O24</f>
        <v>1339.3889999999999</v>
      </c>
      <c r="N27" s="5">
        <f>L27-Grade12!L27</f>
        <v>771.56486568094988</v>
      </c>
      <c r="O27" s="5">
        <f>Grade12!M27-M27</f>
        <v>10.536000000000058</v>
      </c>
      <c r="P27" s="22">
        <f t="shared" si="12"/>
        <v>75.84610773713122</v>
      </c>
      <c r="Q27" s="22"/>
      <c r="R27" s="22"/>
      <c r="S27" s="22">
        <f t="shared" si="6"/>
        <v>550.049445417176</v>
      </c>
      <c r="T27" s="22">
        <f t="shared" si="7"/>
        <v>730.87201444582365</v>
      </c>
    </row>
    <row r="28" spans="1:20" x14ac:dyDescent="0.2">
      <c r="A28" s="5">
        <v>37</v>
      </c>
      <c r="B28" s="1">
        <f t="shared" si="8"/>
        <v>1.559658717706504</v>
      </c>
      <c r="C28" s="5">
        <f t="shared" si="9"/>
        <v>42333.702527195914</v>
      </c>
      <c r="D28" s="5">
        <f t="shared" si="0"/>
        <v>41157.419615999293</v>
      </c>
      <c r="E28" s="5">
        <f t="shared" si="1"/>
        <v>31657.419615999293</v>
      </c>
      <c r="F28" s="5">
        <f t="shared" si="2"/>
        <v>10637.897504623768</v>
      </c>
      <c r="G28" s="5">
        <f t="shared" si="3"/>
        <v>30519.522111375525</v>
      </c>
      <c r="H28" s="22">
        <f t="shared" si="10"/>
        <v>18952.294168982651</v>
      </c>
      <c r="I28" s="5">
        <f t="shared" si="4"/>
        <v>48637.915336922939</v>
      </c>
      <c r="J28" s="26">
        <f t="shared" si="5"/>
        <v>0.16985146329316003</v>
      </c>
      <c r="L28" s="22">
        <f t="shared" si="11"/>
        <v>75494.222090003197</v>
      </c>
      <c r="M28" s="5">
        <f>scrimecost*Meta!O25</f>
        <v>1339.3889999999999</v>
      </c>
      <c r="N28" s="5">
        <f>L28-Grade12!L28</f>
        <v>790.85398732298927</v>
      </c>
      <c r="O28" s="5">
        <f>Grade12!M28-M28</f>
        <v>10.536000000000058</v>
      </c>
      <c r="P28" s="22">
        <f t="shared" si="12"/>
        <v>77.50721636866345</v>
      </c>
      <c r="Q28" s="22"/>
      <c r="R28" s="22"/>
      <c r="S28" s="22">
        <f t="shared" si="6"/>
        <v>563.39594497435553</v>
      </c>
      <c r="T28" s="22">
        <f t="shared" si="7"/>
        <v>760.52076106805828</v>
      </c>
    </row>
    <row r="29" spans="1:20" x14ac:dyDescent="0.2">
      <c r="A29" s="5">
        <v>38</v>
      </c>
      <c r="B29" s="1">
        <f t="shared" si="8"/>
        <v>1.5986501856491666</v>
      </c>
      <c r="C29" s="5">
        <f t="shared" si="9"/>
        <v>43392.04509037581</v>
      </c>
      <c r="D29" s="5">
        <f t="shared" si="0"/>
        <v>42169.195106399275</v>
      </c>
      <c r="E29" s="5">
        <f t="shared" si="1"/>
        <v>32669.195106399275</v>
      </c>
      <c r="F29" s="5">
        <f t="shared" si="2"/>
        <v>10968.242202239362</v>
      </c>
      <c r="G29" s="5">
        <f t="shared" si="3"/>
        <v>31200.952904159913</v>
      </c>
      <c r="H29" s="22">
        <f t="shared" si="10"/>
        <v>19426.101523207213</v>
      </c>
      <c r="I29" s="5">
        <f t="shared" si="4"/>
        <v>49772.305960346006</v>
      </c>
      <c r="J29" s="26">
        <f t="shared" si="5"/>
        <v>0.17120952535040873</v>
      </c>
      <c r="L29" s="22">
        <f t="shared" si="11"/>
        <v>77381.577642253265</v>
      </c>
      <c r="M29" s="5">
        <f>scrimecost*Meta!O26</f>
        <v>1339.3889999999999</v>
      </c>
      <c r="N29" s="5">
        <f>L29-Grade12!L29</f>
        <v>810.62533700605854</v>
      </c>
      <c r="O29" s="5">
        <f>Grade12!M29-M29</f>
        <v>10.536000000000058</v>
      </c>
      <c r="P29" s="22">
        <f t="shared" si="12"/>
        <v>79.209852715983999</v>
      </c>
      <c r="Q29" s="22"/>
      <c r="R29" s="22"/>
      <c r="S29" s="22">
        <f t="shared" si="6"/>
        <v>577.07610702045145</v>
      </c>
      <c r="T29" s="22">
        <f t="shared" si="7"/>
        <v>791.38571424730321</v>
      </c>
    </row>
    <row r="30" spans="1:20" x14ac:dyDescent="0.2">
      <c r="A30" s="5">
        <v>39</v>
      </c>
      <c r="B30" s="1">
        <f t="shared" si="8"/>
        <v>1.6386164402903955</v>
      </c>
      <c r="C30" s="5">
        <f t="shared" si="9"/>
        <v>44476.846217635197</v>
      </c>
      <c r="D30" s="5">
        <f t="shared" si="0"/>
        <v>43206.264984059249</v>
      </c>
      <c r="E30" s="5">
        <f t="shared" si="1"/>
        <v>33706.264984059249</v>
      </c>
      <c r="F30" s="5">
        <f t="shared" si="2"/>
        <v>11306.845517295345</v>
      </c>
      <c r="G30" s="5">
        <f t="shared" si="3"/>
        <v>31899.419466763902</v>
      </c>
      <c r="H30" s="22">
        <f t="shared" si="10"/>
        <v>19911.754061287393</v>
      </c>
      <c r="I30" s="5">
        <f t="shared" si="4"/>
        <v>50935.056349354651</v>
      </c>
      <c r="J30" s="26">
        <f t="shared" si="5"/>
        <v>0.17253446394284652</v>
      </c>
      <c r="L30" s="22">
        <f t="shared" si="11"/>
        <v>79316.117083309582</v>
      </c>
      <c r="M30" s="5">
        <f>scrimecost*Meta!O27</f>
        <v>1339.3889999999999</v>
      </c>
      <c r="N30" s="5">
        <f>L30-Grade12!L30</f>
        <v>830.89097043121001</v>
      </c>
      <c r="O30" s="5">
        <f>Grade12!M30-M30</f>
        <v>10.536000000000058</v>
      </c>
      <c r="P30" s="22">
        <f t="shared" si="12"/>
        <v>80.955054971987551</v>
      </c>
      <c r="Q30" s="22"/>
      <c r="R30" s="22"/>
      <c r="S30" s="22">
        <f t="shared" si="6"/>
        <v>591.09827311770323</v>
      </c>
      <c r="T30" s="22">
        <f t="shared" si="7"/>
        <v>823.51698169096539</v>
      </c>
    </row>
    <row r="31" spans="1:20" x14ac:dyDescent="0.2">
      <c r="A31" s="5">
        <v>40</v>
      </c>
      <c r="B31" s="1">
        <f t="shared" si="8"/>
        <v>1.6795818512976552</v>
      </c>
      <c r="C31" s="5">
        <f t="shared" si="9"/>
        <v>45588.767373076073</v>
      </c>
      <c r="D31" s="5">
        <f t="shared" si="0"/>
        <v>44269.261608660723</v>
      </c>
      <c r="E31" s="5">
        <f t="shared" si="1"/>
        <v>34769.261608660723</v>
      </c>
      <c r="F31" s="5">
        <f t="shared" si="2"/>
        <v>11680.840076093798</v>
      </c>
      <c r="G31" s="5">
        <f t="shared" si="3"/>
        <v>32588.421532566925</v>
      </c>
      <c r="H31" s="22">
        <f t="shared" si="10"/>
        <v>20409.547912819577</v>
      </c>
      <c r="I31" s="5">
        <f t="shared" si="4"/>
        <v>52099.949337222439</v>
      </c>
      <c r="J31" s="26">
        <f t="shared" si="5"/>
        <v>0.17425384694781426</v>
      </c>
      <c r="L31" s="22">
        <f t="shared" si="11"/>
        <v>81299.020010392313</v>
      </c>
      <c r="M31" s="5">
        <f>scrimecost*Meta!O28</f>
        <v>1171.5839999999998</v>
      </c>
      <c r="N31" s="5">
        <f>L31-Grade12!L31</f>
        <v>851.66324469198298</v>
      </c>
      <c r="O31" s="5">
        <f>Grade12!M31-M31</f>
        <v>9.2160000000001219</v>
      </c>
      <c r="P31" s="22">
        <f t="shared" si="12"/>
        <v>82.882667959592851</v>
      </c>
      <c r="Q31" s="22"/>
      <c r="R31" s="22"/>
      <c r="S31" s="22">
        <f t="shared" si="6"/>
        <v>604.51184327564545</v>
      </c>
      <c r="T31" s="22">
        <f t="shared" si="7"/>
        <v>855.60918478311032</v>
      </c>
    </row>
    <row r="32" spans="1:20" x14ac:dyDescent="0.2">
      <c r="A32" s="5">
        <v>41</v>
      </c>
      <c r="B32" s="1">
        <f t="shared" si="8"/>
        <v>1.7215713975800966</v>
      </c>
      <c r="C32" s="5">
        <f t="shared" si="9"/>
        <v>46728.486557402968</v>
      </c>
      <c r="D32" s="5">
        <f t="shared" si="0"/>
        <v>45358.833148877238</v>
      </c>
      <c r="E32" s="5">
        <f t="shared" si="1"/>
        <v>35858.833148877238</v>
      </c>
      <c r="F32" s="5">
        <f t="shared" si="2"/>
        <v>12145.542337996143</v>
      </c>
      <c r="G32" s="5">
        <f t="shared" si="3"/>
        <v>33213.290810881095</v>
      </c>
      <c r="H32" s="22">
        <f t="shared" si="10"/>
        <v>20919.786610640065</v>
      </c>
      <c r="I32" s="5">
        <f t="shared" si="4"/>
        <v>53212.606810653</v>
      </c>
      <c r="J32" s="26">
        <f t="shared" si="5"/>
        <v>0.17718930582281153</v>
      </c>
      <c r="L32" s="22">
        <f t="shared" si="11"/>
        <v>83331.495510652123</v>
      </c>
      <c r="M32" s="5">
        <f>scrimecost*Meta!O29</f>
        <v>1171.5839999999998</v>
      </c>
      <c r="N32" s="5">
        <f>L32-Grade12!L32</f>
        <v>872.95482580928365</v>
      </c>
      <c r="O32" s="5">
        <f>Grade12!M32-M32</f>
        <v>9.2160000000001219</v>
      </c>
      <c r="P32" s="22">
        <f t="shared" si="12"/>
        <v>85.277799370836817</v>
      </c>
      <c r="Q32" s="22"/>
      <c r="R32" s="22"/>
      <c r="S32" s="22">
        <f t="shared" si="6"/>
        <v>619.69988310388771</v>
      </c>
      <c r="T32" s="22">
        <f t="shared" si="7"/>
        <v>891.06583853396501</v>
      </c>
    </row>
    <row r="33" spans="1:20" x14ac:dyDescent="0.2">
      <c r="A33" s="5">
        <v>42</v>
      </c>
      <c r="B33" s="1">
        <f t="shared" si="8"/>
        <v>1.7646106825195991</v>
      </c>
      <c r="C33" s="5">
        <f t="shared" si="9"/>
        <v>47896.698721338056</v>
      </c>
      <c r="D33" s="5">
        <f t="shared" si="0"/>
        <v>46475.643977599182</v>
      </c>
      <c r="E33" s="5">
        <f t="shared" si="1"/>
        <v>36975.643977599182</v>
      </c>
      <c r="F33" s="5">
        <f t="shared" si="2"/>
        <v>12621.862156446052</v>
      </c>
      <c r="G33" s="5">
        <f t="shared" si="3"/>
        <v>33853.781821153127</v>
      </c>
      <c r="H33" s="22">
        <f t="shared" si="10"/>
        <v>21442.781275906065</v>
      </c>
      <c r="I33" s="5">
        <f t="shared" si="4"/>
        <v>54353.080720919323</v>
      </c>
      <c r="J33" s="26">
        <f t="shared" si="5"/>
        <v>0.18005316813988209</v>
      </c>
      <c r="L33" s="22">
        <f t="shared" si="11"/>
        <v>85414.782898418431</v>
      </c>
      <c r="M33" s="5">
        <f>scrimecost*Meta!O30</f>
        <v>1171.5839999999998</v>
      </c>
      <c r="N33" s="5">
        <f>L33-Grade12!L33</f>
        <v>894.77869645452301</v>
      </c>
      <c r="O33" s="5">
        <f>Grade12!M33-M33</f>
        <v>9.2160000000001219</v>
      </c>
      <c r="P33" s="22">
        <f t="shared" si="12"/>
        <v>87.732809067361927</v>
      </c>
      <c r="Q33" s="22"/>
      <c r="R33" s="22"/>
      <c r="S33" s="22">
        <f t="shared" si="6"/>
        <v>635.26762392783974</v>
      </c>
      <c r="T33" s="22">
        <f t="shared" si="7"/>
        <v>927.98906312931069</v>
      </c>
    </row>
    <row r="34" spans="1:20" x14ac:dyDescent="0.2">
      <c r="A34" s="5">
        <v>43</v>
      </c>
      <c r="B34" s="1">
        <f t="shared" si="8"/>
        <v>1.8087259495825889</v>
      </c>
      <c r="C34" s="5">
        <f t="shared" si="9"/>
        <v>49094.116189371503</v>
      </c>
      <c r="D34" s="5">
        <f t="shared" si="0"/>
        <v>47620.375077039156</v>
      </c>
      <c r="E34" s="5">
        <f t="shared" si="1"/>
        <v>38120.375077039156</v>
      </c>
      <c r="F34" s="5">
        <f t="shared" si="2"/>
        <v>13110.089970357199</v>
      </c>
      <c r="G34" s="5">
        <f t="shared" si="3"/>
        <v>34510.285106681957</v>
      </c>
      <c r="H34" s="22">
        <f t="shared" si="10"/>
        <v>21978.850807803719</v>
      </c>
      <c r="I34" s="5">
        <f t="shared" si="4"/>
        <v>55522.06647894231</v>
      </c>
      <c r="J34" s="26">
        <f t="shared" si="5"/>
        <v>0.18284718015653623</v>
      </c>
      <c r="L34" s="22">
        <f t="shared" si="11"/>
        <v>87550.152470878893</v>
      </c>
      <c r="M34" s="5">
        <f>scrimecost*Meta!O31</f>
        <v>1171.5839999999998</v>
      </c>
      <c r="N34" s="5">
        <f>L34-Grade12!L34</f>
        <v>917.14816386590246</v>
      </c>
      <c r="O34" s="5">
        <f>Grade12!M34-M34</f>
        <v>9.2160000000001219</v>
      </c>
      <c r="P34" s="22">
        <f t="shared" si="12"/>
        <v>90.249194006300115</v>
      </c>
      <c r="Q34" s="22"/>
      <c r="R34" s="22"/>
      <c r="S34" s="22">
        <f t="shared" si="6"/>
        <v>651.22455827239617</v>
      </c>
      <c r="T34" s="22">
        <f t="shared" si="7"/>
        <v>966.43947558056755</v>
      </c>
    </row>
    <row r="35" spans="1:20" x14ac:dyDescent="0.2">
      <c r="A35" s="5">
        <v>44</v>
      </c>
      <c r="B35" s="1">
        <f t="shared" si="8"/>
        <v>1.8539440983221533</v>
      </c>
      <c r="C35" s="5">
        <f t="shared" si="9"/>
        <v>50321.469094105778</v>
      </c>
      <c r="D35" s="5">
        <f t="shared" si="0"/>
        <v>48793.724453965122</v>
      </c>
      <c r="E35" s="5">
        <f t="shared" si="1"/>
        <v>39293.724453965122</v>
      </c>
      <c r="F35" s="5">
        <f t="shared" si="2"/>
        <v>13610.523479616126</v>
      </c>
      <c r="G35" s="5">
        <f t="shared" si="3"/>
        <v>35183.200974348998</v>
      </c>
      <c r="H35" s="22">
        <f t="shared" si="10"/>
        <v>22528.322077998808</v>
      </c>
      <c r="I35" s="5">
        <f t="shared" si="4"/>
        <v>56720.276880915859</v>
      </c>
      <c r="J35" s="26">
        <f t="shared" si="5"/>
        <v>0.18557304553863785</v>
      </c>
      <c r="L35" s="22">
        <f t="shared" si="11"/>
        <v>89738.906282650845</v>
      </c>
      <c r="M35" s="5">
        <f>scrimecost*Meta!O32</f>
        <v>1171.5839999999998</v>
      </c>
      <c r="N35" s="5">
        <f>L35-Grade12!L35</f>
        <v>940.07686796253256</v>
      </c>
      <c r="O35" s="5">
        <f>Grade12!M35-M35</f>
        <v>9.2160000000001219</v>
      </c>
      <c r="P35" s="22">
        <f t="shared" si="12"/>
        <v>92.828488568711762</v>
      </c>
      <c r="Q35" s="22"/>
      <c r="R35" s="22"/>
      <c r="S35" s="22">
        <f t="shared" si="6"/>
        <v>667.58041597554563</v>
      </c>
      <c r="T35" s="22">
        <f t="shared" si="7"/>
        <v>1006.4801976539886</v>
      </c>
    </row>
    <row r="36" spans="1:20" x14ac:dyDescent="0.2">
      <c r="A36" s="5">
        <v>45</v>
      </c>
      <c r="B36" s="1">
        <f t="shared" si="8"/>
        <v>1.9002927007802071</v>
      </c>
      <c r="C36" s="5">
        <f t="shared" si="9"/>
        <v>51579.505821458421</v>
      </c>
      <c r="D36" s="5">
        <f t="shared" si="0"/>
        <v>49996.40756531425</v>
      </c>
      <c r="E36" s="5">
        <f t="shared" si="1"/>
        <v>40496.40756531425</v>
      </c>
      <c r="F36" s="5">
        <f t="shared" si="2"/>
        <v>14123.467826606528</v>
      </c>
      <c r="G36" s="5">
        <f t="shared" si="3"/>
        <v>35872.939738707719</v>
      </c>
      <c r="H36" s="22">
        <f t="shared" si="10"/>
        <v>23091.530129948773</v>
      </c>
      <c r="I36" s="5">
        <f t="shared" si="4"/>
        <v>57948.442542938748</v>
      </c>
      <c r="J36" s="26">
        <f t="shared" si="5"/>
        <v>0.18823242639922477</v>
      </c>
      <c r="L36" s="22">
        <f t="shared" si="11"/>
        <v>91982.378939717106</v>
      </c>
      <c r="M36" s="5">
        <f>scrimecost*Meta!O33</f>
        <v>946.827</v>
      </c>
      <c r="N36" s="5">
        <f>L36-Grade12!L36</f>
        <v>963.57878966159478</v>
      </c>
      <c r="O36" s="5">
        <f>Grade12!M36-M36</f>
        <v>7.4480000000000928</v>
      </c>
      <c r="P36" s="22">
        <f t="shared" si="12"/>
        <v>95.472265495183706</v>
      </c>
      <c r="Q36" s="22"/>
      <c r="R36" s="22"/>
      <c r="S36" s="22">
        <f t="shared" si="6"/>
        <v>682.90955412128403</v>
      </c>
      <c r="T36" s="22">
        <f t="shared" si="7"/>
        <v>1045.9780987845081</v>
      </c>
    </row>
    <row r="37" spans="1:20" x14ac:dyDescent="0.2">
      <c r="A37" s="5">
        <v>46</v>
      </c>
      <c r="B37" s="1">
        <f t="shared" ref="B37:B56" si="13">(1+experiencepremium)^(A37-startage)</f>
        <v>1.9478000182997122</v>
      </c>
      <c r="C37" s="5">
        <f t="shared" ref="C37:C56" si="14">pretaxincome*B37/expnorm</f>
        <v>52868.993466994878</v>
      </c>
      <c r="D37" s="5">
        <f t="shared" ref="D37:D56" si="15">IF(A37&lt;startage,1,0)*(C37*(1-initialunempprob))+IF(A37=startage,1,0)*(C37*(1-unempprob))+IF(A37&gt;startage,1,0)*(C37*(1-unempprob)+unempprob*300*52)</f>
        <v>51229.1577544471</v>
      </c>
      <c r="E37" s="5">
        <f t="shared" si="1"/>
        <v>41729.1577544471</v>
      </c>
      <c r="F37" s="5">
        <f t="shared" si="2"/>
        <v>14649.235782271688</v>
      </c>
      <c r="G37" s="5">
        <f t="shared" si="3"/>
        <v>36579.921972175413</v>
      </c>
      <c r="H37" s="22">
        <f t="shared" ref="H37:H56" si="16">benefits*B37/expnorm</f>
        <v>23668.818383197493</v>
      </c>
      <c r="I37" s="5">
        <f t="shared" ref="I37:I56" si="17">G37+IF(A37&lt;startage,1,0)*(H37*(1-initialunempprob))+IF(A37&gt;=startage,1,0)*(H37*(1-unempprob))</f>
        <v>59207.312346512219</v>
      </c>
      <c r="J37" s="26">
        <f t="shared" si="5"/>
        <v>0.19082694431199249</v>
      </c>
      <c r="L37" s="22">
        <f t="shared" ref="L37:L56" si="18">(sincome+sbenefits)*(1-sunemp)*B37/expnorm</f>
        <v>94281.938413210039</v>
      </c>
      <c r="M37" s="5">
        <f>scrimecost*Meta!O34</f>
        <v>946.827</v>
      </c>
      <c r="N37" s="5">
        <f>L37-Grade12!L37</f>
        <v>987.66825940314448</v>
      </c>
      <c r="O37" s="5">
        <f>Grade12!M37-M37</f>
        <v>7.4480000000000928</v>
      </c>
      <c r="P37" s="22">
        <f t="shared" si="12"/>
        <v>98.182136844817435</v>
      </c>
      <c r="Q37" s="22"/>
      <c r="R37" s="22"/>
      <c r="S37" s="22">
        <f t="shared" si="6"/>
        <v>700.09342712067257</v>
      </c>
      <c r="T37" s="22">
        <f t="shared" si="7"/>
        <v>1089.3643493000482</v>
      </c>
    </row>
    <row r="38" spans="1:20" x14ac:dyDescent="0.2">
      <c r="A38" s="5">
        <v>47</v>
      </c>
      <c r="B38" s="1">
        <f t="shared" si="13"/>
        <v>1.9964950187572048</v>
      </c>
      <c r="C38" s="5">
        <f t="shared" si="14"/>
        <v>54190.718303669746</v>
      </c>
      <c r="D38" s="5">
        <f t="shared" si="15"/>
        <v>52492.726698308274</v>
      </c>
      <c r="E38" s="5">
        <f t="shared" si="1"/>
        <v>42992.726698308274</v>
      </c>
      <c r="F38" s="5">
        <f t="shared" si="2"/>
        <v>15188.147936828478</v>
      </c>
      <c r="G38" s="5">
        <f t="shared" si="3"/>
        <v>37304.578761479796</v>
      </c>
      <c r="H38" s="22">
        <f t="shared" si="16"/>
        <v>24260.538842777427</v>
      </c>
      <c r="I38" s="5">
        <f t="shared" si="17"/>
        <v>60497.653895175012</v>
      </c>
      <c r="J38" s="26">
        <f t="shared" si="5"/>
        <v>0.19335818130005858</v>
      </c>
      <c r="L38" s="22">
        <f t="shared" si="18"/>
        <v>96638.986873540271</v>
      </c>
      <c r="M38" s="5">
        <f>scrimecost*Meta!O35</f>
        <v>946.827</v>
      </c>
      <c r="N38" s="5">
        <f>L38-Grade12!L38</f>
        <v>1012.3599658882013</v>
      </c>
      <c r="O38" s="5">
        <f>Grade12!M38-M38</f>
        <v>7.4480000000000928</v>
      </c>
      <c r="P38" s="22">
        <f t="shared" si="12"/>
        <v>100.95975497819201</v>
      </c>
      <c r="Q38" s="22"/>
      <c r="R38" s="22"/>
      <c r="S38" s="22">
        <f t="shared" si="6"/>
        <v>717.70689694502607</v>
      </c>
      <c r="T38" s="22">
        <f t="shared" si="7"/>
        <v>1134.5458026931435</v>
      </c>
    </row>
    <row r="39" spans="1:20" x14ac:dyDescent="0.2">
      <c r="A39" s="5">
        <v>48</v>
      </c>
      <c r="B39" s="1">
        <f t="shared" si="13"/>
        <v>2.0464073942261352</v>
      </c>
      <c r="C39" s="5">
        <f t="shared" si="14"/>
        <v>55545.486261261496</v>
      </c>
      <c r="D39" s="5">
        <f t="shared" si="15"/>
        <v>53787.884865765991</v>
      </c>
      <c r="E39" s="5">
        <f t="shared" si="1"/>
        <v>44287.884865765991</v>
      </c>
      <c r="F39" s="5">
        <f t="shared" si="2"/>
        <v>15740.532895249195</v>
      </c>
      <c r="G39" s="5">
        <f t="shared" si="3"/>
        <v>38047.3519705168</v>
      </c>
      <c r="H39" s="22">
        <f t="shared" si="16"/>
        <v>24867.052313846867</v>
      </c>
      <c r="I39" s="5">
        <f t="shared" si="17"/>
        <v>61820.253982554408</v>
      </c>
      <c r="J39" s="26">
        <f t="shared" si="5"/>
        <v>0.19582768080061091</v>
      </c>
      <c r="L39" s="22">
        <f t="shared" si="18"/>
        <v>99054.961545378785</v>
      </c>
      <c r="M39" s="5">
        <f>scrimecost*Meta!O36</f>
        <v>946.827</v>
      </c>
      <c r="N39" s="5">
        <f>L39-Grade12!L39</f>
        <v>1037.6689650354383</v>
      </c>
      <c r="O39" s="5">
        <f>Grade12!M39-M39</f>
        <v>7.4480000000000928</v>
      </c>
      <c r="P39" s="22">
        <f t="shared" si="12"/>
        <v>103.80681356490099</v>
      </c>
      <c r="Q39" s="22"/>
      <c r="R39" s="22"/>
      <c r="S39" s="22">
        <f t="shared" si="6"/>
        <v>735.76070351502199</v>
      </c>
      <c r="T39" s="22">
        <f t="shared" si="7"/>
        <v>1181.5966694094723</v>
      </c>
    </row>
    <row r="40" spans="1:20" x14ac:dyDescent="0.2">
      <c r="A40" s="5">
        <v>49</v>
      </c>
      <c r="B40" s="1">
        <f t="shared" si="13"/>
        <v>2.097567579081788</v>
      </c>
      <c r="C40" s="5">
        <f t="shared" si="14"/>
        <v>56934.123417793016</v>
      </c>
      <c r="D40" s="5">
        <f t="shared" si="15"/>
        <v>55115.421987410125</v>
      </c>
      <c r="E40" s="5">
        <f t="shared" si="1"/>
        <v>45615.421987410125</v>
      </c>
      <c r="F40" s="5">
        <f t="shared" si="2"/>
        <v>16306.727477630418</v>
      </c>
      <c r="G40" s="5">
        <f t="shared" si="3"/>
        <v>38808.694509779707</v>
      </c>
      <c r="H40" s="22">
        <f t="shared" si="16"/>
        <v>25488.728621693033</v>
      </c>
      <c r="I40" s="5">
        <f t="shared" si="17"/>
        <v>63175.919072118246</v>
      </c>
      <c r="J40" s="26">
        <f t="shared" si="5"/>
        <v>0.19823694860602775</v>
      </c>
      <c r="L40" s="22">
        <f t="shared" si="18"/>
        <v>101531.33558401324</v>
      </c>
      <c r="M40" s="5">
        <f>scrimecost*Meta!O37</f>
        <v>946.827</v>
      </c>
      <c r="N40" s="5">
        <f>L40-Grade12!L40</f>
        <v>1063.6106891612726</v>
      </c>
      <c r="O40" s="5">
        <f>Grade12!M40-M40</f>
        <v>7.4480000000000928</v>
      </c>
      <c r="P40" s="22">
        <f t="shared" si="12"/>
        <v>106.72504861627766</v>
      </c>
      <c r="Q40" s="22"/>
      <c r="R40" s="22"/>
      <c r="S40" s="22">
        <f t="shared" si="6"/>
        <v>754.26585524921586</v>
      </c>
      <c r="T40" s="22">
        <f t="shared" si="7"/>
        <v>1230.5942265066908</v>
      </c>
    </row>
    <row r="41" spans="1:20" x14ac:dyDescent="0.2">
      <c r="A41" s="5">
        <v>50</v>
      </c>
      <c r="B41" s="1">
        <f t="shared" si="13"/>
        <v>2.1500067685588333</v>
      </c>
      <c r="C41" s="5">
        <f t="shared" si="14"/>
        <v>58357.476503237856</v>
      </c>
      <c r="D41" s="5">
        <f t="shared" si="15"/>
        <v>56476.147537095392</v>
      </c>
      <c r="E41" s="5">
        <f t="shared" si="1"/>
        <v>46976.147537095392</v>
      </c>
      <c r="F41" s="5">
        <f t="shared" si="2"/>
        <v>16887.076924571185</v>
      </c>
      <c r="G41" s="5">
        <f t="shared" si="3"/>
        <v>39589.070612524207</v>
      </c>
      <c r="H41" s="22">
        <f t="shared" si="16"/>
        <v>26125.946837235366</v>
      </c>
      <c r="I41" s="5">
        <f t="shared" si="17"/>
        <v>64565.47578892122</v>
      </c>
      <c r="J41" s="26">
        <f t="shared" si="5"/>
        <v>0.20058745378204426</v>
      </c>
      <c r="L41" s="22">
        <f t="shared" si="18"/>
        <v>104069.61897361359</v>
      </c>
      <c r="M41" s="5">
        <f>scrimecost*Meta!O38</f>
        <v>632.57399999999996</v>
      </c>
      <c r="N41" s="5">
        <f>L41-Grade12!L41</f>
        <v>1090.2009563903412</v>
      </c>
      <c r="O41" s="5">
        <f>Grade12!M41-M41</f>
        <v>4.9759999999999991</v>
      </c>
      <c r="P41" s="22">
        <f t="shared" si="12"/>
        <v>109.71623954393878</v>
      </c>
      <c r="Q41" s="22"/>
      <c r="R41" s="22"/>
      <c r="S41" s="22">
        <f t="shared" ref="S41:S69" si="19">IF(A41&lt;startage,1,0)*(N41-Q41-R41)+IF(A41&gt;=startage,1,0)*completionprob*(N41*spart+O41+P41)</f>
        <v>771.22637177681941</v>
      </c>
      <c r="T41" s="22">
        <f t="shared" ref="T41:T69" si="20">S41/sreturn^(A41-startage+1)</f>
        <v>1278.291945313222</v>
      </c>
    </row>
    <row r="42" spans="1:20" x14ac:dyDescent="0.2">
      <c r="A42" s="5">
        <v>51</v>
      </c>
      <c r="B42" s="1">
        <f t="shared" si="13"/>
        <v>2.2037569377728037</v>
      </c>
      <c r="C42" s="5">
        <f t="shared" si="14"/>
        <v>59816.413415818788</v>
      </c>
      <c r="D42" s="5">
        <f t="shared" si="15"/>
        <v>57870.891225522762</v>
      </c>
      <c r="E42" s="5">
        <f t="shared" si="1"/>
        <v>48370.891225522762</v>
      </c>
      <c r="F42" s="5">
        <f t="shared" si="2"/>
        <v>17481.935107685458</v>
      </c>
      <c r="G42" s="5">
        <f t="shared" si="3"/>
        <v>40388.956117837304</v>
      </c>
      <c r="H42" s="22">
        <f t="shared" si="16"/>
        <v>26779.095508166247</v>
      </c>
      <c r="I42" s="5">
        <f t="shared" si="17"/>
        <v>65989.771423644241</v>
      </c>
      <c r="J42" s="26">
        <f t="shared" si="5"/>
        <v>0.20288062956352371</v>
      </c>
      <c r="L42" s="22">
        <f t="shared" si="18"/>
        <v>106671.35944795392</v>
      </c>
      <c r="M42" s="5">
        <f>scrimecost*Meta!O39</f>
        <v>632.57399999999996</v>
      </c>
      <c r="N42" s="5">
        <f>L42-Grade12!L42</f>
        <v>1117.455980300103</v>
      </c>
      <c r="O42" s="5">
        <f>Grade12!M42-M42</f>
        <v>4.9759999999999991</v>
      </c>
      <c r="P42" s="22">
        <f t="shared" si="12"/>
        <v>112.78221024479139</v>
      </c>
      <c r="Q42" s="22"/>
      <c r="R42" s="22"/>
      <c r="S42" s="22">
        <f t="shared" si="19"/>
        <v>790.66834681759235</v>
      </c>
      <c r="T42" s="22">
        <f t="shared" si="20"/>
        <v>1331.3746673819433</v>
      </c>
    </row>
    <row r="43" spans="1:20" x14ac:dyDescent="0.2">
      <c r="A43" s="5">
        <v>52</v>
      </c>
      <c r="B43" s="1">
        <f t="shared" si="13"/>
        <v>2.2588508612171236</v>
      </c>
      <c r="C43" s="5">
        <f t="shared" si="14"/>
        <v>61311.823751214259</v>
      </c>
      <c r="D43" s="5">
        <f t="shared" si="15"/>
        <v>59300.503506160829</v>
      </c>
      <c r="E43" s="5">
        <f t="shared" si="1"/>
        <v>49800.503506160829</v>
      </c>
      <c r="F43" s="5">
        <f t="shared" si="2"/>
        <v>18091.664745377595</v>
      </c>
      <c r="G43" s="5">
        <f t="shared" si="3"/>
        <v>41208.838760783234</v>
      </c>
      <c r="H43" s="22">
        <f t="shared" si="16"/>
        <v>27448.572895870398</v>
      </c>
      <c r="I43" s="5">
        <f t="shared" si="17"/>
        <v>67449.674449235332</v>
      </c>
      <c r="J43" s="26">
        <f t="shared" si="5"/>
        <v>0.20511787422838176</v>
      </c>
      <c r="L43" s="22">
        <f t="shared" si="18"/>
        <v>109338.14343415275</v>
      </c>
      <c r="M43" s="5">
        <f>scrimecost*Meta!O40</f>
        <v>632.57399999999996</v>
      </c>
      <c r="N43" s="5">
        <f>L43-Grade12!L43</f>
        <v>1145.3923798075848</v>
      </c>
      <c r="O43" s="5">
        <f>Grade12!M43-M43</f>
        <v>4.9759999999999991</v>
      </c>
      <c r="P43" s="22">
        <f t="shared" si="12"/>
        <v>115.92483021316534</v>
      </c>
      <c r="Q43" s="22"/>
      <c r="R43" s="22"/>
      <c r="S43" s="22">
        <f t="shared" si="19"/>
        <v>810.59637123436971</v>
      </c>
      <c r="T43" s="22">
        <f t="shared" si="20"/>
        <v>1386.6547613321079</v>
      </c>
    </row>
    <row r="44" spans="1:20" x14ac:dyDescent="0.2">
      <c r="A44" s="5">
        <v>53</v>
      </c>
      <c r="B44" s="1">
        <f t="shared" si="13"/>
        <v>2.3153221327475517</v>
      </c>
      <c r="C44" s="5">
        <f t="shared" si="14"/>
        <v>62844.619344994615</v>
      </c>
      <c r="D44" s="5">
        <f t="shared" si="15"/>
        <v>60765.856093814851</v>
      </c>
      <c r="E44" s="5">
        <f t="shared" si="1"/>
        <v>51265.856093814851</v>
      </c>
      <c r="F44" s="5">
        <f t="shared" si="2"/>
        <v>18716.637624012033</v>
      </c>
      <c r="G44" s="5">
        <f t="shared" si="3"/>
        <v>42049.218469802814</v>
      </c>
      <c r="H44" s="22">
        <f t="shared" si="16"/>
        <v>28134.787218267156</v>
      </c>
      <c r="I44" s="5">
        <f t="shared" si="17"/>
        <v>68946.075050466214</v>
      </c>
      <c r="J44" s="26">
        <f t="shared" si="5"/>
        <v>0.20730055195019442</v>
      </c>
      <c r="L44" s="22">
        <f t="shared" si="18"/>
        <v>112071.59702000658</v>
      </c>
      <c r="M44" s="5">
        <f>scrimecost*Meta!O41</f>
        <v>632.57399999999996</v>
      </c>
      <c r="N44" s="5">
        <f>L44-Grade12!L44</f>
        <v>1174.0271893028112</v>
      </c>
      <c r="O44" s="5">
        <f>Grade12!M44-M44</f>
        <v>4.9759999999999991</v>
      </c>
      <c r="P44" s="22">
        <f t="shared" si="12"/>
        <v>119.14601568074862</v>
      </c>
      <c r="Q44" s="22"/>
      <c r="R44" s="22"/>
      <c r="S44" s="22">
        <f t="shared" si="19"/>
        <v>831.02259626160208</v>
      </c>
      <c r="T44" s="22">
        <f t="shared" si="20"/>
        <v>1444.2230777400405</v>
      </c>
    </row>
    <row r="45" spans="1:20" x14ac:dyDescent="0.2">
      <c r="A45" s="5">
        <v>54</v>
      </c>
      <c r="B45" s="1">
        <f t="shared" si="13"/>
        <v>2.3732051860662402</v>
      </c>
      <c r="C45" s="5">
        <f t="shared" si="14"/>
        <v>64415.734828619476</v>
      </c>
      <c r="D45" s="5">
        <f t="shared" si="15"/>
        <v>62267.842496160214</v>
      </c>
      <c r="E45" s="5">
        <f t="shared" si="1"/>
        <v>52767.842496160214</v>
      </c>
      <c r="F45" s="5">
        <f t="shared" si="2"/>
        <v>19357.234824612333</v>
      </c>
      <c r="G45" s="5">
        <f t="shared" si="3"/>
        <v>42910.607671547885</v>
      </c>
      <c r="H45" s="22">
        <f t="shared" si="16"/>
        <v>28838.156898723835</v>
      </c>
      <c r="I45" s="5">
        <f t="shared" si="17"/>
        <v>70479.885666727874</v>
      </c>
      <c r="J45" s="26">
        <f t="shared" si="5"/>
        <v>0.20942999363001166</v>
      </c>
      <c r="L45" s="22">
        <f t="shared" si="18"/>
        <v>114873.38694550673</v>
      </c>
      <c r="M45" s="5">
        <f>scrimecost*Meta!O42</f>
        <v>632.57399999999996</v>
      </c>
      <c r="N45" s="5">
        <f>L45-Grade12!L45</f>
        <v>1203.3778690353647</v>
      </c>
      <c r="O45" s="5">
        <f>Grade12!M45-M45</f>
        <v>4.9759999999999991</v>
      </c>
      <c r="P45" s="22">
        <f t="shared" si="12"/>
        <v>122.44773078502146</v>
      </c>
      <c r="Q45" s="22"/>
      <c r="R45" s="22"/>
      <c r="S45" s="22">
        <f t="shared" si="19"/>
        <v>851.95947691448202</v>
      </c>
      <c r="T45" s="22">
        <f t="shared" si="20"/>
        <v>1504.1742216589282</v>
      </c>
    </row>
    <row r="46" spans="1:20" x14ac:dyDescent="0.2">
      <c r="A46" s="5">
        <v>55</v>
      </c>
      <c r="B46" s="1">
        <f t="shared" si="13"/>
        <v>2.4325353157178964</v>
      </c>
      <c r="C46" s="5">
        <f t="shared" si="14"/>
        <v>66026.128199334969</v>
      </c>
      <c r="D46" s="5">
        <f t="shared" si="15"/>
        <v>63807.378558564233</v>
      </c>
      <c r="E46" s="5">
        <f t="shared" si="1"/>
        <v>54307.378558564233</v>
      </c>
      <c r="F46" s="5">
        <f t="shared" si="2"/>
        <v>20013.846955227644</v>
      </c>
      <c r="G46" s="5">
        <f t="shared" si="3"/>
        <v>43793.531603336589</v>
      </c>
      <c r="H46" s="22">
        <f t="shared" si="16"/>
        <v>29559.110821191931</v>
      </c>
      <c r="I46" s="5">
        <f t="shared" si="17"/>
        <v>72052.041548396082</v>
      </c>
      <c r="J46" s="26">
        <f t="shared" si="5"/>
        <v>0.21150749770788224</v>
      </c>
      <c r="L46" s="22">
        <f t="shared" si="18"/>
        <v>117745.2216191444</v>
      </c>
      <c r="M46" s="5">
        <f>scrimecost*Meta!O43</f>
        <v>350.86499999999995</v>
      </c>
      <c r="N46" s="5">
        <f>L46-Grade12!L46</f>
        <v>1233.4623157612659</v>
      </c>
      <c r="O46" s="5">
        <f>Grade12!M46-M46</f>
        <v>2.7600000000000477</v>
      </c>
      <c r="P46" s="22">
        <f t="shared" si="12"/>
        <v>125.83198876690119</v>
      </c>
      <c r="Q46" s="22"/>
      <c r="R46" s="22"/>
      <c r="S46" s="22">
        <f t="shared" si="19"/>
        <v>871.62038758370511</v>
      </c>
      <c r="T46" s="22">
        <f t="shared" si="20"/>
        <v>1563.3792338086057</v>
      </c>
    </row>
    <row r="47" spans="1:20" x14ac:dyDescent="0.2">
      <c r="A47" s="5">
        <v>56</v>
      </c>
      <c r="B47" s="1">
        <f t="shared" si="13"/>
        <v>2.4933486986108435</v>
      </c>
      <c r="C47" s="5">
        <f t="shared" si="14"/>
        <v>67676.781404318332</v>
      </c>
      <c r="D47" s="5">
        <f t="shared" si="15"/>
        <v>65385.40302252832</v>
      </c>
      <c r="E47" s="5">
        <f t="shared" si="1"/>
        <v>55885.40302252832</v>
      </c>
      <c r="F47" s="5">
        <f t="shared" si="2"/>
        <v>20686.874389108329</v>
      </c>
      <c r="G47" s="5">
        <f t="shared" si="3"/>
        <v>44698.528633419992</v>
      </c>
      <c r="H47" s="22">
        <f t="shared" si="16"/>
        <v>30298.088591721727</v>
      </c>
      <c r="I47" s="5">
        <f t="shared" si="17"/>
        <v>73663.501327105958</v>
      </c>
      <c r="J47" s="26">
        <f t="shared" si="5"/>
        <v>0.21353433095458513</v>
      </c>
      <c r="L47" s="22">
        <f t="shared" si="18"/>
        <v>120688.852159623</v>
      </c>
      <c r="M47" s="5">
        <f>scrimecost*Meta!O44</f>
        <v>350.86499999999995</v>
      </c>
      <c r="N47" s="5">
        <f>L47-Grade12!L47</f>
        <v>1264.2988736552943</v>
      </c>
      <c r="O47" s="5">
        <f>Grade12!M47-M47</f>
        <v>2.7600000000000477</v>
      </c>
      <c r="P47" s="22">
        <f t="shared" si="12"/>
        <v>129.30085319832784</v>
      </c>
      <c r="Q47" s="22"/>
      <c r="R47" s="22"/>
      <c r="S47" s="22">
        <f t="shared" si="19"/>
        <v>893.61719781964598</v>
      </c>
      <c r="T47" s="22">
        <f t="shared" si="20"/>
        <v>1628.3442797339021</v>
      </c>
    </row>
    <row r="48" spans="1:20" x14ac:dyDescent="0.2">
      <c r="A48" s="5">
        <v>57</v>
      </c>
      <c r="B48" s="1">
        <f t="shared" si="13"/>
        <v>2.555682416076114</v>
      </c>
      <c r="C48" s="5">
        <f t="shared" si="14"/>
        <v>69368.700939426271</v>
      </c>
      <c r="D48" s="5">
        <f t="shared" si="15"/>
        <v>67002.878098091503</v>
      </c>
      <c r="E48" s="5">
        <f t="shared" si="1"/>
        <v>57502.878098091503</v>
      </c>
      <c r="F48" s="5">
        <f t="shared" si="2"/>
        <v>21376.727508836026</v>
      </c>
      <c r="G48" s="5">
        <f t="shared" si="3"/>
        <v>45626.150589255478</v>
      </c>
      <c r="H48" s="22">
        <f t="shared" si="16"/>
        <v>31055.54080651476</v>
      </c>
      <c r="I48" s="5">
        <f t="shared" si="17"/>
        <v>75315.24760028359</v>
      </c>
      <c r="J48" s="26">
        <f t="shared" si="5"/>
        <v>0.21551172924405135</v>
      </c>
      <c r="L48" s="22">
        <f t="shared" si="18"/>
        <v>123706.07346361355</v>
      </c>
      <c r="M48" s="5">
        <f>scrimecost*Meta!O45</f>
        <v>350.86499999999995</v>
      </c>
      <c r="N48" s="5">
        <f>L48-Grade12!L48</f>
        <v>1295.9063454966526</v>
      </c>
      <c r="O48" s="5">
        <f>Grade12!M48-M48</f>
        <v>2.7600000000000477</v>
      </c>
      <c r="P48" s="22">
        <f t="shared" si="12"/>
        <v>132.85643924054014</v>
      </c>
      <c r="Q48" s="22"/>
      <c r="R48" s="22"/>
      <c r="S48" s="22">
        <f t="shared" si="19"/>
        <v>916.16392831147266</v>
      </c>
      <c r="T48" s="22">
        <f t="shared" si="20"/>
        <v>1695.9992612247975</v>
      </c>
    </row>
    <row r="49" spans="1:20" x14ac:dyDescent="0.2">
      <c r="A49" s="5">
        <v>58</v>
      </c>
      <c r="B49" s="1">
        <f t="shared" si="13"/>
        <v>2.6195744764780171</v>
      </c>
      <c r="C49" s="5">
        <f t="shared" si="14"/>
        <v>71102.918462911941</v>
      </c>
      <c r="D49" s="5">
        <f t="shared" si="15"/>
        <v>68660.790050543801</v>
      </c>
      <c r="E49" s="5">
        <f t="shared" si="1"/>
        <v>59160.790050543801</v>
      </c>
      <c r="F49" s="5">
        <f t="shared" si="2"/>
        <v>22083.826956556932</v>
      </c>
      <c r="G49" s="5">
        <f t="shared" si="3"/>
        <v>46576.963093986866</v>
      </c>
      <c r="H49" s="22">
        <f t="shared" si="16"/>
        <v>31831.929326677633</v>
      </c>
      <c r="I49" s="5">
        <f t="shared" si="17"/>
        <v>77008.28753029069</v>
      </c>
      <c r="J49" s="26">
        <f t="shared" si="5"/>
        <v>0.2174408983069453</v>
      </c>
      <c r="L49" s="22">
        <f t="shared" si="18"/>
        <v>126798.72530020389</v>
      </c>
      <c r="M49" s="5">
        <f>scrimecost*Meta!O46</f>
        <v>350.86499999999995</v>
      </c>
      <c r="N49" s="5">
        <f>L49-Grade12!L49</f>
        <v>1328.3040041340864</v>
      </c>
      <c r="O49" s="5">
        <f>Grade12!M49-M49</f>
        <v>2.7600000000000477</v>
      </c>
      <c r="P49" s="22">
        <f t="shared" si="12"/>
        <v>136.50091493380782</v>
      </c>
      <c r="Q49" s="22"/>
      <c r="R49" s="22"/>
      <c r="S49" s="22">
        <f t="shared" si="19"/>
        <v>939.27432706562081</v>
      </c>
      <c r="T49" s="22">
        <f t="shared" si="20"/>
        <v>1766.4554049491792</v>
      </c>
    </row>
    <row r="50" spans="1:20" x14ac:dyDescent="0.2">
      <c r="A50" s="5">
        <v>59</v>
      </c>
      <c r="B50" s="1">
        <f t="shared" si="13"/>
        <v>2.6850638383899672</v>
      </c>
      <c r="C50" s="5">
        <f t="shared" si="14"/>
        <v>72880.491424484731</v>
      </c>
      <c r="D50" s="5">
        <f t="shared" si="15"/>
        <v>70360.149801807391</v>
      </c>
      <c r="E50" s="5">
        <f t="shared" si="1"/>
        <v>60860.149801807391</v>
      </c>
      <c r="F50" s="5">
        <f t="shared" si="2"/>
        <v>22808.603890470851</v>
      </c>
      <c r="G50" s="5">
        <f t="shared" si="3"/>
        <v>47551.545911336536</v>
      </c>
      <c r="H50" s="22">
        <f t="shared" si="16"/>
        <v>32627.72755984457</v>
      </c>
      <c r="I50" s="5">
        <f t="shared" si="17"/>
        <v>78743.653458547938</v>
      </c>
      <c r="J50" s="26">
        <f t="shared" si="5"/>
        <v>0.21932301446586619</v>
      </c>
      <c r="L50" s="22">
        <f t="shared" si="18"/>
        <v>129968.69343270897</v>
      </c>
      <c r="M50" s="5">
        <f>scrimecost*Meta!O47</f>
        <v>350.86499999999995</v>
      </c>
      <c r="N50" s="5">
        <f>L50-Grade12!L50</f>
        <v>1361.5116042374284</v>
      </c>
      <c r="O50" s="5">
        <f>Grade12!M50-M50</f>
        <v>2.7600000000000477</v>
      </c>
      <c r="P50" s="22">
        <f t="shared" si="12"/>
        <v>140.23650251940714</v>
      </c>
      <c r="Q50" s="22"/>
      <c r="R50" s="22"/>
      <c r="S50" s="22">
        <f t="shared" si="19"/>
        <v>962.96248578860536</v>
      </c>
      <c r="T50" s="22">
        <f t="shared" si="20"/>
        <v>1839.8285342859399</v>
      </c>
    </row>
    <row r="51" spans="1:20" x14ac:dyDescent="0.2">
      <c r="A51" s="5">
        <v>60</v>
      </c>
      <c r="B51" s="1">
        <f t="shared" si="13"/>
        <v>2.7521904343497163</v>
      </c>
      <c r="C51" s="5">
        <f t="shared" si="14"/>
        <v>74702.503710096847</v>
      </c>
      <c r="D51" s="5">
        <f t="shared" si="15"/>
        <v>72101.99354685258</v>
      </c>
      <c r="E51" s="5">
        <f t="shared" si="1"/>
        <v>62601.99354685258</v>
      </c>
      <c r="F51" s="5">
        <f t="shared" si="2"/>
        <v>23551.500247732623</v>
      </c>
      <c r="G51" s="5">
        <f t="shared" si="3"/>
        <v>48550.49329911996</v>
      </c>
      <c r="H51" s="22">
        <f t="shared" si="16"/>
        <v>33443.420748840683</v>
      </c>
      <c r="I51" s="5">
        <f t="shared" si="17"/>
        <v>80522.403535011646</v>
      </c>
      <c r="J51" s="26">
        <f t="shared" si="5"/>
        <v>0.22115922535261834</v>
      </c>
      <c r="L51" s="22">
        <f t="shared" si="18"/>
        <v>133217.91076852669</v>
      </c>
      <c r="M51" s="5">
        <f>scrimecost*Meta!O48</f>
        <v>185.09399999999999</v>
      </c>
      <c r="N51" s="5">
        <f>L51-Grade12!L51</f>
        <v>1395.5493943433685</v>
      </c>
      <c r="O51" s="5">
        <f>Grade12!M51-M51</f>
        <v>1.4559999999999889</v>
      </c>
      <c r="P51" s="22">
        <f t="shared" si="12"/>
        <v>144.06547979464651</v>
      </c>
      <c r="Q51" s="22"/>
      <c r="R51" s="22"/>
      <c r="S51" s="22">
        <f t="shared" si="19"/>
        <v>986.1840004796735</v>
      </c>
      <c r="T51" s="22">
        <f t="shared" si="20"/>
        <v>1914.1840343340161</v>
      </c>
    </row>
    <row r="52" spans="1:20" x14ac:dyDescent="0.2">
      <c r="A52" s="5">
        <v>61</v>
      </c>
      <c r="B52" s="1">
        <f t="shared" si="13"/>
        <v>2.8209951952084591</v>
      </c>
      <c r="C52" s="5">
        <f t="shared" si="14"/>
        <v>76570.066302849256</v>
      </c>
      <c r="D52" s="5">
        <f t="shared" si="15"/>
        <v>73887.383385523877</v>
      </c>
      <c r="E52" s="5">
        <f t="shared" si="1"/>
        <v>64387.383385523877</v>
      </c>
      <c r="F52" s="5">
        <f t="shared" si="2"/>
        <v>24312.969013925936</v>
      </c>
      <c r="G52" s="5">
        <f t="shared" si="3"/>
        <v>49574.414371597944</v>
      </c>
      <c r="H52" s="22">
        <f t="shared" si="16"/>
        <v>34279.506267561701</v>
      </c>
      <c r="I52" s="5">
        <f t="shared" si="17"/>
        <v>82345.622363386938</v>
      </c>
      <c r="J52" s="26">
        <f t="shared" si="5"/>
        <v>0.22295065060798624</v>
      </c>
      <c r="L52" s="22">
        <f t="shared" si="18"/>
        <v>136548.35853773984</v>
      </c>
      <c r="M52" s="5">
        <f>scrimecost*Meta!O49</f>
        <v>185.09399999999999</v>
      </c>
      <c r="N52" s="5">
        <f>L52-Grade12!L52</f>
        <v>1430.4381292019098</v>
      </c>
      <c r="O52" s="5">
        <f>Grade12!M52-M52</f>
        <v>1.4559999999999889</v>
      </c>
      <c r="P52" s="22">
        <f t="shared" si="12"/>
        <v>147.99018150176678</v>
      </c>
      <c r="Q52" s="22"/>
      <c r="R52" s="22"/>
      <c r="S52" s="22">
        <f t="shared" si="19"/>
        <v>1011.071372237989</v>
      </c>
      <c r="T52" s="22">
        <f t="shared" si="20"/>
        <v>1993.7252386372097</v>
      </c>
    </row>
    <row r="53" spans="1:20" x14ac:dyDescent="0.2">
      <c r="A53" s="5">
        <v>62</v>
      </c>
      <c r="B53" s="1">
        <f t="shared" si="13"/>
        <v>2.8915200750886707</v>
      </c>
      <c r="C53" s="5">
        <f t="shared" si="14"/>
        <v>78484.317960420492</v>
      </c>
      <c r="D53" s="5">
        <f t="shared" si="15"/>
        <v>75717.407970161978</v>
      </c>
      <c r="E53" s="5">
        <f t="shared" si="1"/>
        <v>66217.407970161978</v>
      </c>
      <c r="F53" s="5">
        <f t="shared" si="2"/>
        <v>25093.474499274085</v>
      </c>
      <c r="G53" s="5">
        <f t="shared" si="3"/>
        <v>50623.933470887889</v>
      </c>
      <c r="H53" s="22">
        <f t="shared" si="16"/>
        <v>35136.493924250739</v>
      </c>
      <c r="I53" s="5">
        <f t="shared" si="17"/>
        <v>84214.421662471592</v>
      </c>
      <c r="J53" s="26">
        <f t="shared" si="5"/>
        <v>0.22469838256444277</v>
      </c>
      <c r="L53" s="22">
        <f t="shared" si="18"/>
        <v>139962.06750118337</v>
      </c>
      <c r="M53" s="5">
        <f>scrimecost*Meta!O50</f>
        <v>185.09399999999999</v>
      </c>
      <c r="N53" s="5">
        <f>L53-Grade12!L53</f>
        <v>1466.1990824320237</v>
      </c>
      <c r="O53" s="5">
        <f>Grade12!M53-M53</f>
        <v>1.4559999999999889</v>
      </c>
      <c r="P53" s="22">
        <f t="shared" si="12"/>
        <v>152.01300075156516</v>
      </c>
      <c r="Q53" s="22"/>
      <c r="R53" s="22"/>
      <c r="S53" s="22">
        <f t="shared" si="19"/>
        <v>1036.5809282903303</v>
      </c>
      <c r="T53" s="22">
        <f t="shared" si="20"/>
        <v>2076.5598972130588</v>
      </c>
    </row>
    <row r="54" spans="1:20" x14ac:dyDescent="0.2">
      <c r="A54" s="5">
        <v>63</v>
      </c>
      <c r="B54" s="1">
        <f t="shared" si="13"/>
        <v>2.9638080769658868</v>
      </c>
      <c r="C54" s="5">
        <f t="shared" si="14"/>
        <v>80446.425909430996</v>
      </c>
      <c r="D54" s="5">
        <f t="shared" si="15"/>
        <v>77593.183169416021</v>
      </c>
      <c r="E54" s="5">
        <f t="shared" si="1"/>
        <v>68093.183169416021</v>
      </c>
      <c r="F54" s="5">
        <f t="shared" si="2"/>
        <v>25893.492621755933</v>
      </c>
      <c r="G54" s="5">
        <f t="shared" si="3"/>
        <v>51699.690547660088</v>
      </c>
      <c r="H54" s="22">
        <f t="shared" si="16"/>
        <v>36014.90627235701</v>
      </c>
      <c r="I54" s="5">
        <f t="shared" si="17"/>
        <v>86129.940944033384</v>
      </c>
      <c r="J54" s="26">
        <f t="shared" si="5"/>
        <v>0.22640348691220516</v>
      </c>
      <c r="L54" s="22">
        <f t="shared" si="18"/>
        <v>143461.11918871291</v>
      </c>
      <c r="M54" s="5">
        <f>scrimecost*Meta!O51</f>
        <v>185.09399999999999</v>
      </c>
      <c r="N54" s="5">
        <f>L54-Grade12!L54</f>
        <v>1502.8540594927617</v>
      </c>
      <c r="O54" s="5">
        <f>Grade12!M54-M54</f>
        <v>1.4559999999999889</v>
      </c>
      <c r="P54" s="22">
        <f t="shared" si="12"/>
        <v>156.13639048260842</v>
      </c>
      <c r="Q54" s="22"/>
      <c r="R54" s="22"/>
      <c r="S54" s="22">
        <f t="shared" si="19"/>
        <v>1062.7282232438999</v>
      </c>
      <c r="T54" s="22">
        <f t="shared" si="20"/>
        <v>2162.8241914219157</v>
      </c>
    </row>
    <row r="55" spans="1:20" x14ac:dyDescent="0.2">
      <c r="A55" s="5">
        <v>64</v>
      </c>
      <c r="B55" s="1">
        <f t="shared" si="13"/>
        <v>3.0379032788900342</v>
      </c>
      <c r="C55" s="5">
        <f t="shared" si="14"/>
        <v>82457.586557166782</v>
      </c>
      <c r="D55" s="5">
        <f t="shared" si="15"/>
        <v>79515.852748651436</v>
      </c>
      <c r="E55" s="5">
        <f t="shared" si="1"/>
        <v>70015.852748651436</v>
      </c>
      <c r="F55" s="5">
        <f t="shared" si="2"/>
        <v>26713.511197299838</v>
      </c>
      <c r="G55" s="5">
        <f t="shared" si="3"/>
        <v>52802.341551351594</v>
      </c>
      <c r="H55" s="22">
        <f t="shared" si="16"/>
        <v>36915.278929165936</v>
      </c>
      <c r="I55" s="5">
        <f t="shared" si="17"/>
        <v>88093.348207634233</v>
      </c>
      <c r="J55" s="26">
        <f t="shared" si="5"/>
        <v>0.22806700334904662</v>
      </c>
      <c r="L55" s="22">
        <f t="shared" si="18"/>
        <v>147047.64716843073</v>
      </c>
      <c r="M55" s="5">
        <f>scrimecost*Meta!O52</f>
        <v>185.09399999999999</v>
      </c>
      <c r="N55" s="5">
        <f>L55-Grade12!L55</f>
        <v>1540.4254109801259</v>
      </c>
      <c r="O55" s="5">
        <f>Grade12!M55-M55</f>
        <v>1.4559999999999889</v>
      </c>
      <c r="P55" s="22">
        <f t="shared" si="12"/>
        <v>160.36286495692781</v>
      </c>
      <c r="Q55" s="22"/>
      <c r="R55" s="22"/>
      <c r="S55" s="22">
        <f t="shared" si="19"/>
        <v>1089.5292005713759</v>
      </c>
      <c r="T55" s="22">
        <f t="shared" si="20"/>
        <v>2252.6599306438534</v>
      </c>
    </row>
    <row r="56" spans="1:20" x14ac:dyDescent="0.2">
      <c r="A56" s="5">
        <v>65</v>
      </c>
      <c r="B56" s="1">
        <f t="shared" si="13"/>
        <v>3.1138508608622844</v>
      </c>
      <c r="C56" s="5">
        <f t="shared" si="14"/>
        <v>84519.026221095934</v>
      </c>
      <c r="D56" s="5">
        <f t="shared" si="15"/>
        <v>81486.589067367706</v>
      </c>
      <c r="E56" s="5">
        <f t="shared" si="1"/>
        <v>71986.589067367706</v>
      </c>
      <c r="F56" s="5">
        <f t="shared" si="2"/>
        <v>27554.030237232328</v>
      </c>
      <c r="G56" s="5">
        <f t="shared" si="3"/>
        <v>53932.558830135378</v>
      </c>
      <c r="H56" s="22">
        <f t="shared" si="16"/>
        <v>37838.160902395073</v>
      </c>
      <c r="I56" s="5">
        <f t="shared" si="17"/>
        <v>90105.840652825063</v>
      </c>
      <c r="J56" s="26">
        <f t="shared" si="5"/>
        <v>0.22968994621425773</v>
      </c>
      <c r="L56" s="22">
        <f t="shared" si="18"/>
        <v>150723.83834764146</v>
      </c>
      <c r="M56" s="5">
        <f>scrimecost*Meta!O53</f>
        <v>55.935000000000002</v>
      </c>
      <c r="N56" s="5">
        <f>L56-Grade12!L56</f>
        <v>1578.9360462545592</v>
      </c>
      <c r="O56" s="5">
        <f>Grade12!M56-M56</f>
        <v>0.43999999999999773</v>
      </c>
      <c r="P56" s="22">
        <f t="shared" si="12"/>
        <v>164.69500129310512</v>
      </c>
      <c r="Q56" s="22"/>
      <c r="R56" s="22"/>
      <c r="S56" s="22">
        <f t="shared" si="19"/>
        <v>1116.1752103319673</v>
      </c>
      <c r="T56" s="22">
        <f t="shared" si="20"/>
        <v>2344.4819217267509</v>
      </c>
    </row>
    <row r="57" spans="1:20" x14ac:dyDescent="0.2">
      <c r="A57" s="5">
        <v>66</v>
      </c>
      <c r="C57" s="5"/>
      <c r="H57" s="21"/>
      <c r="I57" s="5"/>
      <c r="M57" s="5">
        <f>scrimecost*Meta!O54</f>
        <v>55.935000000000002</v>
      </c>
      <c r="N57" s="5">
        <f>L57-Grade12!L57</f>
        <v>0</v>
      </c>
      <c r="O57" s="5">
        <f>Grade12!M57-M57</f>
        <v>0.43999999999999773</v>
      </c>
      <c r="Q57" s="22"/>
      <c r="R57" s="22"/>
      <c r="S57" s="22">
        <f t="shared" si="19"/>
        <v>0.35727999999999815</v>
      </c>
      <c r="T57" s="22">
        <f t="shared" si="20"/>
        <v>0.76239664554150055</v>
      </c>
    </row>
    <row r="58" spans="1:20" x14ac:dyDescent="0.2">
      <c r="A58" s="5">
        <v>67</v>
      </c>
      <c r="C58" s="5"/>
      <c r="H58" s="21"/>
      <c r="I58" s="5"/>
      <c r="M58" s="5">
        <f>scrimecost*Meta!O55</f>
        <v>55.935000000000002</v>
      </c>
      <c r="N58" s="5">
        <f>L58-Grade12!L58</f>
        <v>0</v>
      </c>
      <c r="O58" s="5">
        <f>Grade12!M58-M58</f>
        <v>0.43999999999999773</v>
      </c>
      <c r="Q58" s="22"/>
      <c r="R58" s="22"/>
      <c r="S58" s="22">
        <f t="shared" si="19"/>
        <v>0.35727999999999815</v>
      </c>
      <c r="T58" s="22">
        <f t="shared" si="20"/>
        <v>0.77453087104743923</v>
      </c>
    </row>
    <row r="59" spans="1:20" x14ac:dyDescent="0.2">
      <c r="A59" s="5">
        <v>68</v>
      </c>
      <c r="H59" s="21"/>
      <c r="I59" s="5"/>
      <c r="M59" s="5">
        <f>scrimecost*Meta!O56</f>
        <v>55.935000000000002</v>
      </c>
      <c r="N59" s="5">
        <f>L59-Grade12!L59</f>
        <v>0</v>
      </c>
      <c r="O59" s="5">
        <f>Grade12!M59-M59</f>
        <v>0.43999999999999773</v>
      </c>
      <c r="Q59" s="22"/>
      <c r="R59" s="22"/>
      <c r="S59" s="22">
        <f t="shared" si="19"/>
        <v>0.35727999999999815</v>
      </c>
      <c r="T59" s="22">
        <f t="shared" si="20"/>
        <v>0.7868582236211451</v>
      </c>
    </row>
    <row r="60" spans="1:20" x14ac:dyDescent="0.2">
      <c r="A60" s="5">
        <v>69</v>
      </c>
      <c r="H60" s="21"/>
      <c r="I60" s="5"/>
      <c r="M60" s="5">
        <f>scrimecost*Meta!O57</f>
        <v>55.935000000000002</v>
      </c>
      <c r="N60" s="5">
        <f>L60-Grade12!L60</f>
        <v>0</v>
      </c>
      <c r="O60" s="5">
        <f>Grade12!M60-M60</f>
        <v>0.43999999999999773</v>
      </c>
      <c r="Q60" s="22"/>
      <c r="R60" s="22"/>
      <c r="S60" s="22">
        <f t="shared" si="19"/>
        <v>0.35727999999999815</v>
      </c>
      <c r="T60" s="22">
        <f t="shared" si="20"/>
        <v>0.79938177705288893</v>
      </c>
    </row>
    <row r="61" spans="1:20" x14ac:dyDescent="0.2">
      <c r="A61" s="5">
        <v>70</v>
      </c>
      <c r="H61" s="21"/>
      <c r="I61" s="5"/>
      <c r="M61" s="5">
        <f>scrimecost*Meta!O58</f>
        <v>55.935000000000002</v>
      </c>
      <c r="N61" s="5">
        <f>L61-Grade12!L61</f>
        <v>0</v>
      </c>
      <c r="O61" s="5">
        <f>Grade12!M61-M61</f>
        <v>0.43999999999999773</v>
      </c>
      <c r="Q61" s="22"/>
      <c r="R61" s="22"/>
      <c r="S61" s="22">
        <f t="shared" si="19"/>
        <v>0.35727999999999815</v>
      </c>
      <c r="T61" s="22">
        <f t="shared" si="20"/>
        <v>0.81210465405506715</v>
      </c>
    </row>
    <row r="62" spans="1:20" x14ac:dyDescent="0.2">
      <c r="A62" s="5">
        <v>71</v>
      </c>
      <c r="H62" s="21"/>
      <c r="I62" s="5"/>
      <c r="M62" s="5">
        <f>scrimecost*Meta!O59</f>
        <v>55.935000000000002</v>
      </c>
      <c r="N62" s="5">
        <f>L62-Grade12!L62</f>
        <v>0</v>
      </c>
      <c r="O62" s="5">
        <f>Grade12!M62-M62</f>
        <v>0.43999999999999773</v>
      </c>
      <c r="Q62" s="22"/>
      <c r="R62" s="22"/>
      <c r="S62" s="22">
        <f t="shared" si="19"/>
        <v>0.35727999999999815</v>
      </c>
      <c r="T62" s="22">
        <f t="shared" si="20"/>
        <v>0.82503002704084083</v>
      </c>
    </row>
    <row r="63" spans="1:20" x14ac:dyDescent="0.2">
      <c r="A63" s="5">
        <v>72</v>
      </c>
      <c r="H63" s="21"/>
      <c r="M63" s="5">
        <f>scrimecost*Meta!O60</f>
        <v>55.935000000000002</v>
      </c>
      <c r="N63" s="5">
        <f>L63-Grade12!L63</f>
        <v>0</v>
      </c>
      <c r="O63" s="5">
        <f>Grade12!M63-M63</f>
        <v>0.43999999999999773</v>
      </c>
      <c r="Q63" s="22"/>
      <c r="R63" s="22"/>
      <c r="S63" s="22">
        <f t="shared" si="19"/>
        <v>0.35727999999999815</v>
      </c>
      <c r="T63" s="22">
        <f t="shared" si="20"/>
        <v>0.83816111891516776</v>
      </c>
    </row>
    <row r="64" spans="1:20" x14ac:dyDescent="0.2">
      <c r="A64" s="5">
        <v>73</v>
      </c>
      <c r="H64" s="21"/>
      <c r="M64" s="5">
        <f>scrimecost*Meta!O61</f>
        <v>55.935000000000002</v>
      </c>
      <c r="N64" s="5">
        <f>L64-Grade12!L64</f>
        <v>0</v>
      </c>
      <c r="O64" s="5">
        <f>Grade12!M64-M64</f>
        <v>0.43999999999999773</v>
      </c>
      <c r="Q64" s="22"/>
      <c r="R64" s="22"/>
      <c r="S64" s="22">
        <f t="shared" si="19"/>
        <v>0.35727999999999815</v>
      </c>
      <c r="T64" s="22">
        <f t="shared" si="20"/>
        <v>0.85150120387842576</v>
      </c>
    </row>
    <row r="65" spans="1:20" x14ac:dyDescent="0.2">
      <c r="A65" s="5">
        <v>74</v>
      </c>
      <c r="H65" s="21"/>
      <c r="M65" s="5">
        <f>scrimecost*Meta!O62</f>
        <v>55.935000000000002</v>
      </c>
      <c r="N65" s="5">
        <f>L65-Grade12!L65</f>
        <v>0</v>
      </c>
      <c r="O65" s="5">
        <f>Grade12!M65-M65</f>
        <v>0.43999999999999773</v>
      </c>
      <c r="Q65" s="22"/>
      <c r="R65" s="22"/>
      <c r="S65" s="22">
        <f t="shared" si="19"/>
        <v>0.35727999999999815</v>
      </c>
      <c r="T65" s="22">
        <f t="shared" si="20"/>
        <v>0.86505360824282385</v>
      </c>
    </row>
    <row r="66" spans="1:20" x14ac:dyDescent="0.2">
      <c r="A66" s="5">
        <v>75</v>
      </c>
      <c r="H66" s="21"/>
      <c r="M66" s="5">
        <f>scrimecost*Meta!O63</f>
        <v>55.935000000000002</v>
      </c>
      <c r="N66" s="5">
        <f>L66-Grade12!L66</f>
        <v>0</v>
      </c>
      <c r="O66" s="5">
        <f>Grade12!M66-M66</f>
        <v>0.43999999999999773</v>
      </c>
      <c r="Q66" s="22"/>
      <c r="R66" s="22"/>
      <c r="S66" s="22">
        <f t="shared" si="19"/>
        <v>0.35727999999999815</v>
      </c>
      <c r="T66" s="22">
        <f t="shared" si="20"/>
        <v>0.8788217112618093</v>
      </c>
    </row>
    <row r="67" spans="1:20" x14ac:dyDescent="0.2">
      <c r="A67" s="5">
        <v>76</v>
      </c>
      <c r="H67" s="21"/>
      <c r="M67" s="5">
        <f>scrimecost*Meta!O64</f>
        <v>55.935000000000002</v>
      </c>
      <c r="N67" s="5">
        <f>L67-Grade12!L67</f>
        <v>0</v>
      </c>
      <c r="O67" s="5">
        <f>Grade12!M67-M67</f>
        <v>0.43999999999999773</v>
      </c>
      <c r="Q67" s="22"/>
      <c r="R67" s="22"/>
      <c r="S67" s="22">
        <f t="shared" si="19"/>
        <v>0.35727999999999815</v>
      </c>
      <c r="T67" s="22">
        <f t="shared" si="20"/>
        <v>0.89280894597267524</v>
      </c>
    </row>
    <row r="68" spans="1:20" x14ac:dyDescent="0.2">
      <c r="A68" s="5">
        <v>77</v>
      </c>
      <c r="H68" s="21"/>
      <c r="M68" s="5">
        <f>scrimecost*Meta!O65</f>
        <v>55.935000000000002</v>
      </c>
      <c r="N68" s="5">
        <f>L68-Grade12!L68</f>
        <v>0</v>
      </c>
      <c r="O68" s="5">
        <f>Grade12!M68-M68</f>
        <v>0.43999999999999773</v>
      </c>
      <c r="Q68" s="22"/>
      <c r="R68" s="22"/>
      <c r="S68" s="22">
        <f t="shared" si="19"/>
        <v>0.35727999999999815</v>
      </c>
      <c r="T68" s="22">
        <f t="shared" si="20"/>
        <v>0.90701880005257751</v>
      </c>
    </row>
    <row r="69" spans="1:20" x14ac:dyDescent="0.2">
      <c r="A69" s="5">
        <v>78</v>
      </c>
      <c r="H69" s="21"/>
      <c r="M69" s="5">
        <f>scrimecost*Meta!O66</f>
        <v>55.935000000000002</v>
      </c>
      <c r="N69" s="5">
        <f>L69-Grade12!L69</f>
        <v>0</v>
      </c>
      <c r="O69" s="5">
        <f>Grade12!M69-M69</f>
        <v>0.43999999999999773</v>
      </c>
      <c r="Q69" s="22"/>
      <c r="R69" s="22"/>
      <c r="S69" s="22">
        <f t="shared" si="19"/>
        <v>0.35727999999999815</v>
      </c>
      <c r="T69" s="22">
        <f t="shared" si="20"/>
        <v>0.92145481668817897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-2.7537039315461698E-10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O12" sqref="O12"/>
    </sheetView>
  </sheetViews>
  <sheetFormatPr defaultRowHeight="12.75" x14ac:dyDescent="0.2"/>
  <cols>
    <col min="1" max="1" width="13.7109375" style="5" customWidth="1"/>
    <col min="2" max="7" width="13.7109375" style="1" customWidth="1"/>
    <col min="8" max="8" width="9.5703125" style="1" customWidth="1"/>
    <col min="9" max="9" width="9.140625" style="1"/>
    <col min="10" max="11" width="9.28515625" style="1" customWidth="1"/>
    <col min="12" max="12" width="9.140625" style="1"/>
    <col min="13" max="13" width="9.5703125" style="1" customWidth="1"/>
    <col min="14" max="14" width="9.28515625" style="1" customWidth="1"/>
    <col min="15" max="17" width="9.140625" style="1"/>
    <col min="18" max="18" width="9.5703125" style="1" bestFit="1" customWidth="1"/>
    <col min="19" max="19" width="10.140625" style="1" bestFit="1" customWidth="1"/>
    <col min="20" max="16384" width="9.140625" style="1"/>
  </cols>
  <sheetData>
    <row r="1" spans="1:20" x14ac:dyDescent="0.2">
      <c r="B1" s="1" t="s">
        <v>11</v>
      </c>
      <c r="C1" s="27" t="s">
        <v>35</v>
      </c>
      <c r="D1" s="27" t="s">
        <v>36</v>
      </c>
      <c r="E1" s="6" t="s">
        <v>9</v>
      </c>
      <c r="F1" s="6" t="s">
        <v>49</v>
      </c>
      <c r="G1" s="1" t="s">
        <v>4</v>
      </c>
      <c r="H1" s="1" t="s">
        <v>8</v>
      </c>
      <c r="J1" s="1" t="s">
        <v>56</v>
      </c>
      <c r="K1" s="1" t="s">
        <v>20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53</v>
      </c>
      <c r="T1" s="12" t="s">
        <v>57</v>
      </c>
    </row>
    <row r="2" spans="1:20" x14ac:dyDescent="0.2">
      <c r="B2" s="5">
        <f>Meta!A8+6</f>
        <v>20</v>
      </c>
      <c r="C2" s="7">
        <f>Meta!B8</f>
        <v>52647</v>
      </c>
      <c r="D2" s="7">
        <f>Meta!C8</f>
        <v>23444</v>
      </c>
      <c r="E2" s="1">
        <f>Meta!D8</f>
        <v>4.2999999999999997E-2</v>
      </c>
      <c r="F2" s="1">
        <f>Meta!F8</f>
        <v>0.72299999999999998</v>
      </c>
      <c r="G2" s="1">
        <f>Meta!I8</f>
        <v>1.8381311833585117</v>
      </c>
      <c r="H2" s="1">
        <f>Meta!E8</f>
        <v>0.81200000000000006</v>
      </c>
      <c r="I2" s="13"/>
      <c r="J2" s="1">
        <f>Meta!X7</f>
        <v>0.76600000000000001</v>
      </c>
      <c r="K2" s="1">
        <f>Meta!D7</f>
        <v>4.3999999999999997E-2</v>
      </c>
      <c r="L2" s="29"/>
      <c r="N2" s="22">
        <f>Meta!T8</f>
        <v>66598</v>
      </c>
      <c r="O2" s="22">
        <f>Meta!U8</f>
        <v>28806</v>
      </c>
      <c r="P2" s="1">
        <f>Meta!V8</f>
        <v>3.5000000000000003E-2</v>
      </c>
      <c r="Q2" s="1">
        <f>Meta!X8</f>
        <v>0.77</v>
      </c>
      <c r="R2" s="22">
        <f>Meta!W8</f>
        <v>1009</v>
      </c>
      <c r="T2" s="12">
        <f>IRR(S5:S69)+1</f>
        <v>0.98012043937700699</v>
      </c>
    </row>
    <row r="3" spans="1:20" ht="14.25" x14ac:dyDescent="0.2">
      <c r="C3" s="3"/>
      <c r="G3" s="4"/>
      <c r="L3" s="1" t="s">
        <v>10</v>
      </c>
    </row>
    <row r="4" spans="1:20" x14ac:dyDescent="0.2">
      <c r="A4" s="7" t="s">
        <v>0</v>
      </c>
      <c r="B4" s="2" t="s">
        <v>1</v>
      </c>
      <c r="C4" s="1" t="s">
        <v>37</v>
      </c>
      <c r="D4" s="1" t="s">
        <v>2</v>
      </c>
      <c r="E4" t="s">
        <v>12</v>
      </c>
      <c r="F4" t="s">
        <v>19</v>
      </c>
      <c r="G4" t="s">
        <v>18</v>
      </c>
      <c r="H4" t="s">
        <v>38</v>
      </c>
      <c r="I4" t="s">
        <v>6</v>
      </c>
      <c r="J4" s="1" t="s">
        <v>47</v>
      </c>
      <c r="L4" s="1" t="s">
        <v>48</v>
      </c>
      <c r="M4" s="1" t="s">
        <v>54</v>
      </c>
      <c r="N4" s="1" t="s">
        <v>59</v>
      </c>
      <c r="O4" s="1" t="s">
        <v>58</v>
      </c>
      <c r="P4" s="1" t="s">
        <v>55</v>
      </c>
      <c r="Q4" s="1" t="s">
        <v>17</v>
      </c>
      <c r="R4" s="1" t="s">
        <v>7</v>
      </c>
      <c r="S4" s="5" t="s">
        <v>14</v>
      </c>
      <c r="T4" s="5" t="s">
        <v>15</v>
      </c>
    </row>
    <row r="5" spans="1:20" x14ac:dyDescent="0.2">
      <c r="A5" s="5">
        <v>14</v>
      </c>
      <c r="C5" s="5"/>
      <c r="D5" s="5"/>
      <c r="E5" s="5"/>
      <c r="F5" s="5"/>
      <c r="G5" s="5"/>
      <c r="H5" s="22"/>
      <c r="I5" s="5"/>
      <c r="J5" s="26"/>
      <c r="L5" s="22"/>
      <c r="M5" s="5"/>
      <c r="N5" s="5"/>
      <c r="O5" s="5"/>
      <c r="P5" s="22"/>
      <c r="Q5" s="22"/>
      <c r="R5" s="22"/>
      <c r="S5" s="22"/>
      <c r="T5" s="22"/>
    </row>
    <row r="6" spans="1:20" x14ac:dyDescent="0.2">
      <c r="A6" s="5">
        <v>15</v>
      </c>
      <c r="C6" s="5"/>
      <c r="D6" s="5"/>
      <c r="E6" s="5"/>
      <c r="F6" s="5"/>
      <c r="G6" s="5"/>
      <c r="H6" s="22"/>
      <c r="I6" s="5"/>
      <c r="J6" s="26"/>
      <c r="L6" s="22"/>
      <c r="M6" s="5"/>
      <c r="N6" s="5"/>
      <c r="O6" s="5"/>
      <c r="P6" s="22"/>
      <c r="Q6" s="22"/>
      <c r="R6" s="22"/>
      <c r="S6" s="22"/>
      <c r="T6" s="22"/>
    </row>
    <row r="7" spans="1:20" x14ac:dyDescent="0.2">
      <c r="A7" s="5">
        <v>16</v>
      </c>
      <c r="C7" s="5"/>
      <c r="D7" s="5"/>
      <c r="E7" s="5"/>
      <c r="F7" s="5"/>
      <c r="G7" s="5"/>
      <c r="H7" s="22"/>
      <c r="I7" s="5"/>
      <c r="J7" s="26"/>
      <c r="L7" s="22"/>
      <c r="M7" s="5"/>
      <c r="N7" s="5"/>
      <c r="O7" s="5"/>
      <c r="P7" s="22"/>
      <c r="Q7" s="22"/>
      <c r="R7" s="22"/>
      <c r="S7" s="22"/>
      <c r="T7" s="22"/>
    </row>
    <row r="8" spans="1:20" x14ac:dyDescent="0.2">
      <c r="A8" s="5">
        <v>17</v>
      </c>
      <c r="C8" s="5"/>
      <c r="D8" s="5"/>
      <c r="E8" s="5"/>
      <c r="F8" s="5"/>
      <c r="G8" s="5"/>
      <c r="H8" s="22"/>
      <c r="I8" s="5"/>
      <c r="J8" s="26"/>
      <c r="L8" s="22"/>
      <c r="M8" s="5"/>
      <c r="N8" s="5"/>
      <c r="O8" s="5"/>
      <c r="P8" s="22"/>
      <c r="Q8" s="22"/>
      <c r="R8" s="22"/>
      <c r="S8" s="22"/>
      <c r="T8" s="22"/>
    </row>
    <row r="9" spans="1:20" x14ac:dyDescent="0.2">
      <c r="A9" s="5">
        <v>18</v>
      </c>
      <c r="C9" s="5"/>
      <c r="D9" s="5"/>
      <c r="E9" s="5"/>
      <c r="F9" s="5"/>
      <c r="G9" s="5"/>
      <c r="H9" s="22"/>
      <c r="I9" s="5"/>
      <c r="J9" s="26"/>
      <c r="L9" s="22"/>
      <c r="M9" s="5"/>
      <c r="N9" s="5"/>
      <c r="O9" s="5"/>
      <c r="P9" s="22"/>
      <c r="Q9" s="22"/>
      <c r="R9" s="22"/>
      <c r="S9" s="22"/>
      <c r="T9" s="22"/>
    </row>
    <row r="10" spans="1:20" x14ac:dyDescent="0.2">
      <c r="A10" s="5">
        <v>19</v>
      </c>
      <c r="B10" s="1">
        <v>1</v>
      </c>
      <c r="C10" s="5">
        <f>0.1*Grade13!C10</f>
        <v>2714.2926876623437</v>
      </c>
      <c r="D10" s="5">
        <f t="shared" ref="D10:D36" si="0">IF(A10&lt;startage,1,0)*(C10*(1-initialunempprob))+IF(A10=startage,1,0)*(C10*(1-unempprob))+IF(A10&gt;startage,1,0)*(C10*(1-unempprob)+unempprob*300*52)</f>
        <v>2594.8638094052003</v>
      </c>
      <c r="E10" s="5">
        <f t="shared" ref="E10:E56" si="1">IF(D10-9500&gt;0,1,0)*(D10-9500)</f>
        <v>0</v>
      </c>
      <c r="F10" s="5">
        <f t="shared" ref="F10:F56" si="2">IF(E10&lt;=8500,1,0)*(0.1*E10+0.1*E10+0.0765*D10)+IF(AND(E10&gt;8500,E10&lt;=34500),1,0)*(850+0.15*(E10-8500)+0.1*E10+0.0765*D10)+IF(AND(E10&gt;34500,E10&lt;=83600),1,0)*(4750+0.25*(E10-34500)+0.1*E10+0.0765*D10)+IF(AND(E10&gt;83600,E10&lt;=174400,D10&lt;=106800),1,0)*(17025+0.28*(E10-83600)+0.1*E10+0.0765*D10)+IF(AND(E10&gt;83600,E10&lt;=174400,D10&gt;106800),1,0)*(17025+0.28*(E10-83600)+0.1*E10+8170.2+0.0145*(D10-106800))+IF(AND(E10&gt;174400,E10&lt;=379150),1,0)*(42449+0.33*(E10-174400)+0.1*E10+8170.2+0.0145*(D10-106800))+IF(E10&gt;379150,1,0)*(110016.5+0.35*(E10-379150)+0.1*E10+8170.2+0.0145*(D10-106800))</f>
        <v>198.50708141949781</v>
      </c>
      <c r="G10" s="5">
        <f t="shared" ref="G10:G56" si="3">D10-F10</f>
        <v>2396.3567279857025</v>
      </c>
      <c r="H10" s="22">
        <f>0.1*Grade13!H10</f>
        <v>1215.1564924955003</v>
      </c>
      <c r="I10" s="5">
        <f t="shared" ref="I10:I36" si="4">G10+IF(A10&lt;startage,1,0)*(H10*(1-initialunempprob))+IF(A10&gt;=startage,1,0)*(H10*(1-unempprob))</f>
        <v>3558.0463348114008</v>
      </c>
      <c r="J10" s="26">
        <f t="shared" ref="J10:J56" si="5">(F10-(IF(A10&gt;startage,1,0)*(unempprob*300*52)))/(IF(A10&lt;startage,1,0)*((C10+H10)*(1-initialunempprob))+IF(A10&gt;=startage,1,0)*((C10+H10)*(1-unempprob)))</f>
        <v>5.2842874684494154E-2</v>
      </c>
      <c r="L10" s="22">
        <f>0.1*Grade13!L10</f>
        <v>4840.4321556332725</v>
      </c>
      <c r="M10" s="5">
        <f>scrimecost*Meta!O7</f>
        <v>3554.7070000000003</v>
      </c>
      <c r="N10" s="5">
        <f>L10-Grade13!L10</f>
        <v>-43563.889400699452</v>
      </c>
      <c r="O10" s="5"/>
      <c r="P10" s="22"/>
      <c r="Q10" s="22">
        <f>0.05*feel*Grade13!G10</f>
        <v>283.86970858881637</v>
      </c>
      <c r="R10" s="22">
        <f>coltuition</f>
        <v>8279</v>
      </c>
      <c r="S10" s="22">
        <f t="shared" ref="S10:S41" si="6">IF(A10&lt;startage,1,0)*(N10-Q10-R10)+IF(A10&gt;=startage,1,0)*completionprob*(N10*spart+O10+P10)</f>
        <v>-52126.759109288272</v>
      </c>
      <c r="T10" s="22">
        <f t="shared" ref="T10:T41" si="7">S10/sreturn^(A10-startage+1)</f>
        <v>-52126.759109288272</v>
      </c>
    </row>
    <row r="11" spans="1:20" x14ac:dyDescent="0.2">
      <c r="A11" s="5">
        <v>20</v>
      </c>
      <c r="B11" s="1">
        <f t="shared" ref="B11:B36" si="8">(1+experiencepremium)^(A11-startage)</f>
        <v>1</v>
      </c>
      <c r="C11" s="5">
        <f t="shared" ref="C11:C36" si="9">pretaxincome*B11/expnorm</f>
        <v>28641.590152345321</v>
      </c>
      <c r="D11" s="5">
        <f t="shared" si="0"/>
        <v>27410.00177579447</v>
      </c>
      <c r="E11" s="5">
        <f t="shared" si="1"/>
        <v>17910.00177579447</v>
      </c>
      <c r="F11" s="5">
        <f t="shared" si="2"/>
        <v>6149.365579796895</v>
      </c>
      <c r="G11" s="5">
        <f t="shared" si="3"/>
        <v>21260.636195997577</v>
      </c>
      <c r="H11" s="22">
        <f t="shared" ref="H11:H36" si="10">benefits*B11/expnorm</f>
        <v>12754.258353402543</v>
      </c>
      <c r="I11" s="5">
        <f t="shared" si="4"/>
        <v>33466.461440203813</v>
      </c>
      <c r="J11" s="26">
        <f t="shared" si="5"/>
        <v>0.15522497048193101</v>
      </c>
      <c r="L11" s="22">
        <f t="shared" ref="L11:L36" si="11">(sincome+sbenefits)*(1-sunemp)*B11/expnorm</f>
        <v>50086.120530192617</v>
      </c>
      <c r="M11" s="5">
        <f>scrimecost*Meta!O8</f>
        <v>3404.366</v>
      </c>
      <c r="N11" s="5">
        <f>L11-Grade13!L11</f>
        <v>471.6909349515845</v>
      </c>
      <c r="O11" s="5">
        <f>Grade13!M11-M11</f>
        <v>26.992000000000189</v>
      </c>
      <c r="P11" s="22">
        <f t="shared" ref="P11:P56" si="12">(spart-initialspart)*(L11*J11+nptrans)</f>
        <v>57.314466323414401</v>
      </c>
      <c r="Q11" s="22"/>
      <c r="R11" s="22"/>
      <c r="S11" s="22">
        <f t="shared" si="6"/>
        <v>363.37689082374141</v>
      </c>
      <c r="T11" s="22">
        <f t="shared" si="7"/>
        <v>370.74718190216942</v>
      </c>
    </row>
    <row r="12" spans="1:20" x14ac:dyDescent="0.2">
      <c r="A12" s="5">
        <v>21</v>
      </c>
      <c r="B12" s="1">
        <f t="shared" si="8"/>
        <v>1.0249999999999999</v>
      </c>
      <c r="C12" s="5">
        <f t="shared" si="9"/>
        <v>29357.62990615395</v>
      </c>
      <c r="D12" s="5">
        <f t="shared" si="0"/>
        <v>28766.051820189328</v>
      </c>
      <c r="E12" s="5">
        <f t="shared" si="1"/>
        <v>19266.051820189328</v>
      </c>
      <c r="F12" s="5">
        <f t="shared" si="2"/>
        <v>6592.1159192918158</v>
      </c>
      <c r="G12" s="5">
        <f t="shared" si="3"/>
        <v>22173.935900897512</v>
      </c>
      <c r="H12" s="22">
        <f t="shared" si="10"/>
        <v>13073.114812237607</v>
      </c>
      <c r="I12" s="5">
        <f t="shared" si="4"/>
        <v>34684.906776208903</v>
      </c>
      <c r="J12" s="26">
        <f t="shared" si="5"/>
        <v>0.14582286965460378</v>
      </c>
      <c r="L12" s="22">
        <f t="shared" si="11"/>
        <v>51338.273543447431</v>
      </c>
      <c r="M12" s="5">
        <f>scrimecost*Meta!O9</f>
        <v>3091.576</v>
      </c>
      <c r="N12" s="5">
        <f>L12-Grade13!L12</f>
        <v>483.4832083253641</v>
      </c>
      <c r="O12" s="5">
        <f>Grade13!M12-M12</f>
        <v>24.512000000000171</v>
      </c>
      <c r="P12" s="22">
        <f t="shared" si="12"/>
        <v>56.161177484874166</v>
      </c>
      <c r="Q12" s="22"/>
      <c r="R12" s="22"/>
      <c r="S12" s="22">
        <f t="shared" si="6"/>
        <v>367.79966129106862</v>
      </c>
      <c r="T12" s="22">
        <f t="shared" si="7"/>
        <v>382.87096497907794</v>
      </c>
    </row>
    <row r="13" spans="1:20" x14ac:dyDescent="0.2">
      <c r="A13" s="5">
        <v>22</v>
      </c>
      <c r="B13" s="1">
        <f t="shared" si="8"/>
        <v>1.0506249999999999</v>
      </c>
      <c r="C13" s="5">
        <f t="shared" si="9"/>
        <v>30091.570653807801</v>
      </c>
      <c r="D13" s="5">
        <f t="shared" si="0"/>
        <v>29468.433115694064</v>
      </c>
      <c r="E13" s="5">
        <f t="shared" si="1"/>
        <v>19968.433115694064</v>
      </c>
      <c r="F13" s="5">
        <f t="shared" si="2"/>
        <v>6821.4434122741113</v>
      </c>
      <c r="G13" s="5">
        <f t="shared" si="3"/>
        <v>22646.989703419953</v>
      </c>
      <c r="H13" s="22">
        <f t="shared" si="10"/>
        <v>13399.942682543546</v>
      </c>
      <c r="I13" s="5">
        <f t="shared" si="4"/>
        <v>35470.734850614128</v>
      </c>
      <c r="J13" s="26">
        <f t="shared" si="5"/>
        <v>0.14777606290271128</v>
      </c>
      <c r="L13" s="22">
        <f t="shared" si="11"/>
        <v>52621.730382033616</v>
      </c>
      <c r="M13" s="5">
        <f>scrimecost*Meta!O10</f>
        <v>2833.2719999999999</v>
      </c>
      <c r="N13" s="5">
        <f>L13-Grade13!L13</f>
        <v>495.57028853350494</v>
      </c>
      <c r="O13" s="5">
        <f>Grade13!M13-M13</f>
        <v>22.463999999999942</v>
      </c>
      <c r="P13" s="22">
        <f t="shared" si="12"/>
        <v>57.320928555939702</v>
      </c>
      <c r="Q13" s="22"/>
      <c r="R13" s="22"/>
      <c r="S13" s="22">
        <f t="shared" si="6"/>
        <v>374.63572919011165</v>
      </c>
      <c r="T13" s="22">
        <f t="shared" si="7"/>
        <v>397.89717501678894</v>
      </c>
    </row>
    <row r="14" spans="1:20" x14ac:dyDescent="0.2">
      <c r="A14" s="5">
        <v>23</v>
      </c>
      <c r="B14" s="1">
        <f t="shared" si="8"/>
        <v>1.0768906249999999</v>
      </c>
      <c r="C14" s="5">
        <f t="shared" si="9"/>
        <v>30843.859920152994</v>
      </c>
      <c r="D14" s="5">
        <f t="shared" si="0"/>
        <v>30188.373943586412</v>
      </c>
      <c r="E14" s="5">
        <f t="shared" si="1"/>
        <v>20688.373943586412</v>
      </c>
      <c r="F14" s="5">
        <f t="shared" si="2"/>
        <v>7056.5040925809635</v>
      </c>
      <c r="G14" s="5">
        <f t="shared" si="3"/>
        <v>23131.869851005449</v>
      </c>
      <c r="H14" s="22">
        <f t="shared" si="10"/>
        <v>13734.941249607135</v>
      </c>
      <c r="I14" s="5">
        <f t="shared" si="4"/>
        <v>36276.208626879474</v>
      </c>
      <c r="J14" s="26">
        <f t="shared" si="5"/>
        <v>0.14968161729110877</v>
      </c>
      <c r="L14" s="22">
        <f t="shared" si="11"/>
        <v>53937.273641584456</v>
      </c>
      <c r="M14" s="5">
        <f>scrimecost*Meta!O11</f>
        <v>2647.616</v>
      </c>
      <c r="N14" s="5">
        <f>L14-Grade13!L14</f>
        <v>507.95954574683856</v>
      </c>
      <c r="O14" s="5">
        <f>Grade13!M14-M14</f>
        <v>20.992000000000189</v>
      </c>
      <c r="P14" s="22">
        <f t="shared" si="12"/>
        <v>58.509673403781861</v>
      </c>
      <c r="Q14" s="22"/>
      <c r="R14" s="22"/>
      <c r="S14" s="22">
        <f t="shared" si="6"/>
        <v>382.15198518662442</v>
      </c>
      <c r="T14" s="22">
        <f t="shared" si="7"/>
        <v>414.11249610694091</v>
      </c>
    </row>
    <row r="15" spans="1:20" x14ac:dyDescent="0.2">
      <c r="A15" s="5">
        <v>24</v>
      </c>
      <c r="B15" s="1">
        <f t="shared" si="8"/>
        <v>1.1038128906249998</v>
      </c>
      <c r="C15" s="5">
        <f t="shared" si="9"/>
        <v>31614.956418156817</v>
      </c>
      <c r="D15" s="5">
        <f t="shared" si="0"/>
        <v>30926.31329217607</v>
      </c>
      <c r="E15" s="5">
        <f t="shared" si="1"/>
        <v>21426.31329217607</v>
      </c>
      <c r="F15" s="5">
        <f t="shared" si="2"/>
        <v>7297.441289895487</v>
      </c>
      <c r="G15" s="5">
        <f t="shared" si="3"/>
        <v>23628.872002280583</v>
      </c>
      <c r="H15" s="22">
        <f t="shared" si="10"/>
        <v>14078.314780847311</v>
      </c>
      <c r="I15" s="5">
        <f t="shared" si="4"/>
        <v>37101.819247551459</v>
      </c>
      <c r="J15" s="26">
        <f t="shared" si="5"/>
        <v>0.15154069474320392</v>
      </c>
      <c r="L15" s="22">
        <f t="shared" si="11"/>
        <v>55285.705482624064</v>
      </c>
      <c r="M15" s="5">
        <f>scrimecost*Meta!O12</f>
        <v>2529.5630000000001</v>
      </c>
      <c r="N15" s="5">
        <f>L15-Grade13!L15</f>
        <v>520.65853439051716</v>
      </c>
      <c r="O15" s="5">
        <f>Grade13!M15-M15</f>
        <v>20.05600000000004</v>
      </c>
      <c r="P15" s="22">
        <f t="shared" si="12"/>
        <v>59.728136872820087</v>
      </c>
      <c r="Q15" s="22"/>
      <c r="R15" s="22"/>
      <c r="S15" s="22">
        <f t="shared" si="6"/>
        <v>390.32126118305689</v>
      </c>
      <c r="T15" s="22">
        <f t="shared" si="7"/>
        <v>431.54389607684902</v>
      </c>
    </row>
    <row r="16" spans="1:20" x14ac:dyDescent="0.2">
      <c r="A16" s="5">
        <v>25</v>
      </c>
      <c r="B16" s="1">
        <f t="shared" si="8"/>
        <v>1.1314082128906247</v>
      </c>
      <c r="C16" s="5">
        <f t="shared" si="9"/>
        <v>32405.330328610737</v>
      </c>
      <c r="D16" s="5">
        <f t="shared" si="0"/>
        <v>31682.701124480474</v>
      </c>
      <c r="E16" s="5">
        <f t="shared" si="1"/>
        <v>22182.701124480474</v>
      </c>
      <c r="F16" s="5">
        <f t="shared" si="2"/>
        <v>7544.4019171428754</v>
      </c>
      <c r="G16" s="5">
        <f t="shared" si="3"/>
        <v>24138.299207337601</v>
      </c>
      <c r="H16" s="22">
        <f t="shared" si="10"/>
        <v>14430.272650368493</v>
      </c>
      <c r="I16" s="5">
        <f t="shared" si="4"/>
        <v>37948.07013374025</v>
      </c>
      <c r="J16" s="26">
        <f t="shared" si="5"/>
        <v>0.15335442884280898</v>
      </c>
      <c r="L16" s="22">
        <f t="shared" si="11"/>
        <v>56667.848119689654</v>
      </c>
      <c r="M16" s="5">
        <f>scrimecost*Meta!O13</f>
        <v>2123.9450000000002</v>
      </c>
      <c r="N16" s="5">
        <f>L16-Grade13!L16</f>
        <v>533.67499775026954</v>
      </c>
      <c r="O16" s="5">
        <f>Grade13!M16-M16</f>
        <v>16.839999999999691</v>
      </c>
      <c r="P16" s="22">
        <f t="shared" si="12"/>
        <v>60.977061928584263</v>
      </c>
      <c r="Q16" s="22"/>
      <c r="R16" s="22"/>
      <c r="S16" s="22">
        <f t="shared" si="6"/>
        <v>396.86240987938874</v>
      </c>
      <c r="T16" s="22">
        <f t="shared" si="7"/>
        <v>447.67546045823707</v>
      </c>
    </row>
    <row r="17" spans="1:20" x14ac:dyDescent="0.2">
      <c r="A17" s="5">
        <v>26</v>
      </c>
      <c r="B17" s="1">
        <f t="shared" si="8"/>
        <v>1.1596934182128902</v>
      </c>
      <c r="C17" s="5">
        <f t="shared" si="9"/>
        <v>33215.463586826001</v>
      </c>
      <c r="D17" s="5">
        <f t="shared" si="0"/>
        <v>32457.99865259248</v>
      </c>
      <c r="E17" s="5">
        <f t="shared" si="1"/>
        <v>22957.99865259248</v>
      </c>
      <c r="F17" s="5">
        <f t="shared" si="2"/>
        <v>7797.5365600714449</v>
      </c>
      <c r="G17" s="5">
        <f t="shared" si="3"/>
        <v>24660.462092521033</v>
      </c>
      <c r="H17" s="22">
        <f t="shared" si="10"/>
        <v>14791.029466627704</v>
      </c>
      <c r="I17" s="5">
        <f t="shared" si="4"/>
        <v>38815.477292083742</v>
      </c>
      <c r="J17" s="26">
        <f t="shared" si="5"/>
        <v>0.1551239255253504</v>
      </c>
      <c r="L17" s="22">
        <f t="shared" si="11"/>
        <v>58084.54432268189</v>
      </c>
      <c r="M17" s="5">
        <f>scrimecost*Meta!O14</f>
        <v>2123.9450000000002</v>
      </c>
      <c r="N17" s="5">
        <f>L17-Grade13!L17</f>
        <v>547.01687269401737</v>
      </c>
      <c r="O17" s="5">
        <f>Grade13!M17-M17</f>
        <v>16.839999999999691</v>
      </c>
      <c r="P17" s="22">
        <f t="shared" si="12"/>
        <v>62.257210110742541</v>
      </c>
      <c r="Q17" s="22"/>
      <c r="R17" s="22"/>
      <c r="S17" s="22">
        <f t="shared" si="6"/>
        <v>406.24376409313015</v>
      </c>
      <c r="T17" s="22">
        <f t="shared" si="7"/>
        <v>467.5527171921039</v>
      </c>
    </row>
    <row r="18" spans="1:20" x14ac:dyDescent="0.2">
      <c r="A18" s="5">
        <v>27</v>
      </c>
      <c r="B18" s="1">
        <f t="shared" si="8"/>
        <v>1.1886857536682125</v>
      </c>
      <c r="C18" s="5">
        <f t="shared" si="9"/>
        <v>34045.85017649665</v>
      </c>
      <c r="D18" s="5">
        <f t="shared" si="0"/>
        <v>33252.678618907295</v>
      </c>
      <c r="E18" s="5">
        <f t="shared" si="1"/>
        <v>23752.678618907295</v>
      </c>
      <c r="F18" s="5">
        <f t="shared" si="2"/>
        <v>8056.9995690732321</v>
      </c>
      <c r="G18" s="5">
        <f t="shared" si="3"/>
        <v>25195.679049834063</v>
      </c>
      <c r="H18" s="22">
        <f t="shared" si="10"/>
        <v>15160.805203293397</v>
      </c>
      <c r="I18" s="5">
        <f t="shared" si="4"/>
        <v>39704.569629385842</v>
      </c>
      <c r="J18" s="26">
        <f t="shared" si="5"/>
        <v>0.15685026375222016</v>
      </c>
      <c r="L18" s="22">
        <f t="shared" si="11"/>
        <v>59536.657930748937</v>
      </c>
      <c r="M18" s="5">
        <f>scrimecost*Meta!O15</f>
        <v>2123.9450000000002</v>
      </c>
      <c r="N18" s="5">
        <f>L18-Grade13!L18</f>
        <v>560.69229451137653</v>
      </c>
      <c r="O18" s="5">
        <f>Grade13!M18-M18</f>
        <v>16.839999999999691</v>
      </c>
      <c r="P18" s="22">
        <f t="shared" si="12"/>
        <v>63.569361997454784</v>
      </c>
      <c r="Q18" s="22"/>
      <c r="R18" s="22"/>
      <c r="S18" s="22">
        <f t="shared" si="6"/>
        <v>415.85965216222615</v>
      </c>
      <c r="T18" s="22">
        <f t="shared" si="7"/>
        <v>488.3275399309299</v>
      </c>
    </row>
    <row r="19" spans="1:20" x14ac:dyDescent="0.2">
      <c r="A19" s="5">
        <v>28</v>
      </c>
      <c r="B19" s="1">
        <f t="shared" si="8"/>
        <v>1.2184028975099177</v>
      </c>
      <c r="C19" s="5">
        <f t="shared" si="9"/>
        <v>34896.996430909065</v>
      </c>
      <c r="D19" s="5">
        <f t="shared" si="0"/>
        <v>34067.225584379979</v>
      </c>
      <c r="E19" s="5">
        <f t="shared" si="1"/>
        <v>24567.225584379979</v>
      </c>
      <c r="F19" s="5">
        <f t="shared" si="2"/>
        <v>8322.9491533000637</v>
      </c>
      <c r="G19" s="5">
        <f t="shared" si="3"/>
        <v>25744.276431079918</v>
      </c>
      <c r="H19" s="22">
        <f t="shared" si="10"/>
        <v>15539.825333375731</v>
      </c>
      <c r="I19" s="5">
        <f t="shared" si="4"/>
        <v>40615.889275120491</v>
      </c>
      <c r="J19" s="26">
        <f t="shared" si="5"/>
        <v>0.15853449616867848</v>
      </c>
      <c r="L19" s="22">
        <f t="shared" si="11"/>
        <v>61025.074379017657</v>
      </c>
      <c r="M19" s="5">
        <f>scrimecost*Meta!O16</f>
        <v>2123.9450000000002</v>
      </c>
      <c r="N19" s="5">
        <f>L19-Grade13!L19</f>
        <v>574.70960187416495</v>
      </c>
      <c r="O19" s="5">
        <f>Grade13!M19-M19</f>
        <v>16.839999999999691</v>
      </c>
      <c r="P19" s="22">
        <f t="shared" si="12"/>
        <v>64.914317681334836</v>
      </c>
      <c r="Q19" s="22"/>
      <c r="R19" s="22"/>
      <c r="S19" s="22">
        <f t="shared" si="6"/>
        <v>425.71593743304652</v>
      </c>
      <c r="T19" s="22">
        <f t="shared" si="7"/>
        <v>510.04077230583334</v>
      </c>
    </row>
    <row r="20" spans="1:20" x14ac:dyDescent="0.2">
      <c r="A20" s="5">
        <v>29</v>
      </c>
      <c r="B20" s="1">
        <f t="shared" si="8"/>
        <v>1.2488629699476654</v>
      </c>
      <c r="C20" s="5">
        <f t="shared" si="9"/>
        <v>35769.421341681787</v>
      </c>
      <c r="D20" s="5">
        <f t="shared" si="0"/>
        <v>34902.136223989473</v>
      </c>
      <c r="E20" s="5">
        <f t="shared" si="1"/>
        <v>25402.136223989473</v>
      </c>
      <c r="F20" s="5">
        <f t="shared" si="2"/>
        <v>8595.5474771325626</v>
      </c>
      <c r="G20" s="5">
        <f t="shared" si="3"/>
        <v>26306.588746856913</v>
      </c>
      <c r="H20" s="22">
        <f t="shared" si="10"/>
        <v>15928.320966710122</v>
      </c>
      <c r="I20" s="5">
        <f t="shared" si="4"/>
        <v>41549.991911998499</v>
      </c>
      <c r="J20" s="26">
        <f t="shared" si="5"/>
        <v>0.16017764974571091</v>
      </c>
      <c r="L20" s="22">
        <f t="shared" si="11"/>
        <v>62550.701238493086</v>
      </c>
      <c r="M20" s="5">
        <f>scrimecost*Meta!O17</f>
        <v>2123.9450000000002</v>
      </c>
      <c r="N20" s="5">
        <f>L20-Grade13!L20</f>
        <v>589.07734192100907</v>
      </c>
      <c r="O20" s="5">
        <f>Grade13!M20-M20</f>
        <v>16.839999999999691</v>
      </c>
      <c r="P20" s="22">
        <f t="shared" si="12"/>
        <v>66.292897257311864</v>
      </c>
      <c r="Q20" s="22"/>
      <c r="R20" s="22"/>
      <c r="S20" s="22">
        <f t="shared" si="6"/>
        <v>435.81862983562871</v>
      </c>
      <c r="T20" s="22">
        <f t="shared" si="7"/>
        <v>532.73512298355604</v>
      </c>
    </row>
    <row r="21" spans="1:20" x14ac:dyDescent="0.2">
      <c r="A21" s="5">
        <v>30</v>
      </c>
      <c r="B21" s="1">
        <f t="shared" si="8"/>
        <v>1.2800845441963571</v>
      </c>
      <c r="C21" s="5">
        <f t="shared" si="9"/>
        <v>36663.656875223831</v>
      </c>
      <c r="D21" s="5">
        <f t="shared" si="0"/>
        <v>35757.919629589211</v>
      </c>
      <c r="E21" s="5">
        <f t="shared" si="1"/>
        <v>26257.919629589211</v>
      </c>
      <c r="F21" s="5">
        <f t="shared" si="2"/>
        <v>8874.9607590608775</v>
      </c>
      <c r="G21" s="5">
        <f t="shared" si="3"/>
        <v>26882.958870528331</v>
      </c>
      <c r="H21" s="22">
        <f t="shared" si="10"/>
        <v>16326.528990877876</v>
      </c>
      <c r="I21" s="5">
        <f t="shared" si="4"/>
        <v>42507.447114798459</v>
      </c>
      <c r="J21" s="26">
        <f t="shared" si="5"/>
        <v>0.16178072640623045</v>
      </c>
      <c r="L21" s="22">
        <f t="shared" si="11"/>
        <v>64114.468769455416</v>
      </c>
      <c r="M21" s="5">
        <f>scrimecost*Meta!O18</f>
        <v>1712.2730000000001</v>
      </c>
      <c r="N21" s="5">
        <f>L21-Grade13!L21</f>
        <v>603.80427546903957</v>
      </c>
      <c r="O21" s="5">
        <f>Grade13!M21-M21</f>
        <v>13.576000000000022</v>
      </c>
      <c r="P21" s="22">
        <f t="shared" si="12"/>
        <v>67.705941322688361</v>
      </c>
      <c r="Q21" s="22"/>
      <c r="R21" s="22"/>
      <c r="S21" s="22">
        <f t="shared" si="6"/>
        <v>443.52352154828532</v>
      </c>
      <c r="T21" s="22">
        <f t="shared" si="7"/>
        <v>553.14978816913799</v>
      </c>
    </row>
    <row r="22" spans="1:20" x14ac:dyDescent="0.2">
      <c r="A22" s="5">
        <v>31</v>
      </c>
      <c r="B22" s="1">
        <f t="shared" si="8"/>
        <v>1.312086657801266</v>
      </c>
      <c r="C22" s="5">
        <f t="shared" si="9"/>
        <v>37580.248297104423</v>
      </c>
      <c r="D22" s="5">
        <f t="shared" si="0"/>
        <v>36635.097620328932</v>
      </c>
      <c r="E22" s="5">
        <f t="shared" si="1"/>
        <v>27135.097620328932</v>
      </c>
      <c r="F22" s="5">
        <f t="shared" si="2"/>
        <v>9161.3593730373959</v>
      </c>
      <c r="G22" s="5">
        <f t="shared" si="3"/>
        <v>27473.738247291534</v>
      </c>
      <c r="H22" s="22">
        <f t="shared" si="10"/>
        <v>16734.692215649822</v>
      </c>
      <c r="I22" s="5">
        <f t="shared" si="4"/>
        <v>43488.838697668412</v>
      </c>
      <c r="J22" s="26">
        <f t="shared" si="5"/>
        <v>0.16334470363600551</v>
      </c>
      <c r="L22" s="22">
        <f t="shared" si="11"/>
        <v>65717.330488691805</v>
      </c>
      <c r="M22" s="5">
        <f>scrimecost*Meta!O19</f>
        <v>1712.2730000000001</v>
      </c>
      <c r="N22" s="5">
        <f>L22-Grade13!L22</f>
        <v>618.89938235576847</v>
      </c>
      <c r="O22" s="5">
        <f>Grade13!M22-M22</f>
        <v>13.576000000000022</v>
      </c>
      <c r="P22" s="22">
        <f t="shared" si="12"/>
        <v>69.154311489699239</v>
      </c>
      <c r="Q22" s="22"/>
      <c r="R22" s="22"/>
      <c r="S22" s="22">
        <f t="shared" si="6"/>
        <v>454.1376627537565</v>
      </c>
      <c r="T22" s="22">
        <f t="shared" si="7"/>
        <v>577.87534801877018</v>
      </c>
    </row>
    <row r="23" spans="1:20" x14ac:dyDescent="0.2">
      <c r="A23" s="5">
        <v>32</v>
      </c>
      <c r="B23" s="1">
        <f t="shared" si="8"/>
        <v>1.3448888242462975</v>
      </c>
      <c r="C23" s="5">
        <f t="shared" si="9"/>
        <v>38519.754504532029</v>
      </c>
      <c r="D23" s="5">
        <f t="shared" si="0"/>
        <v>37534.20506083715</v>
      </c>
      <c r="E23" s="5">
        <f t="shared" si="1"/>
        <v>28034.20506083715</v>
      </c>
      <c r="F23" s="5">
        <f t="shared" si="2"/>
        <v>9454.9179523633284</v>
      </c>
      <c r="G23" s="5">
        <f t="shared" si="3"/>
        <v>28079.287108473822</v>
      </c>
      <c r="H23" s="22">
        <f t="shared" si="10"/>
        <v>17153.059521041065</v>
      </c>
      <c r="I23" s="5">
        <f t="shared" si="4"/>
        <v>44494.765070110123</v>
      </c>
      <c r="J23" s="26">
        <f t="shared" si="5"/>
        <v>0.16487053507968849</v>
      </c>
      <c r="L23" s="22">
        <f t="shared" si="11"/>
        <v>67360.2637509091</v>
      </c>
      <c r="M23" s="5">
        <f>scrimecost*Meta!O20</f>
        <v>1712.2730000000001</v>
      </c>
      <c r="N23" s="5">
        <f>L23-Grade13!L23</f>
        <v>634.37186691466195</v>
      </c>
      <c r="O23" s="5">
        <f>Grade13!M23-M23</f>
        <v>13.576000000000022</v>
      </c>
      <c r="P23" s="22">
        <f t="shared" si="12"/>
        <v>70.63889091088538</v>
      </c>
      <c r="Q23" s="22"/>
      <c r="R23" s="22"/>
      <c r="S23" s="22">
        <f t="shared" si="6"/>
        <v>465.01715748936226</v>
      </c>
      <c r="T23" s="22">
        <f t="shared" si="7"/>
        <v>603.72085518864708</v>
      </c>
    </row>
    <row r="24" spans="1:20" x14ac:dyDescent="0.2">
      <c r="A24" s="5">
        <v>33</v>
      </c>
      <c r="B24" s="1">
        <f t="shared" si="8"/>
        <v>1.3785110448524549</v>
      </c>
      <c r="C24" s="5">
        <f t="shared" si="9"/>
        <v>39482.74836714533</v>
      </c>
      <c r="D24" s="5">
        <f t="shared" si="0"/>
        <v>38455.790187358085</v>
      </c>
      <c r="E24" s="5">
        <f t="shared" si="1"/>
        <v>28955.790187358085</v>
      </c>
      <c r="F24" s="5">
        <f t="shared" si="2"/>
        <v>9755.815496172414</v>
      </c>
      <c r="G24" s="5">
        <f t="shared" si="3"/>
        <v>28699.974691185671</v>
      </c>
      <c r="H24" s="22">
        <f t="shared" si="10"/>
        <v>17581.886009067093</v>
      </c>
      <c r="I24" s="5">
        <f t="shared" si="4"/>
        <v>45525.839601862877</v>
      </c>
      <c r="J24" s="26">
        <f t="shared" si="5"/>
        <v>0.16635915112230612</v>
      </c>
      <c r="L24" s="22">
        <f t="shared" si="11"/>
        <v>69044.27034468182</v>
      </c>
      <c r="M24" s="5">
        <f>scrimecost*Meta!O21</f>
        <v>1712.2730000000001</v>
      </c>
      <c r="N24" s="5">
        <f>L24-Grade13!L24</f>
        <v>650.23116358753759</v>
      </c>
      <c r="O24" s="5">
        <f>Grade13!M24-M24</f>
        <v>13.576000000000022</v>
      </c>
      <c r="P24" s="22">
        <f t="shared" si="12"/>
        <v>72.160584817601205</v>
      </c>
      <c r="Q24" s="22"/>
      <c r="R24" s="22"/>
      <c r="S24" s="22">
        <f t="shared" si="6"/>
        <v>476.16863959336416</v>
      </c>
      <c r="T24" s="22">
        <f t="shared" si="7"/>
        <v>630.73734378787731</v>
      </c>
    </row>
    <row r="25" spans="1:20" x14ac:dyDescent="0.2">
      <c r="A25" s="5">
        <v>34</v>
      </c>
      <c r="B25" s="1">
        <f t="shared" si="8"/>
        <v>1.4129738209737661</v>
      </c>
      <c r="C25" s="5">
        <f t="shared" si="9"/>
        <v>40469.817076323954</v>
      </c>
      <c r="D25" s="5">
        <f t="shared" si="0"/>
        <v>39400.414942042029</v>
      </c>
      <c r="E25" s="5">
        <f t="shared" si="1"/>
        <v>29900.414942042029</v>
      </c>
      <c r="F25" s="5">
        <f t="shared" si="2"/>
        <v>10064.235478576722</v>
      </c>
      <c r="G25" s="5">
        <f t="shared" si="3"/>
        <v>29336.179463465305</v>
      </c>
      <c r="H25" s="22">
        <f t="shared" si="10"/>
        <v>18021.433159293767</v>
      </c>
      <c r="I25" s="5">
        <f t="shared" si="4"/>
        <v>46582.690996909441</v>
      </c>
      <c r="J25" s="26">
        <f t="shared" si="5"/>
        <v>0.1678114594565672</v>
      </c>
      <c r="L25" s="22">
        <f t="shared" si="11"/>
        <v>70770.377103298859</v>
      </c>
      <c r="M25" s="5">
        <f>scrimecost*Meta!O22</f>
        <v>1712.2730000000001</v>
      </c>
      <c r="N25" s="5">
        <f>L25-Grade13!L25</f>
        <v>666.48694267720566</v>
      </c>
      <c r="O25" s="5">
        <f>Grade13!M25-M25</f>
        <v>13.576000000000022</v>
      </c>
      <c r="P25" s="22">
        <f t="shared" si="12"/>
        <v>73.720321071984898</v>
      </c>
      <c r="Q25" s="22"/>
      <c r="R25" s="22"/>
      <c r="S25" s="22">
        <f t="shared" si="6"/>
        <v>487.59890874994784</v>
      </c>
      <c r="T25" s="22">
        <f t="shared" si="7"/>
        <v>658.97817973714371</v>
      </c>
    </row>
    <row r="26" spans="1:20" x14ac:dyDescent="0.2">
      <c r="A26" s="5">
        <v>35</v>
      </c>
      <c r="B26" s="1">
        <f t="shared" si="8"/>
        <v>1.4482981664981105</v>
      </c>
      <c r="C26" s="5">
        <f t="shared" si="9"/>
        <v>41481.562503232068</v>
      </c>
      <c r="D26" s="5">
        <f t="shared" si="0"/>
        <v>40368.655315593089</v>
      </c>
      <c r="E26" s="5">
        <f t="shared" si="1"/>
        <v>30868.655315593089</v>
      </c>
      <c r="F26" s="5">
        <f t="shared" si="2"/>
        <v>10380.365960541143</v>
      </c>
      <c r="G26" s="5">
        <f t="shared" si="3"/>
        <v>29988.289355051944</v>
      </c>
      <c r="H26" s="22">
        <f t="shared" si="10"/>
        <v>18471.968988276116</v>
      </c>
      <c r="I26" s="5">
        <f t="shared" si="4"/>
        <v>47665.963676832187</v>
      </c>
      <c r="J26" s="26">
        <f t="shared" si="5"/>
        <v>0.1692283456363341</v>
      </c>
      <c r="L26" s="22">
        <f t="shared" si="11"/>
        <v>72539.63653088134</v>
      </c>
      <c r="M26" s="5">
        <f>scrimecost*Meta!O23</f>
        <v>1328.8529999999998</v>
      </c>
      <c r="N26" s="5">
        <f>L26-Grade13!L26</f>
        <v>683.14911624415254</v>
      </c>
      <c r="O26" s="5">
        <f>Grade13!M26-M26</f>
        <v>10.536000000000058</v>
      </c>
      <c r="P26" s="22">
        <f t="shared" si="12"/>
        <v>75.319050732728201</v>
      </c>
      <c r="Q26" s="22"/>
      <c r="R26" s="22"/>
      <c r="S26" s="22">
        <f t="shared" si="6"/>
        <v>496.84645463546934</v>
      </c>
      <c r="T26" s="22">
        <f t="shared" si="7"/>
        <v>685.09541099907472</v>
      </c>
    </row>
    <row r="27" spans="1:20" x14ac:dyDescent="0.2">
      <c r="A27" s="5">
        <v>36</v>
      </c>
      <c r="B27" s="1">
        <f t="shared" si="8"/>
        <v>1.4845056206605631</v>
      </c>
      <c r="C27" s="5">
        <f t="shared" si="9"/>
        <v>42518.601565812867</v>
      </c>
      <c r="D27" s="5">
        <f t="shared" si="0"/>
        <v>41361.101698482918</v>
      </c>
      <c r="E27" s="5">
        <f t="shared" si="1"/>
        <v>31861.101698482918</v>
      </c>
      <c r="F27" s="5">
        <f t="shared" si="2"/>
        <v>10704.399704554673</v>
      </c>
      <c r="G27" s="5">
        <f t="shared" si="3"/>
        <v>30656.701993928247</v>
      </c>
      <c r="H27" s="22">
        <f t="shared" si="10"/>
        <v>18933.768212983014</v>
      </c>
      <c r="I27" s="5">
        <f t="shared" si="4"/>
        <v>48776.318173752996</v>
      </c>
      <c r="J27" s="26">
        <f t="shared" si="5"/>
        <v>0.17061067361659452</v>
      </c>
      <c r="L27" s="22">
        <f t="shared" si="11"/>
        <v>74353.127444153361</v>
      </c>
      <c r="M27" s="5">
        <f>scrimecost*Meta!O24</f>
        <v>1328.8529999999998</v>
      </c>
      <c r="N27" s="5">
        <f>L27-Grade13!L27</f>
        <v>700.22784415025671</v>
      </c>
      <c r="O27" s="5">
        <f>Grade13!M27-M27</f>
        <v>10.536000000000058</v>
      </c>
      <c r="P27" s="22">
        <f t="shared" si="12"/>
        <v>76.957748634990082</v>
      </c>
      <c r="Q27" s="22"/>
      <c r="R27" s="22"/>
      <c r="S27" s="22">
        <f t="shared" si="6"/>
        <v>508.85538116811853</v>
      </c>
      <c r="T27" s="22">
        <f t="shared" si="7"/>
        <v>715.88586727551183</v>
      </c>
    </row>
    <row r="28" spans="1:20" x14ac:dyDescent="0.2">
      <c r="A28" s="5">
        <v>37</v>
      </c>
      <c r="B28" s="1">
        <f t="shared" si="8"/>
        <v>1.521618261177077</v>
      </c>
      <c r="C28" s="5">
        <f t="shared" si="9"/>
        <v>43581.566604958185</v>
      </c>
      <c r="D28" s="5">
        <f t="shared" si="0"/>
        <v>42378.359240944985</v>
      </c>
      <c r="E28" s="5">
        <f t="shared" si="1"/>
        <v>32878.359240944985</v>
      </c>
      <c r="F28" s="5">
        <f t="shared" si="2"/>
        <v>11036.534292168537</v>
      </c>
      <c r="G28" s="5">
        <f t="shared" si="3"/>
        <v>31341.824948776448</v>
      </c>
      <c r="H28" s="22">
        <f t="shared" si="10"/>
        <v>19407.112418307588</v>
      </c>
      <c r="I28" s="5">
        <f t="shared" si="4"/>
        <v>49914.431533096809</v>
      </c>
      <c r="J28" s="26">
        <f t="shared" si="5"/>
        <v>0.17195928628026314</v>
      </c>
      <c r="L28" s="22">
        <f t="shared" si="11"/>
        <v>76211.955630257187</v>
      </c>
      <c r="M28" s="5">
        <f>scrimecost*Meta!O25</f>
        <v>1328.8529999999998</v>
      </c>
      <c r="N28" s="5">
        <f>L28-Grade13!L28</f>
        <v>717.73354025399021</v>
      </c>
      <c r="O28" s="5">
        <f>Grade13!M28-M28</f>
        <v>10.536000000000058</v>
      </c>
      <c r="P28" s="22">
        <f t="shared" si="12"/>
        <v>78.637413984808504</v>
      </c>
      <c r="Q28" s="22"/>
      <c r="R28" s="22"/>
      <c r="S28" s="22">
        <f t="shared" si="6"/>
        <v>521.16453086406943</v>
      </c>
      <c r="T28" s="22">
        <f t="shared" si="7"/>
        <v>748.07445060710324</v>
      </c>
    </row>
    <row r="29" spans="1:20" x14ac:dyDescent="0.2">
      <c r="A29" s="5">
        <v>38</v>
      </c>
      <c r="B29" s="1">
        <f t="shared" si="8"/>
        <v>1.559658717706504</v>
      </c>
      <c r="C29" s="5">
        <f t="shared" si="9"/>
        <v>44671.105770082133</v>
      </c>
      <c r="D29" s="5">
        <f t="shared" si="0"/>
        <v>43421.048221968602</v>
      </c>
      <c r="E29" s="5">
        <f t="shared" si="1"/>
        <v>33921.048221968602</v>
      </c>
      <c r="F29" s="5">
        <f t="shared" si="2"/>
        <v>11376.972244472749</v>
      </c>
      <c r="G29" s="5">
        <f t="shared" si="3"/>
        <v>32044.075977495853</v>
      </c>
      <c r="H29" s="22">
        <f t="shared" si="10"/>
        <v>19892.29022876528</v>
      </c>
      <c r="I29" s="5">
        <f t="shared" si="4"/>
        <v>51080.997726424226</v>
      </c>
      <c r="J29" s="26">
        <f t="shared" si="5"/>
        <v>0.17327500595213499</v>
      </c>
      <c r="L29" s="22">
        <f t="shared" si="11"/>
        <v>78117.254521013616</v>
      </c>
      <c r="M29" s="5">
        <f>scrimecost*Meta!O26</f>
        <v>1328.8529999999998</v>
      </c>
      <c r="N29" s="5">
        <f>L29-Grade13!L29</f>
        <v>735.67687876035052</v>
      </c>
      <c r="O29" s="5">
        <f>Grade13!M29-M29</f>
        <v>10.536000000000058</v>
      </c>
      <c r="P29" s="22">
        <f t="shared" si="12"/>
        <v>80.359070968372379</v>
      </c>
      <c r="Q29" s="22"/>
      <c r="R29" s="22"/>
      <c r="S29" s="22">
        <f t="shared" si="6"/>
        <v>533.78140930244012</v>
      </c>
      <c r="T29" s="22">
        <f t="shared" si="7"/>
        <v>781.72494242355697</v>
      </c>
    </row>
    <row r="30" spans="1:20" x14ac:dyDescent="0.2">
      <c r="A30" s="5">
        <v>39</v>
      </c>
      <c r="B30" s="1">
        <f t="shared" si="8"/>
        <v>1.5986501856491666</v>
      </c>
      <c r="C30" s="5">
        <f t="shared" si="9"/>
        <v>45787.883414334188</v>
      </c>
      <c r="D30" s="5">
        <f t="shared" si="0"/>
        <v>44489.804427517818</v>
      </c>
      <c r="E30" s="5">
        <f t="shared" si="1"/>
        <v>34989.804427517818</v>
      </c>
      <c r="F30" s="5">
        <f t="shared" si="2"/>
        <v>11774.90158833635</v>
      </c>
      <c r="G30" s="5">
        <f t="shared" si="3"/>
        <v>32714.902839181468</v>
      </c>
      <c r="H30" s="22">
        <f t="shared" si="10"/>
        <v>20389.597484484413</v>
      </c>
      <c r="I30" s="5">
        <f t="shared" si="4"/>
        <v>52227.747631833052</v>
      </c>
      <c r="J30" s="26">
        <f t="shared" si="5"/>
        <v>0.17533202843538651</v>
      </c>
      <c r="L30" s="22">
        <f t="shared" si="11"/>
        <v>80070.185884038961</v>
      </c>
      <c r="M30" s="5">
        <f>scrimecost*Meta!O27</f>
        <v>1328.8529999999998</v>
      </c>
      <c r="N30" s="5">
        <f>L30-Grade13!L30</f>
        <v>754.06880072937929</v>
      </c>
      <c r="O30" s="5">
        <f>Grade13!M30-M30</f>
        <v>10.536000000000058</v>
      </c>
      <c r="P30" s="22">
        <f t="shared" si="12"/>
        <v>82.371472432988085</v>
      </c>
      <c r="Q30" s="22"/>
      <c r="R30" s="22"/>
      <c r="S30" s="22">
        <f t="shared" si="6"/>
        <v>546.91484458362356</v>
      </c>
      <c r="T30" s="22">
        <f t="shared" si="7"/>
        <v>817.20457722156641</v>
      </c>
    </row>
    <row r="31" spans="1:20" x14ac:dyDescent="0.2">
      <c r="A31" s="5">
        <v>40</v>
      </c>
      <c r="B31" s="1">
        <f t="shared" si="8"/>
        <v>1.6386164402903955</v>
      </c>
      <c r="C31" s="5">
        <f t="shared" si="9"/>
        <v>46932.580499692536</v>
      </c>
      <c r="D31" s="5">
        <f t="shared" si="0"/>
        <v>45585.279538205759</v>
      </c>
      <c r="E31" s="5">
        <f t="shared" si="1"/>
        <v>36085.279538205759</v>
      </c>
      <c r="F31" s="5">
        <f t="shared" si="2"/>
        <v>12242.121723044756</v>
      </c>
      <c r="G31" s="5">
        <f t="shared" si="3"/>
        <v>33343.157815161001</v>
      </c>
      <c r="H31" s="22">
        <f t="shared" si="10"/>
        <v>20899.337421596516</v>
      </c>
      <c r="I31" s="5">
        <f t="shared" si="4"/>
        <v>53343.823727628871</v>
      </c>
      <c r="J31" s="26">
        <f t="shared" si="5"/>
        <v>0.17825303544667145</v>
      </c>
      <c r="L31" s="22">
        <f t="shared" si="11"/>
        <v>82071.940531139931</v>
      </c>
      <c r="M31" s="5">
        <f>scrimecost*Meta!O28</f>
        <v>1162.3679999999999</v>
      </c>
      <c r="N31" s="5">
        <f>L31-Grade13!L31</f>
        <v>772.92052074761887</v>
      </c>
      <c r="O31" s="5">
        <f>Grade13!M31-M31</f>
        <v>9.2159999999998945</v>
      </c>
      <c r="P31" s="22">
        <f t="shared" si="12"/>
        <v>84.734290098697656</v>
      </c>
      <c r="Q31" s="22"/>
      <c r="R31" s="22"/>
      <c r="S31" s="22">
        <f t="shared" si="6"/>
        <v>559.54846195238372</v>
      </c>
      <c r="T31" s="22">
        <f t="shared" si="7"/>
        <v>853.03988848997551</v>
      </c>
    </row>
    <row r="32" spans="1:20" x14ac:dyDescent="0.2">
      <c r="A32" s="5">
        <v>41</v>
      </c>
      <c r="B32" s="1">
        <f t="shared" si="8"/>
        <v>1.6795818512976552</v>
      </c>
      <c r="C32" s="5">
        <f t="shared" si="9"/>
        <v>48105.895012184847</v>
      </c>
      <c r="D32" s="5">
        <f t="shared" si="0"/>
        <v>46708.141526660896</v>
      </c>
      <c r="E32" s="5">
        <f t="shared" si="1"/>
        <v>37208.141526660896</v>
      </c>
      <c r="F32" s="5">
        <f t="shared" si="2"/>
        <v>12721.022361120871</v>
      </c>
      <c r="G32" s="5">
        <f t="shared" si="3"/>
        <v>33987.119165540025</v>
      </c>
      <c r="H32" s="22">
        <f t="shared" si="10"/>
        <v>21421.820857136427</v>
      </c>
      <c r="I32" s="5">
        <f t="shared" si="4"/>
        <v>54487.801725819583</v>
      </c>
      <c r="J32" s="26">
        <f t="shared" si="5"/>
        <v>0.18110279838451038</v>
      </c>
      <c r="L32" s="22">
        <f t="shared" si="11"/>
        <v>84123.739044418413</v>
      </c>
      <c r="M32" s="5">
        <f>scrimecost*Meta!O29</f>
        <v>1162.3679999999999</v>
      </c>
      <c r="N32" s="5">
        <f>L32-Grade13!L32</f>
        <v>792.24353376629006</v>
      </c>
      <c r="O32" s="5">
        <f>Grade13!M32-M32</f>
        <v>9.2159999999998945</v>
      </c>
      <c r="P32" s="22">
        <f t="shared" si="12"/>
        <v>87.156178206049972</v>
      </c>
      <c r="Q32" s="22"/>
      <c r="R32" s="22"/>
      <c r="S32" s="22">
        <f t="shared" si="6"/>
        <v>573.59655575534782</v>
      </c>
      <c r="T32" s="22">
        <f t="shared" si="7"/>
        <v>892.19281599812564</v>
      </c>
    </row>
    <row r="33" spans="1:20" x14ac:dyDescent="0.2">
      <c r="A33" s="5">
        <v>42</v>
      </c>
      <c r="B33" s="1">
        <f t="shared" si="8"/>
        <v>1.7215713975800966</v>
      </c>
      <c r="C33" s="5">
        <f t="shared" si="9"/>
        <v>49308.54238748947</v>
      </c>
      <c r="D33" s="5">
        <f t="shared" si="0"/>
        <v>47859.075064827426</v>
      </c>
      <c r="E33" s="5">
        <f t="shared" si="1"/>
        <v>38359.075064827426</v>
      </c>
      <c r="F33" s="5">
        <f t="shared" si="2"/>
        <v>13211.895515148897</v>
      </c>
      <c r="G33" s="5">
        <f t="shared" si="3"/>
        <v>34647.179549678527</v>
      </c>
      <c r="H33" s="22">
        <f t="shared" si="10"/>
        <v>21957.366378564839</v>
      </c>
      <c r="I33" s="5">
        <f t="shared" si="4"/>
        <v>55660.379173965077</v>
      </c>
      <c r="J33" s="26">
        <f t="shared" si="5"/>
        <v>0.18388305490923135</v>
      </c>
      <c r="L33" s="22">
        <f t="shared" si="11"/>
        <v>86226.832520528871</v>
      </c>
      <c r="M33" s="5">
        <f>scrimecost*Meta!O30</f>
        <v>1162.3679999999999</v>
      </c>
      <c r="N33" s="5">
        <f>L33-Grade13!L33</f>
        <v>812.0496221104404</v>
      </c>
      <c r="O33" s="5">
        <f>Grade13!M33-M33</f>
        <v>9.2159999999998945</v>
      </c>
      <c r="P33" s="22">
        <f t="shared" si="12"/>
        <v>89.638613516086096</v>
      </c>
      <c r="Q33" s="22"/>
      <c r="R33" s="22"/>
      <c r="S33" s="22">
        <f t="shared" si="6"/>
        <v>587.99585190339371</v>
      </c>
      <c r="T33" s="22">
        <f t="shared" si="7"/>
        <v>933.14042331773919</v>
      </c>
    </row>
    <row r="34" spans="1:20" x14ac:dyDescent="0.2">
      <c r="A34" s="5">
        <v>43</v>
      </c>
      <c r="B34" s="1">
        <f t="shared" si="8"/>
        <v>1.7646106825195991</v>
      </c>
      <c r="C34" s="5">
        <f t="shared" si="9"/>
        <v>50541.255947176702</v>
      </c>
      <c r="D34" s="5">
        <f t="shared" si="0"/>
        <v>49038.781941448105</v>
      </c>
      <c r="E34" s="5">
        <f t="shared" si="1"/>
        <v>39538.781941448105</v>
      </c>
      <c r="F34" s="5">
        <f t="shared" si="2"/>
        <v>13715.040498027618</v>
      </c>
      <c r="G34" s="5">
        <f t="shared" si="3"/>
        <v>35323.741443420484</v>
      </c>
      <c r="H34" s="22">
        <f t="shared" si="10"/>
        <v>22506.300538028958</v>
      </c>
      <c r="I34" s="5">
        <f t="shared" si="4"/>
        <v>56862.271058314196</v>
      </c>
      <c r="J34" s="26">
        <f t="shared" si="5"/>
        <v>0.18659550029920305</v>
      </c>
      <c r="L34" s="22">
        <f t="shared" si="11"/>
        <v>88382.503333542103</v>
      </c>
      <c r="M34" s="5">
        <f>scrimecost*Meta!O31</f>
        <v>1162.3679999999999</v>
      </c>
      <c r="N34" s="5">
        <f>L34-Grade13!L34</f>
        <v>832.35086266321014</v>
      </c>
      <c r="O34" s="5">
        <f>Grade13!M34-M34</f>
        <v>9.2159999999998945</v>
      </c>
      <c r="P34" s="22">
        <f t="shared" si="12"/>
        <v>92.183109708873161</v>
      </c>
      <c r="Q34" s="22"/>
      <c r="R34" s="22"/>
      <c r="S34" s="22">
        <f t="shared" si="6"/>
        <v>602.75513045515049</v>
      </c>
      <c r="T34" s="22">
        <f t="shared" si="7"/>
        <v>975.96492655310362</v>
      </c>
    </row>
    <row r="35" spans="1:20" x14ac:dyDescent="0.2">
      <c r="A35" s="5">
        <v>44</v>
      </c>
      <c r="B35" s="1">
        <f t="shared" si="8"/>
        <v>1.8087259495825889</v>
      </c>
      <c r="C35" s="5">
        <f t="shared" si="9"/>
        <v>51804.787345856123</v>
      </c>
      <c r="D35" s="5">
        <f t="shared" si="0"/>
        <v>50247.981489984311</v>
      </c>
      <c r="E35" s="5">
        <f t="shared" si="1"/>
        <v>40747.981489984311</v>
      </c>
      <c r="F35" s="5">
        <f t="shared" si="2"/>
        <v>14230.764105478309</v>
      </c>
      <c r="G35" s="5">
        <f t="shared" si="3"/>
        <v>36017.217384506002</v>
      </c>
      <c r="H35" s="22">
        <f t="shared" si="10"/>
        <v>23068.958051479683</v>
      </c>
      <c r="I35" s="5">
        <f t="shared" si="4"/>
        <v>58094.210239772059</v>
      </c>
      <c r="J35" s="26">
        <f t="shared" si="5"/>
        <v>0.18924178848454123</v>
      </c>
      <c r="L35" s="22">
        <f t="shared" si="11"/>
        <v>90592.065916880645</v>
      </c>
      <c r="M35" s="5">
        <f>scrimecost*Meta!O32</f>
        <v>1162.3679999999999</v>
      </c>
      <c r="N35" s="5">
        <f>L35-Grade13!L35</f>
        <v>853.15963422979985</v>
      </c>
      <c r="O35" s="5">
        <f>Grade13!M35-M35</f>
        <v>9.2159999999998945</v>
      </c>
      <c r="P35" s="22">
        <f t="shared" si="12"/>
        <v>94.791218306479863</v>
      </c>
      <c r="Q35" s="22"/>
      <c r="R35" s="22"/>
      <c r="S35" s="22">
        <f t="shared" si="6"/>
        <v>617.88339097070173</v>
      </c>
      <c r="T35" s="22">
        <f t="shared" si="7"/>
        <v>1020.7523072416692</v>
      </c>
    </row>
    <row r="36" spans="1:20" x14ac:dyDescent="0.2">
      <c r="A36" s="5">
        <v>45</v>
      </c>
      <c r="B36" s="1">
        <f t="shared" si="8"/>
        <v>1.8539440983221533</v>
      </c>
      <c r="C36" s="5">
        <f t="shared" si="9"/>
        <v>53099.907029502516</v>
      </c>
      <c r="D36" s="5">
        <f t="shared" si="0"/>
        <v>51487.411027233909</v>
      </c>
      <c r="E36" s="5">
        <f t="shared" si="1"/>
        <v>41987.411027233909</v>
      </c>
      <c r="F36" s="5">
        <f t="shared" si="2"/>
        <v>14759.380803115264</v>
      </c>
      <c r="G36" s="5">
        <f t="shared" si="3"/>
        <v>36728.030224118644</v>
      </c>
      <c r="H36" s="22">
        <f t="shared" si="10"/>
        <v>23645.682002766669</v>
      </c>
      <c r="I36" s="5">
        <f t="shared" si="4"/>
        <v>59356.947900766347</v>
      </c>
      <c r="J36" s="26">
        <f t="shared" si="5"/>
        <v>0.1918235330556029</v>
      </c>
      <c r="L36" s="22">
        <f t="shared" si="11"/>
        <v>92856.86756480264</v>
      </c>
      <c r="M36" s="5">
        <f>scrimecost*Meta!O33</f>
        <v>939.37900000000002</v>
      </c>
      <c r="N36" s="5">
        <f>L36-Grade13!L36</f>
        <v>874.4886250855343</v>
      </c>
      <c r="O36" s="5">
        <f>Grade13!M36-M36</f>
        <v>7.4479999999999791</v>
      </c>
      <c r="P36" s="22">
        <f t="shared" si="12"/>
        <v>97.46452961902672</v>
      </c>
      <c r="Q36" s="22"/>
      <c r="R36" s="22"/>
      <c r="S36" s="22">
        <f t="shared" si="6"/>
        <v>631.95424199912918</v>
      </c>
      <c r="T36" s="22">
        <f t="shared" si="7"/>
        <v>1065.1727225624054</v>
      </c>
    </row>
    <row r="37" spans="1:20" x14ac:dyDescent="0.2">
      <c r="A37" s="5">
        <v>46</v>
      </c>
      <c r="B37" s="1">
        <f t="shared" ref="B37:B56" si="13">(1+experiencepremium)^(A37-startage)</f>
        <v>1.9002927007802071</v>
      </c>
      <c r="C37" s="5">
        <f t="shared" ref="C37:C56" si="14">pretaxincome*B37/expnorm</f>
        <v>54427.404705240071</v>
      </c>
      <c r="D37" s="5">
        <f t="shared" ref="D37:D56" si="15">IF(A37&lt;startage,1,0)*(C37*(1-initialunempprob))+IF(A37=startage,1,0)*(C37*(1-unempprob))+IF(A37&gt;startage,1,0)*(C37*(1-unempprob)+unempprob*300*52)</f>
        <v>52757.826302914749</v>
      </c>
      <c r="E37" s="5">
        <f t="shared" si="1"/>
        <v>43257.826302914749</v>
      </c>
      <c r="F37" s="5">
        <f t="shared" si="2"/>
        <v>15301.212918193141</v>
      </c>
      <c r="G37" s="5">
        <f t="shared" si="3"/>
        <v>37456.613384721612</v>
      </c>
      <c r="H37" s="22">
        <f t="shared" ref="H37:H56" si="16">benefits*B37/expnorm</f>
        <v>24236.824052835836</v>
      </c>
      <c r="I37" s="5">
        <f t="shared" ref="I37:I56" si="17">G37+IF(A37&lt;startage,1,0)*(H37*(1-initialunempprob))+IF(A37&gt;=startage,1,0)*(H37*(1-unempprob))</f>
        <v>60651.254003285503</v>
      </c>
      <c r="J37" s="26">
        <f t="shared" si="5"/>
        <v>0.19434230824688251</v>
      </c>
      <c r="L37" s="22">
        <f t="shared" ref="L37:L56" si="18">(sincome+sbenefits)*(1-sunemp)*B37/expnorm</f>
        <v>95178.289253922703</v>
      </c>
      <c r="M37" s="5">
        <f>scrimecost*Meta!O34</f>
        <v>939.37900000000002</v>
      </c>
      <c r="N37" s="5">
        <f>L37-Grade13!L37</f>
        <v>896.35084071266465</v>
      </c>
      <c r="O37" s="5">
        <f>Grade13!M37-M37</f>
        <v>7.4479999999999791</v>
      </c>
      <c r="P37" s="22">
        <f t="shared" si="12"/>
        <v>100.20467371438724</v>
      </c>
      <c r="Q37" s="22"/>
      <c r="R37" s="22"/>
      <c r="S37" s="22">
        <f t="shared" si="6"/>
        <v>647.84837070326887</v>
      </c>
      <c r="T37" s="22">
        <f t="shared" si="7"/>
        <v>1114.1106550811205</v>
      </c>
    </row>
    <row r="38" spans="1:20" x14ac:dyDescent="0.2">
      <c r="A38" s="5">
        <v>47</v>
      </c>
      <c r="B38" s="1">
        <f t="shared" si="13"/>
        <v>1.9478000182997122</v>
      </c>
      <c r="C38" s="5">
        <f t="shared" si="14"/>
        <v>55788.089822871072</v>
      </c>
      <c r="D38" s="5">
        <f t="shared" si="15"/>
        <v>54060.001960487614</v>
      </c>
      <c r="E38" s="5">
        <f t="shared" si="1"/>
        <v>44560.001960487614</v>
      </c>
      <c r="F38" s="5">
        <f t="shared" si="2"/>
        <v>15856.590836147967</v>
      </c>
      <c r="G38" s="5">
        <f t="shared" si="3"/>
        <v>38203.411124339647</v>
      </c>
      <c r="H38" s="22">
        <f t="shared" si="16"/>
        <v>24842.74465415673</v>
      </c>
      <c r="I38" s="5">
        <f t="shared" si="17"/>
        <v>61977.917758367636</v>
      </c>
      <c r="J38" s="26">
        <f t="shared" si="5"/>
        <v>0.19679964989691145</v>
      </c>
      <c r="L38" s="22">
        <f t="shared" si="18"/>
        <v>97557.746485270764</v>
      </c>
      <c r="M38" s="5">
        <f>scrimecost*Meta!O35</f>
        <v>939.37900000000002</v>
      </c>
      <c r="N38" s="5">
        <f>L38-Grade13!L38</f>
        <v>918.75961173049291</v>
      </c>
      <c r="O38" s="5">
        <f>Grade13!M38-M38</f>
        <v>7.4479999999999791</v>
      </c>
      <c r="P38" s="22">
        <f t="shared" si="12"/>
        <v>103.0133214121318</v>
      </c>
      <c r="Q38" s="22"/>
      <c r="R38" s="22"/>
      <c r="S38" s="22">
        <f t="shared" si="6"/>
        <v>664.13985262502445</v>
      </c>
      <c r="T38" s="22">
        <f t="shared" si="7"/>
        <v>1165.2927709804844</v>
      </c>
    </row>
    <row r="39" spans="1:20" x14ac:dyDescent="0.2">
      <c r="A39" s="5">
        <v>48</v>
      </c>
      <c r="B39" s="1">
        <f t="shared" si="13"/>
        <v>1.9964950187572048</v>
      </c>
      <c r="C39" s="5">
        <f t="shared" si="14"/>
        <v>57182.792068442846</v>
      </c>
      <c r="D39" s="5">
        <f t="shared" si="15"/>
        <v>55394.732009499807</v>
      </c>
      <c r="E39" s="5">
        <f t="shared" si="1"/>
        <v>45894.732009499807</v>
      </c>
      <c r="F39" s="5">
        <f t="shared" si="2"/>
        <v>16425.853202051665</v>
      </c>
      <c r="G39" s="5">
        <f t="shared" si="3"/>
        <v>38968.878807448142</v>
      </c>
      <c r="H39" s="22">
        <f t="shared" si="16"/>
        <v>25463.813270510647</v>
      </c>
      <c r="I39" s="5">
        <f t="shared" si="17"/>
        <v>63337.748107326828</v>
      </c>
      <c r="J39" s="26">
        <f t="shared" si="5"/>
        <v>0.19919705638474458</v>
      </c>
      <c r="L39" s="22">
        <f t="shared" si="18"/>
        <v>99996.690147402522</v>
      </c>
      <c r="M39" s="5">
        <f>scrimecost*Meta!O36</f>
        <v>939.37900000000002</v>
      </c>
      <c r="N39" s="5">
        <f>L39-Grade13!L39</f>
        <v>941.72860202373704</v>
      </c>
      <c r="O39" s="5">
        <f>Grade13!M39-M39</f>
        <v>7.4479999999999791</v>
      </c>
      <c r="P39" s="22">
        <f t="shared" si="12"/>
        <v>105.89218530231999</v>
      </c>
      <c r="Q39" s="22"/>
      <c r="R39" s="22"/>
      <c r="S39" s="22">
        <f t="shared" si="6"/>
        <v>680.8386215948052</v>
      </c>
      <c r="T39" s="22">
        <f t="shared" si="7"/>
        <v>1218.8218984669425</v>
      </c>
    </row>
    <row r="40" spans="1:20" x14ac:dyDescent="0.2">
      <c r="A40" s="5">
        <v>49</v>
      </c>
      <c r="B40" s="1">
        <f t="shared" si="13"/>
        <v>2.0464073942261352</v>
      </c>
      <c r="C40" s="5">
        <f t="shared" si="14"/>
        <v>58612.361870153916</v>
      </c>
      <c r="D40" s="5">
        <f t="shared" si="15"/>
        <v>56762.830309737299</v>
      </c>
      <c r="E40" s="5">
        <f t="shared" si="1"/>
        <v>47262.830309737299</v>
      </c>
      <c r="F40" s="5">
        <f t="shared" si="2"/>
        <v>17009.347127102956</v>
      </c>
      <c r="G40" s="5">
        <f t="shared" si="3"/>
        <v>39753.483182634343</v>
      </c>
      <c r="H40" s="22">
        <f t="shared" si="16"/>
        <v>26100.408602273415</v>
      </c>
      <c r="I40" s="5">
        <f t="shared" si="17"/>
        <v>64731.574215009998</v>
      </c>
      <c r="J40" s="26">
        <f t="shared" si="5"/>
        <v>0.20153598954360613</v>
      </c>
      <c r="L40" s="22">
        <f t="shared" si="18"/>
        <v>102496.6074010876</v>
      </c>
      <c r="M40" s="5">
        <f>scrimecost*Meta!O37</f>
        <v>939.37900000000002</v>
      </c>
      <c r="N40" s="5">
        <f>L40-Grade13!L40</f>
        <v>965.27181707436102</v>
      </c>
      <c r="O40" s="5">
        <f>Grade13!M40-M40</f>
        <v>7.4479999999999791</v>
      </c>
      <c r="P40" s="22">
        <f t="shared" si="12"/>
        <v>108.84302078976286</v>
      </c>
      <c r="Q40" s="22"/>
      <c r="R40" s="22"/>
      <c r="S40" s="22">
        <f t="shared" si="6"/>
        <v>697.95485978886097</v>
      </c>
      <c r="T40" s="22">
        <f t="shared" si="7"/>
        <v>1274.8055756015849</v>
      </c>
    </row>
    <row r="41" spans="1:20" x14ac:dyDescent="0.2">
      <c r="A41" s="5">
        <v>50</v>
      </c>
      <c r="B41" s="1">
        <f t="shared" si="13"/>
        <v>2.097567579081788</v>
      </c>
      <c r="C41" s="5">
        <f t="shared" si="14"/>
        <v>60077.670916907759</v>
      </c>
      <c r="D41" s="5">
        <f t="shared" si="15"/>
        <v>58165.131067480725</v>
      </c>
      <c r="E41" s="5">
        <f t="shared" si="1"/>
        <v>48665.131067480725</v>
      </c>
      <c r="F41" s="5">
        <f t="shared" si="2"/>
        <v>17607.428400280529</v>
      </c>
      <c r="G41" s="5">
        <f t="shared" si="3"/>
        <v>40557.702667200196</v>
      </c>
      <c r="H41" s="22">
        <f t="shared" si="16"/>
        <v>26752.918817330246</v>
      </c>
      <c r="I41" s="5">
        <f t="shared" si="17"/>
        <v>66160.245975385245</v>
      </c>
      <c r="J41" s="26">
        <f t="shared" si="5"/>
        <v>0.20381787555225159</v>
      </c>
      <c r="L41" s="22">
        <f t="shared" si="18"/>
        <v>105059.02258611476</v>
      </c>
      <c r="M41" s="5">
        <f>scrimecost*Meta!O38</f>
        <v>627.59799999999996</v>
      </c>
      <c r="N41" s="5">
        <f>L41-Grade13!L41</f>
        <v>989.40361250117712</v>
      </c>
      <c r="O41" s="5">
        <f>Grade13!M41-M41</f>
        <v>4.9759999999999991</v>
      </c>
      <c r="P41" s="22">
        <f t="shared" si="12"/>
        <v>111.86762716439182</v>
      </c>
      <c r="Q41" s="22"/>
      <c r="R41" s="22"/>
      <c r="S41" s="22">
        <f t="shared" si="6"/>
        <v>713.49173993772217</v>
      </c>
      <c r="T41" s="22">
        <f t="shared" si="7"/>
        <v>1329.6156625559647</v>
      </c>
    </row>
    <row r="42" spans="1:20" x14ac:dyDescent="0.2">
      <c r="A42" s="5">
        <v>51</v>
      </c>
      <c r="B42" s="1">
        <f t="shared" si="13"/>
        <v>2.1500067685588333</v>
      </c>
      <c r="C42" s="5">
        <f t="shared" si="14"/>
        <v>61579.612689830465</v>
      </c>
      <c r="D42" s="5">
        <f t="shared" si="15"/>
        <v>59602.489344167756</v>
      </c>
      <c r="E42" s="5">
        <f t="shared" si="1"/>
        <v>50102.489344167756</v>
      </c>
      <c r="F42" s="5">
        <f t="shared" si="2"/>
        <v>18220.461705287547</v>
      </c>
      <c r="G42" s="5">
        <f t="shared" si="3"/>
        <v>41382.027638880209</v>
      </c>
      <c r="H42" s="22">
        <f t="shared" si="16"/>
        <v>27421.741787763513</v>
      </c>
      <c r="I42" s="5">
        <f t="shared" si="17"/>
        <v>67624.634529769886</v>
      </c>
      <c r="J42" s="26">
        <f t="shared" si="5"/>
        <v>0.20604410580458862</v>
      </c>
      <c r="L42" s="22">
        <f t="shared" si="18"/>
        <v>107685.49815076766</v>
      </c>
      <c r="M42" s="5">
        <f>scrimecost*Meta!O39</f>
        <v>627.59799999999996</v>
      </c>
      <c r="N42" s="5">
        <f>L42-Grade13!L42</f>
        <v>1014.1387028137397</v>
      </c>
      <c r="O42" s="5">
        <f>Grade13!M42-M42</f>
        <v>4.9759999999999991</v>
      </c>
      <c r="P42" s="22">
        <f t="shared" si="12"/>
        <v>114.96784869838652</v>
      </c>
      <c r="Q42" s="22"/>
      <c r="R42" s="22"/>
      <c r="S42" s="22">
        <f t="shared" ref="S42:S69" si="19">IF(A42&lt;startage,1,0)*(N42-Q42-R42)+IF(A42&gt;=startage,1,0)*completionprob*(N42*spart+O42+P42)</f>
        <v>731.47448769035248</v>
      </c>
      <c r="T42" s="22">
        <f t="shared" ref="T42:T69" si="20">S42/sreturn^(A42-startage+1)</f>
        <v>1390.7751111097841</v>
      </c>
    </row>
    <row r="43" spans="1:20" x14ac:dyDescent="0.2">
      <c r="A43" s="5">
        <v>52</v>
      </c>
      <c r="B43" s="1">
        <f t="shared" si="13"/>
        <v>2.2037569377728037</v>
      </c>
      <c r="C43" s="5">
        <f t="shared" si="14"/>
        <v>63119.103007076214</v>
      </c>
      <c r="D43" s="5">
        <f t="shared" si="15"/>
        <v>61075.781577771937</v>
      </c>
      <c r="E43" s="5">
        <f t="shared" si="1"/>
        <v>51575.781577771937</v>
      </c>
      <c r="F43" s="5">
        <f t="shared" si="2"/>
        <v>18848.820842919733</v>
      </c>
      <c r="G43" s="5">
        <f t="shared" si="3"/>
        <v>42226.960734852204</v>
      </c>
      <c r="H43" s="22">
        <f t="shared" si="16"/>
        <v>28107.285332457592</v>
      </c>
      <c r="I43" s="5">
        <f t="shared" si="17"/>
        <v>69125.632798014121</v>
      </c>
      <c r="J43" s="26">
        <f t="shared" si="5"/>
        <v>0.20821603775808817</v>
      </c>
      <c r="L43" s="22">
        <f t="shared" si="18"/>
        <v>110377.63560453684</v>
      </c>
      <c r="M43" s="5">
        <f>scrimecost*Meta!O40</f>
        <v>627.59799999999996</v>
      </c>
      <c r="N43" s="5">
        <f>L43-Grade13!L43</f>
        <v>1039.4921703840955</v>
      </c>
      <c r="O43" s="5">
        <f>Grade13!M43-M43</f>
        <v>4.9759999999999991</v>
      </c>
      <c r="P43" s="22">
        <f t="shared" si="12"/>
        <v>118.14557577073107</v>
      </c>
      <c r="Q43" s="22"/>
      <c r="R43" s="22"/>
      <c r="S43" s="22">
        <f t="shared" si="19"/>
        <v>749.90680413678558</v>
      </c>
      <c r="T43" s="22">
        <f t="shared" si="20"/>
        <v>1454.7406505212418</v>
      </c>
    </row>
    <row r="44" spans="1:20" x14ac:dyDescent="0.2">
      <c r="A44" s="5">
        <v>53</v>
      </c>
      <c r="B44" s="1">
        <f t="shared" si="13"/>
        <v>2.2588508612171236</v>
      </c>
      <c r="C44" s="5">
        <f t="shared" si="14"/>
        <v>64697.080582253118</v>
      </c>
      <c r="D44" s="5">
        <f t="shared" si="15"/>
        <v>62585.906117216233</v>
      </c>
      <c r="E44" s="5">
        <f t="shared" si="1"/>
        <v>53085.906117216233</v>
      </c>
      <c r="F44" s="5">
        <f t="shared" si="2"/>
        <v>19492.888958992724</v>
      </c>
      <c r="G44" s="5">
        <f t="shared" si="3"/>
        <v>43093.017158223505</v>
      </c>
      <c r="H44" s="22">
        <f t="shared" si="16"/>
        <v>28809.967465769027</v>
      </c>
      <c r="I44" s="5">
        <f t="shared" si="17"/>
        <v>70664.156022964467</v>
      </c>
      <c r="J44" s="26">
        <f t="shared" si="5"/>
        <v>0.21033499576150233</v>
      </c>
      <c r="L44" s="22">
        <f t="shared" si="18"/>
        <v>113137.07649465025</v>
      </c>
      <c r="M44" s="5">
        <f>scrimecost*Meta!O41</f>
        <v>627.59799999999996</v>
      </c>
      <c r="N44" s="5">
        <f>L44-Grade13!L44</f>
        <v>1065.4794746436673</v>
      </c>
      <c r="O44" s="5">
        <f>Grade13!M44-M44</f>
        <v>4.9759999999999991</v>
      </c>
      <c r="P44" s="22">
        <f t="shared" si="12"/>
        <v>121.4027460198842</v>
      </c>
      <c r="Q44" s="22"/>
      <c r="R44" s="22"/>
      <c r="S44" s="22">
        <f t="shared" si="19"/>
        <v>768.79992849435257</v>
      </c>
      <c r="T44" s="22">
        <f t="shared" si="20"/>
        <v>1521.640885021829</v>
      </c>
    </row>
    <row r="45" spans="1:20" x14ac:dyDescent="0.2">
      <c r="A45" s="5">
        <v>54</v>
      </c>
      <c r="B45" s="1">
        <f t="shared" si="13"/>
        <v>2.3153221327475517</v>
      </c>
      <c r="C45" s="5">
        <f t="shared" si="14"/>
        <v>66314.507596809446</v>
      </c>
      <c r="D45" s="5">
        <f t="shared" si="15"/>
        <v>64133.783770146641</v>
      </c>
      <c r="E45" s="5">
        <f t="shared" si="1"/>
        <v>54633.783770146641</v>
      </c>
      <c r="F45" s="5">
        <f t="shared" si="2"/>
        <v>20153.058777967541</v>
      </c>
      <c r="G45" s="5">
        <f t="shared" si="3"/>
        <v>43980.724992179101</v>
      </c>
      <c r="H45" s="22">
        <f t="shared" si="16"/>
        <v>29530.216652413255</v>
      </c>
      <c r="I45" s="5">
        <f t="shared" si="17"/>
        <v>72241.142328538583</v>
      </c>
      <c r="J45" s="26">
        <f t="shared" si="5"/>
        <v>0.21240227186239419</v>
      </c>
      <c r="L45" s="22">
        <f t="shared" si="18"/>
        <v>115965.5034070165</v>
      </c>
      <c r="M45" s="5">
        <f>scrimecost*Meta!O42</f>
        <v>627.59799999999996</v>
      </c>
      <c r="N45" s="5">
        <f>L45-Grade13!L45</f>
        <v>1092.1164615097659</v>
      </c>
      <c r="O45" s="5">
        <f>Grade13!M45-M45</f>
        <v>4.9759999999999991</v>
      </c>
      <c r="P45" s="22">
        <f t="shared" si="12"/>
        <v>124.74134552526617</v>
      </c>
      <c r="Q45" s="22"/>
      <c r="R45" s="22"/>
      <c r="S45" s="22">
        <f t="shared" si="19"/>
        <v>788.16538096088232</v>
      </c>
      <c r="T45" s="22">
        <f t="shared" si="20"/>
        <v>1591.6103099183097</v>
      </c>
    </row>
    <row r="46" spans="1:20" x14ac:dyDescent="0.2">
      <c r="A46" s="5">
        <v>55</v>
      </c>
      <c r="B46" s="1">
        <f t="shared" si="13"/>
        <v>2.3732051860662402</v>
      </c>
      <c r="C46" s="5">
        <f t="shared" si="14"/>
        <v>67972.370286729667</v>
      </c>
      <c r="D46" s="5">
        <f t="shared" si="15"/>
        <v>65720.358364400294</v>
      </c>
      <c r="E46" s="5">
        <f t="shared" si="1"/>
        <v>56220.358364400294</v>
      </c>
      <c r="F46" s="5">
        <f t="shared" si="2"/>
        <v>20829.732842416728</v>
      </c>
      <c r="G46" s="5">
        <f t="shared" si="3"/>
        <v>44890.625521983566</v>
      </c>
      <c r="H46" s="22">
        <f t="shared" si="16"/>
        <v>30268.472068723582</v>
      </c>
      <c r="I46" s="5">
        <f t="shared" si="17"/>
        <v>73857.553291752032</v>
      </c>
      <c r="J46" s="26">
        <f t="shared" si="5"/>
        <v>0.21441912659497167</v>
      </c>
      <c r="L46" s="22">
        <f t="shared" si="18"/>
        <v>118864.6409921919</v>
      </c>
      <c r="M46" s="5">
        <f>scrimecost*Meta!O43</f>
        <v>348.10499999999996</v>
      </c>
      <c r="N46" s="5">
        <f>L46-Grade13!L46</f>
        <v>1119.4193730474944</v>
      </c>
      <c r="O46" s="5">
        <f>Grade13!M46-M46</f>
        <v>2.7599999999999909</v>
      </c>
      <c r="P46" s="22">
        <f t="shared" si="12"/>
        <v>128.16341001828272</v>
      </c>
      <c r="Q46" s="22"/>
      <c r="R46" s="22"/>
      <c r="S46" s="22">
        <f t="shared" si="19"/>
        <v>806.21557773906102</v>
      </c>
      <c r="T46" s="22">
        <f t="shared" si="20"/>
        <v>1661.0822131281284</v>
      </c>
    </row>
    <row r="47" spans="1:20" x14ac:dyDescent="0.2">
      <c r="A47" s="5">
        <v>56</v>
      </c>
      <c r="B47" s="1">
        <f t="shared" si="13"/>
        <v>2.4325353157178964</v>
      </c>
      <c r="C47" s="5">
        <f t="shared" si="14"/>
        <v>69671.679543897917</v>
      </c>
      <c r="D47" s="5">
        <f t="shared" si="15"/>
        <v>67346.597323510301</v>
      </c>
      <c r="E47" s="5">
        <f t="shared" si="1"/>
        <v>57846.597323510301</v>
      </c>
      <c r="F47" s="5">
        <f t="shared" si="2"/>
        <v>21523.323758477145</v>
      </c>
      <c r="G47" s="5">
        <f t="shared" si="3"/>
        <v>45823.27356503316</v>
      </c>
      <c r="H47" s="22">
        <f t="shared" si="16"/>
        <v>31025.183870441673</v>
      </c>
      <c r="I47" s="5">
        <f t="shared" si="17"/>
        <v>75514.374529045832</v>
      </c>
      <c r="J47" s="26">
        <f t="shared" si="5"/>
        <v>0.21638678974870573</v>
      </c>
      <c r="L47" s="22">
        <f t="shared" si="18"/>
        <v>121836.25701699671</v>
      </c>
      <c r="M47" s="5">
        <f>scrimecost*Meta!O44</f>
        <v>348.10499999999996</v>
      </c>
      <c r="N47" s="5">
        <f>L47-Grade13!L47</f>
        <v>1147.4048573737091</v>
      </c>
      <c r="O47" s="5">
        <f>Grade13!M47-M47</f>
        <v>2.7599999999999909</v>
      </c>
      <c r="P47" s="22">
        <f t="shared" si="12"/>
        <v>131.67102612362467</v>
      </c>
      <c r="Q47" s="22"/>
      <c r="R47" s="22"/>
      <c r="S47" s="22">
        <f t="shared" si="19"/>
        <v>826.56140623672115</v>
      </c>
      <c r="T47" s="22">
        <f t="shared" si="20"/>
        <v>1737.5432346731272</v>
      </c>
    </row>
    <row r="48" spans="1:20" x14ac:dyDescent="0.2">
      <c r="A48" s="5">
        <v>57</v>
      </c>
      <c r="B48" s="1">
        <f t="shared" si="13"/>
        <v>2.4933486986108435</v>
      </c>
      <c r="C48" s="5">
        <f t="shared" si="14"/>
        <v>71413.471532495358</v>
      </c>
      <c r="D48" s="5">
        <f t="shared" si="15"/>
        <v>69013.492256598052</v>
      </c>
      <c r="E48" s="5">
        <f t="shared" si="1"/>
        <v>59513.492256598052</v>
      </c>
      <c r="F48" s="5">
        <f t="shared" si="2"/>
        <v>22234.254447439067</v>
      </c>
      <c r="G48" s="5">
        <f t="shared" si="3"/>
        <v>46779.237809158985</v>
      </c>
      <c r="H48" s="22">
        <f t="shared" si="16"/>
        <v>31800.813467202712</v>
      </c>
      <c r="I48" s="5">
        <f t="shared" si="17"/>
        <v>77212.616297271976</v>
      </c>
      <c r="J48" s="26">
        <f t="shared" si="5"/>
        <v>0.21830646111820237</v>
      </c>
      <c r="L48" s="22">
        <f t="shared" si="18"/>
        <v>124882.16344242162</v>
      </c>
      <c r="M48" s="5">
        <f>scrimecost*Meta!O45</f>
        <v>348.10499999999996</v>
      </c>
      <c r="N48" s="5">
        <f>L48-Grade13!L48</f>
        <v>1176.0899788080715</v>
      </c>
      <c r="O48" s="5">
        <f>Grade13!M48-M48</f>
        <v>2.7599999999999909</v>
      </c>
      <c r="P48" s="22">
        <f t="shared" si="12"/>
        <v>135.26633263160016</v>
      </c>
      <c r="Q48" s="22"/>
      <c r="R48" s="22"/>
      <c r="S48" s="22">
        <f t="shared" si="19"/>
        <v>847.41588044681805</v>
      </c>
      <c r="T48" s="22">
        <f t="shared" si="20"/>
        <v>1817.5135141299811</v>
      </c>
    </row>
    <row r="49" spans="1:20" x14ac:dyDescent="0.2">
      <c r="A49" s="5">
        <v>58</v>
      </c>
      <c r="B49" s="1">
        <f t="shared" si="13"/>
        <v>2.555682416076114</v>
      </c>
      <c r="C49" s="5">
        <f t="shared" si="14"/>
        <v>73198.80832080773</v>
      </c>
      <c r="D49" s="5">
        <f t="shared" si="15"/>
        <v>70722.059563012997</v>
      </c>
      <c r="E49" s="5">
        <f t="shared" si="1"/>
        <v>61222.059563012997</v>
      </c>
      <c r="F49" s="5">
        <f t="shared" si="2"/>
        <v>22962.958403625042</v>
      </c>
      <c r="G49" s="5">
        <f t="shared" si="3"/>
        <v>47759.101159387952</v>
      </c>
      <c r="H49" s="22">
        <f t="shared" si="16"/>
        <v>32595.833803882775</v>
      </c>
      <c r="I49" s="5">
        <f t="shared" si="17"/>
        <v>78953.314109703759</v>
      </c>
      <c r="J49" s="26">
        <f t="shared" si="5"/>
        <v>0.22017931123478449</v>
      </c>
      <c r="L49" s="22">
        <f t="shared" si="18"/>
        <v>128004.21752848213</v>
      </c>
      <c r="M49" s="5">
        <f>scrimecost*Meta!O46</f>
        <v>348.10499999999996</v>
      </c>
      <c r="N49" s="5">
        <f>L49-Grade13!L49</f>
        <v>1205.4922282782354</v>
      </c>
      <c r="O49" s="5">
        <f>Grade13!M49-M49</f>
        <v>2.7599999999999909</v>
      </c>
      <c r="P49" s="22">
        <f t="shared" si="12"/>
        <v>138.95152180227501</v>
      </c>
      <c r="Q49" s="22"/>
      <c r="R49" s="22"/>
      <c r="S49" s="22">
        <f t="shared" si="19"/>
        <v>868.7917165121313</v>
      </c>
      <c r="T49" s="22">
        <f t="shared" si="20"/>
        <v>1901.1539045574571</v>
      </c>
    </row>
    <row r="50" spans="1:20" x14ac:dyDescent="0.2">
      <c r="A50" s="5">
        <v>59</v>
      </c>
      <c r="B50" s="1">
        <f t="shared" si="13"/>
        <v>2.6195744764780171</v>
      </c>
      <c r="C50" s="5">
        <f t="shared" si="14"/>
        <v>75028.778528827912</v>
      </c>
      <c r="D50" s="5">
        <f t="shared" si="15"/>
        <v>72473.341052088319</v>
      </c>
      <c r="E50" s="5">
        <f t="shared" si="1"/>
        <v>62973.341052088319</v>
      </c>
      <c r="F50" s="5">
        <f t="shared" si="2"/>
        <v>23709.879958715668</v>
      </c>
      <c r="G50" s="5">
        <f t="shared" si="3"/>
        <v>48763.461093372651</v>
      </c>
      <c r="H50" s="22">
        <f t="shared" si="16"/>
        <v>33410.729648979846</v>
      </c>
      <c r="I50" s="5">
        <f t="shared" si="17"/>
        <v>80737.529367446361</v>
      </c>
      <c r="J50" s="26">
        <f t="shared" si="5"/>
        <v>0.22200648208023047</v>
      </c>
      <c r="L50" s="22">
        <f t="shared" si="18"/>
        <v>131204.32296669419</v>
      </c>
      <c r="M50" s="5">
        <f>scrimecost*Meta!O47</f>
        <v>348.10499999999996</v>
      </c>
      <c r="N50" s="5">
        <f>L50-Grade13!L50</f>
        <v>1235.6295339852222</v>
      </c>
      <c r="O50" s="5">
        <f>Grade13!M50-M50</f>
        <v>2.7599999999999909</v>
      </c>
      <c r="P50" s="22">
        <f t="shared" si="12"/>
        <v>142.72884070221679</v>
      </c>
      <c r="Q50" s="22"/>
      <c r="R50" s="22"/>
      <c r="S50" s="22">
        <f t="shared" si="19"/>
        <v>890.70194847912057</v>
      </c>
      <c r="T50" s="22">
        <f t="shared" si="20"/>
        <v>1988.6326277912049</v>
      </c>
    </row>
    <row r="51" spans="1:20" x14ac:dyDescent="0.2">
      <c r="A51" s="5">
        <v>60</v>
      </c>
      <c r="B51" s="1">
        <f t="shared" si="13"/>
        <v>2.6850638383899672</v>
      </c>
      <c r="C51" s="5">
        <f t="shared" si="14"/>
        <v>76904.497992048608</v>
      </c>
      <c r="D51" s="5">
        <f t="shared" si="15"/>
        <v>74268.404578390517</v>
      </c>
      <c r="E51" s="5">
        <f t="shared" si="1"/>
        <v>64768.404578390517</v>
      </c>
      <c r="F51" s="5">
        <f t="shared" si="2"/>
        <v>24475.474552683554</v>
      </c>
      <c r="G51" s="5">
        <f t="shared" si="3"/>
        <v>49792.930025706963</v>
      </c>
      <c r="H51" s="22">
        <f t="shared" si="16"/>
        <v>34245.997890204337</v>
      </c>
      <c r="I51" s="5">
        <f t="shared" si="17"/>
        <v>82566.350006632507</v>
      </c>
      <c r="J51" s="26">
        <f t="shared" si="5"/>
        <v>0.22378908778310458</v>
      </c>
      <c r="L51" s="22">
        <f t="shared" si="18"/>
        <v>134484.43104086153</v>
      </c>
      <c r="M51" s="5">
        <f>scrimecost*Meta!O48</f>
        <v>183.63800000000001</v>
      </c>
      <c r="N51" s="5">
        <f>L51-Grade13!L51</f>
        <v>1266.5202723348339</v>
      </c>
      <c r="O51" s="5">
        <f>Grade13!M51-M51</f>
        <v>1.4559999999999889</v>
      </c>
      <c r="P51" s="22">
        <f t="shared" si="12"/>
        <v>146.60059257465707</v>
      </c>
      <c r="Q51" s="22"/>
      <c r="R51" s="22"/>
      <c r="S51" s="22">
        <f t="shared" si="19"/>
        <v>912.1010882452531</v>
      </c>
      <c r="T51" s="22">
        <f t="shared" si="20"/>
        <v>2077.7136173164449</v>
      </c>
    </row>
    <row r="52" spans="1:20" x14ac:dyDescent="0.2">
      <c r="A52" s="5">
        <v>61</v>
      </c>
      <c r="B52" s="1">
        <f t="shared" si="13"/>
        <v>2.7521904343497163</v>
      </c>
      <c r="C52" s="5">
        <f t="shared" si="14"/>
        <v>78827.110441849829</v>
      </c>
      <c r="D52" s="5">
        <f t="shared" si="15"/>
        <v>76108.344692850282</v>
      </c>
      <c r="E52" s="5">
        <f t="shared" si="1"/>
        <v>66608.344692850282</v>
      </c>
      <c r="F52" s="5">
        <f t="shared" si="2"/>
        <v>25260.209011500647</v>
      </c>
      <c r="G52" s="5">
        <f t="shared" si="3"/>
        <v>50848.135681349639</v>
      </c>
      <c r="H52" s="22">
        <f t="shared" si="16"/>
        <v>35102.147837459444</v>
      </c>
      <c r="I52" s="5">
        <f t="shared" si="17"/>
        <v>84440.891161798325</v>
      </c>
      <c r="J52" s="26">
        <f t="shared" si="5"/>
        <v>0.22552821529810374</v>
      </c>
      <c r="L52" s="22">
        <f t="shared" si="18"/>
        <v>137846.54181688305</v>
      </c>
      <c r="M52" s="5">
        <f>scrimecost*Meta!O49</f>
        <v>183.63800000000001</v>
      </c>
      <c r="N52" s="5">
        <f>L52-Grade13!L52</f>
        <v>1298.1832791432098</v>
      </c>
      <c r="O52" s="5">
        <f>Grade13!M52-M52</f>
        <v>1.4559999999999889</v>
      </c>
      <c r="P52" s="22">
        <f t="shared" si="12"/>
        <v>150.56913824390838</v>
      </c>
      <c r="Q52" s="22"/>
      <c r="R52" s="22"/>
      <c r="S52" s="22">
        <f t="shared" si="19"/>
        <v>935.12052570555431</v>
      </c>
      <c r="T52" s="22">
        <f t="shared" si="20"/>
        <v>2173.3559277048221</v>
      </c>
    </row>
    <row r="53" spans="1:20" x14ac:dyDescent="0.2">
      <c r="A53" s="5">
        <v>62</v>
      </c>
      <c r="B53" s="1">
        <f t="shared" si="13"/>
        <v>2.8209951952084591</v>
      </c>
      <c r="C53" s="5">
        <f t="shared" si="14"/>
        <v>80797.788202896059</v>
      </c>
      <c r="D53" s="5">
        <f t="shared" si="15"/>
        <v>77994.283310171522</v>
      </c>
      <c r="E53" s="5">
        <f t="shared" si="1"/>
        <v>68494.283310171522</v>
      </c>
      <c r="F53" s="5">
        <f t="shared" si="2"/>
        <v>26064.561831788153</v>
      </c>
      <c r="G53" s="5">
        <f t="shared" si="3"/>
        <v>51929.72147838337</v>
      </c>
      <c r="H53" s="22">
        <f t="shared" si="16"/>
        <v>35979.701533395928</v>
      </c>
      <c r="I53" s="5">
        <f t="shared" si="17"/>
        <v>86362.295845843269</v>
      </c>
      <c r="J53" s="26">
        <f t="shared" si="5"/>
        <v>0.22722492506883454</v>
      </c>
      <c r="L53" s="22">
        <f t="shared" si="18"/>
        <v>141292.70536230513</v>
      </c>
      <c r="M53" s="5">
        <f>scrimecost*Meta!O50</f>
        <v>183.63800000000001</v>
      </c>
      <c r="N53" s="5">
        <f>L53-Grade13!L53</f>
        <v>1330.637861121766</v>
      </c>
      <c r="O53" s="5">
        <f>Grade13!M53-M53</f>
        <v>1.4559999999999889</v>
      </c>
      <c r="P53" s="22">
        <f t="shared" si="12"/>
        <v>154.63689755489094</v>
      </c>
      <c r="Q53" s="22"/>
      <c r="R53" s="22"/>
      <c r="S53" s="22">
        <f t="shared" si="19"/>
        <v>958.71544910234456</v>
      </c>
      <c r="T53" s="22">
        <f t="shared" si="20"/>
        <v>2273.3879096027649</v>
      </c>
    </row>
    <row r="54" spans="1:20" x14ac:dyDescent="0.2">
      <c r="A54" s="5">
        <v>63</v>
      </c>
      <c r="B54" s="1">
        <f t="shared" si="13"/>
        <v>2.8915200750886707</v>
      </c>
      <c r="C54" s="5">
        <f t="shared" si="14"/>
        <v>82817.732907968471</v>
      </c>
      <c r="D54" s="5">
        <f t="shared" si="15"/>
        <v>79927.370392925834</v>
      </c>
      <c r="E54" s="5">
        <f t="shared" si="1"/>
        <v>70427.370392925834</v>
      </c>
      <c r="F54" s="5">
        <f t="shared" si="2"/>
        <v>26889.02347258287</v>
      </c>
      <c r="G54" s="5">
        <f t="shared" si="3"/>
        <v>53038.346920342963</v>
      </c>
      <c r="H54" s="22">
        <f t="shared" si="16"/>
        <v>36879.194071730832</v>
      </c>
      <c r="I54" s="5">
        <f t="shared" si="17"/>
        <v>88331.735646989371</v>
      </c>
      <c r="J54" s="26">
        <f t="shared" si="5"/>
        <v>0.22888025167442572</v>
      </c>
      <c r="L54" s="22">
        <f t="shared" si="18"/>
        <v>144825.02299636276</v>
      </c>
      <c r="M54" s="5">
        <f>scrimecost*Meta!O51</f>
        <v>183.63800000000001</v>
      </c>
      <c r="N54" s="5">
        <f>L54-Grade13!L54</f>
        <v>1363.9038076498546</v>
      </c>
      <c r="O54" s="5">
        <f>Grade13!M54-M54</f>
        <v>1.4559999999999889</v>
      </c>
      <c r="P54" s="22">
        <f t="shared" si="12"/>
        <v>158.80635084864815</v>
      </c>
      <c r="Q54" s="22"/>
      <c r="R54" s="22"/>
      <c r="S54" s="22">
        <f t="shared" si="19"/>
        <v>982.90024558409743</v>
      </c>
      <c r="T54" s="22">
        <f t="shared" si="20"/>
        <v>2378.0107727726713</v>
      </c>
    </row>
    <row r="55" spans="1:20" x14ac:dyDescent="0.2">
      <c r="A55" s="5">
        <v>64</v>
      </c>
      <c r="B55" s="1">
        <f t="shared" si="13"/>
        <v>2.9638080769658868</v>
      </c>
      <c r="C55" s="5">
        <f t="shared" si="14"/>
        <v>84888.176230667668</v>
      </c>
      <c r="D55" s="5">
        <f t="shared" si="15"/>
        <v>81908.78465274896</v>
      </c>
      <c r="E55" s="5">
        <f t="shared" si="1"/>
        <v>72408.78465274896</v>
      </c>
      <c r="F55" s="5">
        <f t="shared" si="2"/>
        <v>27734.096654397428</v>
      </c>
      <c r="G55" s="5">
        <f t="shared" si="3"/>
        <v>54174.687998351532</v>
      </c>
      <c r="H55" s="22">
        <f t="shared" si="16"/>
        <v>37801.173923524089</v>
      </c>
      <c r="I55" s="5">
        <f t="shared" si="17"/>
        <v>90350.411443164077</v>
      </c>
      <c r="J55" s="26">
        <f t="shared" si="5"/>
        <v>0.23049520446036822</v>
      </c>
      <c r="L55" s="22">
        <f t="shared" si="18"/>
        <v>148445.6485712718</v>
      </c>
      <c r="M55" s="5">
        <f>scrimecost*Meta!O52</f>
        <v>183.63800000000001</v>
      </c>
      <c r="N55" s="5">
        <f>L55-Grade13!L55</f>
        <v>1398.001402841066</v>
      </c>
      <c r="O55" s="5">
        <f>Grade13!M55-M55</f>
        <v>1.4559999999999889</v>
      </c>
      <c r="P55" s="22">
        <f t="shared" si="12"/>
        <v>163.08004047474921</v>
      </c>
      <c r="Q55" s="22"/>
      <c r="R55" s="22"/>
      <c r="S55" s="22">
        <f t="shared" si="19"/>
        <v>1007.6896619778445</v>
      </c>
      <c r="T55" s="22">
        <f t="shared" si="20"/>
        <v>2487.4349445464559</v>
      </c>
    </row>
    <row r="56" spans="1:20" x14ac:dyDescent="0.2">
      <c r="A56" s="5">
        <v>65</v>
      </c>
      <c r="B56" s="1">
        <f t="shared" si="13"/>
        <v>3.0379032788900342</v>
      </c>
      <c r="C56" s="5">
        <f t="shared" si="14"/>
        <v>87010.380636434376</v>
      </c>
      <c r="D56" s="5">
        <f t="shared" si="15"/>
        <v>83939.734269067703</v>
      </c>
      <c r="E56" s="5">
        <f t="shared" si="1"/>
        <v>74439.734269067703</v>
      </c>
      <c r="F56" s="5">
        <f t="shared" si="2"/>
        <v>28600.296665757374</v>
      </c>
      <c r="G56" s="5">
        <f t="shared" si="3"/>
        <v>55339.437603310333</v>
      </c>
      <c r="H56" s="22">
        <f t="shared" si="16"/>
        <v>38746.20327161219</v>
      </c>
      <c r="I56" s="5">
        <f t="shared" si="17"/>
        <v>92419.554134243197</v>
      </c>
      <c r="J56" s="26">
        <f t="shared" si="5"/>
        <v>0.23207076815397071</v>
      </c>
      <c r="L56" s="22">
        <f t="shared" si="18"/>
        <v>152156.78978555361</v>
      </c>
      <c r="M56" s="5">
        <f>scrimecost*Meta!O53</f>
        <v>55.494999999999997</v>
      </c>
      <c r="N56" s="5">
        <f>L56-Grade13!L56</f>
        <v>1432.9514379121538</v>
      </c>
      <c r="O56" s="5">
        <f>Grade13!M56-M56</f>
        <v>0.44000000000000483</v>
      </c>
      <c r="P56" s="22">
        <f t="shared" si="12"/>
        <v>167.46057234150283</v>
      </c>
      <c r="Q56" s="22"/>
      <c r="R56" s="22"/>
      <c r="S56" s="22">
        <f t="shared" si="19"/>
        <v>1032.2738217814956</v>
      </c>
      <c r="T56" s="22">
        <f t="shared" si="20"/>
        <v>2599.8027327576297</v>
      </c>
    </row>
    <row r="57" spans="1:20" x14ac:dyDescent="0.2">
      <c r="A57" s="5">
        <v>66</v>
      </c>
      <c r="C57" s="5"/>
      <c r="H57" s="21"/>
      <c r="I57" s="5"/>
      <c r="M57" s="5">
        <f>scrimecost*Meta!O54</f>
        <v>55.494999999999997</v>
      </c>
      <c r="N57" s="5">
        <f>L57-Grade13!L57</f>
        <v>0</v>
      </c>
      <c r="O57" s="5">
        <f>Grade13!M57-M57</f>
        <v>0.44000000000000483</v>
      </c>
      <c r="Q57" s="22"/>
      <c r="R57" s="22"/>
      <c r="S57" s="22">
        <f t="shared" si="19"/>
        <v>0.35728000000000393</v>
      </c>
      <c r="T57" s="22">
        <f t="shared" si="20"/>
        <v>0.91806777118971927</v>
      </c>
    </row>
    <row r="58" spans="1:20" x14ac:dyDescent="0.2">
      <c r="A58" s="5">
        <v>67</v>
      </c>
      <c r="C58" s="5"/>
      <c r="H58" s="21"/>
      <c r="I58" s="5"/>
      <c r="M58" s="5">
        <f>scrimecost*Meta!O55</f>
        <v>55.494999999999997</v>
      </c>
      <c r="N58" s="5">
        <f>L58-Grade13!L58</f>
        <v>0</v>
      </c>
      <c r="O58" s="5">
        <f>Grade13!M58-M58</f>
        <v>0.44000000000000483</v>
      </c>
      <c r="Q58" s="22"/>
      <c r="R58" s="22"/>
      <c r="S58" s="22">
        <f t="shared" si="19"/>
        <v>0.35728000000000393</v>
      </c>
      <c r="T58" s="22">
        <f t="shared" si="20"/>
        <v>0.93668873161472899</v>
      </c>
    </row>
    <row r="59" spans="1:20" x14ac:dyDescent="0.2">
      <c r="A59" s="5">
        <v>68</v>
      </c>
      <c r="H59" s="21"/>
      <c r="I59" s="5"/>
      <c r="M59" s="5">
        <f>scrimecost*Meta!O56</f>
        <v>55.494999999999997</v>
      </c>
      <c r="N59" s="5">
        <f>L59-Grade13!L59</f>
        <v>0</v>
      </c>
      <c r="O59" s="5">
        <f>Grade13!M59-M59</f>
        <v>0.44000000000000483</v>
      </c>
      <c r="Q59" s="22"/>
      <c r="R59" s="22"/>
      <c r="S59" s="22">
        <f t="shared" si="19"/>
        <v>0.35728000000000393</v>
      </c>
      <c r="T59" s="22">
        <f t="shared" si="20"/>
        <v>0.95568737675761117</v>
      </c>
    </row>
    <row r="60" spans="1:20" x14ac:dyDescent="0.2">
      <c r="A60" s="5">
        <v>69</v>
      </c>
      <c r="H60" s="21"/>
      <c r="I60" s="5"/>
      <c r="M60" s="5">
        <f>scrimecost*Meta!O57</f>
        <v>55.494999999999997</v>
      </c>
      <c r="N60" s="5">
        <f>L60-Grade13!L60</f>
        <v>0</v>
      </c>
      <c r="O60" s="5">
        <f>Grade13!M60-M60</f>
        <v>0.44000000000000483</v>
      </c>
      <c r="Q60" s="22"/>
      <c r="R60" s="22"/>
      <c r="S60" s="22">
        <f t="shared" si="19"/>
        <v>0.35728000000000393</v>
      </c>
      <c r="T60" s="22">
        <f t="shared" si="20"/>
        <v>0.97507136711185582</v>
      </c>
    </row>
    <row r="61" spans="1:20" x14ac:dyDescent="0.2">
      <c r="A61" s="5">
        <v>70</v>
      </c>
      <c r="H61" s="21"/>
      <c r="I61" s="5"/>
      <c r="M61" s="5">
        <f>scrimecost*Meta!O58</f>
        <v>55.494999999999997</v>
      </c>
      <c r="N61" s="5">
        <f>L61-Grade13!L61</f>
        <v>0</v>
      </c>
      <c r="O61" s="5">
        <f>Grade13!M61-M61</f>
        <v>0.44000000000000483</v>
      </c>
      <c r="Q61" s="22"/>
      <c r="R61" s="22"/>
      <c r="S61" s="22">
        <f t="shared" si="19"/>
        <v>0.35728000000000393</v>
      </c>
      <c r="T61" s="22">
        <f t="shared" si="20"/>
        <v>0.99484851854700573</v>
      </c>
    </row>
    <row r="62" spans="1:20" x14ac:dyDescent="0.2">
      <c r="A62" s="5">
        <v>71</v>
      </c>
      <c r="H62" s="21"/>
      <c r="I62" s="5"/>
      <c r="M62" s="5">
        <f>scrimecost*Meta!O59</f>
        <v>55.494999999999997</v>
      </c>
      <c r="N62" s="5">
        <f>L62-Grade13!L62</f>
        <v>0</v>
      </c>
      <c r="O62" s="5">
        <f>Grade13!M62-M62</f>
        <v>0.44000000000000483</v>
      </c>
      <c r="Q62" s="22"/>
      <c r="R62" s="22"/>
      <c r="S62" s="22">
        <f t="shared" si="19"/>
        <v>0.35728000000000393</v>
      </c>
      <c r="T62" s="22">
        <f t="shared" si="20"/>
        <v>1.0150268054601133</v>
      </c>
    </row>
    <row r="63" spans="1:20" x14ac:dyDescent="0.2">
      <c r="A63" s="5">
        <v>72</v>
      </c>
      <c r="H63" s="21"/>
      <c r="M63" s="5">
        <f>scrimecost*Meta!O60</f>
        <v>55.494999999999997</v>
      </c>
      <c r="N63" s="5">
        <f>L63-Grade13!L63</f>
        <v>0</v>
      </c>
      <c r="O63" s="5">
        <f>Grade13!M63-M63</f>
        <v>0.44000000000000483</v>
      </c>
      <c r="Q63" s="22"/>
      <c r="R63" s="22"/>
      <c r="S63" s="22">
        <f t="shared" si="19"/>
        <v>0.35728000000000393</v>
      </c>
      <c r="T63" s="22">
        <f t="shared" si="20"/>
        <v>1.0356143639911171</v>
      </c>
    </row>
    <row r="64" spans="1:20" x14ac:dyDescent="0.2">
      <c r="A64" s="5">
        <v>73</v>
      </c>
      <c r="H64" s="21"/>
      <c r="M64" s="5">
        <f>scrimecost*Meta!O61</f>
        <v>55.494999999999997</v>
      </c>
      <c r="N64" s="5">
        <f>L64-Grade13!L64</f>
        <v>0</v>
      </c>
      <c r="O64" s="5">
        <f>Grade13!M64-M64</f>
        <v>0.44000000000000483</v>
      </c>
      <c r="Q64" s="22"/>
      <c r="R64" s="22"/>
      <c r="S64" s="22">
        <f t="shared" si="19"/>
        <v>0.35728000000000393</v>
      </c>
      <c r="T64" s="22">
        <f t="shared" si="20"/>
        <v>1.056619495303438</v>
      </c>
    </row>
    <row r="65" spans="1:20" x14ac:dyDescent="0.2">
      <c r="A65" s="5">
        <v>74</v>
      </c>
      <c r="H65" s="21"/>
      <c r="M65" s="5">
        <f>scrimecost*Meta!O62</f>
        <v>55.494999999999997</v>
      </c>
      <c r="N65" s="5">
        <f>L65-Grade13!L65</f>
        <v>0</v>
      </c>
      <c r="O65" s="5">
        <f>Grade13!M65-M65</f>
        <v>0.44000000000000483</v>
      </c>
      <c r="Q65" s="22"/>
      <c r="R65" s="22"/>
      <c r="S65" s="22">
        <f t="shared" si="19"/>
        <v>0.35728000000000393</v>
      </c>
      <c r="T65" s="22">
        <f t="shared" si="20"/>
        <v>1.078050668931112</v>
      </c>
    </row>
    <row r="66" spans="1:20" x14ac:dyDescent="0.2">
      <c r="A66" s="5">
        <v>75</v>
      </c>
      <c r="H66" s="21"/>
      <c r="M66" s="5">
        <f>scrimecost*Meta!O63</f>
        <v>55.494999999999997</v>
      </c>
      <c r="N66" s="5">
        <f>L66-Grade13!L66</f>
        <v>0</v>
      </c>
      <c r="O66" s="5">
        <f>Grade13!M66-M66</f>
        <v>0.44000000000000483</v>
      </c>
      <c r="Q66" s="22"/>
      <c r="R66" s="22"/>
      <c r="S66" s="22">
        <f t="shared" si="19"/>
        <v>0.35728000000000393</v>
      </c>
      <c r="T66" s="22">
        <f t="shared" si="20"/>
        <v>1.099916526193814</v>
      </c>
    </row>
    <row r="67" spans="1:20" x14ac:dyDescent="0.2">
      <c r="A67" s="5">
        <v>76</v>
      </c>
      <c r="H67" s="21"/>
      <c r="M67" s="5">
        <f>scrimecost*Meta!O64</f>
        <v>55.494999999999997</v>
      </c>
      <c r="N67" s="5">
        <f>L67-Grade13!L67</f>
        <v>0</v>
      </c>
      <c r="O67" s="5">
        <f>Grade13!M67-M67</f>
        <v>0.44000000000000483</v>
      </c>
      <c r="Q67" s="22"/>
      <c r="R67" s="22"/>
      <c r="S67" s="22">
        <f t="shared" si="19"/>
        <v>0.35728000000000393</v>
      </c>
      <c r="T67" s="22">
        <f t="shared" si="20"/>
        <v>1.1222258836811454</v>
      </c>
    </row>
    <row r="68" spans="1:20" x14ac:dyDescent="0.2">
      <c r="A68" s="5">
        <v>77</v>
      </c>
      <c r="H68" s="21"/>
      <c r="M68" s="5">
        <f>scrimecost*Meta!O65</f>
        <v>55.494999999999997</v>
      </c>
      <c r="N68" s="5">
        <f>L68-Grade13!L68</f>
        <v>0</v>
      </c>
      <c r="O68" s="5">
        <f>Grade13!M68-M68</f>
        <v>0.44000000000000483</v>
      </c>
      <c r="Q68" s="22"/>
      <c r="R68" s="22"/>
      <c r="S68" s="22">
        <f t="shared" si="19"/>
        <v>0.35728000000000393</v>
      </c>
      <c r="T68" s="22">
        <f t="shared" si="20"/>
        <v>1.1449877368075956</v>
      </c>
    </row>
    <row r="69" spans="1:20" x14ac:dyDescent="0.2">
      <c r="A69" s="5">
        <v>78</v>
      </c>
      <c r="H69" s="21"/>
      <c r="M69" s="5">
        <f>scrimecost*Meta!O66</f>
        <v>55.494999999999997</v>
      </c>
      <c r="N69" s="5">
        <f>L69-Grade13!L69</f>
        <v>0</v>
      </c>
      <c r="O69" s="5">
        <f>Grade13!M69-M69</f>
        <v>0.44000000000000483</v>
      </c>
      <c r="Q69" s="22"/>
      <c r="R69" s="22"/>
      <c r="S69" s="22">
        <f t="shared" si="19"/>
        <v>0.35728000000000393</v>
      </c>
      <c r="T69" s="22">
        <f t="shared" si="20"/>
        <v>1.1682112634396065</v>
      </c>
    </row>
    <row r="70" spans="1:20" x14ac:dyDescent="0.2">
      <c r="A70" s="5">
        <v>79</v>
      </c>
      <c r="H70" s="21"/>
      <c r="M70" s="5"/>
      <c r="Q70" s="22"/>
      <c r="R70" s="22"/>
      <c r="S70" s="22">
        <f>SUM(T5:T69)</f>
        <v>2.6134088226825725E-9</v>
      </c>
    </row>
    <row r="71" spans="1:20" x14ac:dyDescent="0.2">
      <c r="A71" s="5">
        <v>80</v>
      </c>
      <c r="H71" s="21"/>
      <c r="M71" s="5"/>
      <c r="Q71" s="22"/>
      <c r="R71" s="22"/>
    </row>
    <row r="72" spans="1:20" x14ac:dyDescent="0.2">
      <c r="A72" s="5">
        <v>81</v>
      </c>
      <c r="H72" s="21"/>
      <c r="M72" s="5"/>
      <c r="Q72" s="22"/>
      <c r="R72" s="22"/>
    </row>
    <row r="73" spans="1:20" x14ac:dyDescent="0.2">
      <c r="A73" s="5">
        <v>82</v>
      </c>
      <c r="H73" s="21"/>
      <c r="M73" s="5"/>
    </row>
    <row r="74" spans="1:20" x14ac:dyDescent="0.2">
      <c r="A74" s="5">
        <v>83</v>
      </c>
      <c r="H74" s="21"/>
      <c r="M74" s="5"/>
    </row>
    <row r="75" spans="1:20" x14ac:dyDescent="0.2">
      <c r="A75" s="5">
        <v>84</v>
      </c>
      <c r="H75" s="21"/>
      <c r="M75" s="5"/>
    </row>
    <row r="76" spans="1:20" x14ac:dyDescent="0.2">
      <c r="A76" s="5">
        <v>85</v>
      </c>
      <c r="H76" s="21"/>
    </row>
    <row r="77" spans="1:20" x14ac:dyDescent="0.2">
      <c r="A77" s="5">
        <v>86</v>
      </c>
      <c r="H77" s="21"/>
    </row>
    <row r="78" spans="1:20" x14ac:dyDescent="0.2">
      <c r="A78" s="5">
        <v>87</v>
      </c>
      <c r="H78" s="21"/>
    </row>
    <row r="79" spans="1:20" x14ac:dyDescent="0.2">
      <c r="A79" s="5">
        <v>88</v>
      </c>
      <c r="H79" s="21"/>
    </row>
    <row r="80" spans="1:20" x14ac:dyDescent="0.2">
      <c r="A80" s="5">
        <v>89</v>
      </c>
      <c r="H80" s="21"/>
    </row>
    <row r="81" spans="1:8" x14ac:dyDescent="0.2">
      <c r="A81" s="5">
        <v>90</v>
      </c>
      <c r="H81" s="2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272</vt:i4>
      </vt:variant>
    </vt:vector>
  </HeadingPairs>
  <TitlesOfParts>
    <vt:vector size="285" baseType="lpstr">
      <vt:lpstr>Meta</vt:lpstr>
      <vt:lpstr>Output</vt:lpstr>
      <vt:lpstr>Grade8</vt:lpstr>
      <vt:lpstr>Grade9</vt:lpstr>
      <vt:lpstr>Grade10</vt:lpstr>
      <vt:lpstr>Grade11</vt:lpstr>
      <vt:lpstr>Grade12</vt:lpstr>
      <vt:lpstr>Grade13</vt:lpstr>
      <vt:lpstr>Grade14</vt:lpstr>
      <vt:lpstr>Grade15</vt:lpstr>
      <vt:lpstr>Grade16</vt:lpstr>
      <vt:lpstr>Grade17</vt:lpstr>
      <vt:lpstr>Grade18</vt:lpstr>
      <vt:lpstr>Meta!_edn1</vt:lpstr>
      <vt:lpstr>Output!_edn1</vt:lpstr>
      <vt:lpstr>Meta!_ednref1</vt:lpstr>
      <vt:lpstr>Output!_ednref1</vt:lpstr>
      <vt:lpstr>Meta!baseincome</vt:lpstr>
      <vt:lpstr>Grade10!benefits</vt:lpstr>
      <vt:lpstr>Grade11!benefits</vt:lpstr>
      <vt:lpstr>Grade12!benefits</vt:lpstr>
      <vt:lpstr>Grade13!benefits</vt:lpstr>
      <vt:lpstr>Grade14!benefits</vt:lpstr>
      <vt:lpstr>Grade15!benefits</vt:lpstr>
      <vt:lpstr>Grade16!benefits</vt:lpstr>
      <vt:lpstr>Grade17!benefits</vt:lpstr>
      <vt:lpstr>Grade18!benefits</vt:lpstr>
      <vt:lpstr>Grade9!benefits</vt:lpstr>
      <vt:lpstr>benefits</vt:lpstr>
      <vt:lpstr>Grade10!benrat</vt:lpstr>
      <vt:lpstr>Grade11!benrat</vt:lpstr>
      <vt:lpstr>Grade12!benrat</vt:lpstr>
      <vt:lpstr>Grade13!benrat</vt:lpstr>
      <vt:lpstr>Grade14!benrat</vt:lpstr>
      <vt:lpstr>Grade15!benrat</vt:lpstr>
      <vt:lpstr>Grade16!benrat</vt:lpstr>
      <vt:lpstr>Grade17!benrat</vt:lpstr>
      <vt:lpstr>Grade18!benrat</vt:lpstr>
      <vt:lpstr>Grade9!benrat</vt:lpstr>
      <vt:lpstr>benrat</vt:lpstr>
      <vt:lpstr>coltuition</vt:lpstr>
      <vt:lpstr>Grade10!completionprob</vt:lpstr>
      <vt:lpstr>Grade11!completionprob</vt:lpstr>
      <vt:lpstr>Grade12!completionprob</vt:lpstr>
      <vt:lpstr>Grade13!completionprob</vt:lpstr>
      <vt:lpstr>Grade14!completionprob</vt:lpstr>
      <vt:lpstr>Grade15!completionprob</vt:lpstr>
      <vt:lpstr>Grade16!completionprob</vt:lpstr>
      <vt:lpstr>Grade17!completionprob</vt:lpstr>
      <vt:lpstr>Grade18!completionprob</vt:lpstr>
      <vt:lpstr>completionprob</vt:lpstr>
      <vt:lpstr>Grade10!comprat</vt:lpstr>
      <vt:lpstr>Grade11!comprat</vt:lpstr>
      <vt:lpstr>Grade12!comprat</vt:lpstr>
      <vt:lpstr>Grade13!comprat</vt:lpstr>
      <vt:lpstr>Grade14!comprat</vt:lpstr>
      <vt:lpstr>Grade15!comprat</vt:lpstr>
      <vt:lpstr>Grade16!comprat</vt:lpstr>
      <vt:lpstr>Grade17!comprat</vt:lpstr>
      <vt:lpstr>Grade18!comprat</vt:lpstr>
      <vt:lpstr>Grade9!comprat</vt:lpstr>
      <vt:lpstr>comprat</vt:lpstr>
      <vt:lpstr>experiencepremium</vt:lpstr>
      <vt:lpstr>Grade10!expnorm</vt:lpstr>
      <vt:lpstr>Grade11!expnorm</vt:lpstr>
      <vt:lpstr>Grade12!expnorm</vt:lpstr>
      <vt:lpstr>Grade13!expnorm</vt:lpstr>
      <vt:lpstr>Grade14!expnorm</vt:lpstr>
      <vt:lpstr>Grade15!expnorm</vt:lpstr>
      <vt:lpstr>Grade16!expnorm</vt:lpstr>
      <vt:lpstr>Grade17!expnorm</vt:lpstr>
      <vt:lpstr>Grade18!expnorm</vt:lpstr>
      <vt:lpstr>Grade9!expnorm</vt:lpstr>
      <vt:lpstr>expnorm</vt:lpstr>
      <vt:lpstr>Grade10!expnorm8</vt:lpstr>
      <vt:lpstr>Grade11!expnorm8</vt:lpstr>
      <vt:lpstr>Grade12!expnorm8</vt:lpstr>
      <vt:lpstr>Grade13!expnorm8</vt:lpstr>
      <vt:lpstr>Grade14!expnorm8</vt:lpstr>
      <vt:lpstr>Grade15!expnorm8</vt:lpstr>
      <vt:lpstr>Grade16!expnorm8</vt:lpstr>
      <vt:lpstr>Grade17!expnorm8</vt:lpstr>
      <vt:lpstr>Grade18!expnorm8</vt:lpstr>
      <vt:lpstr>Grade9!expnorm8</vt:lpstr>
      <vt:lpstr>expnorm8</vt:lpstr>
      <vt:lpstr>feel</vt:lpstr>
      <vt:lpstr>hstuition</vt:lpstr>
      <vt:lpstr>Meta!incomeindex</vt:lpstr>
      <vt:lpstr>Grade10!initialbenrat</vt:lpstr>
      <vt:lpstr>Grade11!initialbenrat</vt:lpstr>
      <vt:lpstr>Grade12!initialbenrat</vt:lpstr>
      <vt:lpstr>Grade13!initialbenrat</vt:lpstr>
      <vt:lpstr>Grade14!initialbenrat</vt:lpstr>
      <vt:lpstr>Grade15!initialbenrat</vt:lpstr>
      <vt:lpstr>Grade16!initialbenrat</vt:lpstr>
      <vt:lpstr>Grade17!initialbenrat</vt:lpstr>
      <vt:lpstr>Grade18!initialbenrat</vt:lpstr>
      <vt:lpstr>Grade9!initialbenrat</vt:lpstr>
      <vt:lpstr>initialbenrat</vt:lpstr>
      <vt:lpstr>Grade10!initialpart</vt:lpstr>
      <vt:lpstr>Grade11!initialpart</vt:lpstr>
      <vt:lpstr>Grade12!initialpart</vt:lpstr>
      <vt:lpstr>Grade13!initialpart</vt:lpstr>
      <vt:lpstr>Grade14!initialpart</vt:lpstr>
      <vt:lpstr>Grade15!initialpart</vt:lpstr>
      <vt:lpstr>Grade16!initialpart</vt:lpstr>
      <vt:lpstr>Grade17!initialpart</vt:lpstr>
      <vt:lpstr>Grade18!initialpart</vt:lpstr>
      <vt:lpstr>initialpart</vt:lpstr>
      <vt:lpstr>Grade10!initialspart</vt:lpstr>
      <vt:lpstr>Grade11!initialspart</vt:lpstr>
      <vt:lpstr>Grade12!initialspart</vt:lpstr>
      <vt:lpstr>Grade13!initialspart</vt:lpstr>
      <vt:lpstr>Grade14!initialspart</vt:lpstr>
      <vt:lpstr>Grade15!initialspart</vt:lpstr>
      <vt:lpstr>Grade16!initialspart</vt:lpstr>
      <vt:lpstr>Grade17!initialspart</vt:lpstr>
      <vt:lpstr>Grade18!initialspart</vt:lpstr>
      <vt:lpstr>initialspart</vt:lpstr>
      <vt:lpstr>Grade10!initialunempprob</vt:lpstr>
      <vt:lpstr>Grade11!initialunempprob</vt:lpstr>
      <vt:lpstr>Grade12!initialunempprob</vt:lpstr>
      <vt:lpstr>Grade13!initialunempprob</vt:lpstr>
      <vt:lpstr>Grade14!initialunempprob</vt:lpstr>
      <vt:lpstr>Grade15!initialunempprob</vt:lpstr>
      <vt:lpstr>Grade16!initialunempprob</vt:lpstr>
      <vt:lpstr>Grade17!initialunempprob</vt:lpstr>
      <vt:lpstr>Grade18!initialunempprob</vt:lpstr>
      <vt:lpstr>Grade9!initialunempprob</vt:lpstr>
      <vt:lpstr>initialunempprob</vt:lpstr>
      <vt:lpstr>nptrans</vt:lpstr>
      <vt:lpstr>part10</vt:lpstr>
      <vt:lpstr>part11</vt:lpstr>
      <vt:lpstr>part12</vt:lpstr>
      <vt:lpstr>part13</vt:lpstr>
      <vt:lpstr>part14</vt:lpstr>
      <vt:lpstr>part15</vt:lpstr>
      <vt:lpstr>part16</vt:lpstr>
      <vt:lpstr>part17</vt:lpstr>
      <vt:lpstr>part18</vt:lpstr>
      <vt:lpstr>part8</vt:lpstr>
      <vt:lpstr>part9</vt:lpstr>
      <vt:lpstr>Grade10!pretaxincome</vt:lpstr>
      <vt:lpstr>Grade11!pretaxincome</vt:lpstr>
      <vt:lpstr>Grade12!pretaxincome</vt:lpstr>
      <vt:lpstr>Grade13!pretaxincome</vt:lpstr>
      <vt:lpstr>Grade14!pretaxincome</vt:lpstr>
      <vt:lpstr>Grade15!pretaxincome</vt:lpstr>
      <vt:lpstr>Grade16!pretaxincome</vt:lpstr>
      <vt:lpstr>Grade17!pretaxincome</vt:lpstr>
      <vt:lpstr>Grade18!pretaxincome</vt:lpstr>
      <vt:lpstr>Grade9!pretaxincome</vt:lpstr>
      <vt:lpstr>pretaxincome</vt:lpstr>
      <vt:lpstr>Grade10!pretaxincome8</vt:lpstr>
      <vt:lpstr>Grade11!pretaxincome8</vt:lpstr>
      <vt:lpstr>Grade12!pretaxincome8</vt:lpstr>
      <vt:lpstr>Grade13!pretaxincome8</vt:lpstr>
      <vt:lpstr>Grade14!pretaxincome8</vt:lpstr>
      <vt:lpstr>Grade15!pretaxincome8</vt:lpstr>
      <vt:lpstr>Grade16!pretaxincome8</vt:lpstr>
      <vt:lpstr>Grade17!pretaxincome8</vt:lpstr>
      <vt:lpstr>Grade18!pretaxincome8</vt:lpstr>
      <vt:lpstr>Grade9!pretaxincome8</vt:lpstr>
      <vt:lpstr>pretaxincome8</vt:lpstr>
      <vt:lpstr>Grade10!pretaxincomey8</vt:lpstr>
      <vt:lpstr>Grade11!pretaxincomey8</vt:lpstr>
      <vt:lpstr>Grade12!pretaxincomey8</vt:lpstr>
      <vt:lpstr>Grade13!pretaxincomey8</vt:lpstr>
      <vt:lpstr>Grade14!pretaxincomey8</vt:lpstr>
      <vt:lpstr>Grade15!pretaxincomey8</vt:lpstr>
      <vt:lpstr>Grade16!pretaxincomey8</vt:lpstr>
      <vt:lpstr>Grade17!pretaxincomey8</vt:lpstr>
      <vt:lpstr>Grade18!pretaxincomey8</vt:lpstr>
      <vt:lpstr>Grade9!pretaxincomey8</vt:lpstr>
      <vt:lpstr>pretaxincomey8</vt:lpstr>
      <vt:lpstr>returntoexperience</vt:lpstr>
      <vt:lpstr>Grade10!sbenefits</vt:lpstr>
      <vt:lpstr>Grade11!sbenefits</vt:lpstr>
      <vt:lpstr>Grade12!sbenefits</vt:lpstr>
      <vt:lpstr>Grade13!sbenefits</vt:lpstr>
      <vt:lpstr>Grade14!sbenefits</vt:lpstr>
      <vt:lpstr>Grade15!sbenefits</vt:lpstr>
      <vt:lpstr>Grade16!sbenefits</vt:lpstr>
      <vt:lpstr>Grade17!sbenefits</vt:lpstr>
      <vt:lpstr>Grade18!sbenefits</vt:lpstr>
      <vt:lpstr>Grade9!sbenefits</vt:lpstr>
      <vt:lpstr>sbenefits</vt:lpstr>
      <vt:lpstr>Grade10!scrimecost</vt:lpstr>
      <vt:lpstr>Grade11!scrimecost</vt:lpstr>
      <vt:lpstr>Grade12!scrimecost</vt:lpstr>
      <vt:lpstr>Grade13!scrimecost</vt:lpstr>
      <vt:lpstr>Grade14!scrimecost</vt:lpstr>
      <vt:lpstr>Grade15!scrimecost</vt:lpstr>
      <vt:lpstr>Grade16!scrimecost</vt:lpstr>
      <vt:lpstr>Grade17!scrimecost</vt:lpstr>
      <vt:lpstr>Grade18!scrimecost</vt:lpstr>
      <vt:lpstr>Grade9!scrimecost</vt:lpstr>
      <vt:lpstr>scrimecost</vt:lpstr>
      <vt:lpstr>Grade10!sincome</vt:lpstr>
      <vt:lpstr>Grade11!sincome</vt:lpstr>
      <vt:lpstr>Grade12!sincome</vt:lpstr>
      <vt:lpstr>Grade13!sincome</vt:lpstr>
      <vt:lpstr>Grade14!sincome</vt:lpstr>
      <vt:lpstr>Grade15!sincome</vt:lpstr>
      <vt:lpstr>Grade16!sincome</vt:lpstr>
      <vt:lpstr>Grade17!sincome</vt:lpstr>
      <vt:lpstr>Grade18!sincome</vt:lpstr>
      <vt:lpstr>Grade9!sincome</vt:lpstr>
      <vt:lpstr>sincome</vt:lpstr>
      <vt:lpstr>Grade10!spart</vt:lpstr>
      <vt:lpstr>Grade11!spart</vt:lpstr>
      <vt:lpstr>Grade12!spart</vt:lpstr>
      <vt:lpstr>Grade13!spart</vt:lpstr>
      <vt:lpstr>Grade14!spart</vt:lpstr>
      <vt:lpstr>Grade15!spart</vt:lpstr>
      <vt:lpstr>Grade16!spart</vt:lpstr>
      <vt:lpstr>Grade17!spart</vt:lpstr>
      <vt:lpstr>Grade18!spart</vt:lpstr>
      <vt:lpstr>Grade9!spart</vt:lpstr>
      <vt:lpstr>spart</vt:lpstr>
      <vt:lpstr>Grade10!sreturn</vt:lpstr>
      <vt:lpstr>Grade11!sreturn</vt:lpstr>
      <vt:lpstr>Grade12!sreturn</vt:lpstr>
      <vt:lpstr>Grade13!sreturn</vt:lpstr>
      <vt:lpstr>Grade14!sreturn</vt:lpstr>
      <vt:lpstr>Grade15!sreturn</vt:lpstr>
      <vt:lpstr>Grade16!sreturn</vt:lpstr>
      <vt:lpstr>Grade17!sreturn</vt:lpstr>
      <vt:lpstr>Grade18!sreturn</vt:lpstr>
      <vt:lpstr>sreturn</vt:lpstr>
      <vt:lpstr>Grade10!startage</vt:lpstr>
      <vt:lpstr>Grade11!startage</vt:lpstr>
      <vt:lpstr>Grade12!startage</vt:lpstr>
      <vt:lpstr>Grade13!startage</vt:lpstr>
      <vt:lpstr>Grade14!startage</vt:lpstr>
      <vt:lpstr>Grade15!startage</vt:lpstr>
      <vt:lpstr>Grade16!startage</vt:lpstr>
      <vt:lpstr>Grade17!startage</vt:lpstr>
      <vt:lpstr>Grade18!startage</vt:lpstr>
      <vt:lpstr>Grade9!startage</vt:lpstr>
      <vt:lpstr>startage</vt:lpstr>
      <vt:lpstr>Grade10!sunemp</vt:lpstr>
      <vt:lpstr>Grade11!sunemp</vt:lpstr>
      <vt:lpstr>Grade12!sunemp</vt:lpstr>
      <vt:lpstr>Grade13!sunemp</vt:lpstr>
      <vt:lpstr>Grade14!sunemp</vt:lpstr>
      <vt:lpstr>Grade15!sunemp</vt:lpstr>
      <vt:lpstr>Grade16!sunemp</vt:lpstr>
      <vt:lpstr>Grade17!sunemp</vt:lpstr>
      <vt:lpstr>Grade18!sunemp</vt:lpstr>
      <vt:lpstr>Grade9!sunemp</vt:lpstr>
      <vt:lpstr>sunemp</vt:lpstr>
      <vt:lpstr>Grade10!unempprob</vt:lpstr>
      <vt:lpstr>Grade11!unempprob</vt:lpstr>
      <vt:lpstr>Grade12!unempprob</vt:lpstr>
      <vt:lpstr>Grade13!unempprob</vt:lpstr>
      <vt:lpstr>Grade14!unempprob</vt:lpstr>
      <vt:lpstr>Grade15!unempprob</vt:lpstr>
      <vt:lpstr>Grade16!unempprob</vt:lpstr>
      <vt:lpstr>Grade17!unempprob</vt:lpstr>
      <vt:lpstr>Grade18!unempprob</vt:lpstr>
      <vt:lpstr>Grade9!unempprob</vt:lpstr>
      <vt:lpstr>unempprob</vt:lpstr>
      <vt:lpstr>Grade10!unempprob8</vt:lpstr>
      <vt:lpstr>Grade11!unempprob8</vt:lpstr>
      <vt:lpstr>Grade12!unempprob8</vt:lpstr>
      <vt:lpstr>Grade13!unempprob8</vt:lpstr>
      <vt:lpstr>Grade14!unempprob8</vt:lpstr>
      <vt:lpstr>Grade15!unempprob8</vt:lpstr>
      <vt:lpstr>Grade16!unempprob8</vt:lpstr>
      <vt:lpstr>Grade17!unempprob8</vt:lpstr>
      <vt:lpstr>Grade18!unempprob8</vt:lpstr>
      <vt:lpstr>Grade9!unempprob8</vt:lpstr>
      <vt:lpstr>unempprob8</vt:lpstr>
      <vt:lpstr>Grade10!unempproby8</vt:lpstr>
      <vt:lpstr>Grade11!unempproby8</vt:lpstr>
      <vt:lpstr>Grade12!unempproby8</vt:lpstr>
      <vt:lpstr>Grade13!unempproby8</vt:lpstr>
      <vt:lpstr>Grade14!unempproby8</vt:lpstr>
      <vt:lpstr>Grade15!unempproby8</vt:lpstr>
      <vt:lpstr>Grade16!unempproby8</vt:lpstr>
      <vt:lpstr>Grade17!unempproby8</vt:lpstr>
      <vt:lpstr>Grade18!unempproby8</vt:lpstr>
      <vt:lpstr>Grade9!unempproby8</vt:lpstr>
      <vt:lpstr>unempproby8</vt:lpstr>
    </vt:vector>
  </TitlesOfParts>
  <Company>GMU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bcaplan</dc:creator>
  <cp:lastModifiedBy>Caleb</cp:lastModifiedBy>
  <dcterms:created xsi:type="dcterms:W3CDTF">2014-05-28T17:05:58Z</dcterms:created>
  <dcterms:modified xsi:type="dcterms:W3CDTF">2015-04-20T18:55:49Z</dcterms:modified>
</cp:coreProperties>
</file>