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80" yWindow="45" windowWidth="15180" windowHeight="11760" activeTab="1"/>
  </bookViews>
  <sheets>
    <sheet name="Meta" sheetId="4" r:id="rId1"/>
    <sheet name="Output" sheetId="50" r:id="rId2"/>
    <sheet name="Grade8" sheetId="1" r:id="rId3"/>
    <sheet name="Grade9" sheetId="52" r:id="rId4"/>
    <sheet name="Grade10" sheetId="53" r:id="rId5"/>
    <sheet name="Grade11" sheetId="54" r:id="rId6"/>
    <sheet name="Grade12" sheetId="55" r:id="rId7"/>
    <sheet name="Grade13" sheetId="56" r:id="rId8"/>
    <sheet name="Grade14" sheetId="57" r:id="rId9"/>
    <sheet name="Grade15" sheetId="58" r:id="rId10"/>
    <sheet name="Grade16" sheetId="59" r:id="rId11"/>
    <sheet name="Grade17" sheetId="60" r:id="rId12"/>
    <sheet name="Grade18" sheetId="61" r:id="rId13"/>
  </sheets>
  <definedNames>
    <definedName name="_edn1" localSheetId="0">Meta!$E$10</definedName>
    <definedName name="_edn1" localSheetId="1">Output!$B$10</definedName>
    <definedName name="_ednref1" localSheetId="0">Meta!$E$7</definedName>
    <definedName name="_ednref1" localSheetId="1">Output!$B$7</definedName>
    <definedName name="baseincome" localSheetId="0">Meta!$B$2</definedName>
    <definedName name="benefits" localSheetId="4">Grade10!$D$2</definedName>
    <definedName name="benefits" localSheetId="5">Grade11!$D$2</definedName>
    <definedName name="benefits" localSheetId="6">Grade12!$D$2</definedName>
    <definedName name="benefits" localSheetId="7">Grade13!$D$2</definedName>
    <definedName name="benefits" localSheetId="8">Grade14!$D$2</definedName>
    <definedName name="benefits" localSheetId="9">Grade15!$D$2</definedName>
    <definedName name="benefits" localSheetId="10">Grade16!$D$2</definedName>
    <definedName name="benefits" localSheetId="11">Grade17!$D$2</definedName>
    <definedName name="benefits" localSheetId="12">Grade18!$D$2</definedName>
    <definedName name="benefits" localSheetId="3">Grade9!$D$2</definedName>
    <definedName name="benefits">Grade8!$D$2</definedName>
    <definedName name="benrat" localSheetId="4">Grade10!$I$2</definedName>
    <definedName name="benrat" localSheetId="5">Grade11!$I$2</definedName>
    <definedName name="benrat" localSheetId="6">Grade12!$I$2</definedName>
    <definedName name="benrat" localSheetId="7">Grade13!$I$2</definedName>
    <definedName name="benrat" localSheetId="8">Grade14!$I$2</definedName>
    <definedName name="benrat" localSheetId="9">Grade15!$I$2</definedName>
    <definedName name="benrat" localSheetId="10">Grade16!$I$2</definedName>
    <definedName name="benrat" localSheetId="11">Grade17!$I$2</definedName>
    <definedName name="benrat" localSheetId="12">Grade18!$I$2</definedName>
    <definedName name="benrat" localSheetId="3">Grade9!$I$2</definedName>
    <definedName name="benrat">Grade8!$I$2</definedName>
    <definedName name="coltuition">Meta!$Q$2</definedName>
    <definedName name="compensationratio">#REF!</definedName>
    <definedName name="completionprob" localSheetId="4">Grade10!$H$2</definedName>
    <definedName name="completionprob" localSheetId="5">Grade11!$H$2</definedName>
    <definedName name="completionprob" localSheetId="6">Grade12!$H$2</definedName>
    <definedName name="completionprob" localSheetId="7">Grade13!$H$2</definedName>
    <definedName name="completionprob" localSheetId="8">Grade14!$H$2</definedName>
    <definedName name="completionprob" localSheetId="9">Grade15!$H$2</definedName>
    <definedName name="completionprob" localSheetId="10">Grade16!$H$2</definedName>
    <definedName name="completionprob" localSheetId="11">Grade17!$H$2</definedName>
    <definedName name="completionprob" localSheetId="12">Grade18!$H$2</definedName>
    <definedName name="completionprob">Grade9!$H$2</definedName>
    <definedName name="comprat" localSheetId="4">Grade10!$I$2</definedName>
    <definedName name="comprat" localSheetId="5">Grade11!$I$2</definedName>
    <definedName name="comprat" localSheetId="6">Grade12!$I$2</definedName>
    <definedName name="comprat" localSheetId="7">Grade13!$I$2</definedName>
    <definedName name="comprat" localSheetId="8">Grade14!$I$2</definedName>
    <definedName name="comprat" localSheetId="9">Grade15!$I$2</definedName>
    <definedName name="comprat" localSheetId="10">Grade16!$I$2</definedName>
    <definedName name="comprat" localSheetId="11">Grade17!$I$2</definedName>
    <definedName name="comprat" localSheetId="12">Grade18!$I$2</definedName>
    <definedName name="comprat" localSheetId="3">Grade9!$I$2</definedName>
    <definedName name="comprat">Grade8!$I$2</definedName>
    <definedName name="experiencepremium" localSheetId="1">Output!#REF!</definedName>
    <definedName name="experiencepremium">Meta!$H$2</definedName>
    <definedName name="expnorm" localSheetId="4">Grade10!$G$2</definedName>
    <definedName name="expnorm" localSheetId="5">Grade11!$G$2</definedName>
    <definedName name="expnorm" localSheetId="6">Grade12!$G$2</definedName>
    <definedName name="expnorm" localSheetId="7">Grade13!$G$2</definedName>
    <definedName name="expnorm" localSheetId="8">Grade14!$G$2</definedName>
    <definedName name="expnorm" localSheetId="9">Grade15!$G$2</definedName>
    <definedName name="expnorm" localSheetId="10">Grade16!$G$2</definedName>
    <definedName name="expnorm" localSheetId="11">Grade17!$G$2</definedName>
    <definedName name="expnorm" localSheetId="12">Grade18!$G$2</definedName>
    <definedName name="expnorm" localSheetId="3">Grade9!$G$2</definedName>
    <definedName name="expnorm">Grade8!$G$2</definedName>
    <definedName name="expnorm8" localSheetId="4">Grade10!$G$2</definedName>
    <definedName name="expnorm8" localSheetId="5">Grade11!$G$2</definedName>
    <definedName name="expnorm8" localSheetId="6">Grade12!$G$2</definedName>
    <definedName name="expnorm8" localSheetId="7">Grade13!$G$2</definedName>
    <definedName name="expnorm8" localSheetId="8">Grade14!$G$2</definedName>
    <definedName name="expnorm8" localSheetId="9">Grade15!$G$2</definedName>
    <definedName name="expnorm8" localSheetId="10">Grade16!$G$2</definedName>
    <definedName name="expnorm8" localSheetId="11">Grade17!$G$2</definedName>
    <definedName name="expnorm8" localSheetId="12">Grade18!$G$2</definedName>
    <definedName name="expnorm8" localSheetId="3">Grade9!$G$2</definedName>
    <definedName name="expnorm8">Grade8!$G$2</definedName>
    <definedName name="feel">Meta!$R$2</definedName>
    <definedName name="hstuition">Meta!$P$2</definedName>
    <definedName name="incomeindex" localSheetId="0">Meta!$E$2</definedName>
    <definedName name="initialbenrat" localSheetId="4">Grade10!$L$2</definedName>
    <definedName name="initialbenrat" localSheetId="5">Grade11!$L$2</definedName>
    <definedName name="initialbenrat" localSheetId="6">Grade12!$L$2</definedName>
    <definedName name="initialbenrat" localSheetId="7">Grade13!$L$2</definedName>
    <definedName name="initialbenrat" localSheetId="8">Grade14!$L$2</definedName>
    <definedName name="initialbenrat" localSheetId="9">Grade15!$L$2</definedName>
    <definedName name="initialbenrat" localSheetId="10">Grade16!$L$2</definedName>
    <definedName name="initialbenrat" localSheetId="11">Grade17!$L$2</definedName>
    <definedName name="initialbenrat" localSheetId="12">Grade18!$L$2</definedName>
    <definedName name="initialbenrat" localSheetId="3">Grade9!$L$2</definedName>
    <definedName name="initialbenrat">Grade8!$L$2</definedName>
    <definedName name="initialcompensationratio">#REF!</definedName>
    <definedName name="initialcomprat">#REF!</definedName>
    <definedName name="initialpart" localSheetId="4">Grade10!$L$2</definedName>
    <definedName name="initialpart" localSheetId="5">Grade11!$L$2</definedName>
    <definedName name="initialpart" localSheetId="6">Grade12!$L$2</definedName>
    <definedName name="initialpart" localSheetId="7">Grade13!$L$2</definedName>
    <definedName name="initialpart" localSheetId="8">Grade14!$L$2</definedName>
    <definedName name="initialpart" localSheetId="9">Grade15!$L$2</definedName>
    <definedName name="initialpart" localSheetId="10">Grade16!$L$2</definedName>
    <definedName name="initialpart" localSheetId="11">Grade17!$L$2</definedName>
    <definedName name="initialpart" localSheetId="12">Grade18!$L$2</definedName>
    <definedName name="initialpart">Grade9!$L$2</definedName>
    <definedName name="initialspart" localSheetId="4">Grade10!$J$2</definedName>
    <definedName name="initialspart" localSheetId="5">Grade11!$J$2</definedName>
    <definedName name="initialspart" localSheetId="6">Grade12!$J$2</definedName>
    <definedName name="initialspart" localSheetId="7">Grade13!$J$2</definedName>
    <definedName name="initialspart" localSheetId="8">Grade14!$J$2</definedName>
    <definedName name="initialspart" localSheetId="9">Grade15!$J$2</definedName>
    <definedName name="initialspart" localSheetId="10">Grade16!$J$2</definedName>
    <definedName name="initialspart" localSheetId="11">Grade17!$J$2</definedName>
    <definedName name="initialspart" localSheetId="12">Grade18!$J$2</definedName>
    <definedName name="initialspart">Grade9!$J$2</definedName>
    <definedName name="initialunempprob" localSheetId="4">Grade10!$K$2</definedName>
    <definedName name="initialunempprob" localSheetId="5">Grade11!$K$2</definedName>
    <definedName name="initialunempprob" localSheetId="6">Grade12!$K$2</definedName>
    <definedName name="initialunempprob" localSheetId="7">Grade13!$K$2</definedName>
    <definedName name="initialunempprob" localSheetId="8">Grade14!$K$2</definedName>
    <definedName name="initialunempprob" localSheetId="9">Grade15!$K$2</definedName>
    <definedName name="initialunempprob" localSheetId="10">Grade16!$K$2</definedName>
    <definedName name="initialunempprob" localSheetId="11">Grade17!$K$2</definedName>
    <definedName name="initialunempprob" localSheetId="12">Grade18!$K$2</definedName>
    <definedName name="initialunempprob" localSheetId="3">Grade9!$K$2</definedName>
    <definedName name="initialunempprob">Grade8!$K$2</definedName>
    <definedName name="nptrans">Meta!$S$2</definedName>
    <definedName name="part10">Meta!$F$4</definedName>
    <definedName name="part11">Meta!$F$5</definedName>
    <definedName name="part12">Meta!$F$6</definedName>
    <definedName name="part13">Meta!$F$7</definedName>
    <definedName name="part14">Meta!$F$8</definedName>
    <definedName name="part15">Meta!$F$9</definedName>
    <definedName name="part16">Meta!$F$10</definedName>
    <definedName name="part17">Meta!$F$11</definedName>
    <definedName name="part18">Meta!$F$12</definedName>
    <definedName name="part8">Meta!$F$2</definedName>
    <definedName name="part9">Meta!$F$3</definedName>
    <definedName name="pecuniaryreturn">#REF!</definedName>
    <definedName name="pretaxincome" localSheetId="4">Grade10!$C$2</definedName>
    <definedName name="pretaxincome" localSheetId="5">Grade11!$C$2</definedName>
    <definedName name="pretaxincome" localSheetId="6">Grade12!$C$2</definedName>
    <definedName name="pretaxincome" localSheetId="7">Grade13!$C$2</definedName>
    <definedName name="pretaxincome" localSheetId="8">Grade14!$C$2</definedName>
    <definedName name="pretaxincome" localSheetId="9">Grade15!$C$2</definedName>
    <definedName name="pretaxincome" localSheetId="10">Grade16!$C$2</definedName>
    <definedName name="pretaxincome" localSheetId="11">Grade17!$C$2</definedName>
    <definedName name="pretaxincome" localSheetId="12">Grade18!$C$2</definedName>
    <definedName name="pretaxincome" localSheetId="3">Grade9!$C$2</definedName>
    <definedName name="pretaxincome">Grade8!$C$2</definedName>
    <definedName name="pretaxincome8" localSheetId="4">Grade10!$C$2</definedName>
    <definedName name="pretaxincome8" localSheetId="5">Grade11!$C$2</definedName>
    <definedName name="pretaxincome8" localSheetId="6">Grade12!$C$2</definedName>
    <definedName name="pretaxincome8" localSheetId="7">Grade13!$C$2</definedName>
    <definedName name="pretaxincome8" localSheetId="8">Grade14!$C$2</definedName>
    <definedName name="pretaxincome8" localSheetId="9">Grade15!$C$2</definedName>
    <definedName name="pretaxincome8" localSheetId="10">Grade16!$C$2</definedName>
    <definedName name="pretaxincome8" localSheetId="11">Grade17!$C$2</definedName>
    <definedName name="pretaxincome8" localSheetId="12">Grade18!$C$2</definedName>
    <definedName name="pretaxincome8" localSheetId="3">Grade9!$C$2</definedName>
    <definedName name="pretaxincome8">Grade8!$C$2</definedName>
    <definedName name="pretaxincomey8" localSheetId="4">Grade10!$C$2</definedName>
    <definedName name="pretaxincomey8" localSheetId="5">Grade11!$C$2</definedName>
    <definedName name="pretaxincomey8" localSheetId="6">Grade12!$C$2</definedName>
    <definedName name="pretaxincomey8" localSheetId="7">Grade13!$C$2</definedName>
    <definedName name="pretaxincomey8" localSheetId="8">Grade14!$C$2</definedName>
    <definedName name="pretaxincomey8" localSheetId="9">Grade15!$C$2</definedName>
    <definedName name="pretaxincomey8" localSheetId="10">Grade16!$C$2</definedName>
    <definedName name="pretaxincomey8" localSheetId="11">Grade17!$C$2</definedName>
    <definedName name="pretaxincomey8" localSheetId="12">Grade18!$C$2</definedName>
    <definedName name="pretaxincomey8" localSheetId="3">Grade9!$C$2</definedName>
    <definedName name="pretaxincomey8">Grade8!$C$2</definedName>
    <definedName name="return">#REF!</definedName>
    <definedName name="returntoeducation">#REF!</definedName>
    <definedName name="returntoexperience" localSheetId="1">Output!#REF!</definedName>
    <definedName name="returntoexperience">Meta!$H$2</definedName>
    <definedName name="sbenefits" localSheetId="4">Grade10!$O$2</definedName>
    <definedName name="sbenefits" localSheetId="5">Grade11!$O$2</definedName>
    <definedName name="sbenefits" localSheetId="6">Grade12!$O$2</definedName>
    <definedName name="sbenefits" localSheetId="7">Grade13!$O$2</definedName>
    <definedName name="sbenefits" localSheetId="8">Grade14!$O$2</definedName>
    <definedName name="sbenefits" localSheetId="9">Grade15!$O$2</definedName>
    <definedName name="sbenefits" localSheetId="10">Grade16!$O$2</definedName>
    <definedName name="sbenefits" localSheetId="11">Grade17!$O$2</definedName>
    <definedName name="sbenefits" localSheetId="12">Grade18!$O$2</definedName>
    <definedName name="sbenefits" localSheetId="3">Grade9!$O$2</definedName>
    <definedName name="sbenefits">Grade8!$O$2</definedName>
    <definedName name="scrimecost" localSheetId="4">Grade10!$R$2</definedName>
    <definedName name="scrimecost" localSheetId="5">Grade11!$R$2</definedName>
    <definedName name="scrimecost" localSheetId="6">Grade12!$R$2</definedName>
    <definedName name="scrimecost" localSheetId="7">Grade13!$R$2</definedName>
    <definedName name="scrimecost" localSheetId="8">Grade14!$R$2</definedName>
    <definedName name="scrimecost" localSheetId="9">Grade15!$R$2</definedName>
    <definedName name="scrimecost" localSheetId="10">Grade16!$R$2</definedName>
    <definedName name="scrimecost" localSheetId="11">Grade17!$R$2</definedName>
    <definedName name="scrimecost" localSheetId="12">Grade18!$R$2</definedName>
    <definedName name="scrimecost" localSheetId="3">Grade9!$R$2</definedName>
    <definedName name="scrimecost">Grade8!$R$2</definedName>
    <definedName name="sincome" localSheetId="4">Grade10!$N$2</definedName>
    <definedName name="sincome" localSheetId="5">Grade11!$N$2</definedName>
    <definedName name="sincome" localSheetId="6">Grade12!$N$2</definedName>
    <definedName name="sincome" localSheetId="7">Grade13!$N$2</definedName>
    <definedName name="sincome" localSheetId="8">Grade14!$N$2</definedName>
    <definedName name="sincome" localSheetId="9">Grade15!$N$2</definedName>
    <definedName name="sincome" localSheetId="10">Grade16!$N$2</definedName>
    <definedName name="sincome" localSheetId="11">Grade17!$N$2</definedName>
    <definedName name="sincome" localSheetId="12">Grade18!$N$2</definedName>
    <definedName name="sincome" localSheetId="3">Grade9!$N$2</definedName>
    <definedName name="sincome">Grade8!$N$2</definedName>
    <definedName name="spart" localSheetId="4">Grade10!$Q$2</definedName>
    <definedName name="spart" localSheetId="5">Grade11!$Q$2</definedName>
    <definedName name="spart" localSheetId="6">Grade12!$Q$2</definedName>
    <definedName name="spart" localSheetId="7">Grade13!$Q$2</definedName>
    <definedName name="spart" localSheetId="8">Grade14!$Q$2</definedName>
    <definedName name="spart" localSheetId="9">Grade15!$Q$2</definedName>
    <definedName name="spart" localSheetId="10">Grade16!$Q$2</definedName>
    <definedName name="spart" localSheetId="11">Grade17!$Q$2</definedName>
    <definedName name="spart" localSheetId="12">Grade18!$Q$2</definedName>
    <definedName name="spart" localSheetId="3">Grade9!$Q$2</definedName>
    <definedName name="spart">Grade8!$Q$2</definedName>
    <definedName name="sreturn" localSheetId="4">Grade10!$T$2</definedName>
    <definedName name="sreturn" localSheetId="5">Grade11!$T$2</definedName>
    <definedName name="sreturn" localSheetId="6">Grade12!$T$2</definedName>
    <definedName name="sreturn" localSheetId="7">Grade13!$T$2</definedName>
    <definedName name="sreturn" localSheetId="8">Grade14!$T$2</definedName>
    <definedName name="sreturn" localSheetId="9">Grade15!$T$2</definedName>
    <definedName name="sreturn" localSheetId="10">Grade16!$T$2</definedName>
    <definedName name="sreturn" localSheetId="11">Grade17!$T$2</definedName>
    <definedName name="sreturn" localSheetId="12">Grade18!$T$2</definedName>
    <definedName name="sreturn">Grade9!$T$2</definedName>
    <definedName name="startage" localSheetId="4">Grade10!$B$2</definedName>
    <definedName name="startage" localSheetId="5">Grade11!$B$2</definedName>
    <definedName name="startage" localSheetId="6">Grade12!$B$2</definedName>
    <definedName name="startage" localSheetId="7">Grade13!$B$2</definedName>
    <definedName name="startage" localSheetId="8">Grade14!$B$2</definedName>
    <definedName name="startage" localSheetId="9">Grade15!$B$2</definedName>
    <definedName name="startage" localSheetId="10">Grade16!$B$2</definedName>
    <definedName name="startage" localSheetId="11">Grade17!$B$2</definedName>
    <definedName name="startage" localSheetId="12">Grade18!$B$2</definedName>
    <definedName name="startage" localSheetId="3">Grade9!$B$2</definedName>
    <definedName name="startage">Grade8!$B$2</definedName>
    <definedName name="sunemp" localSheetId="4">Grade10!$P$2</definedName>
    <definedName name="sunemp" localSheetId="5">Grade11!$P$2</definedName>
    <definedName name="sunemp" localSheetId="6">Grade12!$P$2</definedName>
    <definedName name="sunemp" localSheetId="7">Grade13!$P$2</definedName>
    <definedName name="sunemp" localSheetId="8">Grade14!$P$2</definedName>
    <definedName name="sunemp" localSheetId="9">Grade15!$P$2</definedName>
    <definedName name="sunemp" localSheetId="10">Grade16!$P$2</definedName>
    <definedName name="sunemp" localSheetId="11">Grade17!$P$2</definedName>
    <definedName name="sunemp" localSheetId="12">Grade18!$P$2</definedName>
    <definedName name="sunemp" localSheetId="3">Grade9!$P$2</definedName>
    <definedName name="sunemp">Grade8!$P$2</definedName>
    <definedName name="ttd">#REF!</definedName>
    <definedName name="unempprob" localSheetId="4">Grade10!$E$2</definedName>
    <definedName name="unempprob" localSheetId="5">Grade11!$E$2</definedName>
    <definedName name="unempprob" localSheetId="6">Grade12!$E$2</definedName>
    <definedName name="unempprob" localSheetId="7">Grade13!$E$2</definedName>
    <definedName name="unempprob" localSheetId="8">Grade14!$E$2</definedName>
    <definedName name="unempprob" localSheetId="9">Grade15!$E$2</definedName>
    <definedName name="unempprob" localSheetId="10">Grade16!$E$2</definedName>
    <definedName name="unempprob" localSheetId="11">Grade17!$E$2</definedName>
    <definedName name="unempprob" localSheetId="12">Grade18!$E$2</definedName>
    <definedName name="unempprob" localSheetId="3">Grade9!$E$2</definedName>
    <definedName name="unempprob">Grade8!$E$2</definedName>
    <definedName name="unempprob8" localSheetId="4">Grade10!$E$2</definedName>
    <definedName name="unempprob8" localSheetId="5">Grade11!$E$2</definedName>
    <definedName name="unempprob8" localSheetId="6">Grade12!$E$2</definedName>
    <definedName name="unempprob8" localSheetId="7">Grade13!$E$2</definedName>
    <definedName name="unempprob8" localSheetId="8">Grade14!$E$2</definedName>
    <definedName name="unempprob8" localSheetId="9">Grade15!$E$2</definedName>
    <definedName name="unempprob8" localSheetId="10">Grade16!$E$2</definedName>
    <definedName name="unempprob8" localSheetId="11">Grade17!$E$2</definedName>
    <definedName name="unempprob8" localSheetId="12">Grade18!$E$2</definedName>
    <definedName name="unempprob8" localSheetId="3">Grade9!$E$2</definedName>
    <definedName name="unempprob8">Grade8!$E$2</definedName>
    <definedName name="unempproby8" localSheetId="4">Grade10!$E$2</definedName>
    <definedName name="unempproby8" localSheetId="5">Grade11!$E$2</definedName>
    <definedName name="unempproby8" localSheetId="6">Grade12!$E$2</definedName>
    <definedName name="unempproby8" localSheetId="7">Grade13!$E$2</definedName>
    <definedName name="unempproby8" localSheetId="8">Grade14!$E$2</definedName>
    <definedName name="unempproby8" localSheetId="9">Grade15!$E$2</definedName>
    <definedName name="unempproby8" localSheetId="10">Grade16!$E$2</definedName>
    <definedName name="unempproby8" localSheetId="11">Grade17!$E$2</definedName>
    <definedName name="unempproby8" localSheetId="12">Grade18!$E$2</definedName>
    <definedName name="unempproby8" localSheetId="3">Grade9!$E$2</definedName>
    <definedName name="unempproby8">Grade8!$E$2</definedName>
  </definedNames>
  <calcPr calcId="145621"/>
</workbook>
</file>

<file path=xl/calcChain.xml><?xml version="1.0" encoding="utf-8"?>
<calcChain xmlns="http://schemas.openxmlformats.org/spreadsheetml/2006/main">
  <c r="R14" i="61" l="1"/>
  <c r="N57" i="61"/>
  <c r="N58" i="61"/>
  <c r="N59" i="61"/>
  <c r="N60" i="61"/>
  <c r="N61" i="61"/>
  <c r="N62" i="61"/>
  <c r="N63" i="61"/>
  <c r="N64" i="61"/>
  <c r="N65" i="61"/>
  <c r="N66" i="61"/>
  <c r="N67" i="61"/>
  <c r="N68" i="61"/>
  <c r="N69" i="61"/>
  <c r="R2" i="61"/>
  <c r="M68" i="61"/>
  <c r="Q2" i="61"/>
  <c r="P2" i="61"/>
  <c r="O2" i="61"/>
  <c r="L15" i="61"/>
  <c r="N2" i="61"/>
  <c r="K2" i="61"/>
  <c r="J2" i="61"/>
  <c r="H2" i="61"/>
  <c r="F2" i="61"/>
  <c r="E2" i="61"/>
  <c r="D2" i="61"/>
  <c r="C2" i="61"/>
  <c r="B2" i="61"/>
  <c r="R13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R2" i="60"/>
  <c r="M13" i="60"/>
  <c r="Q2" i="60"/>
  <c r="P2" i="60"/>
  <c r="O2" i="60"/>
  <c r="N2" i="60"/>
  <c r="L48" i="60"/>
  <c r="N48" i="60"/>
  <c r="K2" i="60"/>
  <c r="J2" i="60"/>
  <c r="H2" i="60"/>
  <c r="F2" i="60"/>
  <c r="E2" i="60"/>
  <c r="D2" i="60"/>
  <c r="C2" i="60"/>
  <c r="B2" i="60"/>
  <c r="B22" i="60"/>
  <c r="R12" i="59"/>
  <c r="N57" i="59"/>
  <c r="N58" i="59"/>
  <c r="N59" i="59"/>
  <c r="N60" i="59"/>
  <c r="N61" i="59"/>
  <c r="N62" i="59"/>
  <c r="N63" i="59"/>
  <c r="N64" i="59"/>
  <c r="N65" i="59"/>
  <c r="N66" i="59"/>
  <c r="N67" i="59"/>
  <c r="N68" i="59"/>
  <c r="N69" i="59"/>
  <c r="R2" i="59"/>
  <c r="M38" i="59"/>
  <c r="Q2" i="59"/>
  <c r="P2" i="59"/>
  <c r="O2" i="59"/>
  <c r="N2" i="59"/>
  <c r="L46" i="59"/>
  <c r="K2" i="59"/>
  <c r="J2" i="59"/>
  <c r="H2" i="59"/>
  <c r="F2" i="59"/>
  <c r="E2" i="59"/>
  <c r="D2" i="59"/>
  <c r="C2" i="59"/>
  <c r="B2" i="59"/>
  <c r="B31" i="59"/>
  <c r="R11" i="58"/>
  <c r="N57" i="58"/>
  <c r="N58" i="58"/>
  <c r="N59" i="58"/>
  <c r="N60" i="58"/>
  <c r="N61" i="58"/>
  <c r="N62" i="58"/>
  <c r="N63" i="58"/>
  <c r="N64" i="58"/>
  <c r="N65" i="58"/>
  <c r="N66" i="58"/>
  <c r="N67" i="58"/>
  <c r="N68" i="58"/>
  <c r="N69" i="58"/>
  <c r="R2" i="58"/>
  <c r="M17" i="58"/>
  <c r="Q2" i="58"/>
  <c r="P2" i="58"/>
  <c r="O2" i="58"/>
  <c r="N2" i="58"/>
  <c r="K2" i="58"/>
  <c r="J2" i="58"/>
  <c r="H2" i="58"/>
  <c r="F2" i="58"/>
  <c r="E2" i="58"/>
  <c r="D2" i="58"/>
  <c r="C2" i="58"/>
  <c r="B2" i="58"/>
  <c r="R10" i="57"/>
  <c r="N57" i="57"/>
  <c r="N58" i="57"/>
  <c r="N59" i="57"/>
  <c r="N60" i="57"/>
  <c r="N61" i="57"/>
  <c r="N62" i="57"/>
  <c r="N63" i="57"/>
  <c r="N64" i="57"/>
  <c r="N65" i="57"/>
  <c r="N66" i="57"/>
  <c r="N67" i="57"/>
  <c r="N68" i="57"/>
  <c r="N69" i="57"/>
  <c r="R2" i="57"/>
  <c r="M37" i="57"/>
  <c r="Q2" i="57"/>
  <c r="P2" i="57"/>
  <c r="O2" i="57"/>
  <c r="L16" i="57"/>
  <c r="P16" i="57"/>
  <c r="N2" i="57"/>
  <c r="K2" i="57"/>
  <c r="J2" i="57"/>
  <c r="H2" i="57"/>
  <c r="F2" i="57"/>
  <c r="E2" i="57"/>
  <c r="D2" i="57"/>
  <c r="C2" i="57"/>
  <c r="B2" i="57"/>
  <c r="B15" i="57"/>
  <c r="R9" i="56"/>
  <c r="N57" i="56"/>
  <c r="N58" i="56"/>
  <c r="N59" i="56"/>
  <c r="N60" i="56"/>
  <c r="N61" i="56"/>
  <c r="N62" i="56"/>
  <c r="N63" i="56"/>
  <c r="N64" i="56"/>
  <c r="N65" i="56"/>
  <c r="N66" i="56"/>
  <c r="N67" i="56"/>
  <c r="N68" i="56"/>
  <c r="N69" i="56"/>
  <c r="R2" i="56"/>
  <c r="Q2" i="56"/>
  <c r="P2" i="56"/>
  <c r="O2" i="56"/>
  <c r="L44" i="56"/>
  <c r="P44" i="56"/>
  <c r="N2" i="56"/>
  <c r="K2" i="56"/>
  <c r="J2" i="56"/>
  <c r="H2" i="56"/>
  <c r="F2" i="56"/>
  <c r="E2" i="56"/>
  <c r="D2" i="56"/>
  <c r="C2" i="56"/>
  <c r="B2" i="56"/>
  <c r="B56" i="56"/>
  <c r="R8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R2" i="55"/>
  <c r="Q2" i="55"/>
  <c r="P2" i="55"/>
  <c r="O2" i="55"/>
  <c r="N2" i="55"/>
  <c r="K2" i="55"/>
  <c r="J2" i="55"/>
  <c r="H2" i="55"/>
  <c r="F2" i="55"/>
  <c r="E2" i="55"/>
  <c r="D2" i="55"/>
  <c r="C2" i="55"/>
  <c r="B2" i="55"/>
  <c r="B36" i="55"/>
  <c r="R7" i="54"/>
  <c r="R6" i="53"/>
  <c r="N57" i="54"/>
  <c r="N58" i="54"/>
  <c r="N59" i="54"/>
  <c r="N60" i="54"/>
  <c r="N61" i="54"/>
  <c r="N62" i="54"/>
  <c r="N63" i="54"/>
  <c r="N64" i="54"/>
  <c r="N65" i="54"/>
  <c r="N66" i="54"/>
  <c r="N67" i="54"/>
  <c r="N68" i="54"/>
  <c r="N69" i="54"/>
  <c r="R2" i="54"/>
  <c r="Q2" i="54"/>
  <c r="P2" i="54"/>
  <c r="O2" i="54"/>
  <c r="N2" i="54"/>
  <c r="K2" i="54"/>
  <c r="J2" i="54"/>
  <c r="H2" i="54"/>
  <c r="F2" i="54"/>
  <c r="E2" i="54"/>
  <c r="D2" i="54"/>
  <c r="C2" i="54"/>
  <c r="B2" i="54"/>
  <c r="B46" i="54"/>
  <c r="N57" i="53"/>
  <c r="N58" i="53"/>
  <c r="N59" i="53"/>
  <c r="N60" i="53"/>
  <c r="N61" i="53"/>
  <c r="N62" i="53"/>
  <c r="N63" i="53"/>
  <c r="N64" i="53"/>
  <c r="N65" i="53"/>
  <c r="N66" i="53"/>
  <c r="N67" i="53"/>
  <c r="N68" i="53"/>
  <c r="N69" i="53"/>
  <c r="R2" i="53"/>
  <c r="Q2" i="53"/>
  <c r="P2" i="53"/>
  <c r="O2" i="53"/>
  <c r="L39" i="53"/>
  <c r="N2" i="53"/>
  <c r="K2" i="53"/>
  <c r="J2" i="53"/>
  <c r="H2" i="53"/>
  <c r="F2" i="53"/>
  <c r="E2" i="53"/>
  <c r="D2" i="53"/>
  <c r="C2" i="53"/>
  <c r="B2" i="53"/>
  <c r="B15" i="53"/>
  <c r="N57" i="52"/>
  <c r="N58" i="52"/>
  <c r="N59" i="52"/>
  <c r="N60" i="52"/>
  <c r="N61" i="52"/>
  <c r="N62" i="52"/>
  <c r="N63" i="52"/>
  <c r="N64" i="52"/>
  <c r="N65" i="52"/>
  <c r="N66" i="52"/>
  <c r="N67" i="52"/>
  <c r="N68" i="52"/>
  <c r="N69" i="52"/>
  <c r="J2" i="52"/>
  <c r="P43" i="52"/>
  <c r="Q2" i="52"/>
  <c r="R5" i="52"/>
  <c r="R2" i="52"/>
  <c r="P2" i="52"/>
  <c r="L9" i="52"/>
  <c r="O2" i="52"/>
  <c r="N2" i="52"/>
  <c r="H2" i="52"/>
  <c r="F2" i="52"/>
  <c r="E2" i="52"/>
  <c r="D2" i="52"/>
  <c r="C2" i="52"/>
  <c r="C28" i="52"/>
  <c r="D28" i="52"/>
  <c r="E28" i="52"/>
  <c r="F28" i="52"/>
  <c r="B2" i="52"/>
  <c r="B6" i="52"/>
  <c r="K2" i="52"/>
  <c r="R2" i="1"/>
  <c r="M58" i="1"/>
  <c r="S2" i="4"/>
  <c r="F2" i="1"/>
  <c r="E2" i="1"/>
  <c r="Q2" i="1"/>
  <c r="P2" i="1"/>
  <c r="L15" i="1"/>
  <c r="O2" i="1"/>
  <c r="N2" i="1"/>
  <c r="D2" i="1"/>
  <c r="C2" i="1"/>
  <c r="B7" i="50"/>
  <c r="B3" i="50"/>
  <c r="K3" i="50"/>
  <c r="B4" i="50"/>
  <c r="B5" i="50"/>
  <c r="B6" i="50"/>
  <c r="B8" i="50"/>
  <c r="B9" i="50"/>
  <c r="Q10" i="50"/>
  <c r="B10" i="50"/>
  <c r="B11" i="50"/>
  <c r="B12" i="50"/>
  <c r="B2" i="50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B2" i="1"/>
  <c r="B54" i="1"/>
  <c r="K2" i="1"/>
  <c r="H2" i="1"/>
  <c r="B47" i="61"/>
  <c r="B35" i="61"/>
  <c r="M31" i="61"/>
  <c r="B19" i="59"/>
  <c r="B23" i="59"/>
  <c r="B27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56" i="59"/>
  <c r="B55" i="59"/>
  <c r="B54" i="59"/>
  <c r="B53" i="59"/>
  <c r="B13" i="59"/>
  <c r="B15" i="59"/>
  <c r="B16" i="59"/>
  <c r="B20" i="59"/>
  <c r="B24" i="59"/>
  <c r="B28" i="59"/>
  <c r="M43" i="59"/>
  <c r="B21" i="59"/>
  <c r="B25" i="59"/>
  <c r="B29" i="59"/>
  <c r="B14" i="59"/>
  <c r="B17" i="59"/>
  <c r="B18" i="59"/>
  <c r="B22" i="59"/>
  <c r="B26" i="59"/>
  <c r="B30" i="59"/>
  <c r="M61" i="58"/>
  <c r="B17" i="57"/>
  <c r="B30" i="57"/>
  <c r="M51" i="57"/>
  <c r="M39" i="57"/>
  <c r="B31" i="56"/>
  <c r="B20" i="54"/>
  <c r="B10" i="53"/>
  <c r="M68" i="53"/>
  <c r="O68" i="54" s="1"/>
  <c r="S68" i="54" s="1"/>
  <c r="M50" i="53"/>
  <c r="M55" i="53"/>
  <c r="B55" i="53"/>
  <c r="B53" i="53"/>
  <c r="B51" i="53"/>
  <c r="B49" i="53"/>
  <c r="B47" i="53"/>
  <c r="B45" i="53"/>
  <c r="B43" i="53"/>
  <c r="B41" i="53"/>
  <c r="B39" i="53"/>
  <c r="B37" i="53"/>
  <c r="B35" i="53"/>
  <c r="B33" i="53"/>
  <c r="B31" i="53"/>
  <c r="B29" i="53"/>
  <c r="B27" i="53"/>
  <c r="B25" i="53"/>
  <c r="B23" i="53"/>
  <c r="B21" i="53"/>
  <c r="B19" i="53"/>
  <c r="B17" i="53"/>
  <c r="B48" i="52"/>
  <c r="B15" i="52"/>
  <c r="B32" i="52"/>
  <c r="B7" i="52"/>
  <c r="B14" i="52"/>
  <c r="B10" i="52"/>
  <c r="B23" i="52"/>
  <c r="B54" i="52"/>
  <c r="B50" i="52"/>
  <c r="B46" i="52"/>
  <c r="B42" i="52"/>
  <c r="B38" i="52"/>
  <c r="B34" i="52"/>
  <c r="B30" i="52"/>
  <c r="B53" i="52"/>
  <c r="B49" i="52"/>
  <c r="B45" i="52"/>
  <c r="B41" i="52"/>
  <c r="B37" i="52"/>
  <c r="B33" i="52"/>
  <c r="B29" i="52"/>
  <c r="B55" i="52"/>
  <c r="B47" i="52"/>
  <c r="B39" i="52"/>
  <c r="B31" i="52"/>
  <c r="B24" i="52"/>
  <c r="B20" i="52"/>
  <c r="B16" i="52"/>
  <c r="B12" i="52"/>
  <c r="B52" i="52"/>
  <c r="B44" i="52"/>
  <c r="B36" i="52"/>
  <c r="B28" i="52"/>
  <c r="B25" i="52"/>
  <c r="B21" i="52"/>
  <c r="B17" i="52"/>
  <c r="B13" i="52"/>
  <c r="B56" i="52"/>
  <c r="B40" i="52"/>
  <c r="B27" i="52"/>
  <c r="B19" i="52"/>
  <c r="B8" i="52"/>
  <c r="B51" i="52"/>
  <c r="B35" i="52"/>
  <c r="B26" i="52"/>
  <c r="B18" i="52"/>
  <c r="B9" i="52"/>
  <c r="B11" i="52"/>
  <c r="B22" i="52"/>
  <c r="B43" i="52"/>
  <c r="M17" i="53"/>
  <c r="M20" i="53"/>
  <c r="M36" i="53"/>
  <c r="M45" i="53"/>
  <c r="M32" i="53"/>
  <c r="M24" i="53"/>
  <c r="M52" i="53"/>
  <c r="M31" i="53"/>
  <c r="M15" i="53"/>
  <c r="M18" i="53"/>
  <c r="M34" i="53"/>
  <c r="M43" i="53"/>
  <c r="M67" i="55"/>
  <c r="M63" i="55"/>
  <c r="M53" i="55"/>
  <c r="M66" i="1"/>
  <c r="M34" i="1"/>
  <c r="M26" i="1"/>
  <c r="M65" i="1"/>
  <c r="M29" i="1"/>
  <c r="M21" i="1"/>
  <c r="M5" i="1"/>
  <c r="M36" i="1"/>
  <c r="M28" i="1"/>
  <c r="B29" i="60"/>
  <c r="M37" i="55"/>
  <c r="M43" i="55"/>
  <c r="M47" i="53"/>
  <c r="M12" i="53"/>
  <c r="M48" i="53"/>
  <c r="M27" i="53"/>
  <c r="M67" i="53"/>
  <c r="B16" i="53"/>
  <c r="B20" i="53"/>
  <c r="B24" i="53"/>
  <c r="B28" i="53"/>
  <c r="B32" i="53"/>
  <c r="B36" i="53"/>
  <c r="B40" i="53"/>
  <c r="B44" i="53"/>
  <c r="B48" i="53"/>
  <c r="B52" i="53"/>
  <c r="B56" i="53"/>
  <c r="M54" i="53"/>
  <c r="M28" i="53"/>
  <c r="B17" i="55"/>
  <c r="M19" i="57"/>
  <c r="M66" i="55"/>
  <c r="M12" i="55"/>
  <c r="M58" i="53"/>
  <c r="M40" i="53"/>
  <c r="M62" i="53"/>
  <c r="M49" i="53"/>
  <c r="M64" i="53"/>
  <c r="M29" i="53"/>
  <c r="B18" i="53"/>
  <c r="B22" i="53"/>
  <c r="B26" i="53"/>
  <c r="B30" i="53"/>
  <c r="B34" i="53"/>
  <c r="B38" i="53"/>
  <c r="B42" i="53"/>
  <c r="B46" i="53"/>
  <c r="B50" i="53"/>
  <c r="B54" i="53"/>
  <c r="M9" i="53"/>
  <c r="M37" i="53"/>
  <c r="M53" i="54"/>
  <c r="B48" i="60"/>
  <c r="B11" i="53"/>
  <c r="B7" i="53"/>
  <c r="B14" i="53"/>
  <c r="B9" i="53"/>
  <c r="B12" i="53"/>
  <c r="M41" i="55"/>
  <c r="M14" i="55"/>
  <c r="M46" i="55"/>
  <c r="M9" i="55"/>
  <c r="M47" i="55"/>
  <c r="M8" i="55"/>
  <c r="B33" i="54"/>
  <c r="B46" i="58"/>
  <c r="B35" i="58"/>
  <c r="B50" i="58"/>
  <c r="B26" i="58"/>
  <c r="M15" i="58"/>
  <c r="M55" i="58"/>
  <c r="M54" i="58"/>
  <c r="B45" i="55"/>
  <c r="B32" i="55"/>
  <c r="B13" i="55"/>
  <c r="B41" i="55"/>
  <c r="B28" i="55"/>
  <c r="B9" i="55"/>
  <c r="B53" i="55"/>
  <c r="B20" i="55"/>
  <c r="B24" i="55"/>
  <c r="M29" i="55"/>
  <c r="M64" i="55"/>
  <c r="M34" i="55"/>
  <c r="M69" i="55"/>
  <c r="M35" i="55"/>
  <c r="M58" i="55"/>
  <c r="B27" i="54"/>
  <c r="B49" i="55"/>
  <c r="B56" i="54"/>
  <c r="B44" i="54"/>
  <c r="B34" i="54"/>
  <c r="B18" i="54"/>
  <c r="B10" i="54"/>
  <c r="B25" i="54"/>
  <c r="B52" i="54"/>
  <c r="B42" i="54"/>
  <c r="B30" i="54"/>
  <c r="B16" i="54"/>
  <c r="B8" i="54"/>
  <c r="B29" i="54"/>
  <c r="B48" i="54"/>
  <c r="B40" i="54"/>
  <c r="B22" i="54"/>
  <c r="B14" i="54"/>
  <c r="B35" i="54"/>
  <c r="B31" i="54"/>
  <c r="M51" i="54"/>
  <c r="M43" i="54"/>
  <c r="O43" i="54" s="1"/>
  <c r="S43" i="54" s="1"/>
  <c r="M36" i="54"/>
  <c r="M24" i="54"/>
  <c r="M16" i="54"/>
  <c r="M69" i="54"/>
  <c r="O69" i="55"/>
  <c r="S69" i="55" s="1"/>
  <c r="M22" i="54"/>
  <c r="M14" i="54"/>
  <c r="M44" i="55"/>
  <c r="M33" i="55"/>
  <c r="M65" i="55"/>
  <c r="M38" i="55"/>
  <c r="M17" i="55"/>
  <c r="M39" i="55"/>
  <c r="M16" i="55"/>
  <c r="M60" i="55"/>
  <c r="B12" i="54"/>
  <c r="M36" i="55"/>
  <c r="B11" i="1"/>
  <c r="B51" i="1"/>
  <c r="B8" i="1"/>
  <c r="Q5" i="50"/>
  <c r="Q6" i="50"/>
  <c r="M68" i="52"/>
  <c r="M47" i="52"/>
  <c r="M28" i="52"/>
  <c r="M33" i="52"/>
  <c r="M38" i="52"/>
  <c r="M21" i="52"/>
  <c r="O21" i="52" s="1"/>
  <c r="B18" i="56"/>
  <c r="B14" i="56"/>
  <c r="B52" i="56"/>
  <c r="B35" i="56"/>
  <c r="B40" i="56"/>
  <c r="B48" i="56"/>
  <c r="B39" i="56"/>
  <c r="B44" i="56"/>
  <c r="M43" i="56"/>
  <c r="M20" i="56"/>
  <c r="M35" i="56"/>
  <c r="M26" i="56"/>
  <c r="M54" i="56"/>
  <c r="M39" i="56"/>
  <c r="B13" i="53"/>
  <c r="B8" i="53"/>
  <c r="I3" i="4"/>
  <c r="G2" i="52"/>
  <c r="C43" i="52"/>
  <c r="D43" i="52"/>
  <c r="C41" i="52"/>
  <c r="D41" i="52"/>
  <c r="I6" i="4"/>
  <c r="G2" i="55"/>
  <c r="B12" i="57"/>
  <c r="B34" i="57"/>
  <c r="B21" i="57"/>
  <c r="H37" i="52"/>
  <c r="H56" i="52"/>
  <c r="B49" i="57"/>
  <c r="B38" i="57"/>
  <c r="B48" i="57"/>
  <c r="H16" i="52"/>
  <c r="H50" i="52"/>
  <c r="H6" i="52"/>
  <c r="H6" i="53"/>
  <c r="H17" i="52"/>
  <c r="H26" i="52"/>
  <c r="B26" i="57"/>
  <c r="B47" i="57"/>
  <c r="Q9" i="50"/>
  <c r="C34" i="52"/>
  <c r="D34" i="52"/>
  <c r="E34" i="52"/>
  <c r="F34" i="52"/>
  <c r="H9" i="52"/>
  <c r="H23" i="52"/>
  <c r="C51" i="52"/>
  <c r="D51" i="52"/>
  <c r="H15" i="52"/>
  <c r="H40" i="52"/>
  <c r="H51" i="52"/>
  <c r="C55" i="52"/>
  <c r="D55" i="52"/>
  <c r="E55" i="52"/>
  <c r="F55" i="52"/>
  <c r="J55" i="52"/>
  <c r="C18" i="52"/>
  <c r="D18" i="52"/>
  <c r="H43" i="52"/>
  <c r="H41" i="52"/>
  <c r="B16" i="60"/>
  <c r="B20" i="60"/>
  <c r="B43" i="60"/>
  <c r="B39" i="60"/>
  <c r="B35" i="60"/>
  <c r="B31" i="60"/>
  <c r="B27" i="60"/>
  <c r="B55" i="60"/>
  <c r="B47" i="60"/>
  <c r="B52" i="60"/>
  <c r="B44" i="60"/>
  <c r="B17" i="60"/>
  <c r="B21" i="60"/>
  <c r="B42" i="60"/>
  <c r="B38" i="60"/>
  <c r="B34" i="60"/>
  <c r="B30" i="60"/>
  <c r="B26" i="60"/>
  <c r="B53" i="60"/>
  <c r="B45" i="60"/>
  <c r="B50" i="60"/>
  <c r="B19" i="60"/>
  <c r="B40" i="60"/>
  <c r="B32" i="60"/>
  <c r="B24" i="60"/>
  <c r="B54" i="60"/>
  <c r="B15" i="60"/>
  <c r="B23" i="60"/>
  <c r="B36" i="60"/>
  <c r="B28" i="60"/>
  <c r="B49" i="60"/>
  <c r="B46" i="60"/>
  <c r="B18" i="60"/>
  <c r="B33" i="60"/>
  <c r="B56" i="60"/>
  <c r="B41" i="60"/>
  <c r="B25" i="60"/>
  <c r="B14" i="60"/>
  <c r="B37" i="60"/>
  <c r="B51" i="60"/>
  <c r="C21" i="52"/>
  <c r="D21" i="52"/>
  <c r="E21" i="52"/>
  <c r="F21" i="52"/>
  <c r="B14" i="1"/>
  <c r="B50" i="57"/>
  <c r="B40" i="57"/>
  <c r="B20" i="57"/>
  <c r="B16" i="57"/>
  <c r="B44" i="57"/>
  <c r="B37" i="57"/>
  <c r="B33" i="57"/>
  <c r="B29" i="57"/>
  <c r="B25" i="57"/>
  <c r="B45" i="57"/>
  <c r="B14" i="57"/>
  <c r="B11" i="57"/>
  <c r="B56" i="57"/>
  <c r="B23" i="57"/>
  <c r="B19" i="57"/>
  <c r="B55" i="57"/>
  <c r="B42" i="57"/>
  <c r="B36" i="57"/>
  <c r="B32" i="57"/>
  <c r="B28" i="57"/>
  <c r="B24" i="57"/>
  <c r="B43" i="57"/>
  <c r="B54" i="57"/>
  <c r="B13" i="57"/>
  <c r="B22" i="57"/>
  <c r="B51" i="57"/>
  <c r="B35" i="57"/>
  <c r="B27" i="57"/>
  <c r="B41" i="57"/>
  <c r="B52" i="57"/>
  <c r="B18" i="57"/>
  <c r="B39" i="57"/>
  <c r="B31" i="57"/>
  <c r="B53" i="57"/>
  <c r="B46" i="57"/>
  <c r="B17" i="1"/>
  <c r="B56" i="1"/>
  <c r="B50" i="1"/>
  <c r="B52" i="1"/>
  <c r="B23" i="1"/>
  <c r="B35" i="1"/>
  <c r="B24" i="1"/>
  <c r="B30" i="1"/>
  <c r="B38" i="1"/>
  <c r="B13" i="1"/>
  <c r="B49" i="1"/>
  <c r="B55" i="1"/>
  <c r="B6" i="1"/>
  <c r="B10" i="1"/>
  <c r="B44" i="1"/>
  <c r="B39" i="1"/>
  <c r="B26" i="1"/>
  <c r="B9" i="1"/>
  <c r="B31" i="1"/>
  <c r="B20" i="1"/>
  <c r="I10" i="4"/>
  <c r="G2" i="59"/>
  <c r="I9" i="4"/>
  <c r="G2" i="58"/>
  <c r="C46" i="58"/>
  <c r="D46" i="58"/>
  <c r="B45" i="1"/>
  <c r="M27" i="1"/>
  <c r="M56" i="52"/>
  <c r="M51" i="52"/>
  <c r="M14" i="52"/>
  <c r="M19" i="52"/>
  <c r="M48" i="52"/>
  <c r="O48" i="53" s="1"/>
  <c r="S48" i="53" s="1"/>
  <c r="M57" i="52"/>
  <c r="M30" i="52"/>
  <c r="M13" i="52"/>
  <c r="B54" i="54"/>
  <c r="B50" i="54"/>
  <c r="B53" i="54"/>
  <c r="B49" i="54"/>
  <c r="B51" i="54"/>
  <c r="B45" i="54"/>
  <c r="B41" i="54"/>
  <c r="B38" i="54"/>
  <c r="B23" i="54"/>
  <c r="B19" i="54"/>
  <c r="B15" i="54"/>
  <c r="B11" i="54"/>
  <c r="B39" i="54"/>
  <c r="B26" i="54"/>
  <c r="B36" i="54"/>
  <c r="B55" i="54"/>
  <c r="B47" i="54"/>
  <c r="B43" i="54"/>
  <c r="B37" i="54"/>
  <c r="B32" i="54"/>
  <c r="B21" i="54"/>
  <c r="B17" i="54"/>
  <c r="B13" i="54"/>
  <c r="B9" i="54"/>
  <c r="B28" i="54"/>
  <c r="B24" i="54"/>
  <c r="M60" i="54"/>
  <c r="M56" i="54"/>
  <c r="M48" i="54"/>
  <c r="O48" i="55" s="1"/>
  <c r="M44" i="54"/>
  <c r="M57" i="54"/>
  <c r="M35" i="54"/>
  <c r="M62" i="54"/>
  <c r="M27" i="54"/>
  <c r="M19" i="54"/>
  <c r="M15" i="54"/>
  <c r="M11" i="54"/>
  <c r="M68" i="54"/>
  <c r="M54" i="54"/>
  <c r="M50" i="54"/>
  <c r="M46" i="54"/>
  <c r="M65" i="54"/>
  <c r="M37" i="54"/>
  <c r="M29" i="54"/>
  <c r="M58" i="54"/>
  <c r="O58" i="55" s="1"/>
  <c r="S58" i="55" s="1"/>
  <c r="M21" i="54"/>
  <c r="M17" i="54"/>
  <c r="M13" i="54"/>
  <c r="B55" i="55"/>
  <c r="B51" i="55"/>
  <c r="B47" i="55"/>
  <c r="B43" i="55"/>
  <c r="B22" i="55"/>
  <c r="B38" i="55"/>
  <c r="B34" i="55"/>
  <c r="B30" i="55"/>
  <c r="B26" i="55"/>
  <c r="B19" i="55"/>
  <c r="C19" i="55"/>
  <c r="D19" i="55"/>
  <c r="B15" i="55"/>
  <c r="B11" i="55"/>
  <c r="B54" i="55"/>
  <c r="B50" i="55"/>
  <c r="B46" i="55"/>
  <c r="B42" i="55"/>
  <c r="B21" i="55"/>
  <c r="B37" i="55"/>
  <c r="B33" i="55"/>
  <c r="B29" i="55"/>
  <c r="B25" i="55"/>
  <c r="B18" i="55"/>
  <c r="C18" i="55"/>
  <c r="D18" i="55"/>
  <c r="B14" i="55"/>
  <c r="B10" i="55"/>
  <c r="B56" i="55"/>
  <c r="B48" i="55"/>
  <c r="B40" i="55"/>
  <c r="B35" i="55"/>
  <c r="B27" i="55"/>
  <c r="B16" i="55"/>
  <c r="B52" i="55"/>
  <c r="B44" i="55"/>
  <c r="B39" i="55"/>
  <c r="B31" i="55"/>
  <c r="B23" i="55"/>
  <c r="B12" i="55"/>
  <c r="M11" i="55"/>
  <c r="M62" i="55"/>
  <c r="M48" i="55"/>
  <c r="M24" i="55"/>
  <c r="M61" i="55"/>
  <c r="M40" i="55"/>
  <c r="M20" i="55"/>
  <c r="M15" i="55"/>
  <c r="M32" i="55"/>
  <c r="M52" i="55"/>
  <c r="B19" i="61"/>
  <c r="B46" i="61"/>
  <c r="M10" i="56"/>
  <c r="M62" i="56"/>
  <c r="O62" i="56" s="1"/>
  <c r="M37" i="56"/>
  <c r="M33" i="56"/>
  <c r="M68" i="56"/>
  <c r="M14" i="56"/>
  <c r="M22" i="56"/>
  <c r="M25" i="56"/>
  <c r="M13" i="56"/>
  <c r="M69" i="56"/>
  <c r="M67" i="56"/>
  <c r="M55" i="56"/>
  <c r="M51" i="56"/>
  <c r="M44" i="56"/>
  <c r="M40" i="56"/>
  <c r="M58" i="56"/>
  <c r="M36" i="56"/>
  <c r="M32" i="56"/>
  <c r="M64" i="56"/>
  <c r="M16" i="56"/>
  <c r="M24" i="56"/>
  <c r="K6" i="50"/>
  <c r="H9" i="55"/>
  <c r="H9" i="56"/>
  <c r="H16" i="59"/>
  <c r="H22" i="59"/>
  <c r="H28" i="59"/>
  <c r="H44" i="59"/>
  <c r="H31" i="59"/>
  <c r="H27" i="59"/>
  <c r="H49" i="59"/>
  <c r="H17" i="59"/>
  <c r="H18" i="59"/>
  <c r="H15" i="59"/>
  <c r="H34" i="59"/>
  <c r="H48" i="59"/>
  <c r="H39" i="59"/>
  <c r="H23" i="59"/>
  <c r="H46" i="59"/>
  <c r="H30" i="59"/>
  <c r="H32" i="59"/>
  <c r="H52" i="59"/>
  <c r="H19" i="59"/>
  <c r="H37" i="59"/>
  <c r="B40" i="58"/>
  <c r="B36" i="58"/>
  <c r="B32" i="58"/>
  <c r="B55" i="58"/>
  <c r="B51" i="58"/>
  <c r="B47" i="58"/>
  <c r="B12" i="58"/>
  <c r="B16" i="58"/>
  <c r="B20" i="58"/>
  <c r="B24" i="58"/>
  <c r="B29" i="58"/>
  <c r="B42" i="58"/>
  <c r="B38" i="58"/>
  <c r="B34" i="58"/>
  <c r="B30" i="58"/>
  <c r="B53" i="58"/>
  <c r="B49" i="58"/>
  <c r="B45" i="58"/>
  <c r="B14" i="58"/>
  <c r="B18" i="58"/>
  <c r="B22" i="58"/>
  <c r="B27" i="58"/>
  <c r="B41" i="58"/>
  <c r="B37" i="58"/>
  <c r="B33" i="58"/>
  <c r="B56" i="58"/>
  <c r="B52" i="58"/>
  <c r="B48" i="58"/>
  <c r="B44" i="58"/>
  <c r="B15" i="58"/>
  <c r="B19" i="58"/>
  <c r="B23" i="58"/>
  <c r="B28" i="58"/>
  <c r="B25" i="58"/>
  <c r="B43" i="58"/>
  <c r="B54" i="58"/>
  <c r="B17" i="58"/>
  <c r="B31" i="58"/>
  <c r="B13" i="58"/>
  <c r="B21" i="58"/>
  <c r="B39" i="58"/>
  <c r="B42" i="56"/>
  <c r="B27" i="56"/>
  <c r="B23" i="56"/>
  <c r="B12" i="56"/>
  <c r="B29" i="56"/>
  <c r="B24" i="56"/>
  <c r="B20" i="56"/>
  <c r="B16" i="56"/>
  <c r="B13" i="56"/>
  <c r="B26" i="56"/>
  <c r="B19" i="56"/>
  <c r="B25" i="56"/>
  <c r="B53" i="56"/>
  <c r="B49" i="56"/>
  <c r="B45" i="56"/>
  <c r="B30" i="56"/>
  <c r="B34" i="56"/>
  <c r="B38" i="56"/>
  <c r="B17" i="56"/>
  <c r="B55" i="56"/>
  <c r="B51" i="56"/>
  <c r="B47" i="56"/>
  <c r="B10" i="56"/>
  <c r="B32" i="56"/>
  <c r="B36" i="56"/>
  <c r="B41" i="56"/>
  <c r="B28" i="56"/>
  <c r="B21" i="56"/>
  <c r="B15" i="56"/>
  <c r="B22" i="56"/>
  <c r="B54" i="56"/>
  <c r="B50" i="56"/>
  <c r="B46" i="56"/>
  <c r="B11" i="56"/>
  <c r="B33" i="56"/>
  <c r="B37" i="56"/>
  <c r="B43" i="56"/>
  <c r="I4" i="4"/>
  <c r="G2" i="53"/>
  <c r="I5" i="4"/>
  <c r="G2" i="54"/>
  <c r="I2" i="4"/>
  <c r="G2" i="1"/>
  <c r="I8" i="4"/>
  <c r="G2" i="57"/>
  <c r="I7" i="4"/>
  <c r="G2" i="56"/>
  <c r="I11" i="4"/>
  <c r="G2" i="60"/>
  <c r="I12" i="4"/>
  <c r="G2" i="61"/>
  <c r="H47" i="61"/>
  <c r="K7" i="50"/>
  <c r="M21" i="60"/>
  <c r="M39" i="60"/>
  <c r="B27" i="61"/>
  <c r="B23" i="61"/>
  <c r="B56" i="61"/>
  <c r="B48" i="61"/>
  <c r="B40" i="61"/>
  <c r="B49" i="61"/>
  <c r="B41" i="61"/>
  <c r="B36" i="61"/>
  <c r="B32" i="61"/>
  <c r="B18" i="61"/>
  <c r="B22" i="61"/>
  <c r="B28" i="61"/>
  <c r="B24" i="61"/>
  <c r="B50" i="61"/>
  <c r="B42" i="61"/>
  <c r="B51" i="61"/>
  <c r="B43" i="61"/>
  <c r="B37" i="61"/>
  <c r="B33" i="61"/>
  <c r="B17" i="61"/>
  <c r="B21" i="61"/>
  <c r="B25" i="61"/>
  <c r="B52" i="61"/>
  <c r="B53" i="61"/>
  <c r="B38" i="61"/>
  <c r="B16" i="61"/>
  <c r="B31" i="61"/>
  <c r="B30" i="61"/>
  <c r="B44" i="61"/>
  <c r="B45" i="61"/>
  <c r="B34" i="61"/>
  <c r="B20" i="61"/>
  <c r="B26" i="61"/>
  <c r="B54" i="61"/>
  <c r="B55" i="61"/>
  <c r="B39" i="61"/>
  <c r="B15" i="61"/>
  <c r="B29" i="61"/>
  <c r="M35" i="1"/>
  <c r="M51" i="1"/>
  <c r="O51" i="52" s="1"/>
  <c r="M19" i="1"/>
  <c r="O19" i="52"/>
  <c r="M31" i="1"/>
  <c r="M59" i="1"/>
  <c r="M8" i="1"/>
  <c r="M36" i="59"/>
  <c r="B33" i="1"/>
  <c r="B29" i="1"/>
  <c r="B36" i="1"/>
  <c r="B53" i="1"/>
  <c r="B37" i="1"/>
  <c r="B7" i="1"/>
  <c r="B43" i="1"/>
  <c r="B19" i="1"/>
  <c r="B16" i="1"/>
  <c r="B32" i="1"/>
  <c r="B22" i="1"/>
  <c r="B25" i="1"/>
  <c r="B48" i="1"/>
  <c r="B46" i="1"/>
  <c r="B42" i="1"/>
  <c r="B40" i="1"/>
  <c r="B21" i="1"/>
  <c r="B5" i="1"/>
  <c r="B41" i="1"/>
  <c r="B15" i="1"/>
  <c r="B47" i="1"/>
  <c r="B27" i="1"/>
  <c r="B12" i="1"/>
  <c r="B28" i="1"/>
  <c r="B18" i="1"/>
  <c r="B34" i="1"/>
  <c r="M21" i="56"/>
  <c r="K4" i="50"/>
  <c r="M19" i="56"/>
  <c r="M15" i="56"/>
  <c r="M27" i="56"/>
  <c r="M9" i="56"/>
  <c r="M21" i="57"/>
  <c r="O29" i="55"/>
  <c r="H47" i="60"/>
  <c r="C9" i="55"/>
  <c r="H16" i="58"/>
  <c r="H19" i="52"/>
  <c r="C40" i="52"/>
  <c r="D40" i="52"/>
  <c r="E40" i="52"/>
  <c r="F40" i="52"/>
  <c r="J40" i="52"/>
  <c r="C19" i="52"/>
  <c r="D19" i="52"/>
  <c r="E19" i="52"/>
  <c r="F19" i="52"/>
  <c r="J19" i="52"/>
  <c r="C24" i="55"/>
  <c r="D24" i="55"/>
  <c r="E24" i="55"/>
  <c r="F24" i="55"/>
  <c r="G24" i="55"/>
  <c r="H7" i="52"/>
  <c r="C39" i="52"/>
  <c r="D39" i="52"/>
  <c r="E39" i="52"/>
  <c r="F39" i="52"/>
  <c r="C50" i="52"/>
  <c r="D50" i="52"/>
  <c r="E50" i="52"/>
  <c r="F50" i="52"/>
  <c r="J50" i="52"/>
  <c r="H24" i="52"/>
  <c r="H38" i="52"/>
  <c r="H21" i="52"/>
  <c r="H27" i="52"/>
  <c r="H8" i="52"/>
  <c r="C45" i="52"/>
  <c r="D45" i="52"/>
  <c r="E45" i="52"/>
  <c r="F45" i="52"/>
  <c r="J45" i="52"/>
  <c r="C12" i="52"/>
  <c r="D12" i="52"/>
  <c r="H20" i="52"/>
  <c r="C52" i="52"/>
  <c r="D52" i="52"/>
  <c r="E52" i="52"/>
  <c r="F52" i="52"/>
  <c r="H29" i="52"/>
  <c r="C13" i="52"/>
  <c r="D13" i="52"/>
  <c r="E13" i="52"/>
  <c r="F13" i="52"/>
  <c r="H31" i="52"/>
  <c r="H48" i="52"/>
  <c r="C30" i="52"/>
  <c r="D30" i="52"/>
  <c r="H54" i="52"/>
  <c r="C42" i="52"/>
  <c r="D42" i="52"/>
  <c r="E42" i="52"/>
  <c r="F42" i="52"/>
  <c r="H28" i="52"/>
  <c r="H46" i="52"/>
  <c r="H36" i="52"/>
  <c r="H53" i="52"/>
  <c r="H34" i="52"/>
  <c r="C27" i="52"/>
  <c r="D27" i="52"/>
  <c r="E27" i="52"/>
  <c r="F27" i="52"/>
  <c r="J27" i="52"/>
  <c r="O28" i="53"/>
  <c r="C44" i="60"/>
  <c r="D44" i="60"/>
  <c r="H18" i="52"/>
  <c r="H55" i="52"/>
  <c r="H52" i="52"/>
  <c r="C6" i="52"/>
  <c r="C44" i="52"/>
  <c r="D44" i="52"/>
  <c r="E44" i="52"/>
  <c r="F44" i="52"/>
  <c r="C56" i="52"/>
  <c r="D56" i="52"/>
  <c r="E56" i="52"/>
  <c r="F56" i="52"/>
  <c r="J56" i="52"/>
  <c r="C46" i="52"/>
  <c r="D46" i="52"/>
  <c r="E46" i="52"/>
  <c r="H30" i="52"/>
  <c r="C49" i="52"/>
  <c r="D49" i="52"/>
  <c r="H45" i="52"/>
  <c r="C35" i="52"/>
  <c r="D35" i="52"/>
  <c r="H35" i="52"/>
  <c r="C26" i="52"/>
  <c r="D26" i="52"/>
  <c r="C8" i="52"/>
  <c r="D8" i="52"/>
  <c r="E8" i="52"/>
  <c r="C25" i="52"/>
  <c r="D25" i="52"/>
  <c r="E25" i="52"/>
  <c r="F25" i="52"/>
  <c r="C29" i="52"/>
  <c r="D29" i="52"/>
  <c r="C17" i="52"/>
  <c r="D17" i="52"/>
  <c r="C48" i="52"/>
  <c r="D48" i="52"/>
  <c r="E48" i="52"/>
  <c r="F48" i="52"/>
  <c r="G48" i="52"/>
  <c r="I48" i="52"/>
  <c r="C36" i="52"/>
  <c r="D36" i="52"/>
  <c r="C10" i="52"/>
  <c r="D10" i="52"/>
  <c r="C20" i="52"/>
  <c r="D20" i="52"/>
  <c r="E20" i="52"/>
  <c r="F20" i="52"/>
  <c r="C37" i="52"/>
  <c r="D37" i="52"/>
  <c r="C53" i="52"/>
  <c r="D53" i="52"/>
  <c r="C15" i="52"/>
  <c r="D15" i="52"/>
  <c r="E15" i="52"/>
  <c r="F15" i="52"/>
  <c r="J15" i="52"/>
  <c r="C38" i="52"/>
  <c r="D38" i="52"/>
  <c r="E38" i="52"/>
  <c r="F38" i="52"/>
  <c r="O35" i="56"/>
  <c r="H43" i="59"/>
  <c r="H38" i="59"/>
  <c r="H53" i="59"/>
  <c r="H29" i="59"/>
  <c r="H33" i="59"/>
  <c r="H47" i="59"/>
  <c r="H24" i="59"/>
  <c r="H13" i="52"/>
  <c r="H44" i="52"/>
  <c r="H32" i="52"/>
  <c r="H11" i="52"/>
  <c r="H39" i="52"/>
  <c r="J39" i="52"/>
  <c r="H47" i="52"/>
  <c r="H22" i="52"/>
  <c r="H12" i="52"/>
  <c r="C9" i="52"/>
  <c r="D9" i="52"/>
  <c r="C32" i="52"/>
  <c r="D32" i="52"/>
  <c r="E32" i="52"/>
  <c r="F32" i="52"/>
  <c r="C47" i="52"/>
  <c r="D47" i="52"/>
  <c r="C23" i="52"/>
  <c r="D23" i="52"/>
  <c r="C31" i="52"/>
  <c r="D31" i="52"/>
  <c r="E31" i="52"/>
  <c r="F31" i="52"/>
  <c r="C54" i="52"/>
  <c r="D54" i="52"/>
  <c r="E54" i="52"/>
  <c r="F54" i="52"/>
  <c r="C16" i="52"/>
  <c r="D16" i="52"/>
  <c r="H25" i="52"/>
  <c r="H35" i="58"/>
  <c r="C11" i="52"/>
  <c r="D11" i="52"/>
  <c r="H42" i="52"/>
  <c r="H33" i="52"/>
  <c r="H10" i="52"/>
  <c r="C7" i="52"/>
  <c r="D7" i="52"/>
  <c r="C22" i="52"/>
  <c r="D22" i="52"/>
  <c r="H14" i="52"/>
  <c r="C35" i="58"/>
  <c r="D35" i="58"/>
  <c r="E35" i="58"/>
  <c r="F35" i="58"/>
  <c r="C33" i="52"/>
  <c r="D33" i="52"/>
  <c r="C14" i="52"/>
  <c r="D14" i="52"/>
  <c r="H49" i="52"/>
  <c r="C24" i="52"/>
  <c r="D24" i="52"/>
  <c r="C13" i="55"/>
  <c r="D13" i="55"/>
  <c r="E13" i="55"/>
  <c r="F13" i="55"/>
  <c r="C17" i="55"/>
  <c r="D17" i="55"/>
  <c r="E17" i="55"/>
  <c r="F17" i="55"/>
  <c r="H32" i="55"/>
  <c r="H28" i="55"/>
  <c r="C28" i="55"/>
  <c r="D28" i="55"/>
  <c r="C10" i="55"/>
  <c r="D10" i="55"/>
  <c r="E10" i="55"/>
  <c r="F10" i="55"/>
  <c r="J10" i="55"/>
  <c r="H19" i="61"/>
  <c r="H20" i="55"/>
  <c r="C12" i="55"/>
  <c r="D12" i="55"/>
  <c r="E12" i="55"/>
  <c r="F12" i="55"/>
  <c r="C20" i="55"/>
  <c r="D20" i="55"/>
  <c r="C49" i="55"/>
  <c r="D49" i="55"/>
  <c r="E49" i="55"/>
  <c r="F49" i="55"/>
  <c r="C45" i="55"/>
  <c r="D45" i="55"/>
  <c r="E45" i="55"/>
  <c r="F45" i="55"/>
  <c r="C41" i="55"/>
  <c r="D41" i="55"/>
  <c r="C55" i="60"/>
  <c r="D55" i="60"/>
  <c r="E55" i="60"/>
  <c r="F55" i="60"/>
  <c r="C26" i="55"/>
  <c r="D26" i="55"/>
  <c r="E26" i="55"/>
  <c r="F26" i="55"/>
  <c r="C36" i="55"/>
  <c r="D36" i="55"/>
  <c r="E36" i="55"/>
  <c r="F36" i="55"/>
  <c r="H17" i="55"/>
  <c r="C32" i="55"/>
  <c r="D32" i="55"/>
  <c r="E32" i="55"/>
  <c r="F32" i="55"/>
  <c r="C53" i="55"/>
  <c r="D53" i="55"/>
  <c r="G25" i="52"/>
  <c r="F8" i="52"/>
  <c r="J8" i="52"/>
  <c r="F46" i="52"/>
  <c r="C35" i="55"/>
  <c r="D35" i="55"/>
  <c r="H35" i="55"/>
  <c r="C29" i="55"/>
  <c r="D29" i="55"/>
  <c r="E29" i="55"/>
  <c r="F29" i="55"/>
  <c r="C11" i="55"/>
  <c r="D11" i="55"/>
  <c r="C43" i="60"/>
  <c r="D43" i="60"/>
  <c r="E43" i="60"/>
  <c r="F43" i="60"/>
  <c r="C39" i="55"/>
  <c r="D39" i="55"/>
  <c r="E39" i="55"/>
  <c r="F39" i="55"/>
  <c r="C27" i="55"/>
  <c r="D27" i="55"/>
  <c r="C56" i="55"/>
  <c r="D56" i="55"/>
  <c r="C25" i="55"/>
  <c r="D25" i="55"/>
  <c r="C21" i="55"/>
  <c r="D21" i="55"/>
  <c r="H54" i="55"/>
  <c r="C54" i="55"/>
  <c r="D54" i="55"/>
  <c r="H26" i="55"/>
  <c r="C22" i="55"/>
  <c r="D22" i="55"/>
  <c r="C55" i="55"/>
  <c r="D55" i="55"/>
  <c r="H50" i="59"/>
  <c r="H21" i="59"/>
  <c r="H56" i="59"/>
  <c r="H51" i="59"/>
  <c r="C45" i="59"/>
  <c r="D45" i="59"/>
  <c r="H20" i="59"/>
  <c r="C21" i="59"/>
  <c r="D21" i="59"/>
  <c r="C15" i="59"/>
  <c r="D15" i="59"/>
  <c r="H36" i="59"/>
  <c r="C41" i="59"/>
  <c r="D41" i="59"/>
  <c r="H41" i="59"/>
  <c r="H26" i="59"/>
  <c r="H13" i="59"/>
  <c r="H13" i="60"/>
  <c r="H55" i="59"/>
  <c r="C49" i="59"/>
  <c r="D49" i="59"/>
  <c r="C37" i="59"/>
  <c r="D37" i="59"/>
  <c r="H54" i="59"/>
  <c r="H14" i="59"/>
  <c r="H42" i="59"/>
  <c r="C33" i="59"/>
  <c r="D33" i="59"/>
  <c r="H25" i="59"/>
  <c r="H40" i="59"/>
  <c r="H45" i="59"/>
  <c r="C53" i="59"/>
  <c r="D53" i="59"/>
  <c r="C14" i="59"/>
  <c r="D14" i="59"/>
  <c r="E14" i="59"/>
  <c r="F14" i="59"/>
  <c r="C27" i="59"/>
  <c r="D27" i="59"/>
  <c r="C30" i="59"/>
  <c r="D30" i="59"/>
  <c r="C40" i="59"/>
  <c r="D40" i="59"/>
  <c r="C47" i="59"/>
  <c r="D47" i="59"/>
  <c r="C50" i="59"/>
  <c r="D50" i="59"/>
  <c r="C52" i="59"/>
  <c r="D52" i="59"/>
  <c r="C16" i="59"/>
  <c r="D16" i="59"/>
  <c r="C26" i="59"/>
  <c r="D26" i="59"/>
  <c r="C43" i="59"/>
  <c r="D43" i="59"/>
  <c r="C46" i="59"/>
  <c r="D46" i="59"/>
  <c r="E46" i="59"/>
  <c r="C56" i="59"/>
  <c r="D56" i="59"/>
  <c r="C20" i="59"/>
  <c r="D20" i="59"/>
  <c r="C31" i="59"/>
  <c r="D31" i="59"/>
  <c r="C34" i="59"/>
  <c r="D34" i="59"/>
  <c r="C36" i="59"/>
  <c r="D36" i="59"/>
  <c r="H35" i="59"/>
  <c r="C29" i="59"/>
  <c r="D29" i="59"/>
  <c r="C35" i="59"/>
  <c r="D35" i="59"/>
  <c r="C38" i="59"/>
  <c r="D38" i="59"/>
  <c r="E38" i="59"/>
  <c r="F38" i="59"/>
  <c r="C48" i="59"/>
  <c r="D48" i="59"/>
  <c r="C25" i="59"/>
  <c r="D25" i="59"/>
  <c r="C19" i="59"/>
  <c r="D19" i="59"/>
  <c r="E19" i="59"/>
  <c r="F19" i="59"/>
  <c r="J19" i="59"/>
  <c r="C22" i="59"/>
  <c r="D22" i="59"/>
  <c r="C24" i="59"/>
  <c r="D24" i="59"/>
  <c r="C51" i="59"/>
  <c r="D51" i="59"/>
  <c r="C39" i="59"/>
  <c r="D39" i="59"/>
  <c r="C54" i="59"/>
  <c r="D54" i="59"/>
  <c r="C42" i="59"/>
  <c r="D42" i="59"/>
  <c r="E42" i="59"/>
  <c r="F42" i="59"/>
  <c r="C18" i="59"/>
  <c r="D18" i="59"/>
  <c r="E18" i="59"/>
  <c r="F18" i="59"/>
  <c r="J18" i="59"/>
  <c r="C44" i="59"/>
  <c r="D44" i="59"/>
  <c r="C28" i="59"/>
  <c r="D28" i="59"/>
  <c r="E28" i="59"/>
  <c r="F28" i="59"/>
  <c r="G28" i="59"/>
  <c r="I28" i="59"/>
  <c r="C23" i="59"/>
  <c r="D23" i="59"/>
  <c r="G21" i="52"/>
  <c r="I21" i="52"/>
  <c r="J21" i="52"/>
  <c r="C9" i="56"/>
  <c r="D9" i="56"/>
  <c r="D9" i="55"/>
  <c r="E9" i="55"/>
  <c r="F9" i="55"/>
  <c r="J9" i="55"/>
  <c r="O27" i="54"/>
  <c r="S27" i="54" s="1"/>
  <c r="C44" i="55"/>
  <c r="D44" i="55"/>
  <c r="E44" i="55"/>
  <c r="H44" i="55"/>
  <c r="H10" i="55"/>
  <c r="C42" i="55"/>
  <c r="D42" i="55"/>
  <c r="H42" i="55"/>
  <c r="C43" i="55"/>
  <c r="D43" i="55"/>
  <c r="C23" i="55"/>
  <c r="D23" i="55"/>
  <c r="H23" i="55"/>
  <c r="C52" i="55"/>
  <c r="D52" i="55"/>
  <c r="H52" i="55"/>
  <c r="C40" i="55"/>
  <c r="D40" i="55"/>
  <c r="H40" i="55"/>
  <c r="C14" i="55"/>
  <c r="D14" i="55"/>
  <c r="H14" i="55"/>
  <c r="C33" i="55"/>
  <c r="D33" i="55"/>
  <c r="E33" i="55"/>
  <c r="H33" i="55"/>
  <c r="C46" i="55"/>
  <c r="D46" i="55"/>
  <c r="H46" i="55"/>
  <c r="C15" i="55"/>
  <c r="D15" i="55"/>
  <c r="H15" i="55"/>
  <c r="C34" i="55"/>
  <c r="D34" i="55"/>
  <c r="H34" i="55"/>
  <c r="H47" i="55"/>
  <c r="C47" i="55"/>
  <c r="D47" i="55"/>
  <c r="G39" i="52"/>
  <c r="H12" i="55"/>
  <c r="C30" i="55"/>
  <c r="D30" i="55"/>
  <c r="E30" i="55"/>
  <c r="F30" i="55"/>
  <c r="J30" i="55"/>
  <c r="H30" i="55"/>
  <c r="E18" i="52"/>
  <c r="F18" i="52"/>
  <c r="O67" i="56"/>
  <c r="S67" i="56" s="1"/>
  <c r="C31" i="55"/>
  <c r="D31" i="55"/>
  <c r="H31" i="55"/>
  <c r="C16" i="55"/>
  <c r="D16" i="55"/>
  <c r="H16" i="55"/>
  <c r="H48" i="55"/>
  <c r="C48" i="55"/>
  <c r="D48" i="55"/>
  <c r="H18" i="55"/>
  <c r="C37" i="55"/>
  <c r="D37" i="55"/>
  <c r="H37" i="55"/>
  <c r="H50" i="55"/>
  <c r="C50" i="55"/>
  <c r="D50" i="55"/>
  <c r="H19" i="55"/>
  <c r="H38" i="55"/>
  <c r="C38" i="55"/>
  <c r="D38" i="55"/>
  <c r="C51" i="55"/>
  <c r="D51" i="55"/>
  <c r="H51" i="55"/>
  <c r="C26" i="58"/>
  <c r="D26" i="58"/>
  <c r="E26" i="58"/>
  <c r="C50" i="58"/>
  <c r="D50" i="58"/>
  <c r="G55" i="52"/>
  <c r="I55" i="52"/>
  <c r="C15" i="1"/>
  <c r="D15" i="1"/>
  <c r="H15" i="1"/>
  <c r="C25" i="1"/>
  <c r="D25" i="1"/>
  <c r="H25" i="1"/>
  <c r="C53" i="1"/>
  <c r="D53" i="1"/>
  <c r="H53" i="1"/>
  <c r="H26" i="61"/>
  <c r="C26" i="61"/>
  <c r="D26" i="61"/>
  <c r="C53" i="61"/>
  <c r="D53" i="61"/>
  <c r="H53" i="61"/>
  <c r="H28" i="61"/>
  <c r="C28" i="61"/>
  <c r="D28" i="61"/>
  <c r="C56" i="61"/>
  <c r="D56" i="61"/>
  <c r="H56" i="61"/>
  <c r="H35" i="57"/>
  <c r="C43" i="57"/>
  <c r="D43" i="57"/>
  <c r="H13" i="57"/>
  <c r="H14" i="57"/>
  <c r="H22" i="57"/>
  <c r="H18" i="57"/>
  <c r="H55" i="57"/>
  <c r="H46" i="57"/>
  <c r="H39" i="57"/>
  <c r="H12" i="57"/>
  <c r="C50" i="57"/>
  <c r="D50" i="57"/>
  <c r="H34" i="57"/>
  <c r="H28" i="57"/>
  <c r="H23" i="57"/>
  <c r="H29" i="57"/>
  <c r="C45" i="57"/>
  <c r="D45" i="57"/>
  <c r="C33" i="57"/>
  <c r="D33" i="57"/>
  <c r="C25" i="57"/>
  <c r="D25" i="57"/>
  <c r="C14" i="57"/>
  <c r="D14" i="57"/>
  <c r="C18" i="57"/>
  <c r="D18" i="57"/>
  <c r="C22" i="57"/>
  <c r="D22" i="57"/>
  <c r="H20" i="57"/>
  <c r="C48" i="57"/>
  <c r="D48" i="57"/>
  <c r="C24" i="57"/>
  <c r="D24" i="57"/>
  <c r="H21" i="57"/>
  <c r="C41" i="57"/>
  <c r="D41" i="57"/>
  <c r="H16" i="57"/>
  <c r="C23" i="57"/>
  <c r="D23" i="57"/>
  <c r="H52" i="57"/>
  <c r="C27" i="57"/>
  <c r="D27" i="57"/>
  <c r="H15" i="57"/>
  <c r="C31" i="57"/>
  <c r="D31" i="57"/>
  <c r="H19" i="57"/>
  <c r="H51" i="57"/>
  <c r="C42" i="57"/>
  <c r="D42" i="57"/>
  <c r="H49" i="57"/>
  <c r="H37" i="57"/>
  <c r="C49" i="57"/>
  <c r="D49" i="57"/>
  <c r="C37" i="57"/>
  <c r="D37" i="57"/>
  <c r="C29" i="57"/>
  <c r="D29" i="57"/>
  <c r="C12" i="57"/>
  <c r="D12" i="57"/>
  <c r="C16" i="57"/>
  <c r="D16" i="57"/>
  <c r="C20" i="57"/>
  <c r="D20" i="57"/>
  <c r="H32" i="57"/>
  <c r="H44" i="57"/>
  <c r="C13" i="57"/>
  <c r="D13" i="57"/>
  <c r="H36" i="57"/>
  <c r="C36" i="57"/>
  <c r="D36" i="57"/>
  <c r="C39" i="57"/>
  <c r="D39" i="57"/>
  <c r="C35" i="57"/>
  <c r="D35" i="57"/>
  <c r="C54" i="57"/>
  <c r="D54" i="57"/>
  <c r="H47" i="57"/>
  <c r="C34" i="57"/>
  <c r="D34" i="57"/>
  <c r="H53" i="57"/>
  <c r="C28" i="57"/>
  <c r="D28" i="57"/>
  <c r="H25" i="57"/>
  <c r="C44" i="57"/>
  <c r="D44" i="57"/>
  <c r="H48" i="57"/>
  <c r="H45" i="57"/>
  <c r="H31" i="57"/>
  <c r="C46" i="57"/>
  <c r="D46" i="57"/>
  <c r="H27" i="57"/>
  <c r="H26" i="57"/>
  <c r="C26" i="57"/>
  <c r="D26" i="57"/>
  <c r="C52" i="57"/>
  <c r="D52" i="57"/>
  <c r="H42" i="57"/>
  <c r="C11" i="57"/>
  <c r="C19" i="57"/>
  <c r="D19" i="57"/>
  <c r="H43" i="57"/>
  <c r="C21" i="57"/>
  <c r="D21" i="57"/>
  <c r="H54" i="57"/>
  <c r="H11" i="57"/>
  <c r="H11" i="58"/>
  <c r="C40" i="57"/>
  <c r="D40" i="57"/>
  <c r="H33" i="57"/>
  <c r="C56" i="57"/>
  <c r="D56" i="57"/>
  <c r="H50" i="57"/>
  <c r="C15" i="57"/>
  <c r="D15" i="57"/>
  <c r="H40" i="57"/>
  <c r="H38" i="57"/>
  <c r="C32" i="57"/>
  <c r="D32" i="57"/>
  <c r="H41" i="57"/>
  <c r="H24" i="57"/>
  <c r="H56" i="57"/>
  <c r="C30" i="57"/>
  <c r="D30" i="57"/>
  <c r="C53" i="57"/>
  <c r="D53" i="57"/>
  <c r="C55" i="57"/>
  <c r="D55" i="57"/>
  <c r="C17" i="57"/>
  <c r="D17" i="57"/>
  <c r="C51" i="57"/>
  <c r="D51" i="57"/>
  <c r="H15" i="56"/>
  <c r="C15" i="56"/>
  <c r="D15" i="56"/>
  <c r="H53" i="56"/>
  <c r="C53" i="56"/>
  <c r="D53" i="56"/>
  <c r="C42" i="56"/>
  <c r="D42" i="56"/>
  <c r="H42" i="56"/>
  <c r="H17" i="58"/>
  <c r="C17" i="58"/>
  <c r="D17" i="58"/>
  <c r="H15" i="58"/>
  <c r="C15" i="58"/>
  <c r="D15" i="58"/>
  <c r="C14" i="58"/>
  <c r="D14" i="58"/>
  <c r="H14" i="58"/>
  <c r="C12" i="58"/>
  <c r="H12" i="58"/>
  <c r="H12" i="59"/>
  <c r="C38" i="57"/>
  <c r="D38" i="57"/>
  <c r="H12" i="1"/>
  <c r="C12" i="1"/>
  <c r="D12" i="1"/>
  <c r="C41" i="1"/>
  <c r="D41" i="1"/>
  <c r="H41" i="1"/>
  <c r="H42" i="1"/>
  <c r="C42" i="1"/>
  <c r="D42" i="1"/>
  <c r="H22" i="1"/>
  <c r="C22" i="1"/>
  <c r="D22" i="1"/>
  <c r="H43" i="1"/>
  <c r="C43" i="1"/>
  <c r="D43" i="1"/>
  <c r="C36" i="1"/>
  <c r="D36" i="1"/>
  <c r="H36" i="1"/>
  <c r="H39" i="61"/>
  <c r="C39" i="61"/>
  <c r="D39" i="61"/>
  <c r="C34" i="61"/>
  <c r="D34" i="61"/>
  <c r="H34" i="61"/>
  <c r="H31" i="61"/>
  <c r="C31" i="61"/>
  <c r="D31" i="61"/>
  <c r="H52" i="61"/>
  <c r="C52" i="61"/>
  <c r="D52" i="61"/>
  <c r="C33" i="61"/>
  <c r="D33" i="61"/>
  <c r="H33" i="61"/>
  <c r="C42" i="61"/>
  <c r="D42" i="61"/>
  <c r="H42" i="61"/>
  <c r="H18" i="61"/>
  <c r="C18" i="61"/>
  <c r="D18" i="61"/>
  <c r="H49" i="61"/>
  <c r="C49" i="61"/>
  <c r="D49" i="61"/>
  <c r="C23" i="61"/>
  <c r="D23" i="61"/>
  <c r="H23" i="61"/>
  <c r="H35" i="61"/>
  <c r="H46" i="61"/>
  <c r="C46" i="61"/>
  <c r="D46" i="61"/>
  <c r="C19" i="61"/>
  <c r="D19" i="61"/>
  <c r="C13" i="1"/>
  <c r="D13" i="1"/>
  <c r="C39" i="1"/>
  <c r="D39" i="1"/>
  <c r="C17" i="1"/>
  <c r="D17" i="1"/>
  <c r="H24" i="1"/>
  <c r="C9" i="1"/>
  <c r="D9" i="1"/>
  <c r="H45" i="1"/>
  <c r="C45" i="1"/>
  <c r="D45" i="1"/>
  <c r="H11" i="1"/>
  <c r="C55" i="1"/>
  <c r="D55" i="1"/>
  <c r="H23" i="1"/>
  <c r="H44" i="1"/>
  <c r="C52" i="1"/>
  <c r="D52" i="1"/>
  <c r="C31" i="1"/>
  <c r="D31" i="1"/>
  <c r="C56" i="1"/>
  <c r="D56" i="1"/>
  <c r="H6" i="1"/>
  <c r="C10" i="1"/>
  <c r="D10" i="1"/>
  <c r="C26" i="1"/>
  <c r="D26" i="1"/>
  <c r="H50" i="1"/>
  <c r="H55" i="1"/>
  <c r="C23" i="1"/>
  <c r="D23" i="1"/>
  <c r="H35" i="1"/>
  <c r="C24" i="1"/>
  <c r="D24" i="1"/>
  <c r="H30" i="1"/>
  <c r="C20" i="1"/>
  <c r="D20" i="1"/>
  <c r="H56" i="1"/>
  <c r="H39" i="1"/>
  <c r="H54" i="1"/>
  <c r="C49" i="1"/>
  <c r="D49" i="1"/>
  <c r="C54" i="1"/>
  <c r="D54" i="1"/>
  <c r="H49" i="1"/>
  <c r="C6" i="1"/>
  <c r="D6" i="1"/>
  <c r="H14" i="1"/>
  <c r="C51" i="1"/>
  <c r="D51" i="1"/>
  <c r="H31" i="1"/>
  <c r="C30" i="1"/>
  <c r="D30" i="1"/>
  <c r="C44" i="1"/>
  <c r="D44" i="1"/>
  <c r="C35" i="1"/>
  <c r="D35" i="1"/>
  <c r="H17" i="1"/>
  <c r="C11" i="1"/>
  <c r="D11" i="1"/>
  <c r="H20" i="1"/>
  <c r="H10" i="1"/>
  <c r="C14" i="1"/>
  <c r="D14" i="1"/>
  <c r="C50" i="1"/>
  <c r="D50" i="1"/>
  <c r="H52" i="1"/>
  <c r="C8" i="1"/>
  <c r="D8" i="1"/>
  <c r="H51" i="1"/>
  <c r="H13" i="1"/>
  <c r="H38" i="1"/>
  <c r="C38" i="1"/>
  <c r="D38" i="1"/>
  <c r="H8" i="1"/>
  <c r="H9" i="1"/>
  <c r="H26" i="1"/>
  <c r="H37" i="56"/>
  <c r="C37" i="56"/>
  <c r="D37" i="56"/>
  <c r="H50" i="56"/>
  <c r="C50" i="56"/>
  <c r="D50" i="56"/>
  <c r="C21" i="56"/>
  <c r="D21" i="56"/>
  <c r="H21" i="56"/>
  <c r="C32" i="56"/>
  <c r="D32" i="56"/>
  <c r="H32" i="56"/>
  <c r="H55" i="56"/>
  <c r="C55" i="56"/>
  <c r="D55" i="56"/>
  <c r="H30" i="56"/>
  <c r="C30" i="56"/>
  <c r="D30" i="56"/>
  <c r="H25" i="56"/>
  <c r="C25" i="56"/>
  <c r="D25" i="56"/>
  <c r="C16" i="56"/>
  <c r="D16" i="56"/>
  <c r="H16" i="56"/>
  <c r="H12" i="56"/>
  <c r="C12" i="56"/>
  <c r="D12" i="56"/>
  <c r="C54" i="58"/>
  <c r="D54" i="58"/>
  <c r="H54" i="58"/>
  <c r="H28" i="58"/>
  <c r="C28" i="58"/>
  <c r="D28" i="58"/>
  <c r="C44" i="58"/>
  <c r="D44" i="58"/>
  <c r="H44" i="58"/>
  <c r="C33" i="58"/>
  <c r="D33" i="58"/>
  <c r="H33" i="58"/>
  <c r="H27" i="58"/>
  <c r="C27" i="58"/>
  <c r="D27" i="58"/>
  <c r="C45" i="58"/>
  <c r="D45" i="58"/>
  <c r="H45" i="58"/>
  <c r="H34" i="58"/>
  <c r="C34" i="58"/>
  <c r="D34" i="58"/>
  <c r="C24" i="58"/>
  <c r="D24" i="58"/>
  <c r="H24" i="58"/>
  <c r="H47" i="58"/>
  <c r="C47" i="58"/>
  <c r="D47" i="58"/>
  <c r="H36" i="58"/>
  <c r="C36" i="58"/>
  <c r="D36" i="58"/>
  <c r="H43" i="60"/>
  <c r="H30" i="57"/>
  <c r="C47" i="61"/>
  <c r="D47" i="61"/>
  <c r="H20" i="61"/>
  <c r="C20" i="61"/>
  <c r="D20" i="61"/>
  <c r="H17" i="61"/>
  <c r="C17" i="61"/>
  <c r="D17" i="61"/>
  <c r="C22" i="61"/>
  <c r="D22" i="61"/>
  <c r="H22" i="61"/>
  <c r="C46" i="56"/>
  <c r="D46" i="56"/>
  <c r="H46" i="56"/>
  <c r="H51" i="56"/>
  <c r="C51" i="56"/>
  <c r="D51" i="56"/>
  <c r="E51" i="56"/>
  <c r="C13" i="56"/>
  <c r="D13" i="56"/>
  <c r="H13" i="56"/>
  <c r="H21" i="58"/>
  <c r="C21" i="58"/>
  <c r="D21" i="58"/>
  <c r="C29" i="58"/>
  <c r="D29" i="58"/>
  <c r="H29" i="58"/>
  <c r="C27" i="1"/>
  <c r="D27" i="1"/>
  <c r="H27" i="1"/>
  <c r="H46" i="1"/>
  <c r="C46" i="1"/>
  <c r="D46" i="1"/>
  <c r="C7" i="1"/>
  <c r="D7" i="1"/>
  <c r="H7" i="1"/>
  <c r="C45" i="61"/>
  <c r="D45" i="61"/>
  <c r="H45" i="61"/>
  <c r="H16" i="61"/>
  <c r="C16" i="61"/>
  <c r="D16" i="61"/>
  <c r="C25" i="61"/>
  <c r="D25" i="61"/>
  <c r="H25" i="61"/>
  <c r="C37" i="61"/>
  <c r="D37" i="61"/>
  <c r="H37" i="61"/>
  <c r="H50" i="61"/>
  <c r="C50" i="61"/>
  <c r="D50" i="61"/>
  <c r="C32" i="61"/>
  <c r="D32" i="61"/>
  <c r="H32" i="61"/>
  <c r="C40" i="61"/>
  <c r="D40" i="61"/>
  <c r="H40" i="61"/>
  <c r="C27" i="61"/>
  <c r="D27" i="61"/>
  <c r="H27" i="61"/>
  <c r="C26" i="60"/>
  <c r="D26" i="60"/>
  <c r="C50" i="60"/>
  <c r="D50" i="60"/>
  <c r="H18" i="60"/>
  <c r="L24" i="60"/>
  <c r="H51" i="60"/>
  <c r="C48" i="60"/>
  <c r="D48" i="60"/>
  <c r="L45" i="60"/>
  <c r="H56" i="60"/>
  <c r="H37" i="60"/>
  <c r="C32" i="60"/>
  <c r="D32" i="60"/>
  <c r="C30" i="60"/>
  <c r="D30" i="60"/>
  <c r="C51" i="60"/>
  <c r="D51" i="60"/>
  <c r="C19" i="60"/>
  <c r="D19" i="60"/>
  <c r="L42" i="60"/>
  <c r="H14" i="60"/>
  <c r="H14" i="61"/>
  <c r="C53" i="60"/>
  <c r="D53" i="60"/>
  <c r="C41" i="60"/>
  <c r="D41" i="60"/>
  <c r="H54" i="60"/>
  <c r="H46" i="60"/>
  <c r="H34" i="60"/>
  <c r="C40" i="60"/>
  <c r="D40" i="60"/>
  <c r="C54" i="60"/>
  <c r="D54" i="60"/>
  <c r="H27" i="60"/>
  <c r="H20" i="60"/>
  <c r="C20" i="60"/>
  <c r="D20" i="60"/>
  <c r="H22" i="60"/>
  <c r="C34" i="60"/>
  <c r="D34" i="60"/>
  <c r="C31" i="60"/>
  <c r="D31" i="60"/>
  <c r="H40" i="60"/>
  <c r="H28" i="60"/>
  <c r="C45" i="60"/>
  <c r="D45" i="60"/>
  <c r="C38" i="60"/>
  <c r="D38" i="60"/>
  <c r="H50" i="60"/>
  <c r="C56" i="60"/>
  <c r="D56" i="60"/>
  <c r="H31" i="60"/>
  <c r="C28" i="60"/>
  <c r="D28" i="60"/>
  <c r="C18" i="60"/>
  <c r="D18" i="60"/>
  <c r="C29" i="60"/>
  <c r="D29" i="60"/>
  <c r="C36" i="60"/>
  <c r="D36" i="60"/>
  <c r="C23" i="60"/>
  <c r="D23" i="60"/>
  <c r="H45" i="60"/>
  <c r="C46" i="60"/>
  <c r="D46" i="60"/>
  <c r="C15" i="60"/>
  <c r="D15" i="60"/>
  <c r="H53" i="60"/>
  <c r="H25" i="60"/>
  <c r="C47" i="60"/>
  <c r="D47" i="60"/>
  <c r="H42" i="60"/>
  <c r="C37" i="60"/>
  <c r="D37" i="60"/>
  <c r="C42" i="60"/>
  <c r="D42" i="60"/>
  <c r="C17" i="60"/>
  <c r="D17" i="60"/>
  <c r="H30" i="60"/>
  <c r="H26" i="60"/>
  <c r="H49" i="60"/>
  <c r="H48" i="60"/>
  <c r="H39" i="60"/>
  <c r="H52" i="60"/>
  <c r="H33" i="60"/>
  <c r="H24" i="60"/>
  <c r="H15" i="60"/>
  <c r="H41" i="60"/>
  <c r="H29" i="60"/>
  <c r="C25" i="60"/>
  <c r="D25" i="60"/>
  <c r="C33" i="60"/>
  <c r="D33" i="60"/>
  <c r="C24" i="60"/>
  <c r="D24" i="60"/>
  <c r="C49" i="60"/>
  <c r="D49" i="60"/>
  <c r="H21" i="60"/>
  <c r="C21" i="60"/>
  <c r="D21" i="60"/>
  <c r="H32" i="60"/>
  <c r="C39" i="60"/>
  <c r="D39" i="60"/>
  <c r="H16" i="60"/>
  <c r="C22" i="60"/>
  <c r="D22" i="60"/>
  <c r="H23" i="60"/>
  <c r="H17" i="60"/>
  <c r="H35" i="60"/>
  <c r="H36" i="60"/>
  <c r="H55" i="60"/>
  <c r="H38" i="60"/>
  <c r="C16" i="60"/>
  <c r="D16" i="60"/>
  <c r="L16" i="60"/>
  <c r="C14" i="60"/>
  <c r="L26" i="60"/>
  <c r="L21" i="60"/>
  <c r="H19" i="60"/>
  <c r="C8" i="54"/>
  <c r="C18" i="54"/>
  <c r="D18" i="54"/>
  <c r="C20" i="54"/>
  <c r="D20" i="54"/>
  <c r="C11" i="54"/>
  <c r="D11" i="54"/>
  <c r="C19" i="54"/>
  <c r="D19" i="54"/>
  <c r="C21" i="54"/>
  <c r="D21" i="54"/>
  <c r="C16" i="54"/>
  <c r="D16" i="54"/>
  <c r="C13" i="54"/>
  <c r="D13" i="54"/>
  <c r="C51" i="54"/>
  <c r="D51" i="54"/>
  <c r="H41" i="54"/>
  <c r="H16" i="54"/>
  <c r="H14" i="54"/>
  <c r="H44" i="54"/>
  <c r="H23" i="54"/>
  <c r="H43" i="54"/>
  <c r="C53" i="54"/>
  <c r="D53" i="54"/>
  <c r="C38" i="54"/>
  <c r="D38" i="54"/>
  <c r="C44" i="54"/>
  <c r="D44" i="54"/>
  <c r="C29" i="54"/>
  <c r="D29" i="54"/>
  <c r="H46" i="54"/>
  <c r="H40" i="54"/>
  <c r="H13" i="54"/>
  <c r="H47" i="54"/>
  <c r="C15" i="54"/>
  <c r="D15" i="54"/>
  <c r="C17" i="54"/>
  <c r="D17" i="54"/>
  <c r="C12" i="54"/>
  <c r="D12" i="54"/>
  <c r="H34" i="54"/>
  <c r="H28" i="54"/>
  <c r="H49" i="54"/>
  <c r="H31" i="54"/>
  <c r="H8" i="54"/>
  <c r="H8" i="55"/>
  <c r="H37" i="54"/>
  <c r="H52" i="54"/>
  <c r="H30" i="54"/>
  <c r="H15" i="54"/>
  <c r="H22" i="54"/>
  <c r="C45" i="54"/>
  <c r="D45" i="54"/>
  <c r="C52" i="54"/>
  <c r="D52" i="54"/>
  <c r="H54" i="54"/>
  <c r="H36" i="54"/>
  <c r="H21" i="54"/>
  <c r="H18" i="54"/>
  <c r="C28" i="54"/>
  <c r="D28" i="54"/>
  <c r="C10" i="54"/>
  <c r="D10" i="54"/>
  <c r="C22" i="54"/>
  <c r="D22" i="54"/>
  <c r="C40" i="54"/>
  <c r="D40" i="54"/>
  <c r="C50" i="54"/>
  <c r="D50" i="54"/>
  <c r="H45" i="54"/>
  <c r="C30" i="54"/>
  <c r="D30" i="54"/>
  <c r="C36" i="54"/>
  <c r="D36" i="54"/>
  <c r="H48" i="54"/>
  <c r="H11" i="54"/>
  <c r="H39" i="54"/>
  <c r="H50" i="54"/>
  <c r="H17" i="54"/>
  <c r="C54" i="54"/>
  <c r="D54" i="54"/>
  <c r="H10" i="54"/>
  <c r="C34" i="54"/>
  <c r="D34" i="54"/>
  <c r="C24" i="54"/>
  <c r="D24" i="54"/>
  <c r="C37" i="54"/>
  <c r="D37" i="54"/>
  <c r="H20" i="54"/>
  <c r="C35" i="54"/>
  <c r="D35" i="54"/>
  <c r="H26" i="54"/>
  <c r="C48" i="54"/>
  <c r="D48" i="54"/>
  <c r="C31" i="54"/>
  <c r="D31" i="54"/>
  <c r="H27" i="54"/>
  <c r="C39" i="54"/>
  <c r="D39" i="54"/>
  <c r="H55" i="54"/>
  <c r="H32" i="54"/>
  <c r="C27" i="54"/>
  <c r="D27" i="54"/>
  <c r="C14" i="54"/>
  <c r="D14" i="54"/>
  <c r="C26" i="54"/>
  <c r="D26" i="54"/>
  <c r="C23" i="54"/>
  <c r="D23" i="54"/>
  <c r="C33" i="54"/>
  <c r="D33" i="54"/>
  <c r="H53" i="54"/>
  <c r="H19" i="54"/>
  <c r="H33" i="54"/>
  <c r="H25" i="54"/>
  <c r="H29" i="54"/>
  <c r="C43" i="54"/>
  <c r="D43" i="54"/>
  <c r="H12" i="54"/>
  <c r="C49" i="54"/>
  <c r="D49" i="54"/>
  <c r="H56" i="54"/>
  <c r="C46" i="54"/>
  <c r="D46" i="54"/>
  <c r="C47" i="54"/>
  <c r="D47" i="54"/>
  <c r="C41" i="54"/>
  <c r="D41" i="54"/>
  <c r="C25" i="54"/>
  <c r="D25" i="54"/>
  <c r="C55" i="54"/>
  <c r="D55" i="54"/>
  <c r="C56" i="54"/>
  <c r="D56" i="54"/>
  <c r="H38" i="54"/>
  <c r="H42" i="54"/>
  <c r="H35" i="54"/>
  <c r="C9" i="54"/>
  <c r="D9" i="54"/>
  <c r="H9" i="54"/>
  <c r="C42" i="54"/>
  <c r="D42" i="54"/>
  <c r="C32" i="54"/>
  <c r="D32" i="54"/>
  <c r="H51" i="54"/>
  <c r="H33" i="56"/>
  <c r="C33" i="56"/>
  <c r="D33" i="56"/>
  <c r="C54" i="56"/>
  <c r="D54" i="56"/>
  <c r="H54" i="56"/>
  <c r="H28" i="56"/>
  <c r="C28" i="56"/>
  <c r="D28" i="56"/>
  <c r="C10" i="56"/>
  <c r="H10" i="56"/>
  <c r="H10" i="57"/>
  <c r="C17" i="56"/>
  <c r="D17" i="56"/>
  <c r="H17" i="56"/>
  <c r="H45" i="56"/>
  <c r="C45" i="56"/>
  <c r="D45" i="56"/>
  <c r="H19" i="56"/>
  <c r="C19" i="56"/>
  <c r="D19" i="56"/>
  <c r="H20" i="56"/>
  <c r="C20" i="56"/>
  <c r="D20" i="56"/>
  <c r="H23" i="56"/>
  <c r="C23" i="56"/>
  <c r="D23" i="56"/>
  <c r="H13" i="58"/>
  <c r="C13" i="58"/>
  <c r="D13" i="58"/>
  <c r="H43" i="58"/>
  <c r="C43" i="58"/>
  <c r="D43" i="58"/>
  <c r="C23" i="58"/>
  <c r="D23" i="58"/>
  <c r="H23" i="58"/>
  <c r="C48" i="58"/>
  <c r="D48" i="58"/>
  <c r="H48" i="58"/>
  <c r="H37" i="58"/>
  <c r="C37" i="58"/>
  <c r="D37" i="58"/>
  <c r="H22" i="58"/>
  <c r="C22" i="58"/>
  <c r="D22" i="58"/>
  <c r="H49" i="58"/>
  <c r="C49" i="58"/>
  <c r="D49" i="58"/>
  <c r="C38" i="58"/>
  <c r="D38" i="58"/>
  <c r="H38" i="58"/>
  <c r="C20" i="58"/>
  <c r="D20" i="58"/>
  <c r="H20" i="58"/>
  <c r="C51" i="58"/>
  <c r="D51" i="58"/>
  <c r="H51" i="58"/>
  <c r="C40" i="58"/>
  <c r="D40" i="58"/>
  <c r="H40" i="58"/>
  <c r="C35" i="60"/>
  <c r="D35" i="60"/>
  <c r="C52" i="60"/>
  <c r="D52" i="60"/>
  <c r="H17" i="57"/>
  <c r="E46" i="58"/>
  <c r="F46" i="58"/>
  <c r="C28" i="1"/>
  <c r="D28" i="1"/>
  <c r="H28" i="1"/>
  <c r="H40" i="1"/>
  <c r="C40" i="1"/>
  <c r="D40" i="1"/>
  <c r="C19" i="1"/>
  <c r="D19" i="1"/>
  <c r="H19" i="1"/>
  <c r="H15" i="61"/>
  <c r="C15" i="61"/>
  <c r="D15" i="61"/>
  <c r="C30" i="61"/>
  <c r="D30" i="61"/>
  <c r="H30" i="61"/>
  <c r="H51" i="61"/>
  <c r="C51" i="61"/>
  <c r="D51" i="61"/>
  <c r="H41" i="61"/>
  <c r="C41" i="61"/>
  <c r="D41" i="61"/>
  <c r="H43" i="56"/>
  <c r="C43" i="56"/>
  <c r="D43" i="56"/>
  <c r="C36" i="56"/>
  <c r="D36" i="56"/>
  <c r="H36" i="56"/>
  <c r="C34" i="56"/>
  <c r="D34" i="56"/>
  <c r="H34" i="56"/>
  <c r="H29" i="56"/>
  <c r="C29" i="56"/>
  <c r="D29" i="56"/>
  <c r="H56" i="58"/>
  <c r="C56" i="58"/>
  <c r="D56" i="58"/>
  <c r="C30" i="58"/>
  <c r="D30" i="58"/>
  <c r="H30" i="58"/>
  <c r="C32" i="58"/>
  <c r="D32" i="58"/>
  <c r="H32" i="58"/>
  <c r="E18" i="55"/>
  <c r="F18" i="55"/>
  <c r="J18" i="55"/>
  <c r="C34" i="1"/>
  <c r="D34" i="1"/>
  <c r="H34" i="1"/>
  <c r="H5" i="1"/>
  <c r="H5" i="52"/>
  <c r="C5" i="1"/>
  <c r="C32" i="1"/>
  <c r="D32" i="1"/>
  <c r="H32" i="1"/>
  <c r="C29" i="1"/>
  <c r="D29" i="1"/>
  <c r="H29" i="1"/>
  <c r="C55" i="61"/>
  <c r="D55" i="61"/>
  <c r="H55" i="61"/>
  <c r="C18" i="1"/>
  <c r="D18" i="1"/>
  <c r="H18" i="1"/>
  <c r="C47" i="1"/>
  <c r="D47" i="1"/>
  <c r="H47" i="1"/>
  <c r="H21" i="1"/>
  <c r="C21" i="1"/>
  <c r="D21" i="1"/>
  <c r="C48" i="1"/>
  <c r="D48" i="1"/>
  <c r="H48" i="1"/>
  <c r="H16" i="1"/>
  <c r="C16" i="1"/>
  <c r="D16" i="1"/>
  <c r="H37" i="1"/>
  <c r="C37" i="1"/>
  <c r="D37" i="1"/>
  <c r="H33" i="1"/>
  <c r="C33" i="1"/>
  <c r="D33" i="1"/>
  <c r="H29" i="61"/>
  <c r="C29" i="61"/>
  <c r="D29" i="61"/>
  <c r="E29" i="61"/>
  <c r="C54" i="61"/>
  <c r="D54" i="61"/>
  <c r="H54" i="61"/>
  <c r="H44" i="61"/>
  <c r="C44" i="61"/>
  <c r="D44" i="61"/>
  <c r="C38" i="61"/>
  <c r="D38" i="61"/>
  <c r="H38" i="61"/>
  <c r="C21" i="61"/>
  <c r="D21" i="61"/>
  <c r="H21" i="61"/>
  <c r="H43" i="61"/>
  <c r="C43" i="61"/>
  <c r="D43" i="61"/>
  <c r="H24" i="61"/>
  <c r="C24" i="61"/>
  <c r="D24" i="61"/>
  <c r="C36" i="61"/>
  <c r="D36" i="61"/>
  <c r="H36" i="61"/>
  <c r="C48" i="61"/>
  <c r="D48" i="61"/>
  <c r="H48" i="61"/>
  <c r="C35" i="56"/>
  <c r="D35" i="56"/>
  <c r="C39" i="56"/>
  <c r="D39" i="56"/>
  <c r="C56" i="56"/>
  <c r="D56" i="56"/>
  <c r="H35" i="56"/>
  <c r="H31" i="56"/>
  <c r="C14" i="56"/>
  <c r="D14" i="56"/>
  <c r="H40" i="56"/>
  <c r="H56" i="56"/>
  <c r="H44" i="56"/>
  <c r="C40" i="56"/>
  <c r="D40" i="56"/>
  <c r="H48" i="56"/>
  <c r="C52" i="56"/>
  <c r="D52" i="56"/>
  <c r="H14" i="56"/>
  <c r="H52" i="56"/>
  <c r="C48" i="56"/>
  <c r="D48" i="56"/>
  <c r="H18" i="56"/>
  <c r="C31" i="56"/>
  <c r="D31" i="56"/>
  <c r="H39" i="56"/>
  <c r="C44" i="56"/>
  <c r="D44" i="56"/>
  <c r="C40" i="53"/>
  <c r="D40" i="53"/>
  <c r="C54" i="53"/>
  <c r="D54" i="53"/>
  <c r="C22" i="53"/>
  <c r="D22" i="53"/>
  <c r="E22" i="53"/>
  <c r="H52" i="53"/>
  <c r="H48" i="53"/>
  <c r="H51" i="53"/>
  <c r="C32" i="53"/>
  <c r="D32" i="53"/>
  <c r="E32" i="53"/>
  <c r="F32" i="53"/>
  <c r="H38" i="53"/>
  <c r="C30" i="53"/>
  <c r="D30" i="53"/>
  <c r="H31" i="53"/>
  <c r="H26" i="53"/>
  <c r="H13" i="53"/>
  <c r="H37" i="53"/>
  <c r="H28" i="53"/>
  <c r="C35" i="53"/>
  <c r="D35" i="53"/>
  <c r="H56" i="53"/>
  <c r="H17" i="53"/>
  <c r="C11" i="53"/>
  <c r="D11" i="53"/>
  <c r="C13" i="53"/>
  <c r="D13" i="53"/>
  <c r="H49" i="53"/>
  <c r="H24" i="53"/>
  <c r="C43" i="53"/>
  <c r="D43" i="53"/>
  <c r="C23" i="53"/>
  <c r="D23" i="53"/>
  <c r="H39" i="53"/>
  <c r="H54" i="53"/>
  <c r="H42" i="53"/>
  <c r="C24" i="53"/>
  <c r="D24" i="53"/>
  <c r="C52" i="53"/>
  <c r="D52" i="53"/>
  <c r="C46" i="53"/>
  <c r="D46" i="53"/>
  <c r="C36" i="53"/>
  <c r="D36" i="53"/>
  <c r="H40" i="53"/>
  <c r="H27" i="53"/>
  <c r="H8" i="53"/>
  <c r="H35" i="53"/>
  <c r="C47" i="53"/>
  <c r="D47" i="53"/>
  <c r="C27" i="53"/>
  <c r="D27" i="53"/>
  <c r="H25" i="53"/>
  <c r="J25" i="53"/>
  <c r="C9" i="53"/>
  <c r="D9" i="53"/>
  <c r="L41" i="53"/>
  <c r="H14" i="53"/>
  <c r="H20" i="53"/>
  <c r="H15" i="53"/>
  <c r="C56" i="53"/>
  <c r="D56" i="53"/>
  <c r="C31" i="53"/>
  <c r="D31" i="53"/>
  <c r="L56" i="53"/>
  <c r="C55" i="53"/>
  <c r="D55" i="53"/>
  <c r="C38" i="53"/>
  <c r="D38" i="53"/>
  <c r="H36" i="53"/>
  <c r="C16" i="53"/>
  <c r="D16" i="53"/>
  <c r="L47" i="53"/>
  <c r="P47" i="53"/>
  <c r="H34" i="53"/>
  <c r="C28" i="53"/>
  <c r="D28" i="53"/>
  <c r="C49" i="53"/>
  <c r="D49" i="53"/>
  <c r="C33" i="53"/>
  <c r="D33" i="53"/>
  <c r="C21" i="53"/>
  <c r="D21" i="53"/>
  <c r="E21" i="53"/>
  <c r="H45" i="53"/>
  <c r="H21" i="53"/>
  <c r="H9" i="53"/>
  <c r="C19" i="53"/>
  <c r="D19" i="53"/>
  <c r="C10" i="53"/>
  <c r="D10" i="53"/>
  <c r="H53" i="53"/>
  <c r="C50" i="53"/>
  <c r="D50" i="53"/>
  <c r="H46" i="53"/>
  <c r="C18" i="53"/>
  <c r="D18" i="53"/>
  <c r="H18" i="53"/>
  <c r="C26" i="53"/>
  <c r="D26" i="53"/>
  <c r="H43" i="53"/>
  <c r="H10" i="53"/>
  <c r="C41" i="53"/>
  <c r="D41" i="53"/>
  <c r="C29" i="53"/>
  <c r="D29" i="53"/>
  <c r="H55" i="53"/>
  <c r="C39" i="53"/>
  <c r="D39" i="53"/>
  <c r="C15" i="53"/>
  <c r="D15" i="53"/>
  <c r="C44" i="53"/>
  <c r="D44" i="53"/>
  <c r="H32" i="53"/>
  <c r="H44" i="53"/>
  <c r="C53" i="53"/>
  <c r="D53" i="53"/>
  <c r="C25" i="53"/>
  <c r="D25" i="53"/>
  <c r="H41" i="53"/>
  <c r="C8" i="53"/>
  <c r="D8" i="53"/>
  <c r="C20" i="53"/>
  <c r="D20" i="53"/>
  <c r="H23" i="53"/>
  <c r="H12" i="53"/>
  <c r="C37" i="53"/>
  <c r="D37" i="53"/>
  <c r="H11" i="53"/>
  <c r="H29" i="53"/>
  <c r="C12" i="53"/>
  <c r="D12" i="53"/>
  <c r="E12" i="53"/>
  <c r="F12" i="53"/>
  <c r="H50" i="53"/>
  <c r="C34" i="53"/>
  <c r="D34" i="53"/>
  <c r="H30" i="53"/>
  <c r="C48" i="53"/>
  <c r="D48" i="53"/>
  <c r="H33" i="53"/>
  <c r="C14" i="53"/>
  <c r="D14" i="53"/>
  <c r="H16" i="53"/>
  <c r="C7" i="53"/>
  <c r="H7" i="53"/>
  <c r="H7" i="54"/>
  <c r="H47" i="53"/>
  <c r="C42" i="53"/>
  <c r="D42" i="53"/>
  <c r="C45" i="53"/>
  <c r="D45" i="53"/>
  <c r="C51" i="53"/>
  <c r="D51" i="53"/>
  <c r="C17" i="53"/>
  <c r="D17" i="53"/>
  <c r="H22" i="53"/>
  <c r="H19" i="53"/>
  <c r="C11" i="56"/>
  <c r="D11" i="56"/>
  <c r="H11" i="56"/>
  <c r="C22" i="56"/>
  <c r="D22" i="56"/>
  <c r="H22" i="56"/>
  <c r="C41" i="56"/>
  <c r="D41" i="56"/>
  <c r="H41" i="56"/>
  <c r="C47" i="56"/>
  <c r="D47" i="56"/>
  <c r="H47" i="56"/>
  <c r="C38" i="56"/>
  <c r="D38" i="56"/>
  <c r="H38" i="56"/>
  <c r="C49" i="56"/>
  <c r="D49" i="56"/>
  <c r="H49" i="56"/>
  <c r="H26" i="56"/>
  <c r="C26" i="56"/>
  <c r="D26" i="56"/>
  <c r="E26" i="56"/>
  <c r="C24" i="56"/>
  <c r="D24" i="56"/>
  <c r="H24" i="56"/>
  <c r="H27" i="56"/>
  <c r="C27" i="56"/>
  <c r="D27" i="56"/>
  <c r="E27" i="56"/>
  <c r="H39" i="58"/>
  <c r="C39" i="58"/>
  <c r="D39" i="58"/>
  <c r="C31" i="58"/>
  <c r="D31" i="58"/>
  <c r="H31" i="58"/>
  <c r="H25" i="58"/>
  <c r="C25" i="58"/>
  <c r="D25" i="58"/>
  <c r="C19" i="58"/>
  <c r="D19" i="58"/>
  <c r="E19" i="58"/>
  <c r="H19" i="58"/>
  <c r="C52" i="58"/>
  <c r="D52" i="58"/>
  <c r="H52" i="58"/>
  <c r="C41" i="58"/>
  <c r="D41" i="58"/>
  <c r="E41" i="58"/>
  <c r="H41" i="58"/>
  <c r="H18" i="58"/>
  <c r="C18" i="58"/>
  <c r="D18" i="58"/>
  <c r="C53" i="58"/>
  <c r="D53" i="58"/>
  <c r="E53" i="58"/>
  <c r="H53" i="58"/>
  <c r="H42" i="58"/>
  <c r="C42" i="58"/>
  <c r="D42" i="58"/>
  <c r="C16" i="58"/>
  <c r="D16" i="58"/>
  <c r="H55" i="58"/>
  <c r="C55" i="58"/>
  <c r="D55" i="58"/>
  <c r="C35" i="61"/>
  <c r="D35" i="61"/>
  <c r="H24" i="54"/>
  <c r="C27" i="60"/>
  <c r="D27" i="60"/>
  <c r="E27" i="60"/>
  <c r="H44" i="60"/>
  <c r="E19" i="55"/>
  <c r="F19" i="55"/>
  <c r="G19" i="55"/>
  <c r="I19" i="55"/>
  <c r="C47" i="57"/>
  <c r="D47" i="57"/>
  <c r="E47" i="57"/>
  <c r="C18" i="56"/>
  <c r="D18" i="56"/>
  <c r="J13" i="52"/>
  <c r="J25" i="52"/>
  <c r="J28" i="52"/>
  <c r="J52" i="52"/>
  <c r="J18" i="52"/>
  <c r="G45" i="52"/>
  <c r="I45" i="52"/>
  <c r="J38" i="52"/>
  <c r="G40" i="52"/>
  <c r="I40" i="52"/>
  <c r="J54" i="52"/>
  <c r="J31" i="52"/>
  <c r="J42" i="52"/>
  <c r="J34" i="52"/>
  <c r="I39" i="52"/>
  <c r="J46" i="52"/>
  <c r="G27" i="52"/>
  <c r="I27" i="52"/>
  <c r="G56" i="52"/>
  <c r="I56" i="52"/>
  <c r="E30" i="52"/>
  <c r="F30" i="52"/>
  <c r="J30" i="52"/>
  <c r="I25" i="52"/>
  <c r="J32" i="55"/>
  <c r="G31" i="52"/>
  <c r="I31" i="52"/>
  <c r="G38" i="52"/>
  <c r="I38" i="52"/>
  <c r="G28" i="52"/>
  <c r="I28" i="52"/>
  <c r="E10" i="52"/>
  <c r="F10" i="52"/>
  <c r="J10" i="52"/>
  <c r="E49" i="52"/>
  <c r="F49" i="52"/>
  <c r="G49" i="52"/>
  <c r="I49" i="52"/>
  <c r="E17" i="52"/>
  <c r="F17" i="52"/>
  <c r="J17" i="52"/>
  <c r="E26" i="52"/>
  <c r="F26" i="52"/>
  <c r="J26" i="52"/>
  <c r="J17" i="55"/>
  <c r="J44" i="52"/>
  <c r="E35" i="52"/>
  <c r="F35" i="52"/>
  <c r="J35" i="52"/>
  <c r="J12" i="55"/>
  <c r="G44" i="52"/>
  <c r="I44" i="52"/>
  <c r="G20" i="52"/>
  <c r="I20" i="52"/>
  <c r="J20" i="52"/>
  <c r="E47" i="52"/>
  <c r="F47" i="52"/>
  <c r="G18" i="59"/>
  <c r="I18" i="59"/>
  <c r="J35" i="58"/>
  <c r="G34" i="52"/>
  <c r="I34" i="52"/>
  <c r="G8" i="52"/>
  <c r="I8" i="52"/>
  <c r="J55" i="60"/>
  <c r="E24" i="52"/>
  <c r="F24" i="52"/>
  <c r="J24" i="52"/>
  <c r="E14" i="52"/>
  <c r="F14" i="52"/>
  <c r="J14" i="52"/>
  <c r="J49" i="52"/>
  <c r="E23" i="52"/>
  <c r="F23" i="52"/>
  <c r="E9" i="52"/>
  <c r="F9" i="52"/>
  <c r="E16" i="52"/>
  <c r="F16" i="52"/>
  <c r="J16" i="52"/>
  <c r="G19" i="52"/>
  <c r="I19" i="52"/>
  <c r="G46" i="52"/>
  <c r="I46" i="52"/>
  <c r="E11" i="52"/>
  <c r="F11" i="52"/>
  <c r="J11" i="52"/>
  <c r="G32" i="52"/>
  <c r="I32" i="52"/>
  <c r="J32" i="52"/>
  <c r="E33" i="52"/>
  <c r="F33" i="52"/>
  <c r="J33" i="52"/>
  <c r="E22" i="52"/>
  <c r="F22" i="52"/>
  <c r="G22" i="52"/>
  <c r="I22" i="52"/>
  <c r="G36" i="55"/>
  <c r="J48" i="52"/>
  <c r="G54" i="52"/>
  <c r="I54" i="52"/>
  <c r="E41" i="55"/>
  <c r="F41" i="55"/>
  <c r="G15" i="52"/>
  <c r="I15" i="52"/>
  <c r="J19" i="55"/>
  <c r="G9" i="55"/>
  <c r="Q9" i="56"/>
  <c r="G50" i="52"/>
  <c r="I50" i="52"/>
  <c r="E20" i="55"/>
  <c r="F20" i="55"/>
  <c r="J20" i="55"/>
  <c r="G42" i="59"/>
  <c r="I42" i="59"/>
  <c r="E53" i="55"/>
  <c r="F53" i="55"/>
  <c r="G53" i="55"/>
  <c r="E37" i="55"/>
  <c r="F37" i="55"/>
  <c r="J37" i="55"/>
  <c r="E16" i="55"/>
  <c r="F16" i="55"/>
  <c r="J16" i="55"/>
  <c r="E14" i="55"/>
  <c r="F14" i="55"/>
  <c r="J14" i="55"/>
  <c r="E16" i="59"/>
  <c r="F16" i="59"/>
  <c r="J16" i="59"/>
  <c r="E49" i="59"/>
  <c r="F49" i="59"/>
  <c r="J49" i="59"/>
  <c r="E55" i="55"/>
  <c r="F55" i="55"/>
  <c r="G17" i="55"/>
  <c r="I17" i="55"/>
  <c r="G10" i="55"/>
  <c r="I10" i="55"/>
  <c r="G32" i="55"/>
  <c r="G52" i="52"/>
  <c r="I52" i="52"/>
  <c r="E50" i="58"/>
  <c r="F50" i="58"/>
  <c r="E38" i="55"/>
  <c r="F38" i="55"/>
  <c r="E50" i="55"/>
  <c r="F50" i="55"/>
  <c r="J50" i="55"/>
  <c r="E48" i="55"/>
  <c r="F48" i="55"/>
  <c r="G49" i="55"/>
  <c r="E15" i="55"/>
  <c r="F15" i="55"/>
  <c r="J15" i="55"/>
  <c r="E52" i="55"/>
  <c r="F52" i="55"/>
  <c r="J52" i="55"/>
  <c r="J38" i="59"/>
  <c r="E23" i="59"/>
  <c r="F23" i="59"/>
  <c r="J42" i="59"/>
  <c r="E24" i="59"/>
  <c r="F24" i="59"/>
  <c r="J24" i="59"/>
  <c r="E48" i="59"/>
  <c r="F48" i="59"/>
  <c r="J48" i="59"/>
  <c r="E34" i="59"/>
  <c r="F34" i="59"/>
  <c r="J34" i="59"/>
  <c r="F46" i="59"/>
  <c r="J46" i="59"/>
  <c r="E47" i="59"/>
  <c r="F47" i="59"/>
  <c r="J47" i="59"/>
  <c r="G14" i="59"/>
  <c r="I14" i="59"/>
  <c r="J14" i="59"/>
  <c r="E33" i="59"/>
  <c r="F33" i="59"/>
  <c r="G33" i="59"/>
  <c r="J33" i="59"/>
  <c r="E37" i="59"/>
  <c r="F37" i="59"/>
  <c r="J37" i="59"/>
  <c r="E41" i="59"/>
  <c r="F41" i="59"/>
  <c r="J41" i="59"/>
  <c r="E45" i="59"/>
  <c r="F45" i="59"/>
  <c r="E22" i="55"/>
  <c r="F22" i="55"/>
  <c r="E56" i="55"/>
  <c r="F56" i="55"/>
  <c r="E27" i="55"/>
  <c r="F27" i="55"/>
  <c r="G29" i="55"/>
  <c r="E22" i="59"/>
  <c r="F22" i="59"/>
  <c r="E31" i="59"/>
  <c r="F31" i="59"/>
  <c r="J31" i="59"/>
  <c r="E40" i="59"/>
  <c r="F40" i="59"/>
  <c r="E21" i="59"/>
  <c r="F21" i="59"/>
  <c r="J26" i="55"/>
  <c r="G12" i="55"/>
  <c r="I12" i="55"/>
  <c r="E51" i="55"/>
  <c r="F51" i="55"/>
  <c r="J51" i="55"/>
  <c r="G18" i="52"/>
  <c r="I18" i="52"/>
  <c r="E47" i="55"/>
  <c r="F47" i="55"/>
  <c r="J47" i="55"/>
  <c r="E34" i="55"/>
  <c r="F34" i="55"/>
  <c r="J34" i="55"/>
  <c r="E42" i="55"/>
  <c r="F42" i="55"/>
  <c r="J42" i="55"/>
  <c r="G42" i="52"/>
  <c r="I42" i="52"/>
  <c r="G13" i="52"/>
  <c r="I13" i="52"/>
  <c r="E44" i="59"/>
  <c r="F44" i="59"/>
  <c r="E39" i="59"/>
  <c r="F39" i="59"/>
  <c r="J39" i="59"/>
  <c r="E35" i="59"/>
  <c r="F35" i="59"/>
  <c r="J35" i="59"/>
  <c r="E20" i="59"/>
  <c r="F20" i="59"/>
  <c r="J20" i="59"/>
  <c r="E26" i="59"/>
  <c r="F26" i="59"/>
  <c r="J26" i="59"/>
  <c r="E52" i="59"/>
  <c r="F52" i="59"/>
  <c r="J52" i="59"/>
  <c r="E30" i="59"/>
  <c r="F30" i="59"/>
  <c r="J30" i="59"/>
  <c r="F26" i="58"/>
  <c r="E40" i="55"/>
  <c r="F40" i="55"/>
  <c r="E9" i="56"/>
  <c r="F9" i="56"/>
  <c r="J9" i="56"/>
  <c r="E54" i="59"/>
  <c r="F54" i="59"/>
  <c r="E43" i="59"/>
  <c r="F43" i="59"/>
  <c r="J43" i="59"/>
  <c r="J28" i="59"/>
  <c r="E11" i="55"/>
  <c r="F11" i="55"/>
  <c r="E31" i="55"/>
  <c r="F31" i="55"/>
  <c r="J31" i="55"/>
  <c r="E46" i="55"/>
  <c r="F46" i="55"/>
  <c r="J46" i="55"/>
  <c r="F33" i="55"/>
  <c r="E23" i="55"/>
  <c r="F23" i="55"/>
  <c r="J23" i="55"/>
  <c r="E43" i="55"/>
  <c r="F43" i="55"/>
  <c r="F44" i="55"/>
  <c r="J44" i="55"/>
  <c r="E51" i="59"/>
  <c r="F51" i="59"/>
  <c r="E25" i="59"/>
  <c r="F25" i="59"/>
  <c r="J25" i="59"/>
  <c r="E29" i="59"/>
  <c r="F29" i="59"/>
  <c r="J29" i="59"/>
  <c r="E36" i="59"/>
  <c r="F36" i="59"/>
  <c r="J36" i="59"/>
  <c r="E56" i="59"/>
  <c r="F56" i="59"/>
  <c r="J56" i="59"/>
  <c r="E50" i="59"/>
  <c r="F50" i="59"/>
  <c r="E27" i="59"/>
  <c r="F27" i="59"/>
  <c r="E53" i="59"/>
  <c r="F53" i="59"/>
  <c r="J53" i="59"/>
  <c r="E15" i="59"/>
  <c r="F15" i="59"/>
  <c r="J15" i="59"/>
  <c r="E54" i="55"/>
  <c r="F54" i="55"/>
  <c r="E21" i="55"/>
  <c r="F21" i="55"/>
  <c r="E25" i="55"/>
  <c r="F25" i="55"/>
  <c r="G39" i="55"/>
  <c r="E35" i="55"/>
  <c r="F35" i="55"/>
  <c r="J35" i="55"/>
  <c r="E42" i="58"/>
  <c r="F42" i="58"/>
  <c r="J42" i="58"/>
  <c r="F19" i="58"/>
  <c r="F27" i="56"/>
  <c r="J27" i="56"/>
  <c r="E33" i="56"/>
  <c r="F33" i="56"/>
  <c r="J33" i="56"/>
  <c r="E25" i="54"/>
  <c r="F25" i="54"/>
  <c r="E27" i="54"/>
  <c r="F27" i="54"/>
  <c r="J27" i="54"/>
  <c r="E54" i="54"/>
  <c r="F54" i="54"/>
  <c r="J54" i="54"/>
  <c r="E28" i="54"/>
  <c r="F28" i="54"/>
  <c r="J28" i="54"/>
  <c r="E17" i="54"/>
  <c r="F17" i="54"/>
  <c r="J17" i="54"/>
  <c r="E25" i="60"/>
  <c r="F25" i="60"/>
  <c r="J25" i="60"/>
  <c r="E47" i="60"/>
  <c r="F47" i="60"/>
  <c r="J47" i="60"/>
  <c r="E29" i="60"/>
  <c r="F29" i="60"/>
  <c r="J29" i="60"/>
  <c r="E45" i="60"/>
  <c r="F45" i="60"/>
  <c r="E53" i="60"/>
  <c r="F53" i="60"/>
  <c r="E26" i="60"/>
  <c r="F26" i="60"/>
  <c r="E7" i="1"/>
  <c r="F7" i="1"/>
  <c r="J7" i="1"/>
  <c r="J43" i="60"/>
  <c r="G43" i="60"/>
  <c r="I43" i="60"/>
  <c r="E35" i="61"/>
  <c r="F35" i="61"/>
  <c r="J35" i="61"/>
  <c r="E52" i="58"/>
  <c r="F52" i="58"/>
  <c r="J52" i="58"/>
  <c r="F26" i="56"/>
  <c r="J26" i="56"/>
  <c r="J12" i="53"/>
  <c r="E37" i="53"/>
  <c r="F37" i="53"/>
  <c r="E25" i="53"/>
  <c r="F25" i="53"/>
  <c r="E15" i="53"/>
  <c r="F15" i="53"/>
  <c r="J15" i="53"/>
  <c r="E19" i="53"/>
  <c r="F19" i="53"/>
  <c r="E49" i="53"/>
  <c r="F49" i="53"/>
  <c r="J49" i="53"/>
  <c r="E9" i="53"/>
  <c r="F9" i="53"/>
  <c r="J9" i="53"/>
  <c r="E52" i="60"/>
  <c r="F52" i="60"/>
  <c r="J52" i="60"/>
  <c r="E51" i="58"/>
  <c r="F51" i="58"/>
  <c r="J51" i="58"/>
  <c r="E49" i="58"/>
  <c r="F49" i="58"/>
  <c r="J49" i="58"/>
  <c r="E21" i="56"/>
  <c r="F21" i="56"/>
  <c r="J21" i="56"/>
  <c r="E14" i="1"/>
  <c r="F14" i="1"/>
  <c r="J14" i="1"/>
  <c r="E51" i="1"/>
  <c r="F51" i="1"/>
  <c r="E54" i="1"/>
  <c r="F54" i="1"/>
  <c r="J54" i="1"/>
  <c r="E10" i="1"/>
  <c r="F10" i="1"/>
  <c r="G10" i="1"/>
  <c r="E55" i="1"/>
  <c r="F55" i="1"/>
  <c r="J55" i="1"/>
  <c r="E39" i="1"/>
  <c r="F39" i="1"/>
  <c r="J39" i="1"/>
  <c r="E19" i="61"/>
  <c r="F19" i="61"/>
  <c r="G18" i="55"/>
  <c r="I18" i="55"/>
  <c r="E47" i="54"/>
  <c r="F47" i="54"/>
  <c r="J47" i="54"/>
  <c r="E23" i="54"/>
  <c r="F23" i="54"/>
  <c r="J23" i="54"/>
  <c r="E48" i="54"/>
  <c r="F48" i="54"/>
  <c r="J48" i="54"/>
  <c r="E24" i="54"/>
  <c r="F24" i="54"/>
  <c r="J24" i="54"/>
  <c r="E22" i="54"/>
  <c r="F22" i="54"/>
  <c r="E53" i="54"/>
  <c r="F53" i="54"/>
  <c r="J53" i="54"/>
  <c r="C8" i="55"/>
  <c r="D8" i="55"/>
  <c r="D8" i="54"/>
  <c r="E16" i="60"/>
  <c r="F16" i="60"/>
  <c r="J16" i="60"/>
  <c r="E17" i="60"/>
  <c r="F17" i="60"/>
  <c r="J17" i="60"/>
  <c r="E46" i="60"/>
  <c r="F46" i="60"/>
  <c r="J46" i="60"/>
  <c r="E56" i="60"/>
  <c r="F56" i="60"/>
  <c r="J56" i="60"/>
  <c r="E34" i="60"/>
  <c r="F34" i="60"/>
  <c r="J34" i="60"/>
  <c r="E51" i="60"/>
  <c r="F51" i="60"/>
  <c r="E16" i="61"/>
  <c r="F16" i="61"/>
  <c r="J16" i="61"/>
  <c r="E45" i="61"/>
  <c r="F45" i="61"/>
  <c r="J45" i="61"/>
  <c r="E33" i="61"/>
  <c r="F33" i="61"/>
  <c r="J33" i="61"/>
  <c r="E15" i="58"/>
  <c r="F15" i="58"/>
  <c r="J15" i="58"/>
  <c r="E18" i="58"/>
  <c r="F18" i="58"/>
  <c r="J18" i="58"/>
  <c r="E18" i="56"/>
  <c r="F18" i="56"/>
  <c r="J18" i="56"/>
  <c r="E16" i="58"/>
  <c r="F16" i="58"/>
  <c r="E32" i="1"/>
  <c r="F32" i="1"/>
  <c r="J32" i="1"/>
  <c r="E40" i="1"/>
  <c r="F40" i="1"/>
  <c r="E28" i="1"/>
  <c r="F28" i="1"/>
  <c r="J28" i="1"/>
  <c r="E22" i="61"/>
  <c r="F22" i="61"/>
  <c r="F53" i="58"/>
  <c r="J53" i="58"/>
  <c r="F47" i="57"/>
  <c r="J47" i="57"/>
  <c r="F27" i="60"/>
  <c r="E55" i="58"/>
  <c r="F55" i="58"/>
  <c r="J55" i="58"/>
  <c r="E31" i="58"/>
  <c r="F31" i="58"/>
  <c r="J31" i="58"/>
  <c r="E39" i="58"/>
  <c r="F39" i="58"/>
  <c r="E41" i="56"/>
  <c r="F41" i="56"/>
  <c r="J41" i="56"/>
  <c r="E51" i="53"/>
  <c r="F51" i="53"/>
  <c r="J51" i="53"/>
  <c r="E8" i="53"/>
  <c r="F8" i="53"/>
  <c r="E44" i="53"/>
  <c r="F44" i="53"/>
  <c r="E39" i="53"/>
  <c r="F39" i="53"/>
  <c r="J39" i="53"/>
  <c r="E41" i="53"/>
  <c r="F41" i="53"/>
  <c r="F21" i="53"/>
  <c r="E28" i="53"/>
  <c r="F28" i="53"/>
  <c r="J28" i="53"/>
  <c r="E16" i="53"/>
  <c r="F16" i="53"/>
  <c r="E31" i="53"/>
  <c r="F31" i="53"/>
  <c r="E36" i="53"/>
  <c r="F36" i="53"/>
  <c r="E43" i="53"/>
  <c r="F43" i="53"/>
  <c r="J32" i="53"/>
  <c r="F22" i="53"/>
  <c r="E44" i="56"/>
  <c r="F44" i="56"/>
  <c r="J44" i="56"/>
  <c r="E48" i="56"/>
  <c r="F48" i="56"/>
  <c r="E40" i="56"/>
  <c r="F40" i="56"/>
  <c r="E35" i="56"/>
  <c r="F35" i="56"/>
  <c r="J35" i="56"/>
  <c r="E48" i="61"/>
  <c r="F48" i="61"/>
  <c r="E36" i="61"/>
  <c r="F36" i="61"/>
  <c r="J36" i="61"/>
  <c r="E38" i="61"/>
  <c r="F38" i="61"/>
  <c r="J38" i="61"/>
  <c r="F29" i="61"/>
  <c r="J29" i="61"/>
  <c r="E33" i="1"/>
  <c r="F33" i="1"/>
  <c r="J33" i="1"/>
  <c r="E37" i="1"/>
  <c r="F37" i="1"/>
  <c r="J37" i="1"/>
  <c r="E21" i="1"/>
  <c r="F21" i="1"/>
  <c r="E30" i="58"/>
  <c r="F30" i="58"/>
  <c r="J30" i="58"/>
  <c r="E36" i="56"/>
  <c r="F36" i="56"/>
  <c r="J36" i="56"/>
  <c r="E41" i="61"/>
  <c r="F41" i="61"/>
  <c r="J41" i="61"/>
  <c r="F51" i="56"/>
  <c r="J51" i="56"/>
  <c r="E34" i="58"/>
  <c r="F34" i="58"/>
  <c r="J34" i="58"/>
  <c r="E28" i="58"/>
  <c r="F28" i="58"/>
  <c r="E54" i="58"/>
  <c r="F54" i="58"/>
  <c r="J54" i="58"/>
  <c r="E43" i="1"/>
  <c r="F43" i="1"/>
  <c r="J43" i="1"/>
  <c r="E15" i="56"/>
  <c r="F15" i="56"/>
  <c r="E51" i="57"/>
  <c r="F51" i="57"/>
  <c r="J51" i="57"/>
  <c r="E21" i="57"/>
  <c r="F21" i="57"/>
  <c r="G21" i="57"/>
  <c r="D11" i="57"/>
  <c r="C11" i="58"/>
  <c r="D11" i="58"/>
  <c r="E26" i="57"/>
  <c r="F26" i="57"/>
  <c r="E36" i="57"/>
  <c r="F36" i="57"/>
  <c r="E41" i="57"/>
  <c r="F41" i="57"/>
  <c r="J41" i="57"/>
  <c r="E53" i="61"/>
  <c r="F53" i="61"/>
  <c r="J53" i="61"/>
  <c r="E53" i="1"/>
  <c r="F53" i="1"/>
  <c r="E24" i="56"/>
  <c r="F24" i="56"/>
  <c r="J24" i="56"/>
  <c r="E38" i="56"/>
  <c r="F38" i="56"/>
  <c r="J38" i="56"/>
  <c r="E47" i="56"/>
  <c r="F47" i="56"/>
  <c r="E11" i="56"/>
  <c r="F11" i="56"/>
  <c r="J11" i="56"/>
  <c r="E45" i="53"/>
  <c r="F45" i="53"/>
  <c r="J45" i="53"/>
  <c r="D7" i="53"/>
  <c r="C7" i="54"/>
  <c r="D7" i="54"/>
  <c r="E48" i="53"/>
  <c r="F48" i="53"/>
  <c r="J48" i="53"/>
  <c r="E18" i="53"/>
  <c r="F18" i="53"/>
  <c r="E10" i="53"/>
  <c r="F10" i="53"/>
  <c r="J10" i="53"/>
  <c r="E33" i="53"/>
  <c r="F33" i="53"/>
  <c r="E55" i="53"/>
  <c r="F55" i="53"/>
  <c r="J55" i="53"/>
  <c r="E56" i="53"/>
  <c r="F56" i="53"/>
  <c r="E27" i="53"/>
  <c r="F27" i="53"/>
  <c r="J27" i="53"/>
  <c r="E24" i="53"/>
  <c r="F24" i="53"/>
  <c r="J24" i="53"/>
  <c r="E30" i="53"/>
  <c r="F30" i="53"/>
  <c r="J30" i="53"/>
  <c r="E43" i="61"/>
  <c r="F43" i="61"/>
  <c r="J43" i="61"/>
  <c r="E21" i="61"/>
  <c r="F21" i="61"/>
  <c r="E47" i="1"/>
  <c r="F47" i="1"/>
  <c r="J47" i="1"/>
  <c r="D5" i="1"/>
  <c r="C5" i="52"/>
  <c r="D5" i="52"/>
  <c r="E34" i="1"/>
  <c r="F34" i="1"/>
  <c r="G55" i="60"/>
  <c r="I55" i="60"/>
  <c r="E32" i="58"/>
  <c r="F32" i="58"/>
  <c r="J32" i="58"/>
  <c r="E29" i="56"/>
  <c r="F29" i="56"/>
  <c r="J29" i="56"/>
  <c r="E15" i="61"/>
  <c r="F15" i="61"/>
  <c r="J15" i="61"/>
  <c r="E19" i="1"/>
  <c r="F19" i="1"/>
  <c r="E40" i="58"/>
  <c r="F40" i="58"/>
  <c r="J40" i="58"/>
  <c r="E37" i="58"/>
  <c r="F37" i="58"/>
  <c r="J37" i="58"/>
  <c r="E23" i="58"/>
  <c r="F23" i="58"/>
  <c r="J23" i="58"/>
  <c r="E23" i="56"/>
  <c r="F23" i="56"/>
  <c r="C10" i="57"/>
  <c r="D10" i="57"/>
  <c r="D10" i="56"/>
  <c r="E56" i="54"/>
  <c r="F56" i="54"/>
  <c r="J56" i="54"/>
  <c r="E46" i="54"/>
  <c r="F46" i="54"/>
  <c r="E26" i="54"/>
  <c r="F26" i="54"/>
  <c r="J26" i="54"/>
  <c r="E39" i="54"/>
  <c r="F39" i="54"/>
  <c r="E34" i="54"/>
  <c r="F34" i="54"/>
  <c r="G34" i="54"/>
  <c r="E36" i="54"/>
  <c r="F36" i="54"/>
  <c r="J36" i="54"/>
  <c r="E52" i="54"/>
  <c r="F52" i="54"/>
  <c r="J52" i="54"/>
  <c r="E51" i="54"/>
  <c r="F51" i="54"/>
  <c r="J51" i="54"/>
  <c r="E16" i="54"/>
  <c r="F16" i="54"/>
  <c r="E11" i="54"/>
  <c r="F11" i="54"/>
  <c r="J11" i="54"/>
  <c r="E39" i="60"/>
  <c r="F39" i="60"/>
  <c r="E49" i="60"/>
  <c r="F49" i="60"/>
  <c r="J49" i="60"/>
  <c r="E42" i="60"/>
  <c r="F42" i="60"/>
  <c r="E18" i="60"/>
  <c r="F18" i="60"/>
  <c r="J18" i="60"/>
  <c r="E30" i="60"/>
  <c r="F30" i="60"/>
  <c r="E32" i="61"/>
  <c r="F32" i="61"/>
  <c r="J32" i="61"/>
  <c r="E46" i="56"/>
  <c r="F46" i="56"/>
  <c r="J46" i="56"/>
  <c r="E47" i="61"/>
  <c r="F47" i="61"/>
  <c r="G35" i="58"/>
  <c r="I35" i="58"/>
  <c r="E45" i="58"/>
  <c r="F45" i="58"/>
  <c r="E55" i="56"/>
  <c r="F55" i="56"/>
  <c r="J55" i="56"/>
  <c r="E32" i="56"/>
  <c r="F32" i="56"/>
  <c r="E35" i="1"/>
  <c r="F35" i="1"/>
  <c r="J35" i="1"/>
  <c r="E49" i="1"/>
  <c r="F49" i="1"/>
  <c r="E20" i="1"/>
  <c r="F20" i="1"/>
  <c r="E23" i="1"/>
  <c r="F23" i="1"/>
  <c r="J23" i="1"/>
  <c r="E26" i="1"/>
  <c r="F26" i="1"/>
  <c r="E9" i="1"/>
  <c r="F9" i="1"/>
  <c r="J9" i="1"/>
  <c r="E13" i="1"/>
  <c r="F13" i="1"/>
  <c r="J13" i="1"/>
  <c r="E46" i="61"/>
  <c r="F46" i="61"/>
  <c r="J46" i="61"/>
  <c r="E49" i="61"/>
  <c r="F49" i="61"/>
  <c r="J49" i="61"/>
  <c r="E18" i="61"/>
  <c r="F18" i="61"/>
  <c r="E42" i="61"/>
  <c r="F42" i="61"/>
  <c r="J42" i="61"/>
  <c r="E52" i="61"/>
  <c r="F52" i="61"/>
  <c r="E31" i="61"/>
  <c r="F31" i="61"/>
  <c r="J31" i="61"/>
  <c r="E34" i="61"/>
  <c r="F34" i="61"/>
  <c r="E42" i="1"/>
  <c r="F42" i="1"/>
  <c r="J42" i="1"/>
  <c r="E41" i="1"/>
  <c r="F41" i="1"/>
  <c r="E38" i="57"/>
  <c r="F38" i="57"/>
  <c r="J38" i="57"/>
  <c r="E53" i="56"/>
  <c r="F53" i="56"/>
  <c r="J53" i="56"/>
  <c r="E17" i="57"/>
  <c r="F17" i="57"/>
  <c r="J17" i="57"/>
  <c r="E55" i="57"/>
  <c r="F55" i="57"/>
  <c r="E56" i="57"/>
  <c r="F56" i="57"/>
  <c r="E28" i="57"/>
  <c r="F28" i="57"/>
  <c r="J28" i="57"/>
  <c r="E54" i="57"/>
  <c r="F54" i="57"/>
  <c r="J54" i="57"/>
  <c r="E39" i="57"/>
  <c r="F39" i="57"/>
  <c r="J39" i="57"/>
  <c r="E20" i="57"/>
  <c r="F20" i="57"/>
  <c r="J20" i="57"/>
  <c r="E29" i="57"/>
  <c r="F29" i="57"/>
  <c r="E31" i="57"/>
  <c r="F31" i="57"/>
  <c r="J31" i="57"/>
  <c r="E23" i="57"/>
  <c r="F23" i="57"/>
  <c r="E24" i="57"/>
  <c r="F24" i="57"/>
  <c r="J24" i="57"/>
  <c r="E22" i="57"/>
  <c r="F22" i="57"/>
  <c r="J22" i="57"/>
  <c r="E25" i="57"/>
  <c r="F25" i="57"/>
  <c r="J25" i="57"/>
  <c r="E50" i="57"/>
  <c r="F50" i="57"/>
  <c r="J50" i="57"/>
  <c r="E15" i="1"/>
  <c r="F15" i="1"/>
  <c r="E47" i="53"/>
  <c r="F47" i="53"/>
  <c r="J47" i="53"/>
  <c r="E46" i="53"/>
  <c r="F46" i="53"/>
  <c r="E13" i="53"/>
  <c r="F13" i="53"/>
  <c r="E54" i="53"/>
  <c r="F54" i="53"/>
  <c r="J54" i="53"/>
  <c r="E31" i="56"/>
  <c r="F31" i="56"/>
  <c r="E14" i="56"/>
  <c r="F14" i="56"/>
  <c r="J14" i="56"/>
  <c r="E56" i="56"/>
  <c r="F56" i="56"/>
  <c r="J56" i="56"/>
  <c r="E24" i="61"/>
  <c r="F24" i="61"/>
  <c r="J24" i="61"/>
  <c r="E44" i="61"/>
  <c r="F44" i="61"/>
  <c r="J44" i="61"/>
  <c r="E54" i="61"/>
  <c r="F54" i="61"/>
  <c r="J54" i="61"/>
  <c r="E16" i="1"/>
  <c r="F16" i="1"/>
  <c r="J16" i="1"/>
  <c r="E56" i="58"/>
  <c r="F56" i="58"/>
  <c r="J56" i="58"/>
  <c r="E34" i="56"/>
  <c r="F34" i="56"/>
  <c r="E43" i="56"/>
  <c r="F43" i="56"/>
  <c r="J43" i="56"/>
  <c r="E38" i="58"/>
  <c r="F38" i="58"/>
  <c r="J38" i="58"/>
  <c r="E48" i="58"/>
  <c r="F48" i="58"/>
  <c r="J48" i="58"/>
  <c r="E43" i="58"/>
  <c r="F43" i="58"/>
  <c r="E13" i="58"/>
  <c r="F13" i="58"/>
  <c r="E19" i="56"/>
  <c r="F19" i="56"/>
  <c r="E45" i="56"/>
  <c r="F45" i="56"/>
  <c r="E17" i="56"/>
  <c r="F17" i="56"/>
  <c r="J17" i="56"/>
  <c r="E28" i="56"/>
  <c r="F28" i="56"/>
  <c r="J28" i="56"/>
  <c r="E54" i="56"/>
  <c r="F54" i="56"/>
  <c r="J54" i="56"/>
  <c r="E32" i="54"/>
  <c r="F32" i="54"/>
  <c r="J32" i="54"/>
  <c r="E9" i="54"/>
  <c r="F9" i="54"/>
  <c r="E55" i="54"/>
  <c r="F55" i="54"/>
  <c r="E43" i="54"/>
  <c r="F43" i="54"/>
  <c r="E14" i="54"/>
  <c r="F14" i="54"/>
  <c r="J14" i="54"/>
  <c r="E35" i="54"/>
  <c r="F35" i="54"/>
  <c r="E37" i="54"/>
  <c r="F37" i="54"/>
  <c r="E50" i="54"/>
  <c r="F50" i="54"/>
  <c r="G50" i="54"/>
  <c r="I50" i="54"/>
  <c r="E45" i="54"/>
  <c r="F45" i="54"/>
  <c r="G45" i="54"/>
  <c r="I45" i="54"/>
  <c r="E12" i="54"/>
  <c r="F12" i="54"/>
  <c r="J12" i="54"/>
  <c r="E15" i="54"/>
  <c r="F15" i="54"/>
  <c r="E44" i="54"/>
  <c r="F44" i="54"/>
  <c r="J44" i="54"/>
  <c r="E13" i="54"/>
  <c r="F13" i="54"/>
  <c r="E21" i="54"/>
  <c r="F21" i="54"/>
  <c r="G21" i="54"/>
  <c r="E20" i="54"/>
  <c r="F20" i="54"/>
  <c r="C14" i="61"/>
  <c r="D14" i="61"/>
  <c r="D14" i="60"/>
  <c r="E24" i="60"/>
  <c r="F24" i="60"/>
  <c r="E37" i="60"/>
  <c r="F37" i="60"/>
  <c r="J37" i="60"/>
  <c r="E23" i="60"/>
  <c r="F23" i="60"/>
  <c r="E28" i="60"/>
  <c r="F28" i="60"/>
  <c r="J28" i="60"/>
  <c r="E20" i="60"/>
  <c r="F20" i="60"/>
  <c r="E54" i="60"/>
  <c r="F54" i="60"/>
  <c r="G54" i="60"/>
  <c r="E40" i="61"/>
  <c r="F40" i="61"/>
  <c r="G40" i="61"/>
  <c r="E50" i="61"/>
  <c r="F50" i="61"/>
  <c r="E25" i="61"/>
  <c r="F25" i="61"/>
  <c r="J25" i="61"/>
  <c r="E13" i="56"/>
  <c r="F13" i="56"/>
  <c r="J13" i="56"/>
  <c r="E20" i="61"/>
  <c r="F20" i="61"/>
  <c r="J20" i="61"/>
  <c r="E44" i="58"/>
  <c r="F44" i="58"/>
  <c r="E12" i="56"/>
  <c r="F12" i="56"/>
  <c r="J12" i="56"/>
  <c r="E16" i="56"/>
  <c r="F16" i="56"/>
  <c r="G16" i="56"/>
  <c r="I16" i="56"/>
  <c r="E30" i="56"/>
  <c r="F30" i="56"/>
  <c r="G30" i="56"/>
  <c r="E50" i="56"/>
  <c r="F50" i="56"/>
  <c r="J50" i="56"/>
  <c r="E37" i="56"/>
  <c r="F37" i="56"/>
  <c r="J37" i="56"/>
  <c r="E8" i="1"/>
  <c r="F8" i="1"/>
  <c r="E50" i="1"/>
  <c r="F50" i="1"/>
  <c r="J50" i="1"/>
  <c r="E44" i="1"/>
  <c r="F44" i="1"/>
  <c r="E6" i="1"/>
  <c r="F6" i="1"/>
  <c r="E24" i="1"/>
  <c r="F24" i="1"/>
  <c r="E56" i="1"/>
  <c r="F56" i="1"/>
  <c r="J56" i="1"/>
  <c r="E52" i="1"/>
  <c r="F52" i="1"/>
  <c r="J52" i="1"/>
  <c r="E45" i="1"/>
  <c r="F45" i="1"/>
  <c r="E36" i="1"/>
  <c r="F36" i="1"/>
  <c r="J36" i="1"/>
  <c r="E14" i="58"/>
  <c r="F14" i="58"/>
  <c r="J14" i="58"/>
  <c r="E53" i="57"/>
  <c r="F53" i="57"/>
  <c r="J53" i="57"/>
  <c r="E30" i="57"/>
  <c r="F30" i="57"/>
  <c r="E32" i="57"/>
  <c r="F32" i="57"/>
  <c r="J32" i="57"/>
  <c r="E15" i="57"/>
  <c r="F15" i="57"/>
  <c r="E19" i="57"/>
  <c r="F19" i="57"/>
  <c r="J19" i="57"/>
  <c r="E13" i="57"/>
  <c r="F13" i="57"/>
  <c r="E16" i="57"/>
  <c r="F16" i="57"/>
  <c r="J16" i="57"/>
  <c r="E37" i="57"/>
  <c r="F37" i="57"/>
  <c r="E42" i="57"/>
  <c r="F42" i="57"/>
  <c r="J42" i="57"/>
  <c r="E48" i="57"/>
  <c r="F48" i="57"/>
  <c r="E18" i="57"/>
  <c r="F18" i="57"/>
  <c r="J18" i="57"/>
  <c r="E33" i="57"/>
  <c r="F33" i="57"/>
  <c r="E43" i="57"/>
  <c r="F43" i="57"/>
  <c r="J43" i="57"/>
  <c r="E56" i="61"/>
  <c r="F56" i="61"/>
  <c r="E26" i="61"/>
  <c r="F26" i="61"/>
  <c r="G26" i="61"/>
  <c r="E25" i="1"/>
  <c r="F25" i="1"/>
  <c r="J25" i="1"/>
  <c r="F41" i="58"/>
  <c r="J41" i="58"/>
  <c r="E25" i="58"/>
  <c r="F25" i="58"/>
  <c r="J25" i="58"/>
  <c r="E49" i="56"/>
  <c r="F49" i="56"/>
  <c r="J49" i="56"/>
  <c r="E22" i="56"/>
  <c r="F22" i="56"/>
  <c r="E17" i="53"/>
  <c r="F17" i="53"/>
  <c r="J17" i="53"/>
  <c r="E42" i="53"/>
  <c r="F42" i="53"/>
  <c r="E14" i="53"/>
  <c r="F14" i="53"/>
  <c r="E34" i="53"/>
  <c r="F34" i="53"/>
  <c r="J34" i="53"/>
  <c r="E20" i="53"/>
  <c r="F20" i="53"/>
  <c r="J20" i="53"/>
  <c r="E53" i="53"/>
  <c r="F53" i="53"/>
  <c r="J53" i="53"/>
  <c r="E29" i="53"/>
  <c r="F29" i="53"/>
  <c r="J29" i="53"/>
  <c r="E26" i="53"/>
  <c r="F26" i="53"/>
  <c r="E50" i="53"/>
  <c r="F50" i="53"/>
  <c r="J50" i="53"/>
  <c r="E38" i="53"/>
  <c r="F38" i="53"/>
  <c r="E52" i="53"/>
  <c r="F52" i="53"/>
  <c r="J52" i="53"/>
  <c r="E23" i="53"/>
  <c r="F23" i="53"/>
  <c r="E11" i="53"/>
  <c r="F11" i="53"/>
  <c r="J11" i="53"/>
  <c r="E35" i="53"/>
  <c r="F35" i="53"/>
  <c r="E40" i="53"/>
  <c r="F40" i="53"/>
  <c r="J40" i="53"/>
  <c r="E39" i="56"/>
  <c r="F39" i="56"/>
  <c r="J39" i="56"/>
  <c r="E48" i="1"/>
  <c r="F48" i="1"/>
  <c r="J48" i="1"/>
  <c r="E18" i="1"/>
  <c r="F18" i="1"/>
  <c r="E55" i="61"/>
  <c r="F55" i="61"/>
  <c r="J55" i="61"/>
  <c r="E51" i="61"/>
  <c r="F51" i="61"/>
  <c r="J51" i="61"/>
  <c r="E30" i="61"/>
  <c r="F30" i="61"/>
  <c r="J30" i="61"/>
  <c r="G46" i="58"/>
  <c r="E20" i="58"/>
  <c r="F20" i="58"/>
  <c r="J20" i="58"/>
  <c r="E22" i="58"/>
  <c r="F22" i="58"/>
  <c r="J22" i="58"/>
  <c r="E20" i="56"/>
  <c r="F20" i="56"/>
  <c r="J20" i="56"/>
  <c r="E42" i="54"/>
  <c r="F42" i="54"/>
  <c r="E41" i="54"/>
  <c r="F41" i="54"/>
  <c r="E49" i="54"/>
  <c r="F49" i="54"/>
  <c r="E33" i="54"/>
  <c r="F33" i="54"/>
  <c r="J33" i="54"/>
  <c r="E31" i="54"/>
  <c r="F31" i="54"/>
  <c r="J31" i="54"/>
  <c r="E30" i="54"/>
  <c r="F30" i="54"/>
  <c r="E40" i="54"/>
  <c r="F40" i="54"/>
  <c r="J40" i="54"/>
  <c r="E10" i="54"/>
  <c r="F10" i="54"/>
  <c r="J10" i="54"/>
  <c r="E29" i="54"/>
  <c r="F29" i="54"/>
  <c r="J29" i="54"/>
  <c r="E38" i="54"/>
  <c r="F38" i="54"/>
  <c r="E19" i="54"/>
  <c r="F19" i="54"/>
  <c r="J19" i="54"/>
  <c r="E18" i="54"/>
  <c r="F18" i="54"/>
  <c r="J18" i="54"/>
  <c r="E22" i="60"/>
  <c r="F22" i="60"/>
  <c r="E21" i="60"/>
  <c r="F21" i="60"/>
  <c r="J21" i="60"/>
  <c r="E33" i="60"/>
  <c r="F33" i="60"/>
  <c r="G33" i="60"/>
  <c r="E15" i="60"/>
  <c r="F15" i="60"/>
  <c r="J15" i="60"/>
  <c r="E36" i="60"/>
  <c r="F36" i="60"/>
  <c r="E38" i="60"/>
  <c r="F38" i="60"/>
  <c r="J38" i="60"/>
  <c r="E31" i="60"/>
  <c r="F31" i="60"/>
  <c r="E40" i="60"/>
  <c r="F40" i="60"/>
  <c r="J40" i="60"/>
  <c r="E41" i="60"/>
  <c r="F41" i="60"/>
  <c r="J41" i="60"/>
  <c r="E19" i="60"/>
  <c r="F19" i="60"/>
  <c r="J19" i="60"/>
  <c r="E32" i="60"/>
  <c r="F32" i="60"/>
  <c r="E48" i="60"/>
  <c r="F48" i="60"/>
  <c r="J48" i="60"/>
  <c r="E50" i="60"/>
  <c r="F50" i="60"/>
  <c r="E27" i="61"/>
  <c r="F27" i="61"/>
  <c r="E37" i="61"/>
  <c r="F37" i="61"/>
  <c r="E46" i="1"/>
  <c r="F46" i="1"/>
  <c r="E27" i="1"/>
  <c r="F27" i="1"/>
  <c r="G27" i="1"/>
  <c r="I27" i="1"/>
  <c r="J27" i="1"/>
  <c r="E29" i="58"/>
  <c r="F29" i="58"/>
  <c r="J29" i="58"/>
  <c r="E21" i="58"/>
  <c r="F21" i="58"/>
  <c r="J21" i="58"/>
  <c r="E17" i="61"/>
  <c r="F17" i="61"/>
  <c r="J17" i="61"/>
  <c r="E36" i="58"/>
  <c r="F36" i="58"/>
  <c r="E47" i="58"/>
  <c r="F47" i="58"/>
  <c r="J47" i="58"/>
  <c r="E24" i="58"/>
  <c r="F24" i="58"/>
  <c r="E27" i="58"/>
  <c r="F27" i="58"/>
  <c r="J27" i="58"/>
  <c r="E33" i="58"/>
  <c r="F33" i="58"/>
  <c r="J33" i="58"/>
  <c r="E25" i="56"/>
  <c r="F25" i="56"/>
  <c r="J25" i="56"/>
  <c r="E38" i="1"/>
  <c r="F38" i="1"/>
  <c r="E11" i="1"/>
  <c r="F11" i="1"/>
  <c r="E30" i="1"/>
  <c r="F30" i="1"/>
  <c r="J30" i="1"/>
  <c r="E31" i="1"/>
  <c r="F31" i="1"/>
  <c r="J31" i="1"/>
  <c r="E17" i="1"/>
  <c r="F17" i="1"/>
  <c r="J17" i="1"/>
  <c r="E23" i="61"/>
  <c r="F23" i="61"/>
  <c r="J23" i="61"/>
  <c r="E39" i="61"/>
  <c r="F39" i="61"/>
  <c r="J39" i="61"/>
  <c r="E22" i="1"/>
  <c r="F22" i="1"/>
  <c r="J22" i="1"/>
  <c r="E12" i="1"/>
  <c r="F12" i="1"/>
  <c r="G12" i="1"/>
  <c r="I12" i="1"/>
  <c r="C12" i="59"/>
  <c r="D12" i="59"/>
  <c r="D12" i="58"/>
  <c r="E17" i="58"/>
  <c r="F17" i="58"/>
  <c r="G17" i="58"/>
  <c r="E42" i="56"/>
  <c r="F42" i="56"/>
  <c r="J42" i="56"/>
  <c r="E40" i="57"/>
  <c r="F40" i="57"/>
  <c r="E52" i="57"/>
  <c r="F52" i="57"/>
  <c r="J52" i="57"/>
  <c r="E46" i="57"/>
  <c r="F46" i="57"/>
  <c r="J46" i="57"/>
  <c r="E44" i="57"/>
  <c r="F44" i="57"/>
  <c r="E34" i="57"/>
  <c r="F34" i="57"/>
  <c r="E35" i="57"/>
  <c r="F35" i="57"/>
  <c r="G35" i="57"/>
  <c r="I35" i="57"/>
  <c r="E12" i="57"/>
  <c r="F12" i="57"/>
  <c r="E49" i="57"/>
  <c r="F49" i="57"/>
  <c r="G49" i="57"/>
  <c r="E27" i="57"/>
  <c r="F27" i="57"/>
  <c r="J27" i="57"/>
  <c r="E14" i="57"/>
  <c r="F14" i="57"/>
  <c r="J14" i="57"/>
  <c r="E45" i="57"/>
  <c r="F45" i="57"/>
  <c r="E28" i="61"/>
  <c r="F28" i="61"/>
  <c r="I9" i="55"/>
  <c r="G35" i="52"/>
  <c r="I35" i="52"/>
  <c r="G18" i="56"/>
  <c r="I18" i="56"/>
  <c r="G29" i="59"/>
  <c r="I29" i="59"/>
  <c r="I17" i="58"/>
  <c r="G29" i="58"/>
  <c r="I29" i="58"/>
  <c r="G28" i="54"/>
  <c r="I28" i="54"/>
  <c r="G27" i="56"/>
  <c r="I27" i="56"/>
  <c r="G26" i="52"/>
  <c r="I26" i="52"/>
  <c r="G30" i="55"/>
  <c r="I30" i="55"/>
  <c r="G10" i="52"/>
  <c r="I10" i="52"/>
  <c r="G30" i="52"/>
  <c r="I30" i="52"/>
  <c r="G28" i="57"/>
  <c r="I28" i="57"/>
  <c r="G38" i="57"/>
  <c r="I38" i="57"/>
  <c r="G51" i="57"/>
  <c r="I51" i="57"/>
  <c r="G31" i="59"/>
  <c r="I31" i="59"/>
  <c r="G41" i="55"/>
  <c r="G17" i="52"/>
  <c r="I17" i="52"/>
  <c r="I40" i="61"/>
  <c r="G54" i="53"/>
  <c r="I54" i="53"/>
  <c r="I34" i="54"/>
  <c r="G21" i="56"/>
  <c r="I21" i="56"/>
  <c r="G25" i="53"/>
  <c r="I25" i="53"/>
  <c r="G35" i="59"/>
  <c r="I35" i="59"/>
  <c r="J22" i="52"/>
  <c r="G33" i="52"/>
  <c r="I33" i="52"/>
  <c r="G24" i="52"/>
  <c r="I24" i="52"/>
  <c r="G41" i="60"/>
  <c r="I41" i="60"/>
  <c r="G37" i="56"/>
  <c r="I37" i="56"/>
  <c r="G14" i="56"/>
  <c r="I14" i="56"/>
  <c r="G22" i="57"/>
  <c r="I22" i="57"/>
  <c r="G15" i="61"/>
  <c r="I15" i="61"/>
  <c r="G28" i="1"/>
  <c r="I28" i="1"/>
  <c r="G29" i="60"/>
  <c r="I29" i="60"/>
  <c r="G23" i="55"/>
  <c r="I23" i="55"/>
  <c r="G9" i="56"/>
  <c r="I9" i="56"/>
  <c r="G34" i="59"/>
  <c r="I34" i="59"/>
  <c r="G11" i="52"/>
  <c r="I11" i="52"/>
  <c r="G16" i="52"/>
  <c r="I16" i="52"/>
  <c r="G14" i="52"/>
  <c r="I14" i="52"/>
  <c r="G23" i="61"/>
  <c r="I23" i="61"/>
  <c r="G33" i="58"/>
  <c r="I33" i="58"/>
  <c r="I33" i="60"/>
  <c r="G56" i="1"/>
  <c r="I56" i="1"/>
  <c r="G25" i="61"/>
  <c r="I25" i="61"/>
  <c r="G28" i="60"/>
  <c r="I28" i="60"/>
  <c r="G48" i="58"/>
  <c r="I48" i="58"/>
  <c r="G39" i="57"/>
  <c r="I39" i="57"/>
  <c r="G46" i="56"/>
  <c r="I46" i="56"/>
  <c r="G43" i="61"/>
  <c r="I43" i="61"/>
  <c r="I21" i="57"/>
  <c r="G34" i="58"/>
  <c r="I34" i="58"/>
  <c r="G33" i="1"/>
  <c r="I33" i="1"/>
  <c r="G32" i="1"/>
  <c r="I32" i="1"/>
  <c r="G51" i="58"/>
  <c r="I51" i="58"/>
  <c r="G26" i="56"/>
  <c r="I26" i="56"/>
  <c r="G26" i="59"/>
  <c r="I26" i="59"/>
  <c r="G22" i="55"/>
  <c r="I33" i="59"/>
  <c r="G47" i="59"/>
  <c r="I47" i="59"/>
  <c r="G52" i="55"/>
  <c r="I52" i="55"/>
  <c r="G16" i="59"/>
  <c r="I16" i="59"/>
  <c r="G13" i="55"/>
  <c r="G17" i="60"/>
  <c r="I17" i="60"/>
  <c r="G36" i="59"/>
  <c r="I36" i="59"/>
  <c r="G31" i="55"/>
  <c r="I31" i="55"/>
  <c r="G11" i="55"/>
  <c r="G52" i="59"/>
  <c r="I52" i="59"/>
  <c r="G34" i="55"/>
  <c r="I34" i="55"/>
  <c r="G27" i="55"/>
  <c r="G41" i="59"/>
  <c r="I41" i="59"/>
  <c r="G15" i="55"/>
  <c r="I15" i="55"/>
  <c r="G55" i="55"/>
  <c r="G20" i="55"/>
  <c r="I20" i="55"/>
  <c r="G17" i="61"/>
  <c r="I17" i="61"/>
  <c r="G18" i="54"/>
  <c r="I18" i="54"/>
  <c r="G53" i="57"/>
  <c r="I53" i="57"/>
  <c r="G28" i="56"/>
  <c r="I28" i="56"/>
  <c r="G37" i="58"/>
  <c r="I37" i="58"/>
  <c r="G29" i="56"/>
  <c r="I29" i="56"/>
  <c r="G45" i="53"/>
  <c r="I45" i="53"/>
  <c r="G30" i="58"/>
  <c r="I30" i="58"/>
  <c r="G56" i="60"/>
  <c r="I56" i="60"/>
  <c r="G54" i="1"/>
  <c r="I54" i="1"/>
  <c r="G25" i="60"/>
  <c r="I25" i="60"/>
  <c r="G25" i="59"/>
  <c r="I25" i="59"/>
  <c r="G46" i="55"/>
  <c r="I46" i="55"/>
  <c r="G42" i="55"/>
  <c r="I42" i="55"/>
  <c r="G24" i="59"/>
  <c r="I24" i="59"/>
  <c r="G37" i="55"/>
  <c r="I37" i="55"/>
  <c r="G40" i="58"/>
  <c r="I40" i="58"/>
  <c r="G43" i="55"/>
  <c r="G31" i="54"/>
  <c r="I31" i="54"/>
  <c r="G25" i="58"/>
  <c r="I25" i="58"/>
  <c r="G41" i="58"/>
  <c r="I41" i="58"/>
  <c r="G50" i="56"/>
  <c r="I50" i="56"/>
  <c r="I30" i="56"/>
  <c r="G12" i="56"/>
  <c r="I12" i="56"/>
  <c r="I54" i="60"/>
  <c r="G37" i="60"/>
  <c r="I37" i="60"/>
  <c r="I21" i="54"/>
  <c r="J50" i="54"/>
  <c r="G54" i="61"/>
  <c r="I54" i="61"/>
  <c r="G47" i="53"/>
  <c r="I47" i="53"/>
  <c r="G46" i="61"/>
  <c r="I46" i="61"/>
  <c r="G52" i="54"/>
  <c r="I52" i="54"/>
  <c r="G43" i="1"/>
  <c r="I43" i="1"/>
  <c r="J22" i="54"/>
  <c r="G22" i="54"/>
  <c r="I22" i="54"/>
  <c r="J10" i="1"/>
  <c r="I10" i="1"/>
  <c r="J19" i="58"/>
  <c r="G19" i="58"/>
  <c r="I19" i="58"/>
  <c r="J54" i="55"/>
  <c r="G54" i="55"/>
  <c r="I54" i="55"/>
  <c r="J33" i="55"/>
  <c r="G33" i="55"/>
  <c r="I33" i="55"/>
  <c r="J40" i="55"/>
  <c r="G40" i="55"/>
  <c r="I40" i="55"/>
  <c r="J22" i="59"/>
  <c r="G22" i="59"/>
  <c r="I22" i="59"/>
  <c r="J23" i="59"/>
  <c r="G23" i="59"/>
  <c r="I23" i="59"/>
  <c r="J56" i="57"/>
  <c r="G56" i="57"/>
  <c r="I56" i="57"/>
  <c r="J39" i="54"/>
  <c r="G39" i="54"/>
  <c r="I39" i="54"/>
  <c r="J45" i="60"/>
  <c r="G45" i="60"/>
  <c r="I45" i="60"/>
  <c r="J40" i="59"/>
  <c r="G40" i="59"/>
  <c r="I40" i="59"/>
  <c r="G53" i="53"/>
  <c r="I53" i="53"/>
  <c r="G43" i="57"/>
  <c r="I43" i="57"/>
  <c r="G14" i="58"/>
  <c r="I14" i="58"/>
  <c r="J24" i="60"/>
  <c r="G24" i="60"/>
  <c r="I24" i="60"/>
  <c r="J13" i="54"/>
  <c r="G13" i="54"/>
  <c r="I13" i="54"/>
  <c r="J9" i="54"/>
  <c r="G9" i="54"/>
  <c r="I9" i="54"/>
  <c r="J13" i="53"/>
  <c r="G13" i="53"/>
  <c r="I13" i="53"/>
  <c r="J47" i="61"/>
  <c r="G47" i="61"/>
  <c r="I47" i="61"/>
  <c r="J15" i="56"/>
  <c r="G15" i="56"/>
  <c r="I15" i="56"/>
  <c r="J26" i="60"/>
  <c r="G26" i="60"/>
  <c r="I26" i="60"/>
  <c r="G25" i="55"/>
  <c r="J45" i="59"/>
  <c r="G45" i="59"/>
  <c r="I45" i="59"/>
  <c r="J15" i="1"/>
  <c r="G15" i="1"/>
  <c r="I15" i="1"/>
  <c r="J19" i="61"/>
  <c r="G19" i="61"/>
  <c r="I19" i="61"/>
  <c r="J54" i="59"/>
  <c r="G54" i="59"/>
  <c r="I54" i="59"/>
  <c r="J38" i="55"/>
  <c r="G38" i="55"/>
  <c r="I38" i="55"/>
  <c r="G27" i="57"/>
  <c r="I27" i="57"/>
  <c r="G52" i="57"/>
  <c r="I52" i="57"/>
  <c r="G39" i="61"/>
  <c r="I39" i="61"/>
  <c r="G21" i="58"/>
  <c r="I21" i="58"/>
  <c r="G33" i="54"/>
  <c r="I33" i="54"/>
  <c r="G40" i="53"/>
  <c r="I40" i="53"/>
  <c r="G36" i="1"/>
  <c r="I36" i="1"/>
  <c r="J23" i="60"/>
  <c r="G23" i="60"/>
  <c r="I23" i="60"/>
  <c r="J20" i="54"/>
  <c r="G20" i="54"/>
  <c r="I20" i="54"/>
  <c r="J37" i="54"/>
  <c r="G37" i="54"/>
  <c r="I37" i="54"/>
  <c r="G32" i="54"/>
  <c r="I32" i="54"/>
  <c r="J31" i="56"/>
  <c r="G31" i="56"/>
  <c r="I31" i="56"/>
  <c r="J55" i="57"/>
  <c r="G55" i="57"/>
  <c r="I55" i="57"/>
  <c r="J51" i="1"/>
  <c r="G51" i="1"/>
  <c r="I51" i="1"/>
  <c r="J51" i="59"/>
  <c r="G51" i="59"/>
  <c r="I51" i="59"/>
  <c r="J48" i="55"/>
  <c r="G48" i="55"/>
  <c r="I48" i="55"/>
  <c r="G50" i="55"/>
  <c r="I50" i="55"/>
  <c r="G50" i="58"/>
  <c r="G54" i="56"/>
  <c r="I54" i="56"/>
  <c r="G17" i="56"/>
  <c r="I17" i="56"/>
  <c r="G16" i="1"/>
  <c r="I16" i="1"/>
  <c r="G44" i="61"/>
  <c r="I44" i="61"/>
  <c r="G24" i="61"/>
  <c r="I24" i="61"/>
  <c r="G56" i="56"/>
  <c r="I56" i="56"/>
  <c r="G25" i="57"/>
  <c r="I25" i="57"/>
  <c r="G24" i="57"/>
  <c r="I24" i="57"/>
  <c r="G31" i="57"/>
  <c r="I31" i="57"/>
  <c r="G20" i="57"/>
  <c r="I20" i="57"/>
  <c r="G54" i="57"/>
  <c r="I54" i="57"/>
  <c r="G53" i="56"/>
  <c r="I53" i="56"/>
  <c r="G31" i="61"/>
  <c r="I31" i="61"/>
  <c r="G9" i="1"/>
  <c r="I9" i="1"/>
  <c r="G23" i="1"/>
  <c r="I23" i="1"/>
  <c r="G35" i="1"/>
  <c r="I35" i="1"/>
  <c r="G11" i="54"/>
  <c r="I11" i="54"/>
  <c r="G51" i="54"/>
  <c r="I51" i="54"/>
  <c r="G27" i="53"/>
  <c r="I27" i="53"/>
  <c r="G41" i="57"/>
  <c r="I41" i="57"/>
  <c r="G36" i="56"/>
  <c r="I36" i="56"/>
  <c r="G37" i="1"/>
  <c r="I37" i="1"/>
  <c r="G36" i="61"/>
  <c r="I36" i="61"/>
  <c r="G32" i="53"/>
  <c r="I32" i="53"/>
  <c r="G46" i="60"/>
  <c r="I46" i="60"/>
  <c r="G16" i="60"/>
  <c r="I16" i="60"/>
  <c r="G49" i="58"/>
  <c r="I49" i="58"/>
  <c r="G33" i="56"/>
  <c r="I33" i="56"/>
  <c r="G35" i="55"/>
  <c r="I35" i="55"/>
  <c r="G21" i="55"/>
  <c r="G15" i="59"/>
  <c r="I15" i="59"/>
  <c r="G53" i="59"/>
  <c r="I53" i="59"/>
  <c r="G56" i="59"/>
  <c r="I56" i="59"/>
  <c r="G44" i="55"/>
  <c r="I44" i="55"/>
  <c r="G43" i="59"/>
  <c r="I43" i="59"/>
  <c r="G26" i="58"/>
  <c r="G30" i="59"/>
  <c r="I30" i="59"/>
  <c r="G20" i="59"/>
  <c r="I20" i="59"/>
  <c r="G39" i="59"/>
  <c r="I39" i="59"/>
  <c r="G47" i="55"/>
  <c r="I47" i="55"/>
  <c r="G51" i="55"/>
  <c r="I51" i="55"/>
  <c r="G56" i="55"/>
  <c r="G37" i="59"/>
  <c r="I37" i="59"/>
  <c r="G46" i="59"/>
  <c r="I46" i="59"/>
  <c r="G48" i="59"/>
  <c r="I48" i="59"/>
  <c r="G49" i="59"/>
  <c r="I49" i="59"/>
  <c r="G14" i="55"/>
  <c r="I14" i="55"/>
  <c r="G16" i="55"/>
  <c r="I16" i="55"/>
  <c r="G46" i="57"/>
  <c r="I46" i="57"/>
  <c r="J37" i="61"/>
  <c r="G37" i="61"/>
  <c r="I37" i="61"/>
  <c r="J14" i="53"/>
  <c r="G14" i="53"/>
  <c r="I14" i="53"/>
  <c r="J30" i="57"/>
  <c r="G30" i="57"/>
  <c r="I30" i="57"/>
  <c r="J24" i="1"/>
  <c r="G24" i="1"/>
  <c r="I24" i="1"/>
  <c r="J19" i="1"/>
  <c r="G19" i="1"/>
  <c r="I19" i="1"/>
  <c r="J36" i="57"/>
  <c r="G36" i="57"/>
  <c r="I36" i="57"/>
  <c r="J36" i="53"/>
  <c r="G36" i="53"/>
  <c r="I36" i="53"/>
  <c r="J34" i="57"/>
  <c r="G34" i="57"/>
  <c r="I34" i="57"/>
  <c r="J24" i="58"/>
  <c r="G24" i="58"/>
  <c r="I24" i="58"/>
  <c r="J38" i="53"/>
  <c r="G38" i="53"/>
  <c r="I38" i="53"/>
  <c r="J26" i="61"/>
  <c r="I26" i="61"/>
  <c r="J34" i="56"/>
  <c r="G34" i="56"/>
  <c r="I34" i="56"/>
  <c r="E7" i="53"/>
  <c r="F7" i="53"/>
  <c r="J7" i="53"/>
  <c r="J48" i="56"/>
  <c r="G48" i="56"/>
  <c r="I48" i="56"/>
  <c r="J21" i="53"/>
  <c r="G21" i="53"/>
  <c r="I21" i="53"/>
  <c r="J39" i="58"/>
  <c r="G39" i="58"/>
  <c r="I39" i="58"/>
  <c r="J46" i="1"/>
  <c r="G46" i="1"/>
  <c r="I46" i="1"/>
  <c r="J22" i="60"/>
  <c r="G22" i="60"/>
  <c r="I22" i="60"/>
  <c r="J26" i="53"/>
  <c r="G26" i="53"/>
  <c r="I26" i="53"/>
  <c r="J37" i="57"/>
  <c r="G37" i="57"/>
  <c r="I37" i="57"/>
  <c r="J44" i="1"/>
  <c r="G44" i="1"/>
  <c r="I44" i="1"/>
  <c r="J43" i="54"/>
  <c r="G43" i="54"/>
  <c r="I43" i="54"/>
  <c r="J20" i="1"/>
  <c r="G20" i="1"/>
  <c r="I20" i="1"/>
  <c r="J46" i="54"/>
  <c r="G46" i="54"/>
  <c r="I46" i="54"/>
  <c r="G14" i="57"/>
  <c r="I14" i="57"/>
  <c r="J38" i="1"/>
  <c r="G38" i="1"/>
  <c r="I38" i="1"/>
  <c r="J50" i="60"/>
  <c r="G50" i="60"/>
  <c r="I50" i="60"/>
  <c r="G51" i="61"/>
  <c r="I51" i="61"/>
  <c r="J56" i="61"/>
  <c r="G56" i="61"/>
  <c r="I56" i="61"/>
  <c r="J13" i="57"/>
  <c r="G13" i="57"/>
  <c r="I13" i="57"/>
  <c r="J45" i="1"/>
  <c r="G45" i="1"/>
  <c r="I45" i="1"/>
  <c r="J8" i="1"/>
  <c r="G8" i="1"/>
  <c r="I8" i="1"/>
  <c r="J18" i="61"/>
  <c r="G18" i="61"/>
  <c r="I18" i="61"/>
  <c r="E10" i="57"/>
  <c r="F10" i="57"/>
  <c r="J10" i="57"/>
  <c r="J56" i="53"/>
  <c r="G56" i="53"/>
  <c r="I56" i="53"/>
  <c r="J43" i="53"/>
  <c r="G43" i="53"/>
  <c r="I43" i="53"/>
  <c r="J28" i="61"/>
  <c r="G28" i="61"/>
  <c r="I28" i="61"/>
  <c r="J36" i="60"/>
  <c r="G36" i="60"/>
  <c r="I36" i="60"/>
  <c r="J23" i="53"/>
  <c r="G23" i="53"/>
  <c r="I23" i="53"/>
  <c r="J22" i="56"/>
  <c r="G22" i="56"/>
  <c r="I22" i="56"/>
  <c r="J48" i="57"/>
  <c r="G48" i="57"/>
  <c r="I48" i="57"/>
  <c r="J6" i="1"/>
  <c r="G6" i="1"/>
  <c r="I6" i="1"/>
  <c r="J35" i="54"/>
  <c r="G35" i="54"/>
  <c r="I35" i="54"/>
  <c r="J45" i="56"/>
  <c r="G45" i="56"/>
  <c r="I45" i="56"/>
  <c r="J41" i="1"/>
  <c r="G41" i="1"/>
  <c r="I41" i="1"/>
  <c r="J39" i="60"/>
  <c r="G39" i="60"/>
  <c r="I39" i="60"/>
  <c r="J21" i="61"/>
  <c r="G21" i="61"/>
  <c r="I21" i="61"/>
  <c r="J28" i="58"/>
  <c r="G28" i="58"/>
  <c r="I28" i="58"/>
  <c r="J31" i="53"/>
  <c r="G31" i="53"/>
  <c r="I31" i="53"/>
  <c r="J44" i="53"/>
  <c r="G44" i="53"/>
  <c r="I44" i="53"/>
  <c r="J16" i="58"/>
  <c r="G16" i="58"/>
  <c r="I16" i="58"/>
  <c r="J32" i="60"/>
  <c r="G32" i="60"/>
  <c r="I32" i="60"/>
  <c r="J30" i="54"/>
  <c r="G30" i="54"/>
  <c r="I30" i="54"/>
  <c r="J15" i="57"/>
  <c r="G15" i="57"/>
  <c r="I15" i="57"/>
  <c r="J15" i="54"/>
  <c r="G15" i="54"/>
  <c r="I15" i="54"/>
  <c r="J55" i="54"/>
  <c r="G55" i="54"/>
  <c r="I55" i="54"/>
  <c r="J52" i="61"/>
  <c r="G52" i="61"/>
  <c r="I52" i="61"/>
  <c r="J32" i="56"/>
  <c r="G32" i="56"/>
  <c r="I32" i="56"/>
  <c r="J23" i="56"/>
  <c r="G23" i="56"/>
  <c r="I23" i="56"/>
  <c r="J47" i="56"/>
  <c r="G47" i="56"/>
  <c r="I47" i="56"/>
  <c r="J48" i="61"/>
  <c r="G48" i="61"/>
  <c r="I48" i="61"/>
  <c r="J27" i="60"/>
  <c r="G27" i="60"/>
  <c r="I27" i="60"/>
  <c r="J49" i="57"/>
  <c r="I49" i="57"/>
  <c r="J40" i="57"/>
  <c r="G40" i="57"/>
  <c r="I40" i="57"/>
  <c r="J36" i="58"/>
  <c r="G36" i="58"/>
  <c r="I36" i="58"/>
  <c r="J27" i="61"/>
  <c r="G27" i="61"/>
  <c r="I27" i="61"/>
  <c r="J31" i="60"/>
  <c r="G31" i="60"/>
  <c r="I31" i="60"/>
  <c r="J42" i="54"/>
  <c r="G42" i="54"/>
  <c r="I42" i="54"/>
  <c r="J35" i="53"/>
  <c r="G35" i="53"/>
  <c r="I35" i="53"/>
  <c r="J42" i="53"/>
  <c r="G42" i="53"/>
  <c r="I42" i="53"/>
  <c r="J33" i="57"/>
  <c r="G33" i="57"/>
  <c r="I33" i="57"/>
  <c r="J43" i="58"/>
  <c r="G43" i="58"/>
  <c r="I43" i="58"/>
  <c r="J23" i="57"/>
  <c r="G23" i="57"/>
  <c r="I23" i="57"/>
  <c r="J34" i="61"/>
  <c r="G34" i="61"/>
  <c r="I34" i="61"/>
  <c r="J26" i="1"/>
  <c r="G26" i="1"/>
  <c r="I26" i="1"/>
  <c r="J42" i="60"/>
  <c r="G42" i="60"/>
  <c r="I42" i="60"/>
  <c r="J18" i="53"/>
  <c r="G18" i="53"/>
  <c r="I18" i="53"/>
  <c r="J53" i="1"/>
  <c r="G53" i="1"/>
  <c r="I53" i="1"/>
  <c r="J26" i="57"/>
  <c r="G26" i="57"/>
  <c r="I26" i="57"/>
  <c r="J21" i="1"/>
  <c r="G21" i="1"/>
  <c r="I21" i="1"/>
  <c r="J40" i="56"/>
  <c r="G40" i="56"/>
  <c r="I40" i="56"/>
  <c r="J22" i="53"/>
  <c r="G22" i="53"/>
  <c r="I22" i="53"/>
  <c r="J16" i="53"/>
  <c r="G16" i="53"/>
  <c r="I16" i="53"/>
  <c r="J41" i="53"/>
  <c r="G41" i="53"/>
  <c r="I41" i="53"/>
  <c r="J8" i="53"/>
  <c r="G8" i="53"/>
  <c r="I8" i="53"/>
  <c r="J22" i="61"/>
  <c r="G22" i="61"/>
  <c r="I22" i="61"/>
  <c r="G17" i="1"/>
  <c r="I17" i="1"/>
  <c r="G31" i="1"/>
  <c r="I31" i="1"/>
  <c r="G30" i="1"/>
  <c r="I30" i="1"/>
  <c r="G25" i="56"/>
  <c r="I25" i="56"/>
  <c r="G47" i="58"/>
  <c r="I47" i="58"/>
  <c r="G48" i="60"/>
  <c r="I48" i="60"/>
  <c r="G19" i="60"/>
  <c r="I19" i="60"/>
  <c r="G40" i="60"/>
  <c r="I40" i="60"/>
  <c r="G38" i="60"/>
  <c r="I38" i="60"/>
  <c r="G15" i="60"/>
  <c r="I15" i="60"/>
  <c r="G21" i="60"/>
  <c r="I21" i="60"/>
  <c r="G19" i="54"/>
  <c r="I19" i="54"/>
  <c r="G20" i="56"/>
  <c r="I20" i="56"/>
  <c r="G30" i="61"/>
  <c r="I30" i="61"/>
  <c r="G39" i="56"/>
  <c r="I39" i="56"/>
  <c r="G11" i="53"/>
  <c r="I11" i="53"/>
  <c r="G52" i="53"/>
  <c r="I52" i="53"/>
  <c r="G50" i="53"/>
  <c r="I50" i="53"/>
  <c r="G29" i="53"/>
  <c r="I29" i="53"/>
  <c r="G20" i="53"/>
  <c r="I20" i="53"/>
  <c r="G34" i="53"/>
  <c r="I34" i="53"/>
  <c r="G17" i="53"/>
  <c r="I17" i="53"/>
  <c r="G49" i="56"/>
  <c r="I49" i="56"/>
  <c r="G25" i="1"/>
  <c r="I25" i="1"/>
  <c r="G18" i="57"/>
  <c r="I18" i="57"/>
  <c r="G42" i="57"/>
  <c r="I42" i="57"/>
  <c r="G16" i="57"/>
  <c r="I16" i="57"/>
  <c r="G19" i="57"/>
  <c r="I19" i="57"/>
  <c r="G32" i="57"/>
  <c r="I32" i="57"/>
  <c r="G50" i="1"/>
  <c r="I50" i="1"/>
  <c r="G20" i="61"/>
  <c r="I20" i="61"/>
  <c r="G13" i="56"/>
  <c r="I13" i="56"/>
  <c r="G44" i="54"/>
  <c r="I44" i="54"/>
  <c r="G12" i="54"/>
  <c r="I12" i="54"/>
  <c r="G14" i="54"/>
  <c r="I14" i="54"/>
  <c r="G38" i="58"/>
  <c r="I38" i="58"/>
  <c r="G43" i="56"/>
  <c r="I43" i="56"/>
  <c r="G56" i="58"/>
  <c r="I56" i="58"/>
  <c r="G42" i="1"/>
  <c r="I42" i="1"/>
  <c r="G42" i="61"/>
  <c r="I42" i="61"/>
  <c r="G49" i="61"/>
  <c r="I49" i="61"/>
  <c r="G55" i="56"/>
  <c r="I55" i="56"/>
  <c r="G32" i="61"/>
  <c r="I32" i="61"/>
  <c r="G18" i="60"/>
  <c r="I18" i="60"/>
  <c r="G49" i="60"/>
  <c r="I49" i="60"/>
  <c r="G36" i="54"/>
  <c r="I36" i="54"/>
  <c r="G26" i="54"/>
  <c r="I26" i="54"/>
  <c r="G56" i="54"/>
  <c r="I56" i="54"/>
  <c r="G23" i="58"/>
  <c r="I23" i="58"/>
  <c r="G32" i="58"/>
  <c r="I32" i="58"/>
  <c r="G47" i="1"/>
  <c r="I47" i="1"/>
  <c r="G30" i="53"/>
  <c r="I30" i="53"/>
  <c r="G24" i="53"/>
  <c r="I24" i="53"/>
  <c r="G55" i="53"/>
  <c r="I55" i="53"/>
  <c r="G10" i="53"/>
  <c r="I10" i="53"/>
  <c r="G48" i="53"/>
  <c r="I48" i="53"/>
  <c r="G11" i="56"/>
  <c r="I11" i="56"/>
  <c r="G38" i="56"/>
  <c r="I38" i="56"/>
  <c r="G24" i="56"/>
  <c r="I24" i="56"/>
  <c r="G53" i="61"/>
  <c r="I53" i="61"/>
  <c r="G54" i="58"/>
  <c r="I54" i="58"/>
  <c r="G51" i="56"/>
  <c r="I51" i="56"/>
  <c r="G41" i="61"/>
  <c r="I41" i="61"/>
  <c r="G29" i="61"/>
  <c r="I29" i="61"/>
  <c r="G38" i="61"/>
  <c r="I38" i="61"/>
  <c r="G35" i="56"/>
  <c r="I35" i="56"/>
  <c r="G44" i="56"/>
  <c r="I44" i="56"/>
  <c r="G28" i="53"/>
  <c r="I28" i="53"/>
  <c r="G39" i="53"/>
  <c r="I39" i="53"/>
  <c r="G51" i="53"/>
  <c r="I51" i="53"/>
  <c r="G41" i="56"/>
  <c r="I41" i="56"/>
  <c r="G31" i="58"/>
  <c r="I31" i="58"/>
  <c r="G55" i="58"/>
  <c r="I55" i="58"/>
  <c r="G53" i="58"/>
  <c r="I53" i="58"/>
  <c r="G18" i="58"/>
  <c r="I18" i="58"/>
  <c r="G15" i="58"/>
  <c r="I15" i="58"/>
  <c r="G33" i="61"/>
  <c r="I33" i="61"/>
  <c r="G45" i="61"/>
  <c r="I45" i="61"/>
  <c r="G34" i="60"/>
  <c r="I34" i="60"/>
  <c r="E8" i="55"/>
  <c r="F8" i="55"/>
  <c r="G53" i="54"/>
  <c r="I53" i="54"/>
  <c r="G24" i="54"/>
  <c r="I24" i="54"/>
  <c r="G23" i="54"/>
  <c r="I23" i="54"/>
  <c r="G55" i="1"/>
  <c r="I55" i="1"/>
  <c r="G14" i="1"/>
  <c r="I14" i="1"/>
  <c r="G52" i="60"/>
  <c r="I52" i="60"/>
  <c r="G15" i="53"/>
  <c r="I15" i="53"/>
  <c r="G12" i="53"/>
  <c r="I12" i="53"/>
  <c r="G35" i="61"/>
  <c r="I35" i="61"/>
  <c r="G7" i="1"/>
  <c r="I7" i="1"/>
  <c r="E8" i="54"/>
  <c r="F8" i="54"/>
  <c r="E12" i="58"/>
  <c r="F12" i="58"/>
  <c r="J12" i="58"/>
  <c r="E14" i="60"/>
  <c r="F14" i="60"/>
  <c r="J14" i="60"/>
  <c r="E5" i="52"/>
  <c r="F5" i="52"/>
  <c r="E11" i="58"/>
  <c r="F11" i="58"/>
  <c r="J11" i="58"/>
  <c r="E12" i="59"/>
  <c r="F12" i="59"/>
  <c r="J12" i="59"/>
  <c r="G22" i="1"/>
  <c r="I22" i="1"/>
  <c r="G42" i="56"/>
  <c r="I42" i="56"/>
  <c r="G40" i="54"/>
  <c r="I40" i="54"/>
  <c r="G22" i="58"/>
  <c r="I22" i="58"/>
  <c r="G20" i="58"/>
  <c r="I20" i="58"/>
  <c r="G52" i="1"/>
  <c r="I52" i="1"/>
  <c r="E14" i="61"/>
  <c r="F14" i="61"/>
  <c r="J14" i="61"/>
  <c r="G50" i="57"/>
  <c r="I50" i="57"/>
  <c r="G17" i="57"/>
  <c r="I17" i="57"/>
  <c r="G13" i="1"/>
  <c r="I13" i="1"/>
  <c r="E10" i="56"/>
  <c r="F10" i="56"/>
  <c r="J10" i="56"/>
  <c r="E5" i="1"/>
  <c r="F5" i="1"/>
  <c r="G5" i="1"/>
  <c r="I5" i="1"/>
  <c r="J5" i="1"/>
  <c r="E7" i="54"/>
  <c r="F7" i="54"/>
  <c r="E11" i="57"/>
  <c r="F11" i="57"/>
  <c r="G47" i="57"/>
  <c r="I47" i="57"/>
  <c r="G16" i="61"/>
  <c r="I16" i="61"/>
  <c r="G48" i="54"/>
  <c r="I48" i="54"/>
  <c r="G47" i="54"/>
  <c r="I47" i="54"/>
  <c r="G39" i="1"/>
  <c r="I39" i="1"/>
  <c r="G9" i="53"/>
  <c r="I9" i="53"/>
  <c r="G49" i="53"/>
  <c r="I49" i="53"/>
  <c r="G52" i="58"/>
  <c r="I52" i="58"/>
  <c r="G47" i="60"/>
  <c r="I47" i="60"/>
  <c r="G17" i="54"/>
  <c r="I17" i="54"/>
  <c r="G54" i="54"/>
  <c r="I54" i="54"/>
  <c r="G27" i="54"/>
  <c r="I27" i="54"/>
  <c r="G42" i="58"/>
  <c r="I42" i="58"/>
  <c r="G7" i="53"/>
  <c r="G14" i="61"/>
  <c r="I14" i="61"/>
  <c r="G12" i="58"/>
  <c r="I12" i="58"/>
  <c r="G10" i="57"/>
  <c r="I10" i="57"/>
  <c r="G12" i="59"/>
  <c r="I12" i="59"/>
  <c r="G11" i="58"/>
  <c r="I11" i="58"/>
  <c r="G14" i="60"/>
  <c r="I14" i="60"/>
  <c r="Q12" i="59"/>
  <c r="Q5" i="52"/>
  <c r="Q14" i="61"/>
  <c r="L17" i="56"/>
  <c r="L16" i="56"/>
  <c r="P16" i="56"/>
  <c r="L49" i="56"/>
  <c r="L38" i="56"/>
  <c r="L48" i="59"/>
  <c r="L22" i="59"/>
  <c r="L53" i="59"/>
  <c r="L47" i="59"/>
  <c r="L25" i="59"/>
  <c r="O19" i="57"/>
  <c r="O40" i="56"/>
  <c r="O17" i="55"/>
  <c r="M53" i="56"/>
  <c r="M17" i="56"/>
  <c r="M66" i="56"/>
  <c r="O66" i="56" s="1"/>
  <c r="S66" i="56" s="1"/>
  <c r="M18" i="56"/>
  <c r="M11" i="56"/>
  <c r="M38" i="56"/>
  <c r="O38" i="56" s="1"/>
  <c r="M49" i="56"/>
  <c r="M60" i="56"/>
  <c r="M65" i="56"/>
  <c r="M28" i="56"/>
  <c r="M57" i="56"/>
  <c r="M48" i="56"/>
  <c r="M41" i="56"/>
  <c r="M46" i="56"/>
  <c r="M50" i="56"/>
  <c r="M30" i="56"/>
  <c r="M59" i="56"/>
  <c r="M42" i="56"/>
  <c r="M47" i="56"/>
  <c r="M34" i="56"/>
  <c r="M29" i="56"/>
  <c r="M56" i="56"/>
  <c r="M31" i="56"/>
  <c r="M61" i="56"/>
  <c r="M63" i="56"/>
  <c r="M12" i="56"/>
  <c r="O12" i="56"/>
  <c r="M23" i="56"/>
  <c r="M52" i="56"/>
  <c r="M45" i="56"/>
  <c r="M63" i="59"/>
  <c r="M42" i="59"/>
  <c r="M37" i="59"/>
  <c r="M62" i="59"/>
  <c r="M45" i="59"/>
  <c r="M68" i="59"/>
  <c r="M52" i="59"/>
  <c r="M61" i="59"/>
  <c r="O61" i="59"/>
  <c r="S61" i="59" s="1"/>
  <c r="L43" i="52"/>
  <c r="L37" i="52"/>
  <c r="L50" i="52"/>
  <c r="L34" i="52"/>
  <c r="I7" i="53"/>
  <c r="Q7" i="54"/>
  <c r="J11" i="57"/>
  <c r="G11" i="57"/>
  <c r="J7" i="54"/>
  <c r="G7" i="54"/>
  <c r="I7" i="54"/>
  <c r="J5" i="52"/>
  <c r="G5" i="52"/>
  <c r="I5" i="52"/>
  <c r="J8" i="54"/>
  <c r="G8" i="54"/>
  <c r="J8" i="55"/>
  <c r="G8" i="55"/>
  <c r="I8" i="55"/>
  <c r="G10" i="56"/>
  <c r="J18" i="1"/>
  <c r="G18" i="1"/>
  <c r="I18" i="1"/>
  <c r="G11" i="1"/>
  <c r="I11" i="1"/>
  <c r="J11" i="1"/>
  <c r="J38" i="54"/>
  <c r="G38" i="54"/>
  <c r="I38" i="54"/>
  <c r="G10" i="54"/>
  <c r="I10" i="54"/>
  <c r="G29" i="54"/>
  <c r="I29" i="54"/>
  <c r="J35" i="57"/>
  <c r="J44" i="57"/>
  <c r="G44" i="57"/>
  <c r="I44" i="57"/>
  <c r="J30" i="56"/>
  <c r="G50" i="61"/>
  <c r="I50" i="61"/>
  <c r="J50" i="61"/>
  <c r="J21" i="54"/>
  <c r="J13" i="58"/>
  <c r="G13" i="58"/>
  <c r="I13" i="58"/>
  <c r="J29" i="57"/>
  <c r="G29" i="57"/>
  <c r="I29" i="57"/>
  <c r="J40" i="1"/>
  <c r="G40" i="1"/>
  <c r="I40" i="1"/>
  <c r="J49" i="54"/>
  <c r="G49" i="54"/>
  <c r="I49" i="54"/>
  <c r="G20" i="60"/>
  <c r="I20" i="60"/>
  <c r="J20" i="60"/>
  <c r="G16" i="54"/>
  <c r="I16" i="54"/>
  <c r="J16" i="54"/>
  <c r="G27" i="58"/>
  <c r="I27" i="58"/>
  <c r="J12" i="57"/>
  <c r="G12" i="57"/>
  <c r="I12" i="57"/>
  <c r="J17" i="58"/>
  <c r="J12" i="1"/>
  <c r="J33" i="60"/>
  <c r="J16" i="56"/>
  <c r="J54" i="60"/>
  <c r="J45" i="54"/>
  <c r="G19" i="56"/>
  <c r="I19" i="56"/>
  <c r="J19" i="56"/>
  <c r="G46" i="53"/>
  <c r="I46" i="53"/>
  <c r="J46" i="53"/>
  <c r="J49" i="1"/>
  <c r="G49" i="1"/>
  <c r="I49" i="1"/>
  <c r="J45" i="57"/>
  <c r="G45" i="57"/>
  <c r="I45" i="57"/>
  <c r="J41" i="54"/>
  <c r="G41" i="54"/>
  <c r="I41" i="54"/>
  <c r="J44" i="58"/>
  <c r="G44" i="58"/>
  <c r="I44" i="58"/>
  <c r="J45" i="58"/>
  <c r="G45" i="58"/>
  <c r="I45" i="58"/>
  <c r="J34" i="1"/>
  <c r="G34" i="1"/>
  <c r="I34" i="1"/>
  <c r="G33" i="53"/>
  <c r="I33" i="53"/>
  <c r="J33" i="53"/>
  <c r="J21" i="57"/>
  <c r="J53" i="60"/>
  <c r="G53" i="60"/>
  <c r="I53" i="60"/>
  <c r="J21" i="59"/>
  <c r="G21" i="59"/>
  <c r="I21" i="59"/>
  <c r="E52" i="56"/>
  <c r="F52" i="56"/>
  <c r="J52" i="56"/>
  <c r="G55" i="61"/>
  <c r="I55" i="61"/>
  <c r="E29" i="1"/>
  <c r="F29" i="1"/>
  <c r="J29" i="1"/>
  <c r="G29" i="1"/>
  <c r="I29" i="1"/>
  <c r="E35" i="60"/>
  <c r="F35" i="60"/>
  <c r="J35" i="60"/>
  <c r="J51" i="60"/>
  <c r="G51" i="60"/>
  <c r="I51" i="60"/>
  <c r="J25" i="54"/>
  <c r="G25" i="54"/>
  <c r="I25" i="54"/>
  <c r="G44" i="59"/>
  <c r="I44" i="59"/>
  <c r="J44" i="59"/>
  <c r="I49" i="55"/>
  <c r="G9" i="52"/>
  <c r="I9" i="52"/>
  <c r="J9" i="52"/>
  <c r="J47" i="52"/>
  <c r="G47" i="52"/>
  <c r="I47" i="52"/>
  <c r="J30" i="60"/>
  <c r="G30" i="60"/>
  <c r="I30" i="60"/>
  <c r="J37" i="53"/>
  <c r="G37" i="53"/>
  <c r="I37" i="53"/>
  <c r="J27" i="59"/>
  <c r="G27" i="59"/>
  <c r="I27" i="59"/>
  <c r="J41" i="55"/>
  <c r="G48" i="1"/>
  <c r="I48" i="1"/>
  <c r="J40" i="61"/>
  <c r="J34" i="54"/>
  <c r="J19" i="53"/>
  <c r="G19" i="53"/>
  <c r="I19" i="53"/>
  <c r="J50" i="59"/>
  <c r="G50" i="59"/>
  <c r="I50" i="59"/>
  <c r="J23" i="52"/>
  <c r="G23" i="52"/>
  <c r="I23" i="52"/>
  <c r="I32" i="55"/>
  <c r="G45" i="55"/>
  <c r="E28" i="55"/>
  <c r="F28" i="55"/>
  <c r="J28" i="55"/>
  <c r="I53" i="55"/>
  <c r="J49" i="55"/>
  <c r="G19" i="59"/>
  <c r="I19" i="59"/>
  <c r="G38" i="59"/>
  <c r="I38" i="59"/>
  <c r="E41" i="52"/>
  <c r="F41" i="52"/>
  <c r="J41" i="52"/>
  <c r="G41" i="52"/>
  <c r="I41" i="52"/>
  <c r="K10" i="50"/>
  <c r="N8" i="50"/>
  <c r="N9" i="50"/>
  <c r="K9" i="50"/>
  <c r="K8" i="50"/>
  <c r="N10" i="50"/>
  <c r="E53" i="52"/>
  <c r="F53" i="52"/>
  <c r="J53" i="52"/>
  <c r="G53" i="52"/>
  <c r="I53" i="52"/>
  <c r="E12" i="52"/>
  <c r="F12" i="52"/>
  <c r="J12" i="52"/>
  <c r="G12" i="52"/>
  <c r="I12" i="52"/>
  <c r="E36" i="52"/>
  <c r="F36" i="52"/>
  <c r="J36" i="52"/>
  <c r="C6" i="53"/>
  <c r="D6" i="53"/>
  <c r="D6" i="52"/>
  <c r="N4" i="50"/>
  <c r="N5" i="50"/>
  <c r="N6" i="50"/>
  <c r="K5" i="50"/>
  <c r="H36" i="55"/>
  <c r="J36" i="55"/>
  <c r="H45" i="55"/>
  <c r="J45" i="55"/>
  <c r="H41" i="55"/>
  <c r="I41" i="55"/>
  <c r="H56" i="55"/>
  <c r="J56" i="55"/>
  <c r="H29" i="55"/>
  <c r="J29" i="55"/>
  <c r="H11" i="55"/>
  <c r="I11" i="55"/>
  <c r="H49" i="55"/>
  <c r="H13" i="55"/>
  <c r="I13" i="55"/>
  <c r="H43" i="55"/>
  <c r="H24" i="55"/>
  <c r="H27" i="55"/>
  <c r="J27" i="55"/>
  <c r="H25" i="55"/>
  <c r="H53" i="55"/>
  <c r="J53" i="55"/>
  <c r="H39" i="55"/>
  <c r="J39" i="55"/>
  <c r="H21" i="55"/>
  <c r="I21" i="55"/>
  <c r="H22" i="55"/>
  <c r="I22" i="55"/>
  <c r="H55" i="55"/>
  <c r="H50" i="58"/>
  <c r="J50" i="58"/>
  <c r="H26" i="58"/>
  <c r="J26" i="58"/>
  <c r="H46" i="58"/>
  <c r="I46" i="58"/>
  <c r="C17" i="59"/>
  <c r="D17" i="59"/>
  <c r="C13" i="59"/>
  <c r="C55" i="59"/>
  <c r="D55" i="59"/>
  <c r="C32" i="59"/>
  <c r="D32" i="59"/>
  <c r="E37" i="52"/>
  <c r="F37" i="52"/>
  <c r="J37" i="52"/>
  <c r="E29" i="52"/>
  <c r="F29" i="52"/>
  <c r="J29" i="52"/>
  <c r="E51" i="52"/>
  <c r="F51" i="52"/>
  <c r="J51" i="52"/>
  <c r="K12" i="50"/>
  <c r="K11" i="50"/>
  <c r="G26" i="55"/>
  <c r="I26" i="55"/>
  <c r="E43" i="52"/>
  <c r="F43" i="52"/>
  <c r="J43" i="52"/>
  <c r="E7" i="52"/>
  <c r="F7" i="52"/>
  <c r="J7" i="52"/>
  <c r="E44" i="60"/>
  <c r="F44" i="60"/>
  <c r="J44" i="60"/>
  <c r="O52" i="56"/>
  <c r="C13" i="60"/>
  <c r="D13" i="60"/>
  <c r="D13" i="59"/>
  <c r="I25" i="55"/>
  <c r="J25" i="55"/>
  <c r="E6" i="52"/>
  <c r="F6" i="52"/>
  <c r="J6" i="52"/>
  <c r="I56" i="55"/>
  <c r="Q11" i="58"/>
  <c r="I11" i="57"/>
  <c r="G44" i="60"/>
  <c r="I44" i="60"/>
  <c r="G29" i="52"/>
  <c r="I29" i="52"/>
  <c r="E17" i="59"/>
  <c r="F17" i="59"/>
  <c r="J17" i="59"/>
  <c r="E6" i="53"/>
  <c r="F6" i="53"/>
  <c r="J6" i="53"/>
  <c r="J22" i="55"/>
  <c r="I45" i="55"/>
  <c r="J46" i="58"/>
  <c r="G52" i="56"/>
  <c r="I52" i="56"/>
  <c r="I26" i="58"/>
  <c r="G7" i="52"/>
  <c r="I7" i="52"/>
  <c r="G51" i="52"/>
  <c r="I51" i="52"/>
  <c r="G37" i="52"/>
  <c r="I37" i="52"/>
  <c r="E32" i="59"/>
  <c r="F32" i="59"/>
  <c r="J32" i="59"/>
  <c r="J24" i="55"/>
  <c r="I24" i="55"/>
  <c r="G36" i="52"/>
  <c r="I36" i="52"/>
  <c r="J13" i="55"/>
  <c r="I39" i="55"/>
  <c r="J11" i="55"/>
  <c r="I50" i="58"/>
  <c r="I27" i="55"/>
  <c r="I8" i="54"/>
  <c r="Q8" i="55"/>
  <c r="G43" i="52"/>
  <c r="I43" i="52"/>
  <c r="E55" i="59"/>
  <c r="F55" i="59"/>
  <c r="J55" i="59"/>
  <c r="J55" i="55"/>
  <c r="I55" i="55"/>
  <c r="I43" i="55"/>
  <c r="J43" i="55"/>
  <c r="I36" i="55"/>
  <c r="G28" i="55"/>
  <c r="I28" i="55"/>
  <c r="I29" i="55"/>
  <c r="J21" i="55"/>
  <c r="G35" i="60"/>
  <c r="I35" i="60"/>
  <c r="Q10" i="57"/>
  <c r="I10" i="56"/>
  <c r="G55" i="59"/>
  <c r="I55" i="59"/>
  <c r="G6" i="53"/>
  <c r="I6" i="53"/>
  <c r="G17" i="59"/>
  <c r="I17" i="59"/>
  <c r="G6" i="52"/>
  <c r="E13" i="59"/>
  <c r="F13" i="59"/>
  <c r="J13" i="59"/>
  <c r="G13" i="59"/>
  <c r="G32" i="59"/>
  <c r="I32" i="59"/>
  <c r="E13" i="60"/>
  <c r="F13" i="60"/>
  <c r="J13" i="60"/>
  <c r="I13" i="59"/>
  <c r="Q13" i="60"/>
  <c r="G13" i="60"/>
  <c r="I13" i="60"/>
  <c r="I6" i="52"/>
  <c r="Q6" i="53"/>
  <c r="L26" i="54"/>
  <c r="L50" i="54"/>
  <c r="P34" i="52"/>
  <c r="P9" i="52"/>
  <c r="L32" i="52"/>
  <c r="P32" i="52"/>
  <c r="L48" i="52"/>
  <c r="P48" i="52"/>
  <c r="L55" i="52"/>
  <c r="M33" i="59"/>
  <c r="M44" i="59"/>
  <c r="M58" i="59"/>
  <c r="M65" i="59"/>
  <c r="M53" i="59"/>
  <c r="M34" i="59"/>
  <c r="M20" i="59"/>
  <c r="M50" i="59"/>
  <c r="M26" i="59"/>
  <c r="L24" i="59"/>
  <c r="N24" i="60"/>
  <c r="L45" i="59"/>
  <c r="L41" i="59"/>
  <c r="L32" i="59"/>
  <c r="L21" i="59"/>
  <c r="L52" i="56"/>
  <c r="P52" i="56"/>
  <c r="L31" i="56"/>
  <c r="P31" i="56"/>
  <c r="L27" i="56"/>
  <c r="L15" i="56"/>
  <c r="P15" i="56"/>
  <c r="L8" i="53"/>
  <c r="L53" i="60"/>
  <c r="L52" i="60"/>
  <c r="L17" i="60"/>
  <c r="L20" i="60"/>
  <c r="L33" i="60"/>
  <c r="M14" i="57"/>
  <c r="M27" i="60"/>
  <c r="M61" i="60"/>
  <c r="O61" i="60" s="1"/>
  <c r="S61" i="60" s="1"/>
  <c r="M12" i="58"/>
  <c r="M26" i="58"/>
  <c r="M31" i="58"/>
  <c r="M57" i="58"/>
  <c r="M43" i="57"/>
  <c r="O43" i="57" s="1"/>
  <c r="M67" i="57"/>
  <c r="M24" i="57"/>
  <c r="O24" i="57"/>
  <c r="M64" i="59"/>
  <c r="L28" i="53"/>
  <c r="P28" i="53"/>
  <c r="L48" i="53"/>
  <c r="L51" i="53"/>
  <c r="P51" i="53"/>
  <c r="P37" i="52"/>
  <c r="L7" i="52"/>
  <c r="L24" i="52"/>
  <c r="L23" i="52"/>
  <c r="P23" i="52"/>
  <c r="M24" i="59"/>
  <c r="M48" i="59"/>
  <c r="M14" i="59"/>
  <c r="M41" i="59"/>
  <c r="M59" i="59"/>
  <c r="M23" i="59"/>
  <c r="M69" i="59"/>
  <c r="M54" i="59"/>
  <c r="M60" i="59"/>
  <c r="L44" i="59"/>
  <c r="P44" i="59"/>
  <c r="L26" i="59"/>
  <c r="L51" i="59"/>
  <c r="L19" i="59"/>
  <c r="P19" i="59"/>
  <c r="L34" i="56"/>
  <c r="P34" i="56"/>
  <c r="L36" i="56"/>
  <c r="P36" i="56"/>
  <c r="L21" i="53"/>
  <c r="P21" i="53"/>
  <c r="L53" i="53"/>
  <c r="P53" i="53"/>
  <c r="L38" i="53"/>
  <c r="P38" i="53"/>
  <c r="L10" i="53"/>
  <c r="L41" i="61"/>
  <c r="L51" i="61"/>
  <c r="L30" i="61"/>
  <c r="L15" i="60"/>
  <c r="L51" i="60"/>
  <c r="L28" i="60"/>
  <c r="L37" i="60"/>
  <c r="L25" i="60"/>
  <c r="M15" i="57"/>
  <c r="O15" i="58" s="1"/>
  <c r="M64" i="60"/>
  <c r="M18" i="58"/>
  <c r="M38" i="58"/>
  <c r="M69" i="58"/>
  <c r="O69" i="59" s="1"/>
  <c r="S69" i="59" s="1"/>
  <c r="M48" i="58"/>
  <c r="M27" i="57"/>
  <c r="M46" i="57"/>
  <c r="M68" i="57"/>
  <c r="M29" i="58"/>
  <c r="L34" i="57"/>
  <c r="P34" i="57"/>
  <c r="L28" i="57"/>
  <c r="P28" i="57"/>
  <c r="L25" i="57"/>
  <c r="P25" i="57"/>
  <c r="L40" i="58"/>
  <c r="P35" i="59"/>
  <c r="L38" i="61"/>
  <c r="L21" i="61"/>
  <c r="L43" i="61"/>
  <c r="L24" i="61"/>
  <c r="L36" i="61"/>
  <c r="O53" i="56"/>
  <c r="O21" i="57"/>
  <c r="L13" i="56"/>
  <c r="P13" i="56"/>
  <c r="L48" i="56"/>
  <c r="L37" i="56"/>
  <c r="P37" i="56"/>
  <c r="L20" i="56"/>
  <c r="L22" i="56"/>
  <c r="P22" i="56"/>
  <c r="L25" i="56"/>
  <c r="L18" i="56"/>
  <c r="P18" i="56"/>
  <c r="L26" i="56"/>
  <c r="P26" i="56"/>
  <c r="L30" i="56"/>
  <c r="L45" i="56"/>
  <c r="P45" i="56"/>
  <c r="L53" i="56"/>
  <c r="L12" i="56"/>
  <c r="P12" i="56"/>
  <c r="L39" i="56"/>
  <c r="P39" i="56"/>
  <c r="L24" i="56"/>
  <c r="P24" i="56"/>
  <c r="L14" i="56"/>
  <c r="P14" i="56"/>
  <c r="M30" i="57"/>
  <c r="O30" i="57" s="1"/>
  <c r="S30" i="57" s="1"/>
  <c r="M16" i="57"/>
  <c r="M32" i="57"/>
  <c r="M62" i="57"/>
  <c r="M60" i="57"/>
  <c r="M56" i="57"/>
  <c r="O56" i="57" s="1"/>
  <c r="S56" i="57" s="1"/>
  <c r="M52" i="57"/>
  <c r="M48" i="57"/>
  <c r="O48" i="57"/>
  <c r="M44" i="57"/>
  <c r="O44" i="58" s="1"/>
  <c r="S44" i="58" s="1"/>
  <c r="M40" i="57"/>
  <c r="M69" i="57"/>
  <c r="O69" i="58" s="1"/>
  <c r="S69" i="58" s="1"/>
  <c r="M38" i="57"/>
  <c r="M29" i="57"/>
  <c r="O29" i="58"/>
  <c r="M31" i="57"/>
  <c r="M36" i="57"/>
  <c r="O36" i="57" s="1"/>
  <c r="M12" i="57"/>
  <c r="O12" i="57"/>
  <c r="M28" i="57"/>
  <c r="O28" i="57" s="1"/>
  <c r="S28" i="57" s="1"/>
  <c r="M66" i="57"/>
  <c r="M64" i="57"/>
  <c r="O64" i="57" s="1"/>
  <c r="S64" i="57"/>
  <c r="M59" i="57"/>
  <c r="M53" i="57"/>
  <c r="M49" i="57"/>
  <c r="M45" i="57"/>
  <c r="O45" i="57" s="1"/>
  <c r="S45" i="57" s="1"/>
  <c r="M41" i="57"/>
  <c r="M61" i="57"/>
  <c r="O61" i="58" s="1"/>
  <c r="S61" i="58"/>
  <c r="M11" i="57"/>
  <c r="M18" i="57"/>
  <c r="O18" i="58" s="1"/>
  <c r="M10" i="57"/>
  <c r="M35" i="57"/>
  <c r="M23" i="57"/>
  <c r="O23" i="57" s="1"/>
  <c r="S23" i="57" s="1"/>
  <c r="M17" i="57"/>
  <c r="M13" i="57"/>
  <c r="M20" i="57"/>
  <c r="O20" i="58" s="1"/>
  <c r="M58" i="57"/>
  <c r="M55" i="57"/>
  <c r="O55" i="57"/>
  <c r="M47" i="57"/>
  <c r="O47" i="58" s="1"/>
  <c r="S47" i="58" s="1"/>
  <c r="M57" i="57"/>
  <c r="O57" i="57"/>
  <c r="S57" i="57" s="1"/>
  <c r="M26" i="57"/>
  <c r="M63" i="57"/>
  <c r="M50" i="57"/>
  <c r="M42" i="57"/>
  <c r="M33" i="57"/>
  <c r="M34" i="57"/>
  <c r="M64" i="58"/>
  <c r="M45" i="58"/>
  <c r="O45" i="59"/>
  <c r="M33" i="58"/>
  <c r="O33" i="59" s="1"/>
  <c r="S33" i="59" s="1"/>
  <c r="M23" i="58"/>
  <c r="O23" i="59"/>
  <c r="S23" i="59" s="1"/>
  <c r="M56" i="58"/>
  <c r="M40" i="58"/>
  <c r="M28" i="58"/>
  <c r="M67" i="58"/>
  <c r="M35" i="58"/>
  <c r="M19" i="58"/>
  <c r="M42" i="58"/>
  <c r="O42" i="59" s="1"/>
  <c r="M30" i="58"/>
  <c r="M20" i="58"/>
  <c r="O20" i="59" s="1"/>
  <c r="S20" i="59" s="1"/>
  <c r="M14" i="58"/>
  <c r="M66" i="58"/>
  <c r="M49" i="58"/>
  <c r="M37" i="58"/>
  <c r="O37" i="59" s="1"/>
  <c r="M22" i="58"/>
  <c r="M60" i="58"/>
  <c r="M44" i="58"/>
  <c r="M32" i="58"/>
  <c r="M58" i="58"/>
  <c r="M47" i="58"/>
  <c r="M39" i="58"/>
  <c r="M63" i="58"/>
  <c r="O63" i="59" s="1"/>
  <c r="S63" i="59" s="1"/>
  <c r="M46" i="58"/>
  <c r="M34" i="58"/>
  <c r="M16" i="58"/>
  <c r="O16" i="58" s="1"/>
  <c r="S16" i="58" s="1"/>
  <c r="M41" i="58"/>
  <c r="M52" i="58"/>
  <c r="O52" i="59" s="1"/>
  <c r="M21" i="58"/>
  <c r="O21" i="58" s="1"/>
  <c r="M43" i="58"/>
  <c r="M11" i="58"/>
  <c r="M65" i="58"/>
  <c r="M53" i="58"/>
  <c r="O53" i="59"/>
  <c r="M25" i="58"/>
  <c r="M62" i="58"/>
  <c r="O62" i="59" s="1"/>
  <c r="S62" i="59" s="1"/>
  <c r="M36" i="58"/>
  <c r="O36" i="59" s="1"/>
  <c r="S36" i="59" s="1"/>
  <c r="M51" i="58"/>
  <c r="M27" i="58"/>
  <c r="M50" i="58"/>
  <c r="M24" i="58"/>
  <c r="O24" i="58" s="1"/>
  <c r="L55" i="59"/>
  <c r="L34" i="59"/>
  <c r="L23" i="59"/>
  <c r="L49" i="59"/>
  <c r="L39" i="59"/>
  <c r="L30" i="59"/>
  <c r="L40" i="59"/>
  <c r="L29" i="59"/>
  <c r="P29" i="59"/>
  <c r="L54" i="59"/>
  <c r="L38" i="59"/>
  <c r="L18" i="59"/>
  <c r="L28" i="59"/>
  <c r="L35" i="59"/>
  <c r="L16" i="59"/>
  <c r="N16" i="60"/>
  <c r="L15" i="59"/>
  <c r="N15" i="60"/>
  <c r="L14" i="59"/>
  <c r="L50" i="59"/>
  <c r="L56" i="59"/>
  <c r="L52" i="59"/>
  <c r="L20" i="59"/>
  <c r="L43" i="59"/>
  <c r="L37" i="59"/>
  <c r="L33" i="59"/>
  <c r="L42" i="59"/>
  <c r="N42" i="60"/>
  <c r="M22" i="59"/>
  <c r="M47" i="59"/>
  <c r="M15" i="59"/>
  <c r="M32" i="59"/>
  <c r="M12" i="59"/>
  <c r="M17" i="59"/>
  <c r="M18" i="59"/>
  <c r="M51" i="59"/>
  <c r="M57" i="59"/>
  <c r="M35" i="59"/>
  <c r="O35" i="59" s="1"/>
  <c r="M16" i="59"/>
  <c r="M27" i="59"/>
  <c r="O27" i="60" s="1"/>
  <c r="S27" i="60" s="1"/>
  <c r="M67" i="59"/>
  <c r="O67" i="60" s="1"/>
  <c r="S67" i="60" s="1"/>
  <c r="M19" i="59"/>
  <c r="M39" i="59"/>
  <c r="O39" i="60" s="1"/>
  <c r="M25" i="59"/>
  <c r="M31" i="59"/>
  <c r="L55" i="60"/>
  <c r="N55" i="60"/>
  <c r="L50" i="60"/>
  <c r="N50" i="60"/>
  <c r="L31" i="60"/>
  <c r="L41" i="60"/>
  <c r="N41" i="60"/>
  <c r="L40" i="60"/>
  <c r="L38" i="60"/>
  <c r="N38" i="60"/>
  <c r="L14" i="60"/>
  <c r="L30" i="60"/>
  <c r="L36" i="60"/>
  <c r="L34" i="60"/>
  <c r="N34" i="60"/>
  <c r="L56" i="60"/>
  <c r="L22" i="60"/>
  <c r="N22" i="60"/>
  <c r="L49" i="60"/>
  <c r="L43" i="60"/>
  <c r="N43" i="60"/>
  <c r="L19" i="60"/>
  <c r="L46" i="60"/>
  <c r="N46" i="60"/>
  <c r="L29" i="60"/>
  <c r="L44" i="60"/>
  <c r="L32" i="60"/>
  <c r="L47" i="60"/>
  <c r="N47" i="60"/>
  <c r="L23" i="60"/>
  <c r="M47" i="60"/>
  <c r="M54" i="60"/>
  <c r="M30" i="60"/>
  <c r="M60" i="60"/>
  <c r="O60" i="60" s="1"/>
  <c r="S60" i="60" s="1"/>
  <c r="M32" i="60"/>
  <c r="M68" i="60"/>
  <c r="O68" i="60"/>
  <c r="M41" i="60"/>
  <c r="M46" i="60"/>
  <c r="M28" i="60"/>
  <c r="M33" i="60"/>
  <c r="M16" i="60"/>
  <c r="M37" i="60"/>
  <c r="M58" i="60"/>
  <c r="M57" i="60"/>
  <c r="M66" i="60"/>
  <c r="M69" i="60"/>
  <c r="M51" i="60"/>
  <c r="M49" i="60"/>
  <c r="M43" i="60"/>
  <c r="M50" i="60"/>
  <c r="M53" i="60"/>
  <c r="M19" i="60"/>
  <c r="M56" i="60"/>
  <c r="M52" i="60"/>
  <c r="M55" i="60"/>
  <c r="M67" i="60"/>
  <c r="M23" i="60"/>
  <c r="O23" i="60" s="1"/>
  <c r="S23" i="60" s="1"/>
  <c r="P52" i="52"/>
  <c r="O46" i="56"/>
  <c r="P7" i="52"/>
  <c r="P30" i="60"/>
  <c r="L22" i="52"/>
  <c r="P22" i="52"/>
  <c r="L20" i="52"/>
  <c r="L52" i="52"/>
  <c r="M29" i="59"/>
  <c r="O29" i="59" s="1"/>
  <c r="M40" i="59"/>
  <c r="M56" i="59"/>
  <c r="O56" i="59"/>
  <c r="M13" i="59"/>
  <c r="M49" i="59"/>
  <c r="M30" i="59"/>
  <c r="M28" i="59"/>
  <c r="O28" i="60" s="1"/>
  <c r="S28" i="60" s="1"/>
  <c r="M46" i="59"/>
  <c r="O46" i="59" s="1"/>
  <c r="S46" i="59" s="1"/>
  <c r="M66" i="59"/>
  <c r="O66" i="60" s="1"/>
  <c r="S66" i="60" s="1"/>
  <c r="O18" i="57"/>
  <c r="S18" i="57" s="1"/>
  <c r="L27" i="59"/>
  <c r="P27" i="59"/>
  <c r="L17" i="59"/>
  <c r="L36" i="59"/>
  <c r="L31" i="59"/>
  <c r="N31" i="60"/>
  <c r="L13" i="59"/>
  <c r="L13" i="60"/>
  <c r="N13" i="60"/>
  <c r="S13" i="60"/>
  <c r="L40" i="56"/>
  <c r="P40" i="56"/>
  <c r="L32" i="56"/>
  <c r="P32" i="56"/>
  <c r="L28" i="56"/>
  <c r="L32" i="1"/>
  <c r="N32" i="52"/>
  <c r="L18" i="60"/>
  <c r="N18" i="60"/>
  <c r="L27" i="60"/>
  <c r="L35" i="60"/>
  <c r="N35" i="60"/>
  <c r="L54" i="60"/>
  <c r="L39" i="60"/>
  <c r="N39" i="60"/>
  <c r="L25" i="1"/>
  <c r="M25" i="57"/>
  <c r="M22" i="57"/>
  <c r="M15" i="60"/>
  <c r="M68" i="58"/>
  <c r="O68" i="59" s="1"/>
  <c r="S68" i="59" s="1"/>
  <c r="M13" i="58"/>
  <c r="M21" i="59"/>
  <c r="O21" i="60" s="1"/>
  <c r="M65" i="57"/>
  <c r="O65" i="58" s="1"/>
  <c r="S65" i="58" s="1"/>
  <c r="M54" i="57"/>
  <c r="O54" i="57"/>
  <c r="M59" i="58"/>
  <c r="M55" i="59"/>
  <c r="O55" i="60" s="1"/>
  <c r="O60" i="57"/>
  <c r="S60" i="57" s="1"/>
  <c r="O68" i="57"/>
  <c r="S68" i="57" s="1"/>
  <c r="M64" i="1"/>
  <c r="M57" i="1"/>
  <c r="O57" i="52" s="1"/>
  <c r="O11" i="57"/>
  <c r="O51" i="57"/>
  <c r="M38" i="1"/>
  <c r="M10" i="1"/>
  <c r="M37" i="1"/>
  <c r="M69" i="1"/>
  <c r="M44" i="1"/>
  <c r="M12" i="1"/>
  <c r="M23" i="1"/>
  <c r="M7" i="1"/>
  <c r="M15" i="1"/>
  <c r="M39" i="1"/>
  <c r="M46" i="1"/>
  <c r="M18" i="1"/>
  <c r="M45" i="1"/>
  <c r="M13" i="1"/>
  <c r="O13" i="52" s="1"/>
  <c r="M52" i="1"/>
  <c r="O52" i="52" s="1"/>
  <c r="S52" i="52" s="1"/>
  <c r="M20" i="1"/>
  <c r="M55" i="1"/>
  <c r="M11" i="1"/>
  <c r="M63" i="1"/>
  <c r="M47" i="1"/>
  <c r="M43" i="1"/>
  <c r="M67" i="1"/>
  <c r="M53" i="52"/>
  <c r="M22" i="52"/>
  <c r="M45" i="52"/>
  <c r="O45" i="52" s="1"/>
  <c r="S45" i="52" s="1"/>
  <c r="M26" i="52"/>
  <c r="M20" i="52"/>
  <c r="M41" i="52"/>
  <c r="M44" i="52"/>
  <c r="O44" i="52" s="1"/>
  <c r="M15" i="52"/>
  <c r="O15" i="53" s="1"/>
  <c r="S15" i="53" s="1"/>
  <c r="M52" i="52"/>
  <c r="M59" i="52"/>
  <c r="O59" i="52" s="1"/>
  <c r="S59" i="52" s="1"/>
  <c r="M6" i="52"/>
  <c r="M27" i="52"/>
  <c r="O27" i="53"/>
  <c r="M50" i="52"/>
  <c r="O50" i="53"/>
  <c r="M17" i="52"/>
  <c r="O17" i="53"/>
  <c r="O37" i="56"/>
  <c r="O37" i="55"/>
  <c r="S37" i="55" s="1"/>
  <c r="O37" i="54"/>
  <c r="O29" i="54"/>
  <c r="S29" i="54" s="1"/>
  <c r="O60" i="55"/>
  <c r="S60" i="55" s="1"/>
  <c r="O14" i="55"/>
  <c r="O64" i="56"/>
  <c r="S64" i="56"/>
  <c r="O69" i="60"/>
  <c r="S69" i="60" s="1"/>
  <c r="N34" i="57"/>
  <c r="N19" i="60"/>
  <c r="O60" i="56"/>
  <c r="S60" i="56" s="1"/>
  <c r="O28" i="59"/>
  <c r="P47" i="59"/>
  <c r="N25" i="57"/>
  <c r="P25" i="56"/>
  <c r="L55" i="1"/>
  <c r="L49" i="1"/>
  <c r="L35" i="1"/>
  <c r="L7" i="1"/>
  <c r="N7" i="52"/>
  <c r="L5" i="1"/>
  <c r="L5" i="52"/>
  <c r="N5" i="52"/>
  <c r="S5" i="52"/>
  <c r="L47" i="1"/>
  <c r="L53" i="1"/>
  <c r="L22" i="1"/>
  <c r="L43" i="1"/>
  <c r="N43" i="52"/>
  <c r="L36" i="1"/>
  <c r="L52" i="1"/>
  <c r="N52" i="52"/>
  <c r="L6" i="1"/>
  <c r="L44" i="1"/>
  <c r="L26" i="1"/>
  <c r="L9" i="1"/>
  <c r="N9" i="52"/>
  <c r="L10" i="1"/>
  <c r="L18" i="1"/>
  <c r="L37" i="1"/>
  <c r="N37" i="52"/>
  <c r="L42" i="1"/>
  <c r="L39" i="1"/>
  <c r="L13" i="1"/>
  <c r="L14" i="1"/>
  <c r="L23" i="1"/>
  <c r="L45" i="1"/>
  <c r="L51" i="1"/>
  <c r="L17" i="1"/>
  <c r="L50" i="1"/>
  <c r="N50" i="52"/>
  <c r="L27" i="1"/>
  <c r="L46" i="1"/>
  <c r="L19" i="1"/>
  <c r="L29" i="1"/>
  <c r="L48" i="1"/>
  <c r="N48" i="52"/>
  <c r="L33" i="1"/>
  <c r="L12" i="1"/>
  <c r="L41" i="1"/>
  <c r="L11" i="1"/>
  <c r="L38" i="1"/>
  <c r="L30" i="1"/>
  <c r="L24" i="1"/>
  <c r="L56" i="1"/>
  <c r="L34" i="1"/>
  <c r="N34" i="52"/>
  <c r="L21" i="1"/>
  <c r="L31" i="1"/>
  <c r="L8" i="1"/>
  <c r="L20" i="1"/>
  <c r="L54" i="1"/>
  <c r="L28" i="1"/>
  <c r="L40" i="1"/>
  <c r="L16" i="1"/>
  <c r="L51" i="52"/>
  <c r="P51" i="52"/>
  <c r="L18" i="52"/>
  <c r="P18" i="52"/>
  <c r="L17" i="52"/>
  <c r="L44" i="52"/>
  <c r="N44" i="52"/>
  <c r="L45" i="52"/>
  <c r="L6" i="52"/>
  <c r="L19" i="52"/>
  <c r="P19" i="52"/>
  <c r="L53" i="52"/>
  <c r="L35" i="52"/>
  <c r="N35" i="52"/>
  <c r="L25" i="52"/>
  <c r="N25" i="52"/>
  <c r="L40" i="52"/>
  <c r="L27" i="52"/>
  <c r="N27" i="52"/>
  <c r="L36" i="52"/>
  <c r="L15" i="52"/>
  <c r="L38" i="52"/>
  <c r="L33" i="52"/>
  <c r="P33" i="52"/>
  <c r="L46" i="52"/>
  <c r="L14" i="52"/>
  <c r="P14" i="52"/>
  <c r="L42" i="52"/>
  <c r="L54" i="52"/>
  <c r="N54" i="52"/>
  <c r="L21" i="52"/>
  <c r="L56" i="52"/>
  <c r="P56" i="52"/>
  <c r="L10" i="52"/>
  <c r="P10" i="52"/>
  <c r="L29" i="52"/>
  <c r="L11" i="52"/>
  <c r="L12" i="52"/>
  <c r="L39" i="52"/>
  <c r="L28" i="52"/>
  <c r="L16" i="52"/>
  <c r="L49" i="52"/>
  <c r="P49" i="52"/>
  <c r="L30" i="52"/>
  <c r="L8" i="52"/>
  <c r="L13" i="52"/>
  <c r="L31" i="52"/>
  <c r="P31" i="52"/>
  <c r="P8" i="52"/>
  <c r="P13" i="52"/>
  <c r="P38" i="52"/>
  <c r="P46" i="52"/>
  <c r="P40" i="52"/>
  <c r="P30" i="52"/>
  <c r="P54" i="52"/>
  <c r="P21" i="52"/>
  <c r="L18" i="53"/>
  <c r="L26" i="53"/>
  <c r="L22" i="53"/>
  <c r="L36" i="53"/>
  <c r="P36" i="53"/>
  <c r="L17" i="53"/>
  <c r="L12" i="53"/>
  <c r="L49" i="53"/>
  <c r="L34" i="53"/>
  <c r="L25" i="53"/>
  <c r="L44" i="53"/>
  <c r="L15" i="53"/>
  <c r="P15" i="53"/>
  <c r="L13" i="53"/>
  <c r="L23" i="53"/>
  <c r="L20" i="53"/>
  <c r="L40" i="53"/>
  <c r="L35" i="53"/>
  <c r="L55" i="53"/>
  <c r="N55" i="53"/>
  <c r="L43" i="53"/>
  <c r="N43" i="53"/>
  <c r="L11" i="53"/>
  <c r="P11" i="53"/>
  <c r="L9" i="53"/>
  <c r="L42" i="53"/>
  <c r="L46" i="53"/>
  <c r="L32" i="53"/>
  <c r="L27" i="53"/>
  <c r="L45" i="53"/>
  <c r="L33" i="53"/>
  <c r="L31" i="53"/>
  <c r="N31" i="53"/>
  <c r="L37" i="53"/>
  <c r="L24" i="53"/>
  <c r="P24" i="53"/>
  <c r="L30" i="53"/>
  <c r="L50" i="53"/>
  <c r="L19" i="53"/>
  <c r="L52" i="53"/>
  <c r="L14" i="53"/>
  <c r="L16" i="53"/>
  <c r="L54" i="53"/>
  <c r="L29" i="53"/>
  <c r="L7" i="53"/>
  <c r="P50" i="54"/>
  <c r="P43" i="54"/>
  <c r="L22" i="54"/>
  <c r="P22" i="54"/>
  <c r="L25" i="54"/>
  <c r="L32" i="54"/>
  <c r="L27" i="54"/>
  <c r="N27" i="54"/>
  <c r="L52" i="54"/>
  <c r="L43" i="54"/>
  <c r="L38" i="54"/>
  <c r="L24" i="54"/>
  <c r="N24" i="54"/>
  <c r="L31" i="54"/>
  <c r="P31" i="54"/>
  <c r="L44" i="54"/>
  <c r="L56" i="54"/>
  <c r="N56" i="54"/>
  <c r="L42" i="54"/>
  <c r="L51" i="54"/>
  <c r="N51" i="54"/>
  <c r="L37" i="54"/>
  <c r="L47" i="54"/>
  <c r="L14" i="54"/>
  <c r="N14" i="54"/>
  <c r="L53" i="54"/>
  <c r="L8" i="54"/>
  <c r="L55" i="54"/>
  <c r="P55" i="54"/>
  <c r="L48" i="54"/>
  <c r="N48" i="54"/>
  <c r="L16" i="54"/>
  <c r="L41" i="54"/>
  <c r="P41" i="54"/>
  <c r="L33" i="54"/>
  <c r="N33" i="54"/>
  <c r="L20" i="54"/>
  <c r="N20" i="54"/>
  <c r="L19" i="54"/>
  <c r="L11" i="54"/>
  <c r="L45" i="54"/>
  <c r="P45" i="54"/>
  <c r="L21" i="54"/>
  <c r="L49" i="54"/>
  <c r="L13" i="54"/>
  <c r="N13" i="54"/>
  <c r="L40" i="54"/>
  <c r="N40" i="54"/>
  <c r="L10" i="54"/>
  <c r="P10" i="54"/>
  <c r="L17" i="54"/>
  <c r="L54" i="54"/>
  <c r="L35" i="54"/>
  <c r="P35" i="54"/>
  <c r="L34" i="54"/>
  <c r="L9" i="54"/>
  <c r="N9" i="54"/>
  <c r="L46" i="54"/>
  <c r="L12" i="54"/>
  <c r="L15" i="54"/>
  <c r="N15" i="54"/>
  <c r="L29" i="54"/>
  <c r="P29" i="54"/>
  <c r="L23" i="54"/>
  <c r="L28" i="54"/>
  <c r="L30" i="54"/>
  <c r="N30" i="54"/>
  <c r="L36" i="54"/>
  <c r="L18" i="54"/>
  <c r="L39" i="54"/>
  <c r="P39" i="54"/>
  <c r="L55" i="56"/>
  <c r="P55" i="56"/>
  <c r="L50" i="56"/>
  <c r="L19" i="56"/>
  <c r="L51" i="56"/>
  <c r="P51" i="56"/>
  <c r="L43" i="56"/>
  <c r="P43" i="56"/>
  <c r="L23" i="56"/>
  <c r="P23" i="56"/>
  <c r="L33" i="56"/>
  <c r="L56" i="56"/>
  <c r="P56" i="56"/>
  <c r="L46" i="56"/>
  <c r="L47" i="56"/>
  <c r="P47" i="56"/>
  <c r="L42" i="56"/>
  <c r="P42" i="56"/>
  <c r="L54" i="56"/>
  <c r="P54" i="56"/>
  <c r="L29" i="56"/>
  <c r="P29" i="56"/>
  <c r="L11" i="56"/>
  <c r="L21" i="56"/>
  <c r="L10" i="56"/>
  <c r="P10" i="56"/>
  <c r="L35" i="56"/>
  <c r="L41" i="56"/>
  <c r="L19" i="57"/>
  <c r="P19" i="57"/>
  <c r="L32" i="57"/>
  <c r="P32" i="57"/>
  <c r="L53" i="57"/>
  <c r="P53" i="57"/>
  <c r="L31" i="57"/>
  <c r="L43" i="57"/>
  <c r="L48" i="57"/>
  <c r="P48" i="57"/>
  <c r="L47" i="57"/>
  <c r="P47" i="57"/>
  <c r="L14" i="57"/>
  <c r="P14" i="57"/>
  <c r="L38" i="57"/>
  <c r="L50" i="57"/>
  <c r="P50" i="57"/>
  <c r="L23" i="57"/>
  <c r="P23" i="57"/>
  <c r="L15" i="57"/>
  <c r="L24" i="57"/>
  <c r="L18" i="57"/>
  <c r="L56" i="57"/>
  <c r="L45" i="57"/>
  <c r="L35" i="57"/>
  <c r="P35" i="57"/>
  <c r="L40" i="57"/>
  <c r="L17" i="57"/>
  <c r="P17" i="57"/>
  <c r="L37" i="57"/>
  <c r="L55" i="57"/>
  <c r="L44" i="57"/>
  <c r="L13" i="57"/>
  <c r="N13" i="57"/>
  <c r="L49" i="57"/>
  <c r="P49" i="57"/>
  <c r="L33" i="57"/>
  <c r="P33" i="57"/>
  <c r="L46" i="57"/>
  <c r="L26" i="57"/>
  <c r="L20" i="57"/>
  <c r="P20" i="57"/>
  <c r="L51" i="57"/>
  <c r="L54" i="57"/>
  <c r="L29" i="57"/>
  <c r="L42" i="57"/>
  <c r="L12" i="57"/>
  <c r="L21" i="57"/>
  <c r="P21" i="57"/>
  <c r="L41" i="57"/>
  <c r="P41" i="57"/>
  <c r="L22" i="57"/>
  <c r="L30" i="57"/>
  <c r="P30" i="57"/>
  <c r="L39" i="57"/>
  <c r="L27" i="57"/>
  <c r="P27" i="57"/>
  <c r="L36" i="57"/>
  <c r="L52" i="57"/>
  <c r="L11" i="57"/>
  <c r="P34" i="60"/>
  <c r="P32" i="60"/>
  <c r="P42" i="60"/>
  <c r="P14" i="60"/>
  <c r="L28" i="61"/>
  <c r="L19" i="61"/>
  <c r="L47" i="61"/>
  <c r="L45" i="61"/>
  <c r="L16" i="61"/>
  <c r="L25" i="61"/>
  <c r="P25" i="61"/>
  <c r="L37" i="61"/>
  <c r="L32" i="61"/>
  <c r="L40" i="61"/>
  <c r="P40" i="61"/>
  <c r="L27" i="61"/>
  <c r="L39" i="61"/>
  <c r="L34" i="61"/>
  <c r="P34" i="61"/>
  <c r="L31" i="61"/>
  <c r="L33" i="61"/>
  <c r="L42" i="61"/>
  <c r="L18" i="61"/>
  <c r="L50" i="61"/>
  <c r="L26" i="61"/>
  <c r="P26" i="61"/>
  <c r="L53" i="61"/>
  <c r="L56" i="61"/>
  <c r="L52" i="61"/>
  <c r="P52" i="61"/>
  <c r="L35" i="61"/>
  <c r="L22" i="61"/>
  <c r="L55" i="61"/>
  <c r="L29" i="61"/>
  <c r="N29" i="61"/>
  <c r="L54" i="61"/>
  <c r="L44" i="61"/>
  <c r="N44" i="61"/>
  <c r="L46" i="61"/>
  <c r="L49" i="61"/>
  <c r="L23" i="61"/>
  <c r="L20" i="61"/>
  <c r="L17" i="61"/>
  <c r="P17" i="61"/>
  <c r="L48" i="61"/>
  <c r="P48" i="61"/>
  <c r="N56" i="53"/>
  <c r="P56" i="53"/>
  <c r="N16" i="57"/>
  <c r="O56" i="60"/>
  <c r="N23" i="52"/>
  <c r="N20" i="52"/>
  <c r="N51" i="53"/>
  <c r="N44" i="60"/>
  <c r="N53" i="53"/>
  <c r="N38" i="53"/>
  <c r="P39" i="53"/>
  <c r="N39" i="53"/>
  <c r="P41" i="61"/>
  <c r="N41" i="61"/>
  <c r="N51" i="61"/>
  <c r="P51" i="61"/>
  <c r="P30" i="61"/>
  <c r="N30" i="61"/>
  <c r="N15" i="61"/>
  <c r="P15" i="61"/>
  <c r="O44" i="56"/>
  <c r="S44" i="56" s="1"/>
  <c r="N53" i="60"/>
  <c r="N26" i="60"/>
  <c r="N54" i="60"/>
  <c r="O53" i="55"/>
  <c r="O68" i="53"/>
  <c r="S68" i="53" s="1"/>
  <c r="O39" i="58"/>
  <c r="O43" i="58"/>
  <c r="O55" i="58"/>
  <c r="O14" i="59"/>
  <c r="O45" i="58"/>
  <c r="O62" i="57"/>
  <c r="S62" i="57" s="1"/>
  <c r="O27" i="52"/>
  <c r="S27" i="52" s="1"/>
  <c r="O33" i="58"/>
  <c r="O41" i="60"/>
  <c r="O41" i="59"/>
  <c r="N30" i="57"/>
  <c r="P30" i="56"/>
  <c r="P20" i="56"/>
  <c r="N32" i="57"/>
  <c r="P28" i="56"/>
  <c r="N28" i="57"/>
  <c r="P40" i="58"/>
  <c r="N40" i="58"/>
  <c r="N19" i="57"/>
  <c r="S19" i="57"/>
  <c r="P19" i="56"/>
  <c r="P11" i="54"/>
  <c r="N19" i="54"/>
  <c r="P19" i="54"/>
  <c r="P20" i="54"/>
  <c r="N23" i="54"/>
  <c r="P23" i="54"/>
  <c r="P26" i="54"/>
  <c r="N26" i="54"/>
  <c r="N18" i="54"/>
  <c r="P18" i="54"/>
  <c r="N25" i="60"/>
  <c r="N50" i="57"/>
  <c r="P50" i="56"/>
  <c r="O31" i="58"/>
  <c r="O48" i="58"/>
  <c r="O48" i="59"/>
  <c r="P55" i="52"/>
  <c r="N55" i="52"/>
  <c r="O26" i="59"/>
  <c r="O34" i="57"/>
  <c r="S34" i="57" s="1"/>
  <c r="O34" i="56"/>
  <c r="N56" i="60"/>
  <c r="L10" i="57"/>
  <c r="N10" i="57"/>
  <c r="S10" i="57"/>
  <c r="P11" i="56"/>
  <c r="P48" i="60"/>
  <c r="N45" i="54"/>
  <c r="P36" i="61"/>
  <c r="N36" i="61"/>
  <c r="N24" i="61"/>
  <c r="P24" i="61"/>
  <c r="N43" i="61"/>
  <c r="P43" i="61"/>
  <c r="N21" i="61"/>
  <c r="P21" i="61"/>
  <c r="N38" i="61"/>
  <c r="P38" i="61"/>
  <c r="N54" i="61"/>
  <c r="P15" i="52"/>
  <c r="N15" i="52"/>
  <c r="N15" i="53"/>
  <c r="N36" i="52"/>
  <c r="N36" i="53"/>
  <c r="P36" i="52"/>
  <c r="O57" i="59"/>
  <c r="S57" i="59"/>
  <c r="O43" i="59"/>
  <c r="O43" i="60"/>
  <c r="L36" i="55"/>
  <c r="L49" i="55"/>
  <c r="L44" i="55"/>
  <c r="L52" i="55"/>
  <c r="L40" i="55"/>
  <c r="L34" i="55"/>
  <c r="L50" i="55"/>
  <c r="L51" i="55"/>
  <c r="L53" i="55"/>
  <c r="L35" i="55"/>
  <c r="L27" i="55"/>
  <c r="N27" i="56"/>
  <c r="L42" i="55"/>
  <c r="L43" i="55"/>
  <c r="L14" i="55"/>
  <c r="L33" i="55"/>
  <c r="L47" i="55"/>
  <c r="L30" i="55"/>
  <c r="L16" i="55"/>
  <c r="L19" i="55"/>
  <c r="L38" i="55"/>
  <c r="N38" i="56"/>
  <c r="L20" i="55"/>
  <c r="L32" i="55"/>
  <c r="L11" i="55"/>
  <c r="N11" i="56"/>
  <c r="L56" i="55"/>
  <c r="L21" i="55"/>
  <c r="L55" i="55"/>
  <c r="L46" i="55"/>
  <c r="N46" i="56"/>
  <c r="L15" i="55"/>
  <c r="L17" i="55"/>
  <c r="L45" i="55"/>
  <c r="L28" i="55"/>
  <c r="L12" i="55"/>
  <c r="L37" i="55"/>
  <c r="L39" i="55"/>
  <c r="L10" i="55"/>
  <c r="L9" i="55"/>
  <c r="L29" i="55"/>
  <c r="L25" i="55"/>
  <c r="L23" i="55"/>
  <c r="L31" i="55"/>
  <c r="L48" i="55"/>
  <c r="L18" i="55"/>
  <c r="L14" i="58"/>
  <c r="L54" i="58"/>
  <c r="L35" i="58"/>
  <c r="L17" i="58"/>
  <c r="L15" i="58"/>
  <c r="L12" i="58"/>
  <c r="L28" i="58"/>
  <c r="L44" i="58"/>
  <c r="L33" i="58"/>
  <c r="L27" i="58"/>
  <c r="L45" i="58"/>
  <c r="L47" i="58"/>
  <c r="L13" i="58"/>
  <c r="L37" i="58"/>
  <c r="L39" i="58"/>
  <c r="L31" i="58"/>
  <c r="L25" i="58"/>
  <c r="L53" i="58"/>
  <c r="L42" i="58"/>
  <c r="L46" i="58"/>
  <c r="L51" i="58"/>
  <c r="L56" i="58"/>
  <c r="L30" i="58"/>
  <c r="L32" i="58"/>
  <c r="L50" i="58"/>
  <c r="L23" i="58"/>
  <c r="L48" i="58"/>
  <c r="L26" i="58"/>
  <c r="L34" i="58"/>
  <c r="L36" i="58"/>
  <c r="L21" i="58"/>
  <c r="L29" i="58"/>
  <c r="L18" i="58"/>
  <c r="L16" i="58"/>
  <c r="L55" i="58"/>
  <c r="L24" i="58"/>
  <c r="L43" i="58"/>
  <c r="L22" i="58"/>
  <c r="L49" i="58"/>
  <c r="L38" i="58"/>
  <c r="L20" i="58"/>
  <c r="N20" i="59"/>
  <c r="L19" i="58"/>
  <c r="L52" i="58"/>
  <c r="L41" i="58"/>
  <c r="P15" i="59"/>
  <c r="P34" i="59"/>
  <c r="P56" i="59"/>
  <c r="P28" i="59"/>
  <c r="P52" i="59"/>
  <c r="P16" i="59"/>
  <c r="P40" i="59"/>
  <c r="P33" i="59"/>
  <c r="P36" i="59"/>
  <c r="P41" i="59"/>
  <c r="P43" i="59"/>
  <c r="P21" i="59"/>
  <c r="P46" i="59"/>
  <c r="P54" i="59"/>
  <c r="P42" i="59"/>
  <c r="P13" i="59"/>
  <c r="P49" i="59"/>
  <c r="P24" i="59"/>
  <c r="P30" i="59"/>
  <c r="P48" i="59"/>
  <c r="P37" i="59"/>
  <c r="P50" i="59"/>
  <c r="P22" i="59"/>
  <c r="P38" i="59"/>
  <c r="P26" i="59"/>
  <c r="P53" i="59"/>
  <c r="P14" i="59"/>
  <c r="P55" i="59"/>
  <c r="P55" i="60"/>
  <c r="S55" i="60"/>
  <c r="P16" i="60"/>
  <c r="P49" i="60"/>
  <c r="P28" i="60"/>
  <c r="P21" i="60"/>
  <c r="P23" i="60"/>
  <c r="P52" i="60"/>
  <c r="P33" i="60"/>
  <c r="P54" i="60"/>
  <c r="P25" i="60"/>
  <c r="P47" i="60"/>
  <c r="P29" i="60"/>
  <c r="P18" i="60"/>
  <c r="P37" i="60"/>
  <c r="P17" i="60"/>
  <c r="P22" i="60"/>
  <c r="P36" i="60"/>
  <c r="P31" i="60"/>
  <c r="P43" i="60"/>
  <c r="P26" i="60"/>
  <c r="P53" i="60"/>
  <c r="P44" i="60"/>
  <c r="P46" i="60"/>
  <c r="P56" i="60"/>
  <c r="P15" i="60"/>
  <c r="P40" i="60"/>
  <c r="P41" i="60"/>
  <c r="P19" i="60"/>
  <c r="P39" i="60"/>
  <c r="P20" i="60"/>
  <c r="P51" i="60"/>
  <c r="P24" i="60"/>
  <c r="M15" i="61"/>
  <c r="M55" i="61"/>
  <c r="M60" i="61"/>
  <c r="O60" i="61" s="1"/>
  <c r="S60" i="61" s="1"/>
  <c r="M44" i="61"/>
  <c r="M18" i="61"/>
  <c r="M48" i="61"/>
  <c r="M35" i="61"/>
  <c r="M27" i="61"/>
  <c r="O27" i="61"/>
  <c r="M19" i="61"/>
  <c r="M39" i="61"/>
  <c r="M28" i="61"/>
  <c r="O28" i="61" s="1"/>
  <c r="M58" i="61"/>
  <c r="O58" i="61" s="1"/>
  <c r="M32" i="61"/>
  <c r="M22" i="61"/>
  <c r="M51" i="61"/>
  <c r="O51" i="61"/>
  <c r="S51" i="61" s="1"/>
  <c r="M36" i="61"/>
  <c r="M40" i="61"/>
  <c r="M61" i="61"/>
  <c r="M24" i="61"/>
  <c r="M54" i="61"/>
  <c r="O54" i="61" s="1"/>
  <c r="M38" i="61"/>
  <c r="M17" i="61"/>
  <c r="M62" i="61"/>
  <c r="M45" i="61"/>
  <c r="M29" i="61"/>
  <c r="M47" i="61"/>
  <c r="O47" i="61"/>
  <c r="S47" i="61" s="1"/>
  <c r="M52" i="61"/>
  <c r="M14" i="61"/>
  <c r="M16" i="61"/>
  <c r="O16" i="61" s="1"/>
  <c r="S16" i="61" s="1"/>
  <c r="M63" i="61"/>
  <c r="M34" i="61"/>
  <c r="M21" i="61"/>
  <c r="O21" i="61" s="1"/>
  <c r="S21" i="61" s="1"/>
  <c r="M49" i="61"/>
  <c r="M57" i="61"/>
  <c r="M23" i="61"/>
  <c r="O23" i="61" s="1"/>
  <c r="S23" i="61" s="1"/>
  <c r="M20" i="61"/>
  <c r="M46" i="61"/>
  <c r="M41" i="61"/>
  <c r="O41" i="61" s="1"/>
  <c r="S41" i="61" s="1"/>
  <c r="M26" i="61"/>
  <c r="M43" i="61"/>
  <c r="M64" i="61"/>
  <c r="M42" i="61"/>
  <c r="M25" i="61"/>
  <c r="M37" i="61"/>
  <c r="M66" i="61"/>
  <c r="O66" i="61" s="1"/>
  <c r="M59" i="61"/>
  <c r="M56" i="61"/>
  <c r="O56" i="61" s="1"/>
  <c r="S56" i="61" s="1"/>
  <c r="M30" i="61"/>
  <c r="M33" i="61"/>
  <c r="O33" i="61" s="1"/>
  <c r="S33" i="61" s="1"/>
  <c r="M67" i="61"/>
  <c r="O67" i="61" s="1"/>
  <c r="S67" i="61" s="1"/>
  <c r="M53" i="61"/>
  <c r="O53" i="61" s="1"/>
  <c r="M50" i="61"/>
  <c r="N15" i="59"/>
  <c r="N20" i="60"/>
  <c r="S68" i="60"/>
  <c r="N30" i="56"/>
  <c r="N24" i="52"/>
  <c r="N24" i="53"/>
  <c r="O20" i="53"/>
  <c r="P24" i="52"/>
  <c r="P27" i="56"/>
  <c r="P39" i="59"/>
  <c r="N25" i="59"/>
  <c r="N24" i="59"/>
  <c r="N45" i="59"/>
  <c r="N45" i="60"/>
  <c r="N48" i="59"/>
  <c r="P38" i="56"/>
  <c r="N14" i="56"/>
  <c r="N14" i="57"/>
  <c r="N31" i="56"/>
  <c r="P27" i="60"/>
  <c r="P38" i="60"/>
  <c r="P54" i="61"/>
  <c r="P44" i="61"/>
  <c r="N26" i="61"/>
  <c r="N29" i="54"/>
  <c r="P31" i="53"/>
  <c r="N31" i="54"/>
  <c r="P13" i="57"/>
  <c r="P44" i="57"/>
  <c r="N44" i="57"/>
  <c r="N55" i="57"/>
  <c r="P55" i="57"/>
  <c r="N40" i="57"/>
  <c r="P40" i="57"/>
  <c r="P45" i="57"/>
  <c r="N45" i="57"/>
  <c r="P18" i="57"/>
  <c r="N18" i="57"/>
  <c r="P24" i="57"/>
  <c r="N24" i="57"/>
  <c r="N23" i="59"/>
  <c r="N23" i="60"/>
  <c r="L22" i="55"/>
  <c r="L26" i="55"/>
  <c r="L54" i="55"/>
  <c r="L13" i="55"/>
  <c r="P11" i="52"/>
  <c r="N11" i="52"/>
  <c r="O36" i="56"/>
  <c r="O69" i="57"/>
  <c r="S69" i="57" s="1"/>
  <c r="O69" i="56"/>
  <c r="S69" i="56" s="1"/>
  <c r="O14" i="56"/>
  <c r="M69" i="61"/>
  <c r="P32" i="59"/>
  <c r="P17" i="59"/>
  <c r="P25" i="59"/>
  <c r="N20" i="57"/>
  <c r="N28" i="56"/>
  <c r="O66" i="57"/>
  <c r="S66" i="57" s="1"/>
  <c r="N11" i="57"/>
  <c r="P45" i="59"/>
  <c r="P35" i="60"/>
  <c r="L24" i="55"/>
  <c r="P18" i="59"/>
  <c r="P31" i="59"/>
  <c r="P20" i="59"/>
  <c r="N53" i="56"/>
  <c r="N48" i="57"/>
  <c r="P48" i="56"/>
  <c r="N17" i="56"/>
  <c r="P17" i="56"/>
  <c r="P46" i="56"/>
  <c r="P50" i="60"/>
  <c r="P45" i="60"/>
  <c r="P23" i="59"/>
  <c r="P41" i="53"/>
  <c r="P10" i="53"/>
  <c r="N10" i="53"/>
  <c r="N8" i="53"/>
  <c r="P8" i="53"/>
  <c r="N8" i="54"/>
  <c r="N39" i="54"/>
  <c r="N52" i="60"/>
  <c r="N21" i="60"/>
  <c r="N17" i="61"/>
  <c r="N17" i="60"/>
  <c r="N23" i="57"/>
  <c r="L41" i="55"/>
  <c r="M65" i="61"/>
  <c r="N18" i="56"/>
  <c r="N40" i="59"/>
  <c r="P20" i="52"/>
  <c r="N15" i="56"/>
  <c r="N49" i="56"/>
  <c r="P50" i="52"/>
  <c r="P49" i="56"/>
  <c r="N31" i="59"/>
  <c r="P9" i="54"/>
  <c r="N35" i="54"/>
  <c r="P27" i="54"/>
  <c r="N27" i="53"/>
  <c r="P27" i="53"/>
  <c r="N43" i="54"/>
  <c r="P43" i="53"/>
  <c r="N55" i="54"/>
  <c r="P55" i="53"/>
  <c r="N35" i="53"/>
  <c r="P35" i="53"/>
  <c r="N55" i="56"/>
  <c r="P28" i="52"/>
  <c r="N28" i="53"/>
  <c r="S28" i="53"/>
  <c r="N39" i="52"/>
  <c r="P39" i="52"/>
  <c r="S66" i="61"/>
  <c r="S58" i="61"/>
  <c r="O37" i="60"/>
  <c r="S37" i="60" s="1"/>
  <c r="O16" i="60"/>
  <c r="S16" i="60" s="1"/>
  <c r="N51" i="52"/>
  <c r="O58" i="60"/>
  <c r="S58" i="60"/>
  <c r="O58" i="59"/>
  <c r="S58" i="59"/>
  <c r="N30" i="59"/>
  <c r="N39" i="59"/>
  <c r="N39" i="56"/>
  <c r="N16" i="56"/>
  <c r="P53" i="56"/>
  <c r="N12" i="54"/>
  <c r="P12" i="54"/>
  <c r="N46" i="54"/>
  <c r="P46" i="54"/>
  <c r="N17" i="54"/>
  <c r="P17" i="54"/>
  <c r="N10" i="54"/>
  <c r="N52" i="54"/>
  <c r="P52" i="54"/>
  <c r="O15" i="55"/>
  <c r="O15" i="56"/>
  <c r="S15" i="56" s="1"/>
  <c r="O24" i="55"/>
  <c r="O24" i="56"/>
  <c r="S57" i="52"/>
  <c r="P26" i="53"/>
  <c r="N41" i="54"/>
  <c r="P33" i="61"/>
  <c r="N33" i="61"/>
  <c r="N34" i="61"/>
  <c r="N39" i="61"/>
  <c r="P39" i="61"/>
  <c r="O45" i="53"/>
  <c r="N40" i="61"/>
  <c r="N11" i="53"/>
  <c r="N31" i="52"/>
  <c r="N19" i="52"/>
  <c r="N18" i="52"/>
  <c r="O15" i="61"/>
  <c r="S15" i="61" s="1"/>
  <c r="O43" i="61"/>
  <c r="O19" i="61"/>
  <c r="S62" i="56"/>
  <c r="M67" i="52"/>
  <c r="M34" i="52"/>
  <c r="M10" i="52"/>
  <c r="M49" i="52"/>
  <c r="O49" i="53" s="1"/>
  <c r="M63" i="52"/>
  <c r="M39" i="52"/>
  <c r="M62" i="52"/>
  <c r="O62" i="53" s="1"/>
  <c r="S62" i="53" s="1"/>
  <c r="M55" i="52"/>
  <c r="M69" i="52"/>
  <c r="M25" i="52"/>
  <c r="M9" i="52"/>
  <c r="O9" i="53"/>
  <c r="M66" i="52"/>
  <c r="O66" i="52"/>
  <c r="S66" i="52" s="1"/>
  <c r="M60" i="52"/>
  <c r="M54" i="52"/>
  <c r="O54" i="53" s="1"/>
  <c r="S54" i="53" s="1"/>
  <c r="M61" i="52"/>
  <c r="M8" i="52"/>
  <c r="M40" i="52"/>
  <c r="O40" i="53" s="1"/>
  <c r="S40" i="53" s="1"/>
  <c r="M42" i="52"/>
  <c r="M64" i="52"/>
  <c r="M43" i="52"/>
  <c r="O43" i="53" s="1"/>
  <c r="S43" i="53" s="1"/>
  <c r="M58" i="52"/>
  <c r="M11" i="52"/>
  <c r="O11" i="52" s="1"/>
  <c r="M7" i="52"/>
  <c r="M16" i="52"/>
  <c r="M23" i="52"/>
  <c r="M18" i="52"/>
  <c r="O18" i="53"/>
  <c r="M29" i="52"/>
  <c r="M36" i="52"/>
  <c r="O36" i="53" s="1"/>
  <c r="M12" i="52"/>
  <c r="O12" i="53" s="1"/>
  <c r="M31" i="52"/>
  <c r="M65" i="52"/>
  <c r="M35" i="52"/>
  <c r="O35" i="52" s="1"/>
  <c r="M46" i="52"/>
  <c r="M32" i="52"/>
  <c r="O32" i="53" s="1"/>
  <c r="M37" i="52"/>
  <c r="M24" i="52"/>
  <c r="O24" i="53" s="1"/>
  <c r="S24" i="53" s="1"/>
  <c r="M17" i="60"/>
  <c r="M22" i="60"/>
  <c r="M62" i="60"/>
  <c r="M24" i="60"/>
  <c r="M45" i="60"/>
  <c r="M34" i="60"/>
  <c r="M63" i="60"/>
  <c r="M48" i="60"/>
  <c r="M14" i="60"/>
  <c r="O14" i="60" s="1"/>
  <c r="S14" i="60" s="1"/>
  <c r="M44" i="60"/>
  <c r="M65" i="60"/>
  <c r="M20" i="60"/>
  <c r="M38" i="60"/>
  <c r="O38" i="61" s="1"/>
  <c r="M40" i="60"/>
  <c r="M36" i="60"/>
  <c r="M42" i="60"/>
  <c r="M26" i="60"/>
  <c r="O26" i="60" s="1"/>
  <c r="S26" i="60" s="1"/>
  <c r="M59" i="60"/>
  <c r="M18" i="60"/>
  <c r="M35" i="60"/>
  <c r="M31" i="60"/>
  <c r="M29" i="60"/>
  <c r="M25" i="60"/>
  <c r="O38" i="52"/>
  <c r="O24" i="54"/>
  <c r="L26" i="52"/>
  <c r="L47" i="52"/>
  <c r="L41" i="52"/>
  <c r="M61" i="54"/>
  <c r="M64" i="54"/>
  <c r="M67" i="54"/>
  <c r="M38" i="54"/>
  <c r="O38" i="55" s="1"/>
  <c r="M18" i="54"/>
  <c r="M59" i="54"/>
  <c r="M39" i="54"/>
  <c r="O39" i="55" s="1"/>
  <c r="M8" i="54"/>
  <c r="M47" i="54"/>
  <c r="M66" i="54"/>
  <c r="O66" i="55" s="1"/>
  <c r="S66" i="55" s="1"/>
  <c r="M20" i="54"/>
  <c r="M28" i="54"/>
  <c r="M32" i="54"/>
  <c r="M12" i="54"/>
  <c r="M26" i="54"/>
  <c r="M10" i="54"/>
  <c r="M41" i="54"/>
  <c r="O41" i="55"/>
  <c r="M55" i="54"/>
  <c r="M34" i="54"/>
  <c r="M30" i="54"/>
  <c r="M49" i="54"/>
  <c r="M45" i="54"/>
  <c r="M52" i="54"/>
  <c r="O52" i="55" s="1"/>
  <c r="M40" i="54"/>
  <c r="M31" i="54"/>
  <c r="M23" i="54"/>
  <c r="M7" i="54"/>
  <c r="M63" i="54"/>
  <c r="O63" i="55"/>
  <c r="S63" i="55" s="1"/>
  <c r="M42" i="54"/>
  <c r="M33" i="54"/>
  <c r="O33" i="55" s="1"/>
  <c r="S33" i="55" s="1"/>
  <c r="M25" i="54"/>
  <c r="M9" i="54"/>
  <c r="O28" i="54"/>
  <c r="O69" i="52"/>
  <c r="S69" i="52" s="1"/>
  <c r="M62" i="1"/>
  <c r="O62" i="52" s="1"/>
  <c r="S62" i="52" s="1"/>
  <c r="M50" i="1"/>
  <c r="O50" i="52" s="1"/>
  <c r="S50" i="52" s="1"/>
  <c r="M22" i="1"/>
  <c r="O22" i="52" s="1"/>
  <c r="S22" i="52" s="1"/>
  <c r="M6" i="1"/>
  <c r="M53" i="1"/>
  <c r="O53" i="52"/>
  <c r="M41" i="1"/>
  <c r="O41" i="52"/>
  <c r="M25" i="1"/>
  <c r="O25" i="52"/>
  <c r="S25" i="52" s="1"/>
  <c r="M9" i="1"/>
  <c r="O9" i="52"/>
  <c r="S9" i="52" s="1"/>
  <c r="M68" i="1"/>
  <c r="O68" i="52" s="1"/>
  <c r="S68" i="52"/>
  <c r="M56" i="1"/>
  <c r="M40" i="1"/>
  <c r="O40" i="52" s="1"/>
  <c r="S40" i="52" s="1"/>
  <c r="M24" i="1"/>
  <c r="O24" i="52" s="1"/>
  <c r="S24" i="52" s="1"/>
  <c r="M54" i="1"/>
  <c r="O54" i="52" s="1"/>
  <c r="S54" i="52" s="1"/>
  <c r="M42" i="1"/>
  <c r="O42" i="52" s="1"/>
  <c r="S42" i="52" s="1"/>
  <c r="M30" i="1"/>
  <c r="O30" i="52"/>
  <c r="M14" i="1"/>
  <c r="O14" i="52"/>
  <c r="M61" i="1"/>
  <c r="O61" i="52"/>
  <c r="S61" i="52" s="1"/>
  <c r="M49" i="1"/>
  <c r="O49" i="52" s="1"/>
  <c r="M33" i="1"/>
  <c r="M17" i="1"/>
  <c r="O17" i="52"/>
  <c r="S17" i="52" s="1"/>
  <c r="M60" i="1"/>
  <c r="M48" i="1"/>
  <c r="M32" i="1"/>
  <c r="O32" i="52"/>
  <c r="S32" i="52" s="1"/>
  <c r="M16" i="1"/>
  <c r="O16" i="52" s="1"/>
  <c r="M21" i="53"/>
  <c r="M16" i="53"/>
  <c r="O16" i="54"/>
  <c r="M42" i="53"/>
  <c r="O42" i="54"/>
  <c r="S42" i="54" s="1"/>
  <c r="M65" i="53"/>
  <c r="O65" i="54"/>
  <c r="S65" i="54" s="1"/>
  <c r="M61" i="53"/>
  <c r="O61" i="54" s="1"/>
  <c r="S61" i="54"/>
  <c r="M44" i="53"/>
  <c r="M14" i="53"/>
  <c r="M51" i="53"/>
  <c r="M19" i="53"/>
  <c r="O19" i="54" s="1"/>
  <c r="S19" i="54" s="1"/>
  <c r="M38" i="53"/>
  <c r="O38" i="54"/>
  <c r="S38" i="54" s="1"/>
  <c r="M60" i="53"/>
  <c r="O60" i="54"/>
  <c r="S60" i="54" s="1"/>
  <c r="M66" i="53"/>
  <c r="M56" i="53"/>
  <c r="M59" i="53"/>
  <c r="O59" i="53" s="1"/>
  <c r="M63" i="53"/>
  <c r="O63" i="54" s="1"/>
  <c r="S63" i="54" s="1"/>
  <c r="M22" i="53"/>
  <c r="M33" i="53"/>
  <c r="M23" i="53"/>
  <c r="O23" i="54" s="1"/>
  <c r="S23" i="54" s="1"/>
  <c r="M11" i="53"/>
  <c r="M53" i="53"/>
  <c r="M10" i="53"/>
  <c r="M35" i="53"/>
  <c r="M57" i="53"/>
  <c r="M30" i="53"/>
  <c r="M8" i="53"/>
  <c r="M7" i="53"/>
  <c r="O7" i="53" s="1"/>
  <c r="M41" i="53"/>
  <c r="M13" i="53"/>
  <c r="M69" i="53"/>
  <c r="O69" i="54"/>
  <c r="S69" i="54" s="1"/>
  <c r="M39" i="53"/>
  <c r="O39" i="53" s="1"/>
  <c r="M25" i="53"/>
  <c r="O25" i="54" s="1"/>
  <c r="S25" i="54" s="1"/>
  <c r="M6" i="53"/>
  <c r="M26" i="53"/>
  <c r="M46" i="53"/>
  <c r="M26" i="55"/>
  <c r="O26" i="56"/>
  <c r="M42" i="55"/>
  <c r="O42" i="56"/>
  <c r="S42" i="56" s="1"/>
  <c r="M13" i="55"/>
  <c r="M59" i="55"/>
  <c r="O59" i="55" s="1"/>
  <c r="S59" i="55" s="1"/>
  <c r="M68" i="55"/>
  <c r="M57" i="55"/>
  <c r="O57" i="55" s="1"/>
  <c r="M45" i="55"/>
  <c r="O45" i="56"/>
  <c r="M50" i="55"/>
  <c r="M51" i="55"/>
  <c r="O51" i="55" s="1"/>
  <c r="M56" i="55"/>
  <c r="M49" i="55"/>
  <c r="O49" i="56" s="1"/>
  <c r="M54" i="55"/>
  <c r="M55" i="55"/>
  <c r="O55" i="56" s="1"/>
  <c r="S55" i="56" s="1"/>
  <c r="M18" i="55"/>
  <c r="O18" i="56" s="1"/>
  <c r="S18" i="56" s="1"/>
  <c r="M27" i="55"/>
  <c r="O27" i="56" s="1"/>
  <c r="S27" i="56" s="1"/>
  <c r="M19" i="55"/>
  <c r="M25" i="55"/>
  <c r="M30" i="55"/>
  <c r="M31" i="55"/>
  <c r="O31" i="56" s="1"/>
  <c r="M10" i="55"/>
  <c r="O10" i="56" s="1"/>
  <c r="M21" i="55"/>
  <c r="M28" i="55"/>
  <c r="O28" i="56" s="1"/>
  <c r="S28" i="56" s="1"/>
  <c r="M22" i="55"/>
  <c r="M23" i="55"/>
  <c r="O23" i="56" s="1"/>
  <c r="O39" i="54"/>
  <c r="S39" i="54" s="1"/>
  <c r="S48" i="57"/>
  <c r="N25" i="61"/>
  <c r="N11" i="54"/>
  <c r="N49" i="57"/>
  <c r="N44" i="54"/>
  <c r="P51" i="54"/>
  <c r="P27" i="52"/>
  <c r="P35" i="52"/>
  <c r="N42" i="52"/>
  <c r="N38" i="52"/>
  <c r="N22" i="52"/>
  <c r="O20" i="52"/>
  <c r="N27" i="60"/>
  <c r="N36" i="60"/>
  <c r="O46" i="60"/>
  <c r="S46" i="60" s="1"/>
  <c r="O13" i="59"/>
  <c r="S13" i="59" s="1"/>
  <c r="N30" i="60"/>
  <c r="O51" i="59"/>
  <c r="O21" i="59"/>
  <c r="O34" i="59"/>
  <c r="O66" i="59"/>
  <c r="S66" i="59" s="1"/>
  <c r="O28" i="58"/>
  <c r="O26" i="58"/>
  <c r="O23" i="58"/>
  <c r="S23" i="58" s="1"/>
  <c r="O49" i="58"/>
  <c r="O66" i="58"/>
  <c r="S66" i="58" s="1"/>
  <c r="O40" i="57"/>
  <c r="O56" i="58"/>
  <c r="S56" i="58" s="1"/>
  <c r="O68" i="58"/>
  <c r="S68" i="58" s="1"/>
  <c r="N51" i="60"/>
  <c r="P51" i="59"/>
  <c r="O60" i="59"/>
  <c r="S60" i="59"/>
  <c r="O53" i="60"/>
  <c r="O33" i="60"/>
  <c r="O38" i="57"/>
  <c r="L14" i="61"/>
  <c r="N14" i="61"/>
  <c r="S14" i="61"/>
  <c r="N14" i="60"/>
  <c r="O51" i="60"/>
  <c r="S51" i="60" s="1"/>
  <c r="O32" i="60"/>
  <c r="O24" i="59"/>
  <c r="S24" i="59" s="1"/>
  <c r="O22" i="59"/>
  <c r="O35" i="58"/>
  <c r="O35" i="57"/>
  <c r="O55" i="59"/>
  <c r="O46" i="58"/>
  <c r="O54" i="60"/>
  <c r="S54" i="60" s="1"/>
  <c r="O54" i="59"/>
  <c r="O54" i="58"/>
  <c r="O61" i="57"/>
  <c r="S61" i="57"/>
  <c r="O45" i="55"/>
  <c r="S20" i="52"/>
  <c r="S39" i="60"/>
  <c r="S53" i="60"/>
  <c r="P25" i="52"/>
  <c r="O15" i="52"/>
  <c r="S15" i="52"/>
  <c r="O15" i="60"/>
  <c r="S15" i="60" s="1"/>
  <c r="O15" i="59"/>
  <c r="N40" i="60"/>
  <c r="O63" i="58"/>
  <c r="S63" i="58" s="1"/>
  <c r="O64" i="58"/>
  <c r="S64" i="58" s="1"/>
  <c r="O64" i="59"/>
  <c r="S64" i="59" s="1"/>
  <c r="O13" i="58"/>
  <c r="O13" i="57"/>
  <c r="S13" i="57" s="1"/>
  <c r="O41" i="58"/>
  <c r="O59" i="58"/>
  <c r="S59" i="58" s="1"/>
  <c r="O62" i="58"/>
  <c r="S62" i="58" s="1"/>
  <c r="O27" i="57"/>
  <c r="S27" i="57" s="1"/>
  <c r="O18" i="59"/>
  <c r="N37" i="60"/>
  <c r="O14" i="58"/>
  <c r="N32" i="60"/>
  <c r="S32" i="60"/>
  <c r="S38" i="52"/>
  <c r="S15" i="59"/>
  <c r="N28" i="52"/>
  <c r="O25" i="58"/>
  <c r="O25" i="57"/>
  <c r="S25" i="57" s="1"/>
  <c r="O49" i="59"/>
  <c r="O49" i="60"/>
  <c r="S49" i="60" s="1"/>
  <c r="N29" i="60"/>
  <c r="N49" i="60"/>
  <c r="O19" i="60"/>
  <c r="S19" i="60" s="1"/>
  <c r="O25" i="59"/>
  <c r="O16" i="59"/>
  <c r="O39" i="59"/>
  <c r="S39" i="59" s="1"/>
  <c r="O30" i="58"/>
  <c r="O30" i="59"/>
  <c r="S30" i="59" s="1"/>
  <c r="O36" i="58"/>
  <c r="N28" i="60"/>
  <c r="O46" i="57"/>
  <c r="P48" i="53"/>
  <c r="N48" i="53"/>
  <c r="O57" i="58"/>
  <c r="S57" i="58" s="1"/>
  <c r="O12" i="58"/>
  <c r="N33" i="60"/>
  <c r="S33" i="60"/>
  <c r="N28" i="61"/>
  <c r="S28" i="61"/>
  <c r="P28" i="61"/>
  <c r="O38" i="53"/>
  <c r="S38" i="53"/>
  <c r="O43" i="52"/>
  <c r="S43" i="52" s="1"/>
  <c r="S21" i="60"/>
  <c r="P29" i="61"/>
  <c r="S48" i="59"/>
  <c r="N23" i="61"/>
  <c r="P23" i="61"/>
  <c r="N35" i="61"/>
  <c r="P35" i="61"/>
  <c r="N27" i="61"/>
  <c r="P27" i="61"/>
  <c r="N19" i="61"/>
  <c r="P19" i="61"/>
  <c r="P36" i="57"/>
  <c r="N36" i="57"/>
  <c r="S36" i="57"/>
  <c r="P22" i="57"/>
  <c r="N22" i="57"/>
  <c r="P42" i="57"/>
  <c r="N42" i="57"/>
  <c r="P37" i="57"/>
  <c r="N37" i="57"/>
  <c r="P15" i="57"/>
  <c r="N15" i="57"/>
  <c r="P31" i="57"/>
  <c r="N31" i="57"/>
  <c r="N41" i="57"/>
  <c r="P41" i="56"/>
  <c r="P36" i="54"/>
  <c r="N36" i="54"/>
  <c r="N49" i="54"/>
  <c r="P49" i="54"/>
  <c r="N16" i="54"/>
  <c r="P16" i="54"/>
  <c r="P53" i="54"/>
  <c r="N53" i="54"/>
  <c r="N22" i="54"/>
  <c r="P56" i="54"/>
  <c r="P33" i="54"/>
  <c r="P48" i="54"/>
  <c r="P54" i="53"/>
  <c r="N54" i="53"/>
  <c r="N19" i="53"/>
  <c r="P19" i="53"/>
  <c r="N37" i="53"/>
  <c r="P37" i="53"/>
  <c r="P9" i="53"/>
  <c r="N9" i="53"/>
  <c r="N13" i="53"/>
  <c r="P13" i="53"/>
  <c r="N34" i="53"/>
  <c r="P34" i="53"/>
  <c r="P44" i="52"/>
  <c r="P42" i="52"/>
  <c r="N12" i="52"/>
  <c r="P12" i="52"/>
  <c r="N56" i="52"/>
  <c r="N14" i="52"/>
  <c r="L6" i="53"/>
  <c r="N6" i="53"/>
  <c r="S6" i="53"/>
  <c r="N6" i="52"/>
  <c r="P6" i="52"/>
  <c r="S14" i="52"/>
  <c r="P49" i="61"/>
  <c r="N49" i="61"/>
  <c r="N50" i="61"/>
  <c r="P50" i="61"/>
  <c r="N31" i="61"/>
  <c r="P31" i="61"/>
  <c r="P29" i="57"/>
  <c r="N29" i="57"/>
  <c r="N26" i="57"/>
  <c r="P26" i="57"/>
  <c r="N56" i="57"/>
  <c r="P56" i="57"/>
  <c r="N35" i="57"/>
  <c r="S35" i="57"/>
  <c r="P35" i="56"/>
  <c r="N34" i="54"/>
  <c r="P34" i="54"/>
  <c r="N21" i="54"/>
  <c r="P21" i="54"/>
  <c r="N42" i="54"/>
  <c r="P42" i="54"/>
  <c r="P40" i="54"/>
  <c r="P24" i="54"/>
  <c r="S24" i="54"/>
  <c r="N16" i="53"/>
  <c r="P16" i="53"/>
  <c r="N50" i="54"/>
  <c r="P50" i="53"/>
  <c r="P32" i="53"/>
  <c r="N32" i="53"/>
  <c r="P40" i="53"/>
  <c r="N40" i="53"/>
  <c r="N49" i="53"/>
  <c r="P49" i="53"/>
  <c r="S49" i="53"/>
  <c r="P22" i="53"/>
  <c r="N22" i="53"/>
  <c r="N16" i="52"/>
  <c r="P16" i="52"/>
  <c r="S16" i="52"/>
  <c r="N21" i="52"/>
  <c r="S21" i="52"/>
  <c r="N21" i="53"/>
  <c r="N45" i="52"/>
  <c r="P45" i="52"/>
  <c r="N30" i="52"/>
  <c r="S30" i="52"/>
  <c r="N49" i="52"/>
  <c r="O65" i="61"/>
  <c r="S65" i="61" s="1"/>
  <c r="S9" i="53"/>
  <c r="S19" i="52"/>
  <c r="S44" i="52"/>
  <c r="N53" i="57"/>
  <c r="S27" i="53"/>
  <c r="N47" i="57"/>
  <c r="N52" i="61"/>
  <c r="N27" i="57"/>
  <c r="P46" i="61"/>
  <c r="N46" i="61"/>
  <c r="N55" i="61"/>
  <c r="P55" i="61"/>
  <c r="N56" i="61"/>
  <c r="P56" i="61"/>
  <c r="N18" i="61"/>
  <c r="P18" i="61"/>
  <c r="P32" i="61"/>
  <c r="N32" i="61"/>
  <c r="N45" i="61"/>
  <c r="P45" i="61"/>
  <c r="L11" i="58"/>
  <c r="N11" i="58"/>
  <c r="S11" i="58"/>
  <c r="P11" i="57"/>
  <c r="S11" i="57"/>
  <c r="P39" i="57"/>
  <c r="N39" i="57"/>
  <c r="P54" i="57"/>
  <c r="N54" i="57"/>
  <c r="S54" i="57"/>
  <c r="N46" i="57"/>
  <c r="P46" i="57"/>
  <c r="N28" i="54"/>
  <c r="P28" i="54"/>
  <c r="N47" i="54"/>
  <c r="P47" i="54"/>
  <c r="N38" i="54"/>
  <c r="P38" i="54"/>
  <c r="N32" i="54"/>
  <c r="P32" i="54"/>
  <c r="P15" i="54"/>
  <c r="P13" i="54"/>
  <c r="P44" i="54"/>
  <c r="L7" i="54"/>
  <c r="N7" i="54"/>
  <c r="S7" i="54"/>
  <c r="P7" i="53"/>
  <c r="N7" i="53"/>
  <c r="N14" i="53"/>
  <c r="P14" i="53"/>
  <c r="N30" i="53"/>
  <c r="P30" i="53"/>
  <c r="N33" i="53"/>
  <c r="P33" i="53"/>
  <c r="N46" i="53"/>
  <c r="P46" i="53"/>
  <c r="N20" i="53"/>
  <c r="P20" i="53"/>
  <c r="N44" i="53"/>
  <c r="P44" i="53"/>
  <c r="N12" i="53"/>
  <c r="S12" i="53"/>
  <c r="P12" i="53"/>
  <c r="N29" i="52"/>
  <c r="P29" i="52"/>
  <c r="P53" i="52"/>
  <c r="N53" i="52"/>
  <c r="N33" i="52"/>
  <c r="N46" i="52"/>
  <c r="N13" i="52"/>
  <c r="S13" i="52"/>
  <c r="P16" i="61"/>
  <c r="N16" i="61"/>
  <c r="S16" i="54"/>
  <c r="S32" i="53"/>
  <c r="N17" i="57"/>
  <c r="N35" i="56"/>
  <c r="S35" i="56"/>
  <c r="S27" i="61"/>
  <c r="N48" i="61"/>
  <c r="N20" i="61"/>
  <c r="P20" i="61"/>
  <c r="N22" i="61"/>
  <c r="P22" i="61"/>
  <c r="P53" i="61"/>
  <c r="N53" i="61"/>
  <c r="P42" i="61"/>
  <c r="N42" i="61"/>
  <c r="N37" i="61"/>
  <c r="P37" i="61"/>
  <c r="N47" i="61"/>
  <c r="P47" i="61"/>
  <c r="P52" i="57"/>
  <c r="N52" i="57"/>
  <c r="P12" i="57"/>
  <c r="N12" i="57"/>
  <c r="S12" i="57"/>
  <c r="P51" i="57"/>
  <c r="N51" i="57"/>
  <c r="P38" i="57"/>
  <c r="N38" i="57"/>
  <c r="S38" i="57"/>
  <c r="N43" i="57"/>
  <c r="P43" i="57"/>
  <c r="N21" i="57"/>
  <c r="S21" i="57"/>
  <c r="P21" i="56"/>
  <c r="N33" i="57"/>
  <c r="P33" i="56"/>
  <c r="P54" i="54"/>
  <c r="N54" i="54"/>
  <c r="L8" i="55"/>
  <c r="N8" i="55"/>
  <c r="S8" i="55"/>
  <c r="P8" i="54"/>
  <c r="N37" i="54"/>
  <c r="P37" i="54"/>
  <c r="N25" i="54"/>
  <c r="P25" i="54"/>
  <c r="P30" i="54"/>
  <c r="P14" i="54"/>
  <c r="N29" i="53"/>
  <c r="P29" i="53"/>
  <c r="P52" i="53"/>
  <c r="N52" i="53"/>
  <c r="N45" i="53"/>
  <c r="P45" i="53"/>
  <c r="P42" i="53"/>
  <c r="N42" i="53"/>
  <c r="P23" i="53"/>
  <c r="N23" i="53"/>
  <c r="N25" i="53"/>
  <c r="P25" i="53"/>
  <c r="N17" i="53"/>
  <c r="P17" i="53"/>
  <c r="N18" i="53"/>
  <c r="P18" i="53"/>
  <c r="N17" i="52"/>
  <c r="P17" i="52"/>
  <c r="N40" i="52"/>
  <c r="N8" i="52"/>
  <c r="N10" i="52"/>
  <c r="N50" i="53"/>
  <c r="O45" i="61"/>
  <c r="S45" i="61" s="1"/>
  <c r="O45" i="60"/>
  <c r="S45" i="60" s="1"/>
  <c r="O17" i="61"/>
  <c r="O31" i="53"/>
  <c r="S31" i="53" s="1"/>
  <c r="O31" i="52"/>
  <c r="S31" i="52" s="1"/>
  <c r="O11" i="53"/>
  <c r="O42" i="53"/>
  <c r="O25" i="53"/>
  <c r="S39" i="53"/>
  <c r="O34" i="53"/>
  <c r="S34" i="53"/>
  <c r="O34" i="52"/>
  <c r="S34" i="52"/>
  <c r="O45" i="54"/>
  <c r="O51" i="56"/>
  <c r="S51" i="56" s="1"/>
  <c r="O14" i="54"/>
  <c r="S14" i="54" s="1"/>
  <c r="O14" i="53"/>
  <c r="S14" i="53" s="1"/>
  <c r="O12" i="55"/>
  <c r="O12" i="54"/>
  <c r="N47" i="52"/>
  <c r="N47" i="53"/>
  <c r="P47" i="52"/>
  <c r="O26" i="61"/>
  <c r="S26" i="61"/>
  <c r="O19" i="56"/>
  <c r="O19" i="55"/>
  <c r="S19" i="55" s="1"/>
  <c r="O54" i="56"/>
  <c r="S54" i="56" s="1"/>
  <c r="O50" i="55"/>
  <c r="O50" i="56"/>
  <c r="O59" i="54"/>
  <c r="S59" i="54" s="1"/>
  <c r="S59" i="53"/>
  <c r="O44" i="54"/>
  <c r="S44" i="54" s="1"/>
  <c r="O44" i="53"/>
  <c r="S44" i="53" s="1"/>
  <c r="O42" i="55"/>
  <c r="S42" i="55" s="1"/>
  <c r="O31" i="55"/>
  <c r="S31" i="55" s="1"/>
  <c r="O31" i="54"/>
  <c r="O49" i="55"/>
  <c r="S49" i="55" s="1"/>
  <c r="O49" i="54"/>
  <c r="S49" i="54" s="1"/>
  <c r="O32" i="54"/>
  <c r="S32" i="54" s="1"/>
  <c r="O47" i="54"/>
  <c r="S47" i="54" s="1"/>
  <c r="O47" i="55"/>
  <c r="O18" i="54"/>
  <c r="S18" i="54" s="1"/>
  <c r="O18" i="55"/>
  <c r="P26" i="52"/>
  <c r="N26" i="52"/>
  <c r="N26" i="53"/>
  <c r="O35" i="60"/>
  <c r="S35" i="60" s="1"/>
  <c r="O35" i="61"/>
  <c r="S35" i="61" s="1"/>
  <c r="O42" i="61"/>
  <c r="O42" i="60"/>
  <c r="S42" i="60" s="1"/>
  <c r="O20" i="61"/>
  <c r="S20" i="61" s="1"/>
  <c r="O20" i="60"/>
  <c r="S20" i="60" s="1"/>
  <c r="O48" i="60"/>
  <c r="S48" i="60" s="1"/>
  <c r="O48" i="61"/>
  <c r="S48" i="61" s="1"/>
  <c r="O24" i="61"/>
  <c r="S24" i="61" s="1"/>
  <c r="O24" i="60"/>
  <c r="S24" i="60" s="1"/>
  <c r="O46" i="53"/>
  <c r="S46" i="53" s="1"/>
  <c r="O46" i="52"/>
  <c r="O23" i="52"/>
  <c r="S23" i="52" s="1"/>
  <c r="O58" i="53"/>
  <c r="S58" i="53" s="1"/>
  <c r="O69" i="53"/>
  <c r="S69" i="53" s="1"/>
  <c r="O67" i="53"/>
  <c r="S67" i="53"/>
  <c r="O67" i="52"/>
  <c r="S67" i="52" s="1"/>
  <c r="O68" i="55"/>
  <c r="S68" i="55" s="1"/>
  <c r="O68" i="56"/>
  <c r="S68" i="56" s="1"/>
  <c r="O22" i="56"/>
  <c r="S22" i="56" s="1"/>
  <c r="O13" i="55"/>
  <c r="S13" i="55" s="1"/>
  <c r="O13" i="56"/>
  <c r="S13" i="56" s="1"/>
  <c r="O26" i="54"/>
  <c r="S26" i="54" s="1"/>
  <c r="O26" i="53"/>
  <c r="S26" i="53" s="1"/>
  <c r="O33" i="54"/>
  <c r="S33" i="54" s="1"/>
  <c r="O56" i="54"/>
  <c r="O19" i="53"/>
  <c r="S19" i="53" s="1"/>
  <c r="O40" i="55"/>
  <c r="S40" i="55" s="1"/>
  <c r="O40" i="54"/>
  <c r="S40" i="54" s="1"/>
  <c r="O10" i="55"/>
  <c r="O28" i="55"/>
  <c r="S28" i="55" s="1"/>
  <c r="O25" i="60"/>
  <c r="S25" i="60" s="1"/>
  <c r="O25" i="61"/>
  <c r="S25" i="61" s="1"/>
  <c r="O18" i="61"/>
  <c r="S18" i="61" s="1"/>
  <c r="O18" i="60"/>
  <c r="S18" i="60" s="1"/>
  <c r="O36" i="61"/>
  <c r="S36" i="61" s="1"/>
  <c r="O36" i="60"/>
  <c r="S36" i="60"/>
  <c r="O27" i="55"/>
  <c r="S27" i="55" s="1"/>
  <c r="O21" i="56"/>
  <c r="S21" i="56" s="1"/>
  <c r="O21" i="55"/>
  <c r="O41" i="54"/>
  <c r="O41" i="53"/>
  <c r="O57" i="54"/>
  <c r="S57" i="54" s="1"/>
  <c r="O57" i="53"/>
  <c r="S57" i="53" s="1"/>
  <c r="O55" i="54"/>
  <c r="S55" i="54" s="1"/>
  <c r="O55" i="55"/>
  <c r="S55" i="55" s="1"/>
  <c r="O64" i="54"/>
  <c r="S64" i="54" s="1"/>
  <c r="O64" i="55"/>
  <c r="S64" i="55" s="1"/>
  <c r="O56" i="55"/>
  <c r="O56" i="56"/>
  <c r="S57" i="55"/>
  <c r="O57" i="56"/>
  <c r="S57" i="56" s="1"/>
  <c r="O13" i="54"/>
  <c r="S13" i="54" s="1"/>
  <c r="O13" i="53"/>
  <c r="S13" i="53" s="1"/>
  <c r="O30" i="54"/>
  <c r="O30" i="53"/>
  <c r="S30" i="53" s="1"/>
  <c r="O53" i="54"/>
  <c r="S53" i="54"/>
  <c r="O53" i="53"/>
  <c r="S53" i="53" s="1"/>
  <c r="O22" i="53"/>
  <c r="S22" i="53" s="1"/>
  <c r="O66" i="54"/>
  <c r="S66" i="54"/>
  <c r="O51" i="54"/>
  <c r="S51" i="54" s="1"/>
  <c r="O51" i="53"/>
  <c r="S51" i="53" s="1"/>
  <c r="O34" i="55"/>
  <c r="O34" i="54"/>
  <c r="S34" i="54" s="1"/>
  <c r="O26" i="55"/>
  <c r="S26" i="55" s="1"/>
  <c r="O20" i="55"/>
  <c r="O20" i="54"/>
  <c r="S20" i="54" s="1"/>
  <c r="O67" i="54"/>
  <c r="S67" i="54" s="1"/>
  <c r="O67" i="55"/>
  <c r="S67" i="55"/>
  <c r="N41" i="52"/>
  <c r="P41" i="52"/>
  <c r="N41" i="53"/>
  <c r="O29" i="61"/>
  <c r="S29" i="61" s="1"/>
  <c r="O29" i="60"/>
  <c r="S29" i="60"/>
  <c r="O59" i="61"/>
  <c r="S59" i="61" s="1"/>
  <c r="O59" i="60"/>
  <c r="S59" i="60" s="1"/>
  <c r="O40" i="61"/>
  <c r="S40" i="61" s="1"/>
  <c r="O40" i="60"/>
  <c r="S40" i="60" s="1"/>
  <c r="O44" i="60"/>
  <c r="S44" i="60" s="1"/>
  <c r="O44" i="61"/>
  <c r="S44" i="61" s="1"/>
  <c r="O34" i="61"/>
  <c r="O34" i="60"/>
  <c r="S34" i="60" s="1"/>
  <c r="O22" i="61"/>
  <c r="S22" i="61"/>
  <c r="O22" i="60"/>
  <c r="S22" i="60" s="1"/>
  <c r="O37" i="53"/>
  <c r="S37" i="53" s="1"/>
  <c r="O37" i="52"/>
  <c r="S37" i="52" s="1"/>
  <c r="O65" i="52"/>
  <c r="S65" i="52" s="1"/>
  <c r="O65" i="53"/>
  <c r="S65" i="53"/>
  <c r="O29" i="53"/>
  <c r="O29" i="52"/>
  <c r="S7" i="53"/>
  <c r="O7" i="52"/>
  <c r="S7" i="52" s="1"/>
  <c r="O61" i="53"/>
  <c r="S61" i="53" s="1"/>
  <c r="O52" i="54"/>
  <c r="S34" i="61"/>
  <c r="O36" i="52"/>
  <c r="S51" i="52"/>
  <c r="S49" i="56"/>
  <c r="S53" i="56"/>
  <c r="P24" i="55"/>
  <c r="N24" i="55"/>
  <c r="N24" i="56"/>
  <c r="S24" i="56"/>
  <c r="N13" i="55"/>
  <c r="N13" i="56"/>
  <c r="P13" i="55"/>
  <c r="S31" i="56"/>
  <c r="S45" i="59"/>
  <c r="N41" i="58"/>
  <c r="P41" i="58"/>
  <c r="N41" i="59"/>
  <c r="S41" i="59"/>
  <c r="N38" i="58"/>
  <c r="P38" i="58"/>
  <c r="N38" i="59"/>
  <c r="P24" i="58"/>
  <c r="N24" i="58"/>
  <c r="N29" i="59"/>
  <c r="S29" i="59"/>
  <c r="P29" i="58"/>
  <c r="N29" i="58"/>
  <c r="P26" i="58"/>
  <c r="N26" i="58"/>
  <c r="N26" i="59"/>
  <c r="S26" i="59"/>
  <c r="P32" i="58"/>
  <c r="N32" i="58"/>
  <c r="N32" i="59"/>
  <c r="N46" i="58"/>
  <c r="N46" i="59"/>
  <c r="P46" i="58"/>
  <c r="P31" i="58"/>
  <c r="N31" i="58"/>
  <c r="N47" i="58"/>
  <c r="P47" i="58"/>
  <c r="N47" i="59"/>
  <c r="N44" i="59"/>
  <c r="P44" i="58"/>
  <c r="N44" i="58"/>
  <c r="P17" i="58"/>
  <c r="N17" i="58"/>
  <c r="N17" i="59"/>
  <c r="P18" i="55"/>
  <c r="N18" i="55"/>
  <c r="N25" i="55"/>
  <c r="P25" i="55"/>
  <c r="N25" i="56"/>
  <c r="N39" i="55"/>
  <c r="P39" i="55"/>
  <c r="N45" i="55"/>
  <c r="N45" i="56"/>
  <c r="S45" i="56"/>
  <c r="P45" i="55"/>
  <c r="N55" i="55"/>
  <c r="P55" i="55"/>
  <c r="N32" i="55"/>
  <c r="P32" i="55"/>
  <c r="P16" i="55"/>
  <c r="N16" i="55"/>
  <c r="P14" i="55"/>
  <c r="N14" i="55"/>
  <c r="N35" i="55"/>
  <c r="P35" i="55"/>
  <c r="P34" i="55"/>
  <c r="N34" i="55"/>
  <c r="N49" i="55"/>
  <c r="P49" i="55"/>
  <c r="N32" i="56"/>
  <c r="S41" i="60"/>
  <c r="N34" i="56"/>
  <c r="S34" i="56"/>
  <c r="P41" i="55"/>
  <c r="N41" i="55"/>
  <c r="N41" i="56"/>
  <c r="S17" i="61"/>
  <c r="N54" i="55"/>
  <c r="P54" i="55"/>
  <c r="N54" i="56"/>
  <c r="N52" i="58"/>
  <c r="P52" i="58"/>
  <c r="N52" i="59"/>
  <c r="S52" i="59"/>
  <c r="N49" i="58"/>
  <c r="P49" i="58"/>
  <c r="N49" i="59"/>
  <c r="S49" i="59"/>
  <c r="N55" i="58"/>
  <c r="P55" i="58"/>
  <c r="N55" i="59"/>
  <c r="S55" i="59"/>
  <c r="N21" i="58"/>
  <c r="P21" i="58"/>
  <c r="N21" i="59"/>
  <c r="S21" i="59"/>
  <c r="P48" i="58"/>
  <c r="N48" i="58"/>
  <c r="S48" i="58"/>
  <c r="N30" i="58"/>
  <c r="P30" i="58"/>
  <c r="N42" i="58"/>
  <c r="P42" i="58"/>
  <c r="N42" i="59"/>
  <c r="S42" i="59"/>
  <c r="N39" i="58"/>
  <c r="P39" i="58"/>
  <c r="P45" i="58"/>
  <c r="N45" i="58"/>
  <c r="P28" i="58"/>
  <c r="N28" i="58"/>
  <c r="N28" i="59"/>
  <c r="S28" i="59"/>
  <c r="N35" i="58"/>
  <c r="N35" i="59"/>
  <c r="S35" i="59"/>
  <c r="P35" i="58"/>
  <c r="N48" i="55"/>
  <c r="P48" i="55"/>
  <c r="N48" i="56"/>
  <c r="N29" i="55"/>
  <c r="P29" i="55"/>
  <c r="N29" i="56"/>
  <c r="N37" i="55"/>
  <c r="P37" i="55"/>
  <c r="N37" i="56"/>
  <c r="S37" i="56"/>
  <c r="P17" i="55"/>
  <c r="N17" i="55"/>
  <c r="N21" i="55"/>
  <c r="P21" i="55"/>
  <c r="N21" i="56"/>
  <c r="P20" i="55"/>
  <c r="N20" i="55"/>
  <c r="P30" i="55"/>
  <c r="N30" i="55"/>
  <c r="N43" i="55"/>
  <c r="P43" i="55"/>
  <c r="N43" i="56"/>
  <c r="N53" i="55"/>
  <c r="P53" i="55"/>
  <c r="N40" i="55"/>
  <c r="P40" i="55"/>
  <c r="N40" i="56"/>
  <c r="S40" i="56"/>
  <c r="N36" i="55"/>
  <c r="P36" i="55"/>
  <c r="N36" i="56"/>
  <c r="S36" i="56"/>
  <c r="S54" i="61"/>
  <c r="S11" i="53"/>
  <c r="S41" i="54"/>
  <c r="S52" i="54"/>
  <c r="S12" i="54"/>
  <c r="S46" i="56"/>
  <c r="S11" i="52"/>
  <c r="N26" i="56"/>
  <c r="S26" i="56"/>
  <c r="P26" i="55"/>
  <c r="N26" i="55"/>
  <c r="S55" i="57"/>
  <c r="S14" i="56"/>
  <c r="P19" i="58"/>
  <c r="N19" i="59"/>
  <c r="N19" i="58"/>
  <c r="N22" i="59"/>
  <c r="S22" i="59"/>
  <c r="N22" i="58"/>
  <c r="P22" i="58"/>
  <c r="N16" i="58"/>
  <c r="P16" i="58"/>
  <c r="N16" i="59"/>
  <c r="S16" i="59"/>
  <c r="N36" i="58"/>
  <c r="P36" i="58"/>
  <c r="N36" i="59"/>
  <c r="P23" i="58"/>
  <c r="N23" i="58"/>
  <c r="N56" i="58"/>
  <c r="P56" i="58"/>
  <c r="P53" i="58"/>
  <c r="N53" i="58"/>
  <c r="N53" i="59"/>
  <c r="S53" i="59"/>
  <c r="P37" i="58"/>
  <c r="N37" i="58"/>
  <c r="N37" i="59"/>
  <c r="S37" i="59"/>
  <c r="N27" i="58"/>
  <c r="N27" i="59"/>
  <c r="P27" i="58"/>
  <c r="L12" i="59"/>
  <c r="N12" i="59"/>
  <c r="S12" i="59"/>
  <c r="P12" i="58"/>
  <c r="N12" i="58"/>
  <c r="N54" i="58"/>
  <c r="P54" i="58"/>
  <c r="N54" i="59"/>
  <c r="S54" i="59"/>
  <c r="P31" i="55"/>
  <c r="N31" i="55"/>
  <c r="N9" i="55"/>
  <c r="P9" i="55"/>
  <c r="L9" i="56"/>
  <c r="N9" i="56"/>
  <c r="S9" i="56"/>
  <c r="N12" i="56"/>
  <c r="S12" i="56"/>
  <c r="N12" i="55"/>
  <c r="P12" i="55"/>
  <c r="N15" i="55"/>
  <c r="P15" i="55"/>
  <c r="N56" i="56"/>
  <c r="S56" i="56"/>
  <c r="P56" i="55"/>
  <c r="N56" i="55"/>
  <c r="N38" i="55"/>
  <c r="P38" i="55"/>
  <c r="P47" i="55"/>
  <c r="N47" i="55"/>
  <c r="N47" i="56"/>
  <c r="P42" i="55"/>
  <c r="N42" i="56"/>
  <c r="N42" i="55"/>
  <c r="N51" i="55"/>
  <c r="N51" i="56"/>
  <c r="P51" i="55"/>
  <c r="N52" i="55"/>
  <c r="P52" i="55"/>
  <c r="N52" i="56"/>
  <c r="S52" i="56"/>
  <c r="S43" i="60"/>
  <c r="S36" i="53"/>
  <c r="S45" i="54"/>
  <c r="S56" i="60"/>
  <c r="O63" i="61"/>
  <c r="S63" i="61" s="1"/>
  <c r="O63" i="60"/>
  <c r="S63" i="60" s="1"/>
  <c r="O62" i="60"/>
  <c r="S62" i="60" s="1"/>
  <c r="S35" i="52"/>
  <c r="O16" i="53"/>
  <c r="S16" i="53"/>
  <c r="O8" i="52"/>
  <c r="O66" i="53"/>
  <c r="S66" i="53" s="1"/>
  <c r="O55" i="52"/>
  <c r="S55" i="52" s="1"/>
  <c r="O55" i="53"/>
  <c r="S55" i="53" s="1"/>
  <c r="N22" i="55"/>
  <c r="N22" i="56"/>
  <c r="P22" i="55"/>
  <c r="S24" i="57"/>
  <c r="S40" i="57"/>
  <c r="S31" i="54"/>
  <c r="S38" i="56"/>
  <c r="S25" i="59"/>
  <c r="P20" i="58"/>
  <c r="N20" i="58"/>
  <c r="S20" i="58"/>
  <c r="N43" i="58"/>
  <c r="P43" i="58"/>
  <c r="N43" i="59"/>
  <c r="S43" i="59"/>
  <c r="P18" i="58"/>
  <c r="N18" i="59"/>
  <c r="S18" i="59"/>
  <c r="N18" i="58"/>
  <c r="P34" i="58"/>
  <c r="N34" i="58"/>
  <c r="N34" i="59"/>
  <c r="S34" i="59"/>
  <c r="N50" i="58"/>
  <c r="P50" i="58"/>
  <c r="N50" i="59"/>
  <c r="N51" i="58"/>
  <c r="P51" i="58"/>
  <c r="N51" i="59"/>
  <c r="S51" i="59"/>
  <c r="N25" i="58"/>
  <c r="P25" i="58"/>
  <c r="P13" i="58"/>
  <c r="N13" i="58"/>
  <c r="S13" i="58"/>
  <c r="N13" i="59"/>
  <c r="P33" i="58"/>
  <c r="N33" i="59"/>
  <c r="N33" i="58"/>
  <c r="P15" i="58"/>
  <c r="N15" i="58"/>
  <c r="N14" i="58"/>
  <c r="P14" i="58"/>
  <c r="N14" i="59"/>
  <c r="S14" i="59"/>
  <c r="N23" i="55"/>
  <c r="P23" i="55"/>
  <c r="N23" i="56"/>
  <c r="S23" i="56"/>
  <c r="N10" i="55"/>
  <c r="P10" i="55"/>
  <c r="N10" i="56"/>
  <c r="S10" i="56"/>
  <c r="P28" i="55"/>
  <c r="N28" i="55"/>
  <c r="P46" i="55"/>
  <c r="N46" i="55"/>
  <c r="N11" i="55"/>
  <c r="P11" i="55"/>
  <c r="P19" i="55"/>
  <c r="N19" i="55"/>
  <c r="N33" i="55"/>
  <c r="P33" i="55"/>
  <c r="N33" i="56"/>
  <c r="N27" i="55"/>
  <c r="P27" i="55"/>
  <c r="N50" i="55"/>
  <c r="P50" i="55"/>
  <c r="P44" i="55"/>
  <c r="N44" i="55"/>
  <c r="N44" i="56"/>
  <c r="S36" i="52"/>
  <c r="S38" i="61"/>
  <c r="S43" i="61"/>
  <c r="N56" i="59"/>
  <c r="S56" i="59"/>
  <c r="N50" i="56"/>
  <c r="S50" i="56"/>
  <c r="N19" i="56"/>
  <c r="S19" i="56"/>
  <c r="N20" i="56"/>
  <c r="S34" i="55"/>
  <c r="S14" i="55"/>
  <c r="S39" i="55"/>
  <c r="S18" i="55"/>
  <c r="S26" i="58"/>
  <c r="S41" i="58"/>
  <c r="S29" i="53"/>
  <c r="S30" i="54"/>
  <c r="S50" i="53"/>
  <c r="S53" i="52"/>
  <c r="S19" i="61"/>
  <c r="S24" i="58"/>
  <c r="S53" i="61"/>
  <c r="S18" i="53"/>
  <c r="S28" i="54"/>
  <c r="S53" i="55"/>
  <c r="S35" i="58"/>
  <c r="S45" i="58"/>
  <c r="S30" i="58"/>
  <c r="S55" i="58"/>
  <c r="S46" i="58"/>
  <c r="S41" i="53"/>
  <c r="S42" i="61"/>
  <c r="S17" i="53"/>
  <c r="S45" i="53"/>
  <c r="S43" i="57"/>
  <c r="S51" i="57"/>
  <c r="S49" i="52"/>
  <c r="S20" i="53"/>
  <c r="S46" i="57"/>
  <c r="S50" i="55"/>
  <c r="S10" i="55"/>
  <c r="S25" i="58"/>
  <c r="S29" i="52"/>
  <c r="S56" i="54"/>
  <c r="S25" i="53"/>
  <c r="S37" i="54"/>
  <c r="S33" i="58"/>
  <c r="S8" i="52"/>
  <c r="S39" i="58"/>
  <c r="S49" i="58"/>
  <c r="S46" i="52"/>
  <c r="S42" i="53"/>
  <c r="S15" i="58"/>
  <c r="S43" i="58"/>
  <c r="S52" i="55"/>
  <c r="S47" i="55"/>
  <c r="S56" i="55"/>
  <c r="S15" i="55"/>
  <c r="S12" i="58"/>
  <c r="S20" i="55"/>
  <c r="S21" i="55"/>
  <c r="S29" i="55"/>
  <c r="S28" i="58"/>
  <c r="S45" i="55"/>
  <c r="S29" i="58"/>
  <c r="S41" i="52"/>
  <c r="S17" i="55"/>
  <c r="S41" i="55"/>
  <c r="S31" i="58"/>
  <c r="S24" i="55"/>
  <c r="S12" i="55"/>
  <c r="S36" i="58"/>
  <c r="S14" i="58"/>
  <c r="S18" i="58"/>
  <c r="S51" i="55"/>
  <c r="S38" i="55"/>
  <c r="S54" i="58"/>
  <c r="S48" i="55"/>
  <c r="S21" i="58"/>
  <c r="O39" i="52" l="1"/>
  <c r="S39" i="52" s="1"/>
  <c r="O12" i="52"/>
  <c r="S12" i="52" s="1"/>
  <c r="O10" i="52"/>
  <c r="S10" i="52" s="1"/>
  <c r="O60" i="58"/>
  <c r="S60" i="58" s="1"/>
  <c r="O11" i="56"/>
  <c r="S11" i="56" s="1"/>
  <c r="O58" i="52"/>
  <c r="S58" i="52" s="1"/>
  <c r="O38" i="60"/>
  <c r="S38" i="60" s="1"/>
  <c r="O68" i="61"/>
  <c r="S68" i="61" s="1"/>
  <c r="O6" i="52"/>
  <c r="S6" i="52" s="1"/>
  <c r="O49" i="61"/>
  <c r="S49" i="61" s="1"/>
  <c r="O32" i="59"/>
  <c r="S32" i="59" s="1"/>
  <c r="O50" i="58"/>
  <c r="S50" i="58" s="1"/>
  <c r="O59" i="59"/>
  <c r="S59" i="59" s="1"/>
  <c r="O63" i="57"/>
  <c r="S63" i="57" s="1"/>
  <c r="O29" i="57"/>
  <c r="S29" i="57" s="1"/>
  <c r="O59" i="57"/>
  <c r="S59" i="57" s="1"/>
  <c r="O65" i="57"/>
  <c r="S65" i="57" s="1"/>
  <c r="O16" i="57"/>
  <c r="S16" i="57" s="1"/>
  <c r="O36" i="55"/>
  <c r="S36" i="55" s="1"/>
  <c r="O35" i="55"/>
  <c r="S35" i="55" s="1"/>
  <c r="O26" i="52"/>
  <c r="S26" i="52" s="1"/>
  <c r="O52" i="53"/>
  <c r="S52" i="53" s="1"/>
  <c r="O23" i="55"/>
  <c r="S23" i="55" s="1"/>
  <c r="O18" i="52"/>
  <c r="S18" i="52" s="1"/>
  <c r="T2" i="52" s="1"/>
  <c r="O30" i="61"/>
  <c r="S30" i="61" s="1"/>
  <c r="O17" i="60"/>
  <c r="S17" i="60" s="1"/>
  <c r="O47" i="60"/>
  <c r="S47" i="60" s="1"/>
  <c r="O34" i="58"/>
  <c r="S34" i="58" s="1"/>
  <c r="O58" i="58"/>
  <c r="S58" i="58" s="1"/>
  <c r="O31" i="59"/>
  <c r="S31" i="59" s="1"/>
  <c r="O48" i="56"/>
  <c r="S48" i="56" s="1"/>
  <c r="O26" i="57"/>
  <c r="S26" i="57" s="1"/>
  <c r="O44" i="55"/>
  <c r="S44" i="55" s="1"/>
  <c r="O51" i="58"/>
  <c r="S51" i="58" s="1"/>
  <c r="O62" i="61"/>
  <c r="S62" i="61" s="1"/>
  <c r="O52" i="61"/>
  <c r="S52" i="61" s="1"/>
  <c r="O50" i="61"/>
  <c r="S50" i="61" s="1"/>
  <c r="O69" i="61"/>
  <c r="S69" i="61" s="1"/>
  <c r="O37" i="61"/>
  <c r="S37" i="61" s="1"/>
  <c r="O32" i="61"/>
  <c r="S32" i="61" s="1"/>
  <c r="O67" i="59"/>
  <c r="S67" i="59" s="1"/>
  <c r="O31" i="57"/>
  <c r="S31" i="57" s="1"/>
  <c r="O49" i="57"/>
  <c r="S49" i="57" s="1"/>
  <c r="O44" i="57"/>
  <c r="S44" i="57" s="1"/>
  <c r="O28" i="52"/>
  <c r="S28" i="52" s="1"/>
  <c r="O15" i="54"/>
  <c r="S15" i="54" s="1"/>
  <c r="O50" i="54"/>
  <c r="S50" i="54" s="1"/>
  <c r="O63" i="53"/>
  <c r="S63" i="53" s="1"/>
  <c r="O63" i="52"/>
  <c r="S63" i="52" s="1"/>
  <c r="O32" i="56"/>
  <c r="S32" i="56" s="1"/>
  <c r="O32" i="55"/>
  <c r="S32" i="55" s="1"/>
  <c r="O61" i="56"/>
  <c r="S61" i="56" s="1"/>
  <c r="O61" i="55"/>
  <c r="S61" i="55" s="1"/>
  <c r="O46" i="55"/>
  <c r="S46" i="55" s="1"/>
  <c r="O46" i="54"/>
  <c r="S46" i="54" s="1"/>
  <c r="O11" i="54"/>
  <c r="S11" i="54" s="1"/>
  <c r="O11" i="55"/>
  <c r="S11" i="55" s="1"/>
  <c r="O62" i="55"/>
  <c r="S62" i="55" s="1"/>
  <c r="O62" i="54"/>
  <c r="S62" i="54" s="1"/>
  <c r="O56" i="52"/>
  <c r="S56" i="52" s="1"/>
  <c r="O56" i="53"/>
  <c r="S56" i="53" s="1"/>
  <c r="O39" i="57"/>
  <c r="S39" i="57" s="1"/>
  <c r="O39" i="56"/>
  <c r="S39" i="56" s="1"/>
  <c r="O20" i="57"/>
  <c r="S20" i="57" s="1"/>
  <c r="O20" i="56"/>
  <c r="S20" i="56" s="1"/>
  <c r="O33" i="52"/>
  <c r="S33" i="52" s="1"/>
  <c r="O33" i="53"/>
  <c r="S33" i="53" s="1"/>
  <c r="O16" i="56"/>
  <c r="S16" i="56" s="1"/>
  <c r="O16" i="55"/>
  <c r="S16" i="55" s="1"/>
  <c r="O65" i="55"/>
  <c r="S65" i="55" s="1"/>
  <c r="O65" i="56"/>
  <c r="S65" i="56" s="1"/>
  <c r="O22" i="55"/>
  <c r="S22" i="55" s="1"/>
  <c r="O22" i="54"/>
  <c r="S22" i="54" s="1"/>
  <c r="O43" i="56"/>
  <c r="S43" i="56" s="1"/>
  <c r="O43" i="55"/>
  <c r="S43" i="55" s="1"/>
  <c r="O35" i="54"/>
  <c r="S35" i="54" s="1"/>
  <c r="O35" i="53"/>
  <c r="S35" i="53" s="1"/>
  <c r="O21" i="54"/>
  <c r="S21" i="54" s="1"/>
  <c r="O21" i="53"/>
  <c r="S21" i="53" s="1"/>
  <c r="O9" i="55"/>
  <c r="S9" i="55" s="1"/>
  <c r="O9" i="54"/>
  <c r="S9" i="54" s="1"/>
  <c r="O30" i="56"/>
  <c r="S30" i="56" s="1"/>
  <c r="O30" i="55"/>
  <c r="S30" i="55" s="1"/>
  <c r="O8" i="54"/>
  <c r="S8" i="54" s="1"/>
  <c r="O10" i="54"/>
  <c r="S10" i="54" s="1"/>
  <c r="O10" i="53"/>
  <c r="S10" i="53" s="1"/>
  <c r="O64" i="53"/>
  <c r="S64" i="53" s="1"/>
  <c r="O64" i="52"/>
  <c r="S64" i="52" s="1"/>
  <c r="O8" i="53"/>
  <c r="S8" i="53" s="1"/>
  <c r="O60" i="52"/>
  <c r="S60" i="52" s="1"/>
  <c r="O60" i="53"/>
  <c r="S60" i="53" s="1"/>
  <c r="O19" i="58"/>
  <c r="S19" i="58" s="1"/>
  <c r="O19" i="59"/>
  <c r="S19" i="59" s="1"/>
  <c r="O40" i="59"/>
  <c r="S40" i="59" s="1"/>
  <c r="O40" i="58"/>
  <c r="S40" i="58" s="1"/>
  <c r="O53" i="58"/>
  <c r="S53" i="58" s="1"/>
  <c r="O53" i="57"/>
  <c r="S53" i="57" s="1"/>
  <c r="O52" i="57"/>
  <c r="S52" i="57" s="1"/>
  <c r="O52" i="58"/>
  <c r="S52" i="58" s="1"/>
  <c r="O64" i="61"/>
  <c r="S64" i="61" s="1"/>
  <c r="O64" i="60"/>
  <c r="S64" i="60" s="1"/>
  <c r="O50" i="60"/>
  <c r="S50" i="60" s="1"/>
  <c r="O50" i="59"/>
  <c r="S50" i="59" s="1"/>
  <c r="O65" i="60"/>
  <c r="S65" i="60" s="1"/>
  <c r="O65" i="59"/>
  <c r="S65" i="59" s="1"/>
  <c r="O41" i="56"/>
  <c r="S41" i="56" s="1"/>
  <c r="O41" i="57"/>
  <c r="S41" i="57" s="1"/>
  <c r="O17" i="57"/>
  <c r="S17" i="57" s="1"/>
  <c r="O17" i="56"/>
  <c r="S17" i="56" s="1"/>
  <c r="O25" i="56"/>
  <c r="S25" i="56" s="1"/>
  <c r="O25" i="55"/>
  <c r="S25" i="55" s="1"/>
  <c r="O23" i="53"/>
  <c r="S23" i="53" s="1"/>
  <c r="O22" i="57"/>
  <c r="S22" i="57" s="1"/>
  <c r="O22" i="58"/>
  <c r="S22" i="58" s="1"/>
  <c r="O27" i="59"/>
  <c r="S27" i="59" s="1"/>
  <c r="O27" i="58"/>
  <c r="S27" i="58" s="1"/>
  <c r="O31" i="60"/>
  <c r="S31" i="60" s="1"/>
  <c r="O31" i="61"/>
  <c r="S31" i="61" s="1"/>
  <c r="O30" i="60"/>
  <c r="S30" i="60" s="1"/>
  <c r="T2" i="60" s="1"/>
  <c r="O48" i="52"/>
  <c r="S48" i="52" s="1"/>
  <c r="O47" i="59"/>
  <c r="S47" i="59" s="1"/>
  <c r="O38" i="59"/>
  <c r="S38" i="59" s="1"/>
  <c r="O38" i="58"/>
  <c r="S38" i="58" s="1"/>
  <c r="O67" i="57"/>
  <c r="S67" i="57" s="1"/>
  <c r="O67" i="58"/>
  <c r="S67" i="58" s="1"/>
  <c r="O54" i="54"/>
  <c r="S54" i="54" s="1"/>
  <c r="O54" i="55"/>
  <c r="S54" i="55" s="1"/>
  <c r="O47" i="52"/>
  <c r="S47" i="52" s="1"/>
  <c r="O47" i="53"/>
  <c r="S47" i="53" s="1"/>
  <c r="O37" i="57"/>
  <c r="S37" i="57" s="1"/>
  <c r="O37" i="58"/>
  <c r="S37" i="58" s="1"/>
  <c r="O17" i="58"/>
  <c r="S17" i="58" s="1"/>
  <c r="O17" i="59"/>
  <c r="S17" i="59" s="1"/>
  <c r="O59" i="56"/>
  <c r="S59" i="56" s="1"/>
  <c r="O47" i="56"/>
  <c r="S47" i="56" s="1"/>
  <c r="O47" i="57"/>
  <c r="S47" i="57" s="1"/>
  <c r="O50" i="57"/>
  <c r="S50" i="57" s="1"/>
  <c r="O55" i="61"/>
  <c r="S55" i="61" s="1"/>
  <c r="O57" i="61"/>
  <c r="S57" i="61" s="1"/>
  <c r="O57" i="60"/>
  <c r="S57" i="60" s="1"/>
  <c r="O42" i="58"/>
  <c r="S42" i="58" s="1"/>
  <c r="O42" i="57"/>
  <c r="S42" i="57" s="1"/>
  <c r="O61" i="61"/>
  <c r="S61" i="61" s="1"/>
  <c r="O52" i="60"/>
  <c r="S52" i="60" s="1"/>
  <c r="O15" i="57"/>
  <c r="S15" i="57" s="1"/>
  <c r="O39" i="61"/>
  <c r="S39" i="61" s="1"/>
  <c r="O58" i="57"/>
  <c r="S58" i="57" s="1"/>
  <c r="O58" i="56"/>
  <c r="S58" i="56" s="1"/>
  <c r="O33" i="57"/>
  <c r="S33" i="57" s="1"/>
  <c r="O33" i="56"/>
  <c r="S33" i="56" s="1"/>
  <c r="O29" i="56"/>
  <c r="S29" i="56" s="1"/>
  <c r="O58" i="54"/>
  <c r="S58" i="54" s="1"/>
  <c r="O48" i="54"/>
  <c r="S48" i="54" s="1"/>
  <c r="O63" i="56"/>
  <c r="S63" i="56" s="1"/>
  <c r="O36" i="54"/>
  <c r="S36" i="54" s="1"/>
  <c r="O46" i="61"/>
  <c r="S46" i="61" s="1"/>
  <c r="O44" i="59"/>
  <c r="S44" i="59" s="1"/>
  <c r="O32" i="58"/>
  <c r="S32" i="58" s="1"/>
  <c r="O32" i="57"/>
  <c r="S32" i="57" s="1"/>
  <c r="O14" i="57"/>
  <c r="S14" i="57" s="1"/>
  <c r="O17" i="54"/>
  <c r="S17" i="54" s="1"/>
  <c r="T2" i="59" l="1"/>
  <c r="T67" i="59" s="1"/>
  <c r="T13" i="60"/>
  <c r="T54" i="60"/>
  <c r="T51" i="60"/>
  <c r="T58" i="60"/>
  <c r="T67" i="60"/>
  <c r="T46" i="60"/>
  <c r="T35" i="60"/>
  <c r="T62" i="60"/>
  <c r="T29" i="60"/>
  <c r="T41" i="60"/>
  <c r="T22" i="60"/>
  <c r="T24" i="60"/>
  <c r="T56" i="60"/>
  <c r="T60" i="60"/>
  <c r="T19" i="60"/>
  <c r="T69" i="60"/>
  <c r="T28" i="60"/>
  <c r="T53" i="60"/>
  <c r="T27" i="60"/>
  <c r="T66" i="60"/>
  <c r="T40" i="60"/>
  <c r="T34" i="60"/>
  <c r="T63" i="60"/>
  <c r="T43" i="60"/>
  <c r="T48" i="60"/>
  <c r="T42" i="60"/>
  <c r="T14" i="60"/>
  <c r="T16" i="60"/>
  <c r="T49" i="60"/>
  <c r="T33" i="60"/>
  <c r="T61" i="60"/>
  <c r="T47" i="60"/>
  <c r="T36" i="60"/>
  <c r="T26" i="60"/>
  <c r="T68" i="60"/>
  <c r="T32" i="60"/>
  <c r="T17" i="60"/>
  <c r="D11" i="50"/>
  <c r="T55" i="60"/>
  <c r="T21" i="60"/>
  <c r="T37" i="60"/>
  <c r="T20" i="60"/>
  <c r="T45" i="60"/>
  <c r="T23" i="60"/>
  <c r="T18" i="60"/>
  <c r="T38" i="60"/>
  <c r="T15" i="60"/>
  <c r="T44" i="60"/>
  <c r="T59" i="60"/>
  <c r="T39" i="60"/>
  <c r="T25" i="60"/>
  <c r="T43" i="52"/>
  <c r="T69" i="52"/>
  <c r="T49" i="52"/>
  <c r="T53" i="52"/>
  <c r="D3" i="50"/>
  <c r="T7" i="52"/>
  <c r="T46" i="52"/>
  <c r="T28" i="52"/>
  <c r="T32" i="52"/>
  <c r="T59" i="52"/>
  <c r="T20" i="52"/>
  <c r="T5" i="52"/>
  <c r="T52" i="52"/>
  <c r="T17" i="52"/>
  <c r="T54" i="52"/>
  <c r="T18" i="52"/>
  <c r="T29" i="52"/>
  <c r="T36" i="52"/>
  <c r="T51" i="52"/>
  <c r="T39" i="52"/>
  <c r="T23" i="52"/>
  <c r="T68" i="52"/>
  <c r="T15" i="52"/>
  <c r="T45" i="52"/>
  <c r="T65" i="52"/>
  <c r="T30" i="52"/>
  <c r="T57" i="52"/>
  <c r="T24" i="52"/>
  <c r="T16" i="52"/>
  <c r="T34" i="52"/>
  <c r="T66" i="52"/>
  <c r="T41" i="52"/>
  <c r="T61" i="52"/>
  <c r="T31" i="52"/>
  <c r="T62" i="52"/>
  <c r="T42" i="52"/>
  <c r="T27" i="52"/>
  <c r="T21" i="52"/>
  <c r="T9" i="52"/>
  <c r="T6" i="52"/>
  <c r="T19" i="52"/>
  <c r="T38" i="52"/>
  <c r="T13" i="52"/>
  <c r="T50" i="52"/>
  <c r="T44" i="52"/>
  <c r="T25" i="52"/>
  <c r="T12" i="52"/>
  <c r="T40" i="52"/>
  <c r="T2" i="61"/>
  <c r="T61" i="61" s="1"/>
  <c r="T50" i="60"/>
  <c r="T60" i="52"/>
  <c r="T10" i="53"/>
  <c r="T33" i="52"/>
  <c r="T63" i="52"/>
  <c r="T67" i="52"/>
  <c r="T37" i="52"/>
  <c r="T8" i="52"/>
  <c r="T58" i="52"/>
  <c r="T10" i="52"/>
  <c r="T26" i="52"/>
  <c r="T14" i="52"/>
  <c r="T44" i="59"/>
  <c r="T31" i="60"/>
  <c r="T64" i="60"/>
  <c r="T19" i="59"/>
  <c r="T2" i="55"/>
  <c r="T9" i="55" s="1"/>
  <c r="T56" i="53"/>
  <c r="T32" i="55"/>
  <c r="T2" i="53"/>
  <c r="T33" i="53" s="1"/>
  <c r="T30" i="60"/>
  <c r="T50" i="59"/>
  <c r="T64" i="53"/>
  <c r="T2" i="57"/>
  <c r="T52" i="60"/>
  <c r="T57" i="60"/>
  <c r="T2" i="58"/>
  <c r="T40" i="58" s="1"/>
  <c r="T47" i="52"/>
  <c r="T48" i="52"/>
  <c r="T65" i="60"/>
  <c r="T64" i="52"/>
  <c r="T2" i="54"/>
  <c r="T21" i="54" s="1"/>
  <c r="T2" i="56"/>
  <c r="T30" i="56" s="1"/>
  <c r="T22" i="52"/>
  <c r="T35" i="52"/>
  <c r="T56" i="52"/>
  <c r="T11" i="52"/>
  <c r="T55" i="52"/>
  <c r="T20" i="56" l="1"/>
  <c r="T47" i="59"/>
  <c r="T17" i="54"/>
  <c r="T60" i="53"/>
  <c r="T65" i="55"/>
  <c r="T38" i="59"/>
  <c r="T53" i="59"/>
  <c r="T48" i="59"/>
  <c r="T52" i="59"/>
  <c r="T30" i="59"/>
  <c r="T21" i="59"/>
  <c r="T25" i="59"/>
  <c r="T32" i="59"/>
  <c r="T39" i="59"/>
  <c r="T41" i="59"/>
  <c r="T20" i="59"/>
  <c r="T56" i="59"/>
  <c r="T57" i="59"/>
  <c r="T64" i="61"/>
  <c r="T25" i="55"/>
  <c r="T32" i="56"/>
  <c r="T35" i="53"/>
  <c r="T8" i="54"/>
  <c r="T23" i="53"/>
  <c r="T35" i="54"/>
  <c r="T63" i="53"/>
  <c r="T65" i="59"/>
  <c r="T47" i="53"/>
  <c r="T27" i="59"/>
  <c r="T46" i="54"/>
  <c r="T43" i="56"/>
  <c r="T40" i="59"/>
  <c r="T54" i="54"/>
  <c r="T15" i="59"/>
  <c r="T68" i="59"/>
  <c r="T29" i="59"/>
  <c r="T58" i="59"/>
  <c r="T14" i="59"/>
  <c r="T43" i="59"/>
  <c r="T55" i="59"/>
  <c r="T36" i="59"/>
  <c r="T64" i="59"/>
  <c r="T35" i="59"/>
  <c r="T23" i="59"/>
  <c r="T28" i="59"/>
  <c r="T66" i="59"/>
  <c r="T16" i="56"/>
  <c r="T58" i="56"/>
  <c r="T29" i="56"/>
  <c r="T39" i="56"/>
  <c r="T51" i="59"/>
  <c r="T34" i="59"/>
  <c r="T22" i="59"/>
  <c r="T18" i="59"/>
  <c r="T45" i="59"/>
  <c r="T46" i="59"/>
  <c r="T49" i="59"/>
  <c r="T59" i="59"/>
  <c r="T16" i="59"/>
  <c r="T60" i="59"/>
  <c r="T12" i="59"/>
  <c r="T61" i="59"/>
  <c r="T17" i="56"/>
  <c r="T17" i="59"/>
  <c r="T36" i="54"/>
  <c r="T62" i="54"/>
  <c r="T54" i="59"/>
  <c r="T37" i="59"/>
  <c r="T69" i="59"/>
  <c r="T62" i="59"/>
  <c r="T31" i="59"/>
  <c r="T13" i="59"/>
  <c r="T33" i="59"/>
  <c r="T63" i="59"/>
  <c r="D10" i="50"/>
  <c r="T24" i="59"/>
  <c r="T42" i="59"/>
  <c r="T26" i="59"/>
  <c r="T62" i="57"/>
  <c r="T29" i="57"/>
  <c r="T25" i="57"/>
  <c r="T60" i="57"/>
  <c r="T46" i="57"/>
  <c r="T68" i="57"/>
  <c r="T12" i="57"/>
  <c r="T23" i="57"/>
  <c r="T34" i="57"/>
  <c r="T65" i="57"/>
  <c r="T56" i="57"/>
  <c r="T63" i="57"/>
  <c r="T30" i="57"/>
  <c r="D8" i="50"/>
  <c r="T16" i="57"/>
  <c r="T27" i="57"/>
  <c r="T51" i="57"/>
  <c r="T54" i="57"/>
  <c r="T49" i="57"/>
  <c r="T19" i="57"/>
  <c r="T61" i="57"/>
  <c r="T28" i="57"/>
  <c r="T18" i="57"/>
  <c r="T57" i="57"/>
  <c r="T26" i="57"/>
  <c r="T35" i="57"/>
  <c r="T13" i="57"/>
  <c r="T55" i="57"/>
  <c r="T59" i="57"/>
  <c r="T11" i="57"/>
  <c r="T64" i="57"/>
  <c r="T38" i="57"/>
  <c r="T69" i="57"/>
  <c r="T10" i="57"/>
  <c r="T40" i="57"/>
  <c r="T24" i="57"/>
  <c r="T48" i="57"/>
  <c r="T31" i="57"/>
  <c r="T21" i="57"/>
  <c r="T66" i="57"/>
  <c r="T36" i="57"/>
  <c r="T45" i="57"/>
  <c r="T43" i="57"/>
  <c r="T44" i="57"/>
  <c r="T21" i="55"/>
  <c r="T56" i="55"/>
  <c r="D6" i="50"/>
  <c r="T8" i="55"/>
  <c r="T63" i="55"/>
  <c r="T67" i="55"/>
  <c r="T18" i="55"/>
  <c r="T36" i="55"/>
  <c r="T19" i="55"/>
  <c r="T29" i="55"/>
  <c r="T20" i="55"/>
  <c r="T33" i="55"/>
  <c r="T57" i="55"/>
  <c r="T50" i="55"/>
  <c r="T28" i="55"/>
  <c r="T45" i="55"/>
  <c r="T69" i="55"/>
  <c r="T66" i="55"/>
  <c r="T59" i="55"/>
  <c r="T10" i="55"/>
  <c r="T53" i="55"/>
  <c r="T49" i="55"/>
  <c r="T13" i="55"/>
  <c r="T38" i="55"/>
  <c r="T55" i="55"/>
  <c r="T34" i="55"/>
  <c r="T15" i="55"/>
  <c r="T47" i="55"/>
  <c r="T12" i="55"/>
  <c r="T24" i="55"/>
  <c r="T41" i="55"/>
  <c r="T60" i="55"/>
  <c r="T37" i="55"/>
  <c r="T68" i="55"/>
  <c r="T14" i="55"/>
  <c r="T39" i="55"/>
  <c r="T26" i="55"/>
  <c r="T17" i="55"/>
  <c r="T31" i="55"/>
  <c r="T51" i="55"/>
  <c r="T48" i="55"/>
  <c r="T58" i="55"/>
  <c r="T35" i="55"/>
  <c r="T44" i="55"/>
  <c r="T27" i="55"/>
  <c r="T52" i="55"/>
  <c r="T23" i="55"/>
  <c r="T40" i="55"/>
  <c r="T64" i="55"/>
  <c r="T42" i="55"/>
  <c r="T53" i="57"/>
  <c r="T22" i="57"/>
  <c r="T15" i="57"/>
  <c r="T43" i="55"/>
  <c r="T52" i="58"/>
  <c r="T37" i="58"/>
  <c r="T38" i="61"/>
  <c r="T21" i="61"/>
  <c r="T34" i="61"/>
  <c r="T22" i="61"/>
  <c r="T49" i="61"/>
  <c r="T28" i="61"/>
  <c r="T27" i="61"/>
  <c r="T52" i="61"/>
  <c r="T42" i="61"/>
  <c r="T14" i="61"/>
  <c r="T50" i="61"/>
  <c r="T69" i="61"/>
  <c r="T60" i="61"/>
  <c r="T41" i="61"/>
  <c r="T19" i="61"/>
  <c r="T58" i="61"/>
  <c r="T59" i="61"/>
  <c r="T40" i="61"/>
  <c r="T18" i="61"/>
  <c r="T67" i="61"/>
  <c r="T30" i="61"/>
  <c r="T16" i="61"/>
  <c r="T23" i="61"/>
  <c r="T51" i="61"/>
  <c r="T65" i="61"/>
  <c r="T25" i="61"/>
  <c r="T54" i="61"/>
  <c r="T35" i="61"/>
  <c r="T29" i="61"/>
  <c r="T24" i="61"/>
  <c r="T44" i="61"/>
  <c r="T33" i="61"/>
  <c r="T66" i="61"/>
  <c r="T17" i="61"/>
  <c r="T32" i="61"/>
  <c r="T56" i="61"/>
  <c r="T37" i="61"/>
  <c r="T45" i="61"/>
  <c r="T15" i="61"/>
  <c r="T20" i="61"/>
  <c r="T36" i="61"/>
  <c r="D12" i="50"/>
  <c r="T63" i="61"/>
  <c r="T62" i="61"/>
  <c r="T26" i="61"/>
  <c r="T68" i="61"/>
  <c r="T47" i="61"/>
  <c r="T48" i="61"/>
  <c r="T43" i="61"/>
  <c r="T53" i="61"/>
  <c r="T37" i="57"/>
  <c r="T39" i="61"/>
  <c r="T11" i="54"/>
  <c r="S70" i="60"/>
  <c r="T20" i="57"/>
  <c r="T27" i="58"/>
  <c r="T17" i="58"/>
  <c r="T14" i="57"/>
  <c r="T67" i="58"/>
  <c r="T42" i="58"/>
  <c r="T38" i="58"/>
  <c r="T52" i="57"/>
  <c r="T22" i="58"/>
  <c r="T42" i="57"/>
  <c r="T32" i="58"/>
  <c r="L11" i="50"/>
  <c r="M11" i="50" s="1"/>
  <c r="F11" i="50"/>
  <c r="L12" i="50"/>
  <c r="M12" i="50" s="1"/>
  <c r="S70" i="59"/>
  <c r="T11" i="55"/>
  <c r="T22" i="55"/>
  <c r="T60" i="56"/>
  <c r="T57" i="56"/>
  <c r="T26" i="56"/>
  <c r="T45" i="56"/>
  <c r="T37" i="56"/>
  <c r="T27" i="56"/>
  <c r="T19" i="56"/>
  <c r="T66" i="56"/>
  <c r="T15" i="56"/>
  <c r="T56" i="56"/>
  <c r="T46" i="56"/>
  <c r="T51" i="56"/>
  <c r="T18" i="56"/>
  <c r="T68" i="56"/>
  <c r="T21" i="56"/>
  <c r="T64" i="56"/>
  <c r="T62" i="56"/>
  <c r="T69" i="56"/>
  <c r="T52" i="56"/>
  <c r="T55" i="56"/>
  <c r="T48" i="56"/>
  <c r="T12" i="56"/>
  <c r="T49" i="56"/>
  <c r="T9" i="56"/>
  <c r="T35" i="56"/>
  <c r="T28" i="56"/>
  <c r="T42" i="56"/>
  <c r="T31" i="56"/>
  <c r="D7" i="50"/>
  <c r="T14" i="56"/>
  <c r="T54" i="56"/>
  <c r="T13" i="56"/>
  <c r="T34" i="56"/>
  <c r="T38" i="56"/>
  <c r="T11" i="56"/>
  <c r="T40" i="56"/>
  <c r="T36" i="56"/>
  <c r="T53" i="56"/>
  <c r="T24" i="56"/>
  <c r="T23" i="56"/>
  <c r="T50" i="56"/>
  <c r="T10" i="56"/>
  <c r="T44" i="56"/>
  <c r="T22" i="56"/>
  <c r="T67" i="56"/>
  <c r="T19" i="58"/>
  <c r="T17" i="57"/>
  <c r="T67" i="57"/>
  <c r="T47" i="57"/>
  <c r="T58" i="54"/>
  <c r="T61" i="55"/>
  <c r="T54" i="55"/>
  <c r="T32" i="57"/>
  <c r="T46" i="55"/>
  <c r="T16" i="55"/>
  <c r="T10" i="54"/>
  <c r="T33" i="57"/>
  <c r="T21" i="53"/>
  <c r="T41" i="57"/>
  <c r="T57" i="61"/>
  <c r="T39" i="57"/>
  <c r="T41" i="56"/>
  <c r="T31" i="61"/>
  <c r="T59" i="56"/>
  <c r="T33" i="56"/>
  <c r="L3" i="50"/>
  <c r="M3" i="50" s="1"/>
  <c r="F3" i="50"/>
  <c r="T43" i="58"/>
  <c r="T21" i="58"/>
  <c r="T59" i="58"/>
  <c r="T66" i="58"/>
  <c r="T61" i="58"/>
  <c r="T16" i="58"/>
  <c r="T30" i="58"/>
  <c r="T35" i="58"/>
  <c r="T33" i="58"/>
  <c r="T15" i="58"/>
  <c r="T14" i="58"/>
  <c r="T54" i="58"/>
  <c r="T28" i="58"/>
  <c r="T69" i="58"/>
  <c r="T58" i="58"/>
  <c r="T49" i="58"/>
  <c r="T55" i="58"/>
  <c r="T51" i="58"/>
  <c r="T12" i="58"/>
  <c r="T63" i="58"/>
  <c r="T60" i="58"/>
  <c r="T25" i="58"/>
  <c r="T18" i="58"/>
  <c r="T31" i="58"/>
  <c r="T11" i="58"/>
  <c r="T48" i="58"/>
  <c r="T41" i="58"/>
  <c r="T26" i="58"/>
  <c r="T20" i="58"/>
  <c r="T62" i="58"/>
  <c r="T34" i="58"/>
  <c r="T39" i="58"/>
  <c r="T29" i="58"/>
  <c r="T50" i="58"/>
  <c r="D9" i="50"/>
  <c r="T64" i="58"/>
  <c r="T65" i="58"/>
  <c r="T44" i="58"/>
  <c r="T46" i="58"/>
  <c r="T24" i="58"/>
  <c r="T56" i="58"/>
  <c r="T68" i="58"/>
  <c r="T23" i="58"/>
  <c r="T13" i="58"/>
  <c r="T36" i="58"/>
  <c r="T45" i="58"/>
  <c r="T57" i="58"/>
  <c r="T47" i="58"/>
  <c r="T18" i="54"/>
  <c r="T7" i="54"/>
  <c r="D5" i="50"/>
  <c r="T50" i="54"/>
  <c r="T29" i="54"/>
  <c r="T65" i="54"/>
  <c r="T26" i="54"/>
  <c r="T32" i="54"/>
  <c r="T67" i="54"/>
  <c r="T59" i="54"/>
  <c r="T66" i="54"/>
  <c r="T24" i="54"/>
  <c r="T28" i="54"/>
  <c r="T43" i="54"/>
  <c r="T27" i="54"/>
  <c r="T44" i="54"/>
  <c r="T30" i="54"/>
  <c r="T15" i="54"/>
  <c r="T16" i="54"/>
  <c r="T38" i="54"/>
  <c r="T13" i="54"/>
  <c r="T39" i="54"/>
  <c r="T23" i="54"/>
  <c r="T63" i="54"/>
  <c r="T33" i="54"/>
  <c r="T61" i="54"/>
  <c r="T41" i="54"/>
  <c r="T25" i="54"/>
  <c r="T14" i="54"/>
  <c r="T19" i="54"/>
  <c r="T45" i="54"/>
  <c r="T31" i="54"/>
  <c r="T52" i="54"/>
  <c r="T57" i="54"/>
  <c r="T64" i="54"/>
  <c r="T60" i="54"/>
  <c r="T40" i="54"/>
  <c r="T51" i="54"/>
  <c r="T34" i="54"/>
  <c r="T37" i="54"/>
  <c r="T47" i="54"/>
  <c r="T56" i="54"/>
  <c r="T68" i="54"/>
  <c r="T55" i="54"/>
  <c r="T53" i="54"/>
  <c r="T42" i="54"/>
  <c r="T20" i="54"/>
  <c r="T49" i="54"/>
  <c r="T69" i="54"/>
  <c r="T12" i="54"/>
  <c r="T53" i="58"/>
  <c r="T46" i="61"/>
  <c r="T65" i="56"/>
  <c r="T47" i="56"/>
  <c r="T14" i="53"/>
  <c r="T27" i="53"/>
  <c r="T43" i="53"/>
  <c r="T68" i="53"/>
  <c r="T57" i="53"/>
  <c r="T12" i="53"/>
  <c r="T31" i="53"/>
  <c r="T37" i="53"/>
  <c r="T29" i="53"/>
  <c r="T16" i="53"/>
  <c r="T41" i="53"/>
  <c r="T67" i="53"/>
  <c r="T42" i="53"/>
  <c r="T49" i="53"/>
  <c r="T40" i="53"/>
  <c r="T58" i="53"/>
  <c r="T32" i="53"/>
  <c r="T15" i="53"/>
  <c r="T69" i="53"/>
  <c r="T52" i="53"/>
  <c r="T44" i="53"/>
  <c r="T9" i="53"/>
  <c r="T36" i="53"/>
  <c r="T45" i="53"/>
  <c r="T25" i="53"/>
  <c r="T55" i="53"/>
  <c r="T19" i="53"/>
  <c r="T53" i="53"/>
  <c r="T6" i="53"/>
  <c r="T13" i="53"/>
  <c r="T18" i="53"/>
  <c r="T59" i="53"/>
  <c r="T66" i="53"/>
  <c r="T38" i="53"/>
  <c r="T61" i="53"/>
  <c r="T28" i="53"/>
  <c r="T34" i="53"/>
  <c r="T11" i="53"/>
  <c r="T30" i="53"/>
  <c r="T65" i="53"/>
  <c r="T39" i="53"/>
  <c r="D4" i="50"/>
  <c r="L5" i="50" s="1"/>
  <c r="M5" i="50" s="1"/>
  <c r="T62" i="53"/>
  <c r="T17" i="53"/>
  <c r="T54" i="53"/>
  <c r="T50" i="53"/>
  <c r="T22" i="53"/>
  <c r="T24" i="53"/>
  <c r="T7" i="53"/>
  <c r="T48" i="53"/>
  <c r="T26" i="53"/>
  <c r="T20" i="53"/>
  <c r="T51" i="53"/>
  <c r="T46" i="53"/>
  <c r="T62" i="55"/>
  <c r="T22" i="54"/>
  <c r="T8" i="53"/>
  <c r="T50" i="57"/>
  <c r="T48" i="54"/>
  <c r="T30" i="55"/>
  <c r="T58" i="57"/>
  <c r="T61" i="56"/>
  <c r="T9" i="54"/>
  <c r="T25" i="56"/>
  <c r="T55" i="61"/>
  <c r="T63" i="56"/>
  <c r="S70" i="52"/>
  <c r="F10" i="50"/>
  <c r="U10" i="50"/>
  <c r="V10" i="50" s="1"/>
  <c r="G10" i="50" s="1"/>
  <c r="S70" i="53" l="1"/>
  <c r="S70" i="54"/>
  <c r="S70" i="56"/>
  <c r="F6" i="50"/>
  <c r="U6" i="50"/>
  <c r="V6" i="50" s="1"/>
  <c r="G6" i="50" s="1"/>
  <c r="L8" i="50"/>
  <c r="M8" i="50" s="1"/>
  <c r="L10" i="50"/>
  <c r="M10" i="50" s="1"/>
  <c r="L9" i="50"/>
  <c r="M9" i="50" s="1"/>
  <c r="L7" i="50"/>
  <c r="M7" i="50" s="1"/>
  <c r="G7" i="50" s="1"/>
  <c r="F7" i="50"/>
  <c r="S70" i="55"/>
  <c r="S70" i="58"/>
  <c r="G11" i="50"/>
  <c r="F12" i="50"/>
  <c r="O12" i="50"/>
  <c r="P12" i="50" s="1"/>
  <c r="G12" i="50" s="1"/>
  <c r="S70" i="61"/>
  <c r="S70" i="57"/>
  <c r="O8" i="50"/>
  <c r="P8" i="50" s="1"/>
  <c r="F8" i="50"/>
  <c r="O9" i="50"/>
  <c r="P9" i="50" s="1"/>
  <c r="O10" i="50"/>
  <c r="P10" i="50" s="1"/>
  <c r="F5" i="50"/>
  <c r="R5" i="50"/>
  <c r="S5" i="50" s="1"/>
  <c r="R6" i="50"/>
  <c r="S6" i="50" s="1"/>
  <c r="F9" i="50"/>
  <c r="R9" i="50"/>
  <c r="S9" i="50" s="1"/>
  <c r="R10" i="50"/>
  <c r="S10" i="50" s="1"/>
  <c r="L6" i="50"/>
  <c r="M6" i="50" s="1"/>
  <c r="F4" i="50"/>
  <c r="O6" i="50"/>
  <c r="P6" i="50" s="1"/>
  <c r="O5" i="50"/>
  <c r="P5" i="50" s="1"/>
  <c r="O4" i="50"/>
  <c r="P4" i="50" s="1"/>
  <c r="G4" i="50" s="1"/>
  <c r="L4" i="50"/>
  <c r="M4" i="50" s="1"/>
  <c r="G3" i="50" s="1"/>
  <c r="G9" i="50" l="1"/>
  <c r="G5" i="50"/>
  <c r="G8" i="50"/>
</calcChain>
</file>

<file path=xl/sharedStrings.xml><?xml version="1.0" encoding="utf-8"?>
<sst xmlns="http://schemas.openxmlformats.org/spreadsheetml/2006/main" count="416" uniqueCount="61">
  <si>
    <t>Age</t>
  </si>
  <si>
    <t>Experience Adjustment</t>
  </si>
  <si>
    <t>Expected Pretax Income</t>
  </si>
  <si>
    <t>Experience Premium</t>
  </si>
  <si>
    <t>Experience Normalization</t>
  </si>
  <si>
    <t>Years of Education</t>
  </si>
  <si>
    <t>Expected Compensation</t>
  </si>
  <si>
    <t>Tuition</t>
  </si>
  <si>
    <t>Completion Probability</t>
  </si>
  <si>
    <t>Unemployment Probability</t>
  </si>
  <si>
    <t>2011 Tax Table, standard deduction 5800, personal exemption 3700, 10% state taxes &amp; local taxes, FICA, $300/week unemployment benefit</t>
  </si>
  <si>
    <t>Start Age</t>
  </si>
  <si>
    <t xml:space="preserve">Taxable Income </t>
  </si>
  <si>
    <t>Return to Education</t>
  </si>
  <si>
    <t>Expected Value</t>
  </si>
  <si>
    <t>Expected Present Value</t>
  </si>
  <si>
    <t>Years of Experience</t>
  </si>
  <si>
    <t>School Happiness</t>
  </si>
  <si>
    <t xml:space="preserve">Expected After-Tax Income </t>
  </si>
  <si>
    <t xml:space="preserve">Expected Taxes </t>
  </si>
  <si>
    <t>Initial Unemployment</t>
  </si>
  <si>
    <t>Return Rate</t>
  </si>
  <si>
    <t>Year 1 Probability Distribution</t>
  </si>
  <si>
    <t>Year 2 Probability Distribution</t>
  </si>
  <si>
    <t>Year 3 Probability Distribution</t>
  </si>
  <si>
    <t>Year 4 Probability Distribution</t>
  </si>
  <si>
    <t>Year 1 Stopping Return</t>
  </si>
  <si>
    <t>Year 2 Stopping Return</t>
  </si>
  <si>
    <t>Year 3 Stopping Return</t>
  </si>
  <si>
    <t>Year 4 Stopping Return</t>
  </si>
  <si>
    <t>Year 1 Stopping Rate</t>
  </si>
  <si>
    <t>Year 2 Stopping Rate</t>
  </si>
  <si>
    <t>Year 3 Stopping Rate</t>
  </si>
  <si>
    <t>Year 4 Stopping Rate</t>
  </si>
  <si>
    <t>Degree Return</t>
  </si>
  <si>
    <t xml:space="preserve"> Pretax Income</t>
  </si>
  <si>
    <t>Benefits</t>
  </si>
  <si>
    <t xml:space="preserve"> Pretax Income if Employed (including student earnings)</t>
  </si>
  <si>
    <t xml:space="preserve"> Benefits if Employed</t>
  </si>
  <si>
    <t>High School Tuition</t>
  </si>
  <si>
    <t>College Tuition</t>
  </si>
  <si>
    <t>School Feelings</t>
  </si>
  <si>
    <t>Participation Rate</t>
  </si>
  <si>
    <t>Social Income</t>
  </si>
  <si>
    <t>Social Benefits</t>
  </si>
  <si>
    <t>Social Unemployment</t>
  </si>
  <si>
    <t>Social Participation</t>
  </si>
  <si>
    <t>Average Net Tax Rate</t>
  </si>
  <si>
    <t>Expected Productivity if Participating</t>
  </si>
  <si>
    <t>Participation</t>
  </si>
  <si>
    <t>Nonparticipation Transfers</t>
  </si>
  <si>
    <t>Crime Risk Factor</t>
  </si>
  <si>
    <t>Crime Risk Factor from crimeworksheet.xls</t>
  </si>
  <si>
    <t>Social Crime Cost</t>
  </si>
  <si>
    <t>Expected Crime Costs</t>
  </si>
  <si>
    <t>Enhanced Participation Benefit</t>
  </si>
  <si>
    <t>Initial Social Participation</t>
  </si>
  <si>
    <t>Social Return to Education</t>
  </si>
  <si>
    <t>Crime Reduction Benefit</t>
  </si>
  <si>
    <t>Expected Productivity Benefit</t>
  </si>
  <si>
    <t>All other variables from metasocial.xls and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</si>
</sst>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0"/>
    <numFmt numFmtId="166" formatCode="0.0000"/>
    <numFmt numFmtId="167" formatCode="0.0"/>
    <numFmt numFmtId="168" formatCode="0.0%"/>
  </numFmts>
  <fonts count="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3" fillId="0" borderId="0" applyFont="0" applyAlignment="0"/>
    <xf numFmtId="3" fontId="3" fillId="0" borderId="0"/>
    <xf numFmtId="1" fontId="3" fillId="0" borderId="0"/>
    <xf numFmtId="168" fontId="3" fillId="0" borderId="0"/>
    <xf numFmtId="164" fontId="6" fillId="0" borderId="0"/>
  </cellStyleXfs>
  <cellXfs count="32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Border="1" applyAlignment="1">
      <alignment vertical="top" wrapText="1"/>
    </xf>
    <xf numFmtId="164" fontId="5" fillId="0" borderId="0" xfId="0" applyNumberFormat="1" applyFont="1"/>
    <xf numFmtId="2" fontId="0" fillId="0" borderId="0" xfId="0" applyNumberFormat="1"/>
    <xf numFmtId="0" fontId="3" fillId="0" borderId="0" xfId="0" applyNumberFormat="1" applyFont="1"/>
    <xf numFmtId="167" fontId="1" fillId="0" borderId="0" xfId="0" applyNumberFormat="1" applyFont="1"/>
    <xf numFmtId="0" fontId="3" fillId="0" borderId="0" xfId="0" applyNumberFormat="1" applyFont="1" applyBorder="1"/>
    <xf numFmtId="0" fontId="4" fillId="0" borderId="0" xfId="0" applyNumberFormat="1" applyFont="1" applyBorder="1" applyAlignment="1">
      <alignment vertical="top" wrapText="1"/>
    </xf>
    <xf numFmtId="1" fontId="1" fillId="0" borderId="0" xfId="0" applyNumberFormat="1" applyFont="1"/>
    <xf numFmtId="3" fontId="0" fillId="0" borderId="0" xfId="0" applyNumberFormat="1" applyAlignment="1">
      <alignment horizontal="right" vertical="center"/>
    </xf>
    <xf numFmtId="164" fontId="0" fillId="0" borderId="0" xfId="0" applyNumberFormat="1" applyFont="1"/>
    <xf numFmtId="3" fontId="3" fillId="0" borderId="0" xfId="2"/>
    <xf numFmtId="1" fontId="3" fillId="0" borderId="0" xfId="3"/>
    <xf numFmtId="164" fontId="0" fillId="0" borderId="0" xfId="1" applyFont="1" applyAlignment="1">
      <alignment horizontal="right" vertical="center"/>
    </xf>
    <xf numFmtId="3" fontId="0" fillId="0" borderId="0" xfId="0" applyNumberFormat="1" applyFont="1"/>
    <xf numFmtId="164" fontId="3" fillId="0" borderId="0" xfId="1"/>
    <xf numFmtId="1" fontId="0" fillId="0" borderId="0" xfId="0" applyNumberFormat="1" applyFont="1"/>
    <xf numFmtId="0" fontId="0" fillId="0" borderId="0" xfId="0" applyNumberFormat="1" applyFont="1" applyBorder="1"/>
    <xf numFmtId="164" fontId="0" fillId="0" borderId="0" xfId="1" applyFont="1"/>
    <xf numFmtId="49" fontId="1" fillId="0" borderId="0" xfId="0" applyNumberFormat="1" applyFont="1"/>
    <xf numFmtId="0" fontId="7" fillId="0" borderId="0" xfId="0" applyFont="1" applyAlignment="1">
      <alignment horizontal="right" vertical="center"/>
    </xf>
    <xf numFmtId="164" fontId="0" fillId="0" borderId="0" xfId="1" applyFont="1" applyAlignment="1">
      <alignment horizontal="right" vertical="center" wrapText="1"/>
    </xf>
  </cellXfs>
  <cellStyles count="6">
    <cellStyle name="3Decimals" xfId="1"/>
    <cellStyle name="NoDecimals" xfId="2"/>
    <cellStyle name="NoDecimalsNoComma" xfId="3"/>
    <cellStyle name="Normal" xfId="0" builtinId="0" customBuiltin="1"/>
    <cellStyle name="PercentOneDecimal" xfId="4"/>
    <cellStyle name="Style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B1" workbookViewId="0">
      <selection activeCell="R8" sqref="R8"/>
    </sheetView>
  </sheetViews>
  <sheetFormatPr defaultRowHeight="12.75" x14ac:dyDescent="0.2"/>
  <cols>
    <col min="1" max="1" width="9.140625" style="18"/>
    <col min="2" max="3" width="12.42578125" style="8" customWidth="1"/>
    <col min="4" max="7" width="9.140625" style="8"/>
    <col min="8" max="8" width="9.5703125" style="8" customWidth="1"/>
    <col min="9" max="10" width="9.140625" style="8"/>
    <col min="11" max="11" width="9.5703125" style="8" customWidth="1"/>
    <col min="12" max="12" width="9.140625" style="9"/>
    <col min="13" max="16384" width="9.140625" style="8"/>
  </cols>
  <sheetData>
    <row r="1" spans="1:24" x14ac:dyDescent="0.2">
      <c r="A1" s="18" t="s">
        <v>5</v>
      </c>
      <c r="B1" s="20" t="s">
        <v>35</v>
      </c>
      <c r="C1" s="20" t="s">
        <v>36</v>
      </c>
      <c r="D1" s="8" t="s">
        <v>9</v>
      </c>
      <c r="E1" s="8" t="s">
        <v>8</v>
      </c>
      <c r="F1" s="20" t="s">
        <v>42</v>
      </c>
      <c r="H1" s="8" t="s">
        <v>3</v>
      </c>
      <c r="I1" s="8" t="s">
        <v>4</v>
      </c>
      <c r="L1" s="9" t="s">
        <v>16</v>
      </c>
      <c r="M1" s="8" t="s">
        <v>1</v>
      </c>
      <c r="N1" s="20" t="s">
        <v>0</v>
      </c>
      <c r="O1" s="20" t="s">
        <v>51</v>
      </c>
      <c r="P1" s="8" t="s">
        <v>39</v>
      </c>
      <c r="Q1" s="8" t="s">
        <v>40</v>
      </c>
      <c r="R1" s="8" t="s">
        <v>41</v>
      </c>
      <c r="S1" s="20" t="s">
        <v>50</v>
      </c>
      <c r="T1" s="20" t="s">
        <v>43</v>
      </c>
      <c r="U1" s="20" t="s">
        <v>44</v>
      </c>
      <c r="V1" s="20" t="s">
        <v>45</v>
      </c>
      <c r="W1" s="20" t="s">
        <v>53</v>
      </c>
      <c r="X1" s="20" t="s">
        <v>46</v>
      </c>
    </row>
    <row r="2" spans="1:24" x14ac:dyDescent="0.2">
      <c r="A2" s="18">
        <v>8</v>
      </c>
      <c r="B2" s="19">
        <v>26803</v>
      </c>
      <c r="C2" s="19">
        <v>12330</v>
      </c>
      <c r="D2" s="31">
        <v>0.111</v>
      </c>
      <c r="E2" s="23">
        <v>1</v>
      </c>
      <c r="F2" s="31">
        <v>0.51700000000000002</v>
      </c>
      <c r="H2" s="8">
        <v>2.5000000000000001E-2</v>
      </c>
      <c r="I2" s="10">
        <f>AVERAGE(M2:M53)</f>
        <v>2.0085479604911836</v>
      </c>
      <c r="J2" s="13"/>
      <c r="K2" s="18"/>
      <c r="L2" s="9">
        <v>0</v>
      </c>
      <c r="M2" s="8">
        <f t="shared" ref="M2:M33" si="0">(1+experiencepremium)^L2</f>
        <v>1</v>
      </c>
      <c r="N2" s="22">
        <v>14</v>
      </c>
      <c r="O2" s="30">
        <v>1.0940000000000001</v>
      </c>
      <c r="P2" s="24">
        <v>11298</v>
      </c>
      <c r="Q2" s="24">
        <v>8279</v>
      </c>
      <c r="R2" s="8">
        <v>0.28000000000000003</v>
      </c>
      <c r="S2" s="22">
        <f>4362+2192</f>
        <v>6554</v>
      </c>
      <c r="T2" s="19">
        <v>28028</v>
      </c>
      <c r="U2" s="19">
        <v>12893</v>
      </c>
      <c r="V2" s="23">
        <v>0.104</v>
      </c>
      <c r="W2" s="19">
        <v>13867</v>
      </c>
      <c r="X2" s="23">
        <v>0.53200000000000003</v>
      </c>
    </row>
    <row r="3" spans="1:24" x14ac:dyDescent="0.2">
      <c r="A3" s="18">
        <v>9</v>
      </c>
      <c r="B3" s="19">
        <v>27925</v>
      </c>
      <c r="C3" s="19">
        <v>12845</v>
      </c>
      <c r="D3" s="31">
        <v>0.105</v>
      </c>
      <c r="E3" s="23">
        <v>0.878</v>
      </c>
      <c r="F3" s="31">
        <v>0.53100000000000003</v>
      </c>
      <c r="I3" s="10">
        <f>AVERAGE(M2:M52)</f>
        <v>1.978852107996969</v>
      </c>
      <c r="J3" s="13"/>
      <c r="K3" s="18"/>
      <c r="L3" s="9">
        <v>1</v>
      </c>
      <c r="M3" s="8">
        <f t="shared" si="0"/>
        <v>1.0249999999999999</v>
      </c>
      <c r="N3" s="22">
        <v>15</v>
      </c>
      <c r="O3" s="30">
        <v>1.8560000000000001</v>
      </c>
      <c r="Q3" s="15"/>
      <c r="R3" s="15"/>
      <c r="T3" s="19">
        <v>28555</v>
      </c>
      <c r="U3" s="19">
        <v>13136</v>
      </c>
      <c r="V3" s="23">
        <v>0.10199999999999999</v>
      </c>
      <c r="W3" s="19">
        <v>13585</v>
      </c>
      <c r="X3" s="23">
        <v>0.53800000000000003</v>
      </c>
    </row>
    <row r="4" spans="1:24" x14ac:dyDescent="0.2">
      <c r="A4" s="18">
        <v>10</v>
      </c>
      <c r="B4" s="19">
        <v>29093</v>
      </c>
      <c r="C4" s="19">
        <v>13383</v>
      </c>
      <c r="D4" s="31">
        <v>0.1</v>
      </c>
      <c r="E4" s="23">
        <v>0.878</v>
      </c>
      <c r="F4" s="31">
        <v>0.54500000000000004</v>
      </c>
      <c r="I4" s="10">
        <f>AVERAGE(M2:M51)</f>
        <v>1.9496869757628374</v>
      </c>
      <c r="J4" s="13"/>
      <c r="K4" s="18"/>
      <c r="L4" s="9">
        <v>2</v>
      </c>
      <c r="M4" s="8">
        <f t="shared" si="0"/>
        <v>1.0506249999999999</v>
      </c>
      <c r="N4" s="22">
        <v>16</v>
      </c>
      <c r="O4" s="30">
        <v>2.3479999999999999</v>
      </c>
      <c r="Q4" s="15"/>
      <c r="R4" s="15"/>
      <c r="T4" s="19">
        <v>29093</v>
      </c>
      <c r="U4" s="19">
        <v>13383</v>
      </c>
      <c r="V4" s="23">
        <v>0.1</v>
      </c>
      <c r="W4" s="19">
        <v>13308</v>
      </c>
      <c r="X4" s="23">
        <v>0.54500000000000004</v>
      </c>
    </row>
    <row r="5" spans="1:24" x14ac:dyDescent="0.2">
      <c r="A5" s="18">
        <v>11</v>
      </c>
      <c r="B5" s="19">
        <v>30310</v>
      </c>
      <c r="C5" s="19">
        <v>13943</v>
      </c>
      <c r="D5" s="31">
        <v>9.5000000000000001E-2</v>
      </c>
      <c r="E5" s="23">
        <v>0.878</v>
      </c>
      <c r="F5" s="31">
        <v>0.55900000000000005</v>
      </c>
      <c r="I5" s="10">
        <f>AVERAGE(M2:M50)</f>
        <v>1.9210422854781857</v>
      </c>
      <c r="J5" s="13"/>
      <c r="K5" s="18"/>
      <c r="L5" s="9">
        <v>3</v>
      </c>
      <c r="M5" s="8">
        <f t="shared" si="0"/>
        <v>1.0768906249999999</v>
      </c>
      <c r="N5" s="22">
        <v>17</v>
      </c>
      <c r="O5" s="30">
        <v>2.7120000000000002</v>
      </c>
      <c r="Q5" s="15"/>
      <c r="R5" s="15"/>
      <c r="T5" s="19">
        <v>29641</v>
      </c>
      <c r="U5" s="19">
        <v>13635</v>
      </c>
      <c r="V5" s="23">
        <v>9.8000000000000004E-2</v>
      </c>
      <c r="W5" s="19">
        <v>13037</v>
      </c>
      <c r="X5" s="23">
        <v>0.55100000000000005</v>
      </c>
    </row>
    <row r="6" spans="1:24" x14ac:dyDescent="0.2">
      <c r="A6" s="18">
        <v>12</v>
      </c>
      <c r="B6" s="19">
        <v>34621</v>
      </c>
      <c r="C6" s="19">
        <v>15926</v>
      </c>
      <c r="D6" s="31">
        <v>7.9000000000000001E-2</v>
      </c>
      <c r="E6" s="23">
        <v>0.878</v>
      </c>
      <c r="F6" s="31">
        <v>0.60899999999999999</v>
      </c>
      <c r="I6" s="10">
        <f>AVERAGE(M2:M49)</f>
        <v>1.8929079672445346</v>
      </c>
      <c r="J6" s="13"/>
      <c r="K6" s="18"/>
      <c r="L6" s="9">
        <v>4</v>
      </c>
      <c r="M6" s="8">
        <f t="shared" si="0"/>
        <v>1.1038128906249998</v>
      </c>
      <c r="N6" s="22">
        <v>18</v>
      </c>
      <c r="O6" s="30">
        <v>3.2959999999999998</v>
      </c>
      <c r="Q6" s="15"/>
      <c r="R6" s="15"/>
      <c r="T6" s="19">
        <v>30199</v>
      </c>
      <c r="U6" s="19">
        <v>13891</v>
      </c>
      <c r="V6" s="23">
        <v>9.6000000000000002E-2</v>
      </c>
      <c r="W6" s="19">
        <v>12771</v>
      </c>
      <c r="X6" s="23">
        <v>0.55700000000000005</v>
      </c>
    </row>
    <row r="7" spans="1:24" x14ac:dyDescent="0.2">
      <c r="A7" s="18">
        <v>13</v>
      </c>
      <c r="B7" s="19">
        <v>36001</v>
      </c>
      <c r="C7" s="19">
        <v>16473</v>
      </c>
      <c r="D7" s="31">
        <v>7.6999999999999999E-2</v>
      </c>
      <c r="E7" s="23">
        <v>0.497</v>
      </c>
      <c r="F7" s="31">
        <v>0.61499999999999999</v>
      </c>
      <c r="I7" s="10">
        <f>AVERAGE(M2:M48)</f>
        <v>1.8652741552202943</v>
      </c>
      <c r="J7" s="13"/>
      <c r="K7" s="18"/>
      <c r="L7" s="9">
        <v>5</v>
      </c>
      <c r="M7" s="8">
        <f t="shared" si="0"/>
        <v>1.1314082128906247</v>
      </c>
      <c r="N7" s="22">
        <v>19</v>
      </c>
      <c r="O7" s="30">
        <v>3.5230000000000001</v>
      </c>
      <c r="Q7" s="15"/>
      <c r="R7" s="15"/>
      <c r="T7" s="19">
        <v>30820</v>
      </c>
      <c r="U7" s="19">
        <v>14136</v>
      </c>
      <c r="V7" s="23">
        <v>9.5000000000000001E-2</v>
      </c>
      <c r="W7" s="19">
        <v>12672</v>
      </c>
      <c r="X7" s="23">
        <v>0.56000000000000005</v>
      </c>
    </row>
    <row r="8" spans="1:24" x14ac:dyDescent="0.2">
      <c r="A8" s="18">
        <v>14</v>
      </c>
      <c r="B8" s="19">
        <v>37437</v>
      </c>
      <c r="C8" s="19">
        <v>17038</v>
      </c>
      <c r="D8" s="31">
        <v>7.4999999999999997E-2</v>
      </c>
      <c r="E8" s="23">
        <v>0.497</v>
      </c>
      <c r="F8" s="31">
        <v>0.621</v>
      </c>
      <c r="I8" s="10">
        <f>AVERAGE(M2:M47)</f>
        <v>1.8381311833585117</v>
      </c>
      <c r="J8" s="13"/>
      <c r="K8" s="18"/>
      <c r="L8" s="9">
        <v>6</v>
      </c>
      <c r="M8" s="8">
        <f t="shared" si="0"/>
        <v>1.1596934182128902</v>
      </c>
      <c r="N8" s="22">
        <v>20</v>
      </c>
      <c r="O8" s="30">
        <v>3.3740000000000001</v>
      </c>
      <c r="Q8" s="15"/>
      <c r="R8" s="15"/>
      <c r="T8" s="19">
        <v>31455</v>
      </c>
      <c r="U8" s="19">
        <v>14384</v>
      </c>
      <c r="V8" s="23">
        <v>9.2999999999999999E-2</v>
      </c>
      <c r="W8" s="19">
        <v>12574</v>
      </c>
      <c r="X8" s="23">
        <v>0.56299999999999994</v>
      </c>
    </row>
    <row r="9" spans="1:24" x14ac:dyDescent="0.2">
      <c r="A9" s="18">
        <v>15</v>
      </c>
      <c r="B9" s="19">
        <v>38929</v>
      </c>
      <c r="C9" s="19">
        <v>17623</v>
      </c>
      <c r="D9" s="31">
        <v>7.2999999999999995E-2</v>
      </c>
      <c r="E9" s="23">
        <v>0.497</v>
      </c>
      <c r="F9" s="31">
        <v>0.627</v>
      </c>
      <c r="I9" s="10">
        <f>AVERAGE(M2:M46)</f>
        <v>1.8114695812355892</v>
      </c>
      <c r="J9" s="13"/>
      <c r="K9" s="18"/>
      <c r="L9" s="9">
        <v>7</v>
      </c>
      <c r="M9" s="8">
        <f t="shared" si="0"/>
        <v>1.1886857536682125</v>
      </c>
      <c r="N9" s="22">
        <v>21</v>
      </c>
      <c r="O9" s="30">
        <v>3.0640000000000001</v>
      </c>
      <c r="Q9" s="15"/>
      <c r="R9" s="15"/>
      <c r="T9" s="19">
        <v>32103</v>
      </c>
      <c r="U9" s="19">
        <v>14637</v>
      </c>
      <c r="V9" s="23">
        <v>9.1999999999999998E-2</v>
      </c>
      <c r="W9" s="19">
        <v>12476</v>
      </c>
      <c r="X9" s="23">
        <v>0.56499999999999995</v>
      </c>
    </row>
    <row r="10" spans="1:24" x14ac:dyDescent="0.2">
      <c r="A10" s="18">
        <v>16</v>
      </c>
      <c r="B10" s="19">
        <v>49327</v>
      </c>
      <c r="C10" s="19">
        <v>21678</v>
      </c>
      <c r="D10" s="31">
        <v>5.8999999999999997E-2</v>
      </c>
      <c r="E10" s="23">
        <v>0.497</v>
      </c>
      <c r="F10" s="31">
        <v>0.66700000000000004</v>
      </c>
      <c r="I10" s="10">
        <f>AVERAGE(M2:M45)</f>
        <v>1.7852800699689915</v>
      </c>
      <c r="J10" s="13"/>
      <c r="K10" s="18"/>
      <c r="L10" s="9">
        <v>8</v>
      </c>
      <c r="M10" s="8">
        <f t="shared" si="0"/>
        <v>1.2184028975099177</v>
      </c>
      <c r="N10" s="22">
        <v>22</v>
      </c>
      <c r="O10" s="30">
        <v>2.8079999999999998</v>
      </c>
      <c r="Q10" s="15"/>
      <c r="R10" s="15"/>
      <c r="T10" s="19">
        <v>32764</v>
      </c>
      <c r="U10" s="19">
        <v>14895</v>
      </c>
      <c r="V10" s="23">
        <v>9.0999999999999998E-2</v>
      </c>
      <c r="W10" s="19">
        <v>12379</v>
      </c>
      <c r="X10" s="23">
        <v>0.56799999999999995</v>
      </c>
    </row>
    <row r="11" spans="1:24" x14ac:dyDescent="0.2">
      <c r="A11" s="18">
        <v>17</v>
      </c>
      <c r="B11" s="19">
        <v>50357</v>
      </c>
      <c r="C11" s="19">
        <v>22040</v>
      </c>
      <c r="D11" s="31">
        <v>5.8999999999999997E-2</v>
      </c>
      <c r="E11" s="23">
        <v>0.214</v>
      </c>
      <c r="F11" s="31">
        <v>0.66700000000000004</v>
      </c>
      <c r="I11" s="10">
        <f>AVERAGE(M2:M44)</f>
        <v>1.7595535582220223</v>
      </c>
      <c r="J11" s="13"/>
      <c r="K11" s="18"/>
      <c r="L11" s="9">
        <v>9</v>
      </c>
      <c r="M11" s="8">
        <f t="shared" si="0"/>
        <v>1.2488629699476654</v>
      </c>
      <c r="N11" s="22">
        <v>23</v>
      </c>
      <c r="O11" s="30">
        <v>2.6240000000000001</v>
      </c>
      <c r="Q11" s="15"/>
      <c r="R11" s="15"/>
      <c r="T11" s="19">
        <v>33296</v>
      </c>
      <c r="U11" s="19">
        <v>15088</v>
      </c>
      <c r="V11" s="23">
        <v>0.09</v>
      </c>
      <c r="W11" s="19">
        <v>12379</v>
      </c>
      <c r="X11" s="23">
        <v>0.56799999999999995</v>
      </c>
    </row>
    <row r="12" spans="1:24" x14ac:dyDescent="0.2">
      <c r="A12" s="18">
        <v>18</v>
      </c>
      <c r="B12" s="19">
        <v>57403</v>
      </c>
      <c r="C12" s="19">
        <v>24508</v>
      </c>
      <c r="D12" s="31">
        <v>5.2999999999999999E-2</v>
      </c>
      <c r="E12" s="23">
        <v>0.214</v>
      </c>
      <c r="F12" s="31">
        <v>0.66700000000000004</v>
      </c>
      <c r="I12" s="10">
        <f>AVERAGE(M2:M43)</f>
        <v>1.7342811382937739</v>
      </c>
      <c r="J12" s="13"/>
      <c r="K12" s="18"/>
      <c r="L12" s="9">
        <v>10</v>
      </c>
      <c r="M12" s="8">
        <f t="shared" si="0"/>
        <v>1.2800845441963571</v>
      </c>
      <c r="N12" s="22">
        <v>24</v>
      </c>
      <c r="O12" s="30">
        <v>2.5070000000000001</v>
      </c>
      <c r="Q12" s="15"/>
      <c r="R12" s="15"/>
      <c r="T12" s="19">
        <v>33836</v>
      </c>
      <c r="U12" s="19">
        <v>15283</v>
      </c>
      <c r="V12" s="23">
        <v>8.8999999999999996E-2</v>
      </c>
      <c r="W12" s="19">
        <v>12379</v>
      </c>
      <c r="X12" s="23">
        <v>0.56799999999999995</v>
      </c>
    </row>
    <row r="13" spans="1:24" x14ac:dyDescent="0.2">
      <c r="B13"/>
      <c r="C13"/>
      <c r="F13" s="2"/>
      <c r="L13" s="9">
        <v>11</v>
      </c>
      <c r="M13" s="8">
        <f t="shared" si="0"/>
        <v>1.312086657801266</v>
      </c>
      <c r="N13" s="22">
        <v>25</v>
      </c>
      <c r="O13" s="30">
        <v>2.105</v>
      </c>
    </row>
    <row r="14" spans="1:24" x14ac:dyDescent="0.2">
      <c r="B14" s="14"/>
      <c r="C14" s="14"/>
      <c r="D14" s="16"/>
      <c r="E14" s="16"/>
      <c r="F14" s="16"/>
      <c r="L14" s="9">
        <v>12</v>
      </c>
      <c r="M14" s="8">
        <f t="shared" si="0"/>
        <v>1.3448888242462975</v>
      </c>
      <c r="N14" s="22">
        <v>26</v>
      </c>
      <c r="O14" s="30">
        <v>2.105</v>
      </c>
    </row>
    <row r="15" spans="1:24" ht="14.25" x14ac:dyDescent="0.2">
      <c r="B15" s="14"/>
      <c r="C15" s="14"/>
      <c r="D15" s="17"/>
      <c r="E15" s="17"/>
      <c r="F15" s="27"/>
      <c r="L15" s="9">
        <v>13</v>
      </c>
      <c r="M15" s="8">
        <f t="shared" si="0"/>
        <v>1.3785110448524549</v>
      </c>
      <c r="N15" s="22">
        <v>27</v>
      </c>
      <c r="O15" s="30">
        <v>2.105</v>
      </c>
    </row>
    <row r="16" spans="1:24" ht="14.25" x14ac:dyDescent="0.2">
      <c r="B16" s="14"/>
      <c r="C16" s="14"/>
      <c r="D16" s="17"/>
      <c r="E16" s="17"/>
      <c r="F16" s="16" t="s">
        <v>52</v>
      </c>
      <c r="L16" s="9">
        <v>14</v>
      </c>
      <c r="M16" s="8">
        <f t="shared" si="0"/>
        <v>1.4129738209737661</v>
      </c>
      <c r="N16" s="22">
        <v>28</v>
      </c>
      <c r="O16" s="30">
        <v>2.105</v>
      </c>
    </row>
    <row r="17" spans="2:15" ht="14.25" x14ac:dyDescent="0.2">
      <c r="B17" s="14"/>
      <c r="C17" s="14"/>
      <c r="D17" s="17"/>
      <c r="E17" s="17"/>
      <c r="F17" s="27" t="s">
        <v>60</v>
      </c>
      <c r="L17" s="9">
        <v>15</v>
      </c>
      <c r="M17" s="8">
        <f t="shared" si="0"/>
        <v>1.4482981664981105</v>
      </c>
      <c r="N17" s="22">
        <v>29</v>
      </c>
      <c r="O17" s="30">
        <v>2.105</v>
      </c>
    </row>
    <row r="18" spans="2:15" ht="14.25" x14ac:dyDescent="0.2">
      <c r="B18" s="14"/>
      <c r="C18" s="14"/>
      <c r="D18" s="17"/>
      <c r="E18" s="17"/>
      <c r="F18" s="16"/>
      <c r="L18" s="9">
        <v>16</v>
      </c>
      <c r="M18" s="8">
        <f t="shared" si="0"/>
        <v>1.4845056206605631</v>
      </c>
      <c r="N18" s="22">
        <v>30</v>
      </c>
      <c r="O18" s="30">
        <v>1.6970000000000001</v>
      </c>
    </row>
    <row r="19" spans="2:15" ht="14.25" x14ac:dyDescent="0.2">
      <c r="B19" s="14"/>
      <c r="C19" s="14"/>
      <c r="D19" s="17"/>
      <c r="E19" s="17"/>
      <c r="F19" s="16"/>
      <c r="L19" s="9">
        <v>17</v>
      </c>
      <c r="M19" s="8">
        <f t="shared" si="0"/>
        <v>1.521618261177077</v>
      </c>
      <c r="N19" s="22">
        <v>31</v>
      </c>
      <c r="O19" s="30">
        <v>1.6970000000000001</v>
      </c>
    </row>
    <row r="20" spans="2:15" ht="14.25" x14ac:dyDescent="0.2">
      <c r="B20" s="14"/>
      <c r="C20" s="14"/>
      <c r="D20" s="17"/>
      <c r="E20" s="17"/>
      <c r="F20" s="16"/>
      <c r="L20" s="9">
        <v>18</v>
      </c>
      <c r="M20" s="8">
        <f t="shared" si="0"/>
        <v>1.559658717706504</v>
      </c>
      <c r="N20" s="22">
        <v>32</v>
      </c>
      <c r="O20" s="30">
        <v>1.6970000000000001</v>
      </c>
    </row>
    <row r="21" spans="2:15" ht="14.25" x14ac:dyDescent="0.2">
      <c r="B21" s="14"/>
      <c r="C21" s="14"/>
      <c r="D21" s="17"/>
      <c r="E21" s="17"/>
      <c r="F21" s="16"/>
      <c r="L21" s="9">
        <v>19</v>
      </c>
      <c r="M21" s="8">
        <f t="shared" si="0"/>
        <v>1.5986501856491666</v>
      </c>
      <c r="N21" s="22">
        <v>33</v>
      </c>
      <c r="O21" s="30">
        <v>1.6970000000000001</v>
      </c>
    </row>
    <row r="22" spans="2:15" ht="14.25" x14ac:dyDescent="0.2">
      <c r="B22" s="14"/>
      <c r="C22" s="14"/>
      <c r="D22" s="17"/>
      <c r="E22" s="17"/>
      <c r="F22" s="16"/>
      <c r="L22" s="9">
        <v>20</v>
      </c>
      <c r="M22" s="8">
        <f t="shared" si="0"/>
        <v>1.6386164402903955</v>
      </c>
      <c r="N22" s="22">
        <v>34</v>
      </c>
      <c r="O22" s="30">
        <v>1.6970000000000001</v>
      </c>
    </row>
    <row r="23" spans="2:15" ht="14.25" x14ac:dyDescent="0.2">
      <c r="B23" s="14"/>
      <c r="C23" s="14"/>
      <c r="D23" s="17"/>
      <c r="E23" s="17"/>
      <c r="F23" s="16"/>
      <c r="L23" s="9">
        <v>21</v>
      </c>
      <c r="M23" s="8">
        <f t="shared" si="0"/>
        <v>1.6795818512976552</v>
      </c>
      <c r="N23" s="22">
        <v>35</v>
      </c>
      <c r="O23" s="30">
        <v>1.3169999999999999</v>
      </c>
    </row>
    <row r="24" spans="2:15" ht="14.25" x14ac:dyDescent="0.2">
      <c r="B24" s="14"/>
      <c r="C24" s="14"/>
      <c r="D24" s="17"/>
      <c r="E24" s="17"/>
      <c r="F24" s="16"/>
      <c r="L24" s="9">
        <v>22</v>
      </c>
      <c r="M24" s="8">
        <f t="shared" si="0"/>
        <v>1.7215713975800966</v>
      </c>
      <c r="N24" s="22">
        <v>36</v>
      </c>
      <c r="O24" s="30">
        <v>1.3169999999999999</v>
      </c>
    </row>
    <row r="25" spans="2:15" ht="14.25" x14ac:dyDescent="0.2">
      <c r="B25" s="14"/>
      <c r="C25" s="14"/>
      <c r="D25" s="17"/>
      <c r="E25" s="17"/>
      <c r="F25" s="16"/>
      <c r="L25" s="9">
        <v>23</v>
      </c>
      <c r="M25" s="8">
        <f t="shared" si="0"/>
        <v>1.7646106825195991</v>
      </c>
      <c r="N25" s="22">
        <v>37</v>
      </c>
      <c r="O25" s="30">
        <v>1.3169999999999999</v>
      </c>
    </row>
    <row r="26" spans="2:15" x14ac:dyDescent="0.2">
      <c r="B26" s="14"/>
      <c r="C26" s="14"/>
      <c r="D26" s="16"/>
      <c r="E26" s="16"/>
      <c r="F26" s="16"/>
      <c r="L26" s="9">
        <v>24</v>
      </c>
      <c r="M26" s="8">
        <f t="shared" si="0"/>
        <v>1.8087259495825889</v>
      </c>
      <c r="N26" s="22">
        <v>38</v>
      </c>
      <c r="O26" s="30">
        <v>1.3169999999999999</v>
      </c>
    </row>
    <row r="27" spans="2:15" x14ac:dyDescent="0.2">
      <c r="B27" s="2"/>
      <c r="C27" s="2"/>
      <c r="D27" s="2"/>
      <c r="E27" s="2"/>
      <c r="F27" s="2"/>
      <c r="L27" s="9">
        <v>25</v>
      </c>
      <c r="M27" s="8">
        <f t="shared" si="0"/>
        <v>1.8539440983221533</v>
      </c>
      <c r="N27" s="22">
        <v>39</v>
      </c>
      <c r="O27" s="30">
        <v>1.3169999999999999</v>
      </c>
    </row>
    <row r="28" spans="2:15" x14ac:dyDescent="0.2">
      <c r="B28" s="2"/>
      <c r="C28" s="2"/>
      <c r="D28" s="2"/>
      <c r="E28" s="2"/>
      <c r="F28" s="2"/>
      <c r="L28" s="9">
        <v>26</v>
      </c>
      <c r="M28" s="8">
        <f t="shared" si="0"/>
        <v>1.9002927007802071</v>
      </c>
      <c r="N28" s="22">
        <v>40</v>
      </c>
      <c r="O28" s="30">
        <v>1.1519999999999999</v>
      </c>
    </row>
    <row r="29" spans="2:15" x14ac:dyDescent="0.2">
      <c r="L29" s="9">
        <v>27</v>
      </c>
      <c r="M29" s="8">
        <f t="shared" si="0"/>
        <v>1.9478000182997122</v>
      </c>
      <c r="N29" s="22">
        <v>41</v>
      </c>
      <c r="O29" s="30">
        <v>1.1519999999999999</v>
      </c>
    </row>
    <row r="30" spans="2:15" x14ac:dyDescent="0.2">
      <c r="L30" s="9">
        <v>28</v>
      </c>
      <c r="M30" s="8">
        <f t="shared" si="0"/>
        <v>1.9964950187572048</v>
      </c>
      <c r="N30" s="22">
        <v>42</v>
      </c>
      <c r="O30" s="30">
        <v>1.1519999999999999</v>
      </c>
    </row>
    <row r="31" spans="2:15" x14ac:dyDescent="0.2">
      <c r="L31" s="9">
        <v>29</v>
      </c>
      <c r="M31" s="8">
        <f t="shared" si="0"/>
        <v>2.0464073942261352</v>
      </c>
      <c r="N31" s="22">
        <v>43</v>
      </c>
      <c r="O31" s="30">
        <v>1.1519999999999999</v>
      </c>
    </row>
    <row r="32" spans="2:15" x14ac:dyDescent="0.2">
      <c r="L32" s="9">
        <v>30</v>
      </c>
      <c r="M32" s="8">
        <f t="shared" si="0"/>
        <v>2.097567579081788</v>
      </c>
      <c r="N32" s="22">
        <v>44</v>
      </c>
      <c r="O32" s="30">
        <v>1.1519999999999999</v>
      </c>
    </row>
    <row r="33" spans="12:15" x14ac:dyDescent="0.2">
      <c r="L33" s="9">
        <v>31</v>
      </c>
      <c r="M33" s="8">
        <f t="shared" si="0"/>
        <v>2.1500067685588333</v>
      </c>
      <c r="N33" s="22">
        <v>45</v>
      </c>
      <c r="O33" s="30">
        <v>0.93100000000000005</v>
      </c>
    </row>
    <row r="34" spans="12:15" x14ac:dyDescent="0.2">
      <c r="L34" s="9">
        <v>32</v>
      </c>
      <c r="M34" s="8">
        <f t="shared" ref="M34:M53" si="1">(1+experiencepremium)^L34</f>
        <v>2.2037569377728037</v>
      </c>
      <c r="N34" s="22">
        <v>46</v>
      </c>
      <c r="O34" s="30">
        <v>0.93100000000000005</v>
      </c>
    </row>
    <row r="35" spans="12:15" x14ac:dyDescent="0.2">
      <c r="L35" s="9">
        <v>33</v>
      </c>
      <c r="M35" s="8">
        <f t="shared" si="1"/>
        <v>2.2588508612171236</v>
      </c>
      <c r="N35" s="22">
        <v>47</v>
      </c>
      <c r="O35" s="30">
        <v>0.93100000000000005</v>
      </c>
    </row>
    <row r="36" spans="12:15" x14ac:dyDescent="0.2">
      <c r="L36" s="9">
        <v>34</v>
      </c>
      <c r="M36" s="8">
        <f t="shared" si="1"/>
        <v>2.3153221327475517</v>
      </c>
      <c r="N36" s="22">
        <v>48</v>
      </c>
      <c r="O36" s="30">
        <v>0.93100000000000005</v>
      </c>
    </row>
    <row r="37" spans="12:15" x14ac:dyDescent="0.2">
      <c r="L37" s="9">
        <v>35</v>
      </c>
      <c r="M37" s="8">
        <f t="shared" si="1"/>
        <v>2.3732051860662402</v>
      </c>
      <c r="N37" s="22">
        <v>49</v>
      </c>
      <c r="O37" s="30">
        <v>0.93100000000000005</v>
      </c>
    </row>
    <row r="38" spans="12:15" x14ac:dyDescent="0.2">
      <c r="L38" s="9">
        <v>36</v>
      </c>
      <c r="M38" s="8">
        <f t="shared" si="1"/>
        <v>2.4325353157178964</v>
      </c>
      <c r="N38" s="22">
        <v>50</v>
      </c>
      <c r="O38" s="30">
        <v>0.622</v>
      </c>
    </row>
    <row r="39" spans="12:15" x14ac:dyDescent="0.2">
      <c r="L39" s="9">
        <v>37</v>
      </c>
      <c r="M39" s="8">
        <f t="shared" si="1"/>
        <v>2.4933486986108435</v>
      </c>
      <c r="N39" s="22">
        <v>51</v>
      </c>
      <c r="O39" s="30">
        <v>0.622</v>
      </c>
    </row>
    <row r="40" spans="12:15" x14ac:dyDescent="0.2">
      <c r="L40" s="9">
        <v>38</v>
      </c>
      <c r="M40" s="8">
        <f t="shared" si="1"/>
        <v>2.555682416076114</v>
      </c>
      <c r="N40" s="22">
        <v>52</v>
      </c>
      <c r="O40" s="30">
        <v>0.622</v>
      </c>
    </row>
    <row r="41" spans="12:15" x14ac:dyDescent="0.2">
      <c r="L41" s="9">
        <v>39</v>
      </c>
      <c r="M41" s="8">
        <f t="shared" si="1"/>
        <v>2.6195744764780171</v>
      </c>
      <c r="N41" s="22">
        <v>53</v>
      </c>
      <c r="O41" s="30">
        <v>0.622</v>
      </c>
    </row>
    <row r="42" spans="12:15" x14ac:dyDescent="0.2">
      <c r="L42" s="9">
        <v>40</v>
      </c>
      <c r="M42" s="8">
        <f t="shared" si="1"/>
        <v>2.6850638383899672</v>
      </c>
      <c r="N42" s="22">
        <v>54</v>
      </c>
      <c r="O42" s="30">
        <v>0.622</v>
      </c>
    </row>
    <row r="43" spans="12:15" x14ac:dyDescent="0.2">
      <c r="L43" s="9">
        <v>41</v>
      </c>
      <c r="M43" s="8">
        <f t="shared" si="1"/>
        <v>2.7521904343497163</v>
      </c>
      <c r="N43" s="22">
        <v>55</v>
      </c>
      <c r="O43" s="30">
        <v>0.34499999999999997</v>
      </c>
    </row>
    <row r="44" spans="12:15" x14ac:dyDescent="0.2">
      <c r="L44" s="9">
        <v>42</v>
      </c>
      <c r="M44" s="8">
        <f t="shared" si="1"/>
        <v>2.8209951952084591</v>
      </c>
      <c r="N44" s="22">
        <v>56</v>
      </c>
      <c r="O44" s="30">
        <v>0.34499999999999997</v>
      </c>
    </row>
    <row r="45" spans="12:15" x14ac:dyDescent="0.2">
      <c r="L45" s="9">
        <v>43</v>
      </c>
      <c r="M45" s="8">
        <f t="shared" si="1"/>
        <v>2.8915200750886707</v>
      </c>
      <c r="N45" s="22">
        <v>57</v>
      </c>
      <c r="O45" s="30">
        <v>0.34499999999999997</v>
      </c>
    </row>
    <row r="46" spans="12:15" x14ac:dyDescent="0.2">
      <c r="L46" s="9">
        <v>44</v>
      </c>
      <c r="M46" s="8">
        <f t="shared" si="1"/>
        <v>2.9638080769658868</v>
      </c>
      <c r="N46" s="22">
        <v>58</v>
      </c>
      <c r="O46" s="30">
        <v>0.34499999999999997</v>
      </c>
    </row>
    <row r="47" spans="12:15" x14ac:dyDescent="0.2">
      <c r="L47" s="9">
        <v>45</v>
      </c>
      <c r="M47" s="8">
        <f t="shared" si="1"/>
        <v>3.0379032788900342</v>
      </c>
      <c r="N47" s="22">
        <v>59</v>
      </c>
      <c r="O47" s="30">
        <v>0.34499999999999997</v>
      </c>
    </row>
    <row r="48" spans="12:15" x14ac:dyDescent="0.2">
      <c r="L48" s="9">
        <v>46</v>
      </c>
      <c r="M48" s="8">
        <f t="shared" si="1"/>
        <v>3.1138508608622844</v>
      </c>
      <c r="N48" s="22">
        <v>60</v>
      </c>
      <c r="O48" s="30">
        <v>0.182</v>
      </c>
    </row>
    <row r="49" spans="12:15" x14ac:dyDescent="0.2">
      <c r="L49" s="9">
        <v>47</v>
      </c>
      <c r="M49" s="8">
        <f t="shared" si="1"/>
        <v>3.1916971323838421</v>
      </c>
      <c r="N49" s="22">
        <v>61</v>
      </c>
      <c r="O49" s="30">
        <v>0.182</v>
      </c>
    </row>
    <row r="50" spans="12:15" x14ac:dyDescent="0.2">
      <c r="L50" s="9">
        <v>48</v>
      </c>
      <c r="M50" s="8">
        <f t="shared" si="1"/>
        <v>3.2714895606934378</v>
      </c>
      <c r="N50" s="22">
        <v>62</v>
      </c>
      <c r="O50" s="30">
        <v>0.182</v>
      </c>
    </row>
    <row r="51" spans="12:15" x14ac:dyDescent="0.2">
      <c r="L51" s="9">
        <v>49</v>
      </c>
      <c r="M51" s="8">
        <f t="shared" si="1"/>
        <v>3.3532767997107733</v>
      </c>
      <c r="N51" s="22">
        <v>63</v>
      </c>
      <c r="O51" s="30">
        <v>0.182</v>
      </c>
    </row>
    <row r="52" spans="12:15" x14ac:dyDescent="0.2">
      <c r="L52" s="9">
        <v>50</v>
      </c>
      <c r="M52" s="8">
        <f t="shared" si="1"/>
        <v>3.4371087197035428</v>
      </c>
      <c r="N52" s="22">
        <v>64</v>
      </c>
      <c r="O52" s="30">
        <v>0.182</v>
      </c>
    </row>
    <row r="53" spans="12:15" x14ac:dyDescent="0.2">
      <c r="L53" s="9">
        <v>51</v>
      </c>
      <c r="M53" s="8">
        <f t="shared" si="1"/>
        <v>3.5230364376961316</v>
      </c>
      <c r="N53" s="22">
        <v>65</v>
      </c>
      <c r="O53" s="30">
        <v>5.5E-2</v>
      </c>
    </row>
    <row r="54" spans="12:15" x14ac:dyDescent="0.2">
      <c r="N54" s="22">
        <v>66</v>
      </c>
      <c r="O54" s="30">
        <v>5.5E-2</v>
      </c>
    </row>
    <row r="55" spans="12:15" x14ac:dyDescent="0.2">
      <c r="N55" s="22">
        <v>67</v>
      </c>
      <c r="O55" s="30">
        <v>5.5E-2</v>
      </c>
    </row>
    <row r="56" spans="12:15" x14ac:dyDescent="0.2">
      <c r="N56" s="22">
        <v>68</v>
      </c>
      <c r="O56" s="30">
        <v>5.5E-2</v>
      </c>
    </row>
    <row r="57" spans="12:15" x14ac:dyDescent="0.2">
      <c r="N57" s="22">
        <v>69</v>
      </c>
      <c r="O57" s="30">
        <v>5.5E-2</v>
      </c>
    </row>
    <row r="58" spans="12:15" x14ac:dyDescent="0.2">
      <c r="N58" s="22">
        <v>70</v>
      </c>
      <c r="O58" s="30">
        <v>5.5E-2</v>
      </c>
    </row>
    <row r="59" spans="12:15" x14ac:dyDescent="0.2">
      <c r="N59" s="22">
        <v>71</v>
      </c>
      <c r="O59" s="30">
        <v>5.5E-2</v>
      </c>
    </row>
    <row r="60" spans="12:15" x14ac:dyDescent="0.2">
      <c r="N60" s="22">
        <v>72</v>
      </c>
      <c r="O60" s="30">
        <v>5.5E-2</v>
      </c>
    </row>
    <row r="61" spans="12:15" x14ac:dyDescent="0.2">
      <c r="N61" s="22">
        <v>73</v>
      </c>
      <c r="O61" s="30">
        <v>5.5E-2</v>
      </c>
    </row>
    <row r="62" spans="12:15" x14ac:dyDescent="0.2">
      <c r="N62" s="22">
        <v>74</v>
      </c>
      <c r="O62" s="30">
        <v>5.5E-2</v>
      </c>
    </row>
    <row r="63" spans="12:15" x14ac:dyDescent="0.2">
      <c r="N63" s="22">
        <v>75</v>
      </c>
      <c r="O63" s="30">
        <v>5.5E-2</v>
      </c>
    </row>
    <row r="64" spans="12:15" x14ac:dyDescent="0.2">
      <c r="N64" s="22">
        <v>76</v>
      </c>
      <c r="O64" s="30">
        <v>5.5E-2</v>
      </c>
    </row>
    <row r="65" spans="14:15" x14ac:dyDescent="0.2">
      <c r="N65" s="22">
        <v>77</v>
      </c>
      <c r="O65" s="30">
        <v>5.5E-2</v>
      </c>
    </row>
    <row r="66" spans="14:15" x14ac:dyDescent="0.2">
      <c r="N66" s="22">
        <v>78</v>
      </c>
      <c r="O66" s="30">
        <v>5.5E-2</v>
      </c>
    </row>
    <row r="67" spans="14:15" x14ac:dyDescent="0.2">
      <c r="N67" s="22">
        <v>79</v>
      </c>
      <c r="O67" s="30">
        <v>5.5E-2</v>
      </c>
    </row>
    <row r="68" spans="14:15" x14ac:dyDescent="0.2">
      <c r="N68" s="22">
        <v>80</v>
      </c>
      <c r="O68" s="30">
        <v>5.5E-2</v>
      </c>
    </row>
    <row r="69" spans="14:15" x14ac:dyDescent="0.2">
      <c r="N69" s="22">
        <v>81</v>
      </c>
      <c r="O69" s="30">
        <v>5.5E-2</v>
      </c>
    </row>
    <row r="70" spans="14:15" x14ac:dyDescent="0.2">
      <c r="N70" s="22">
        <v>82</v>
      </c>
      <c r="O70" s="30">
        <v>5.5E-2</v>
      </c>
    </row>
    <row r="71" spans="14:15" x14ac:dyDescent="0.2">
      <c r="N71" s="22">
        <v>83</v>
      </c>
      <c r="O71" s="30">
        <v>5.5E-2</v>
      </c>
    </row>
    <row r="72" spans="14:15" x14ac:dyDescent="0.2">
      <c r="N72" s="22">
        <v>84</v>
      </c>
      <c r="O72" s="30">
        <v>5.5E-2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Q2" sqref="Q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Meta!A9+6</f>
        <v>21</v>
      </c>
      <c r="C2" s="7">
        <f>Meta!B9</f>
        <v>38929</v>
      </c>
      <c r="D2" s="7">
        <f>Meta!C9</f>
        <v>17623</v>
      </c>
      <c r="E2" s="1">
        <f>Meta!D9</f>
        <v>7.2999999999999995E-2</v>
      </c>
      <c r="F2" s="1">
        <f>Meta!F9</f>
        <v>0.627</v>
      </c>
      <c r="G2" s="1">
        <f>Meta!I9</f>
        <v>1.8114695812355892</v>
      </c>
      <c r="H2" s="1">
        <f>Meta!E9</f>
        <v>0.497</v>
      </c>
      <c r="I2" s="13"/>
      <c r="J2" s="1">
        <f>Meta!X8</f>
        <v>0.56299999999999994</v>
      </c>
      <c r="K2" s="1">
        <f>Meta!D8</f>
        <v>7.4999999999999997E-2</v>
      </c>
      <c r="L2" s="28"/>
      <c r="N2" s="22">
        <f>Meta!T9</f>
        <v>32103</v>
      </c>
      <c r="O2" s="22">
        <f>Meta!U9</f>
        <v>14637</v>
      </c>
      <c r="P2" s="1">
        <f>Meta!V9</f>
        <v>9.1999999999999998E-2</v>
      </c>
      <c r="Q2" s="1">
        <f>Meta!X9</f>
        <v>0.56499999999999995</v>
      </c>
      <c r="R2" s="22">
        <f>Meta!W9</f>
        <v>12476</v>
      </c>
      <c r="T2" s="12">
        <f>IRR(S5:S69)+1</f>
        <v>0.95736649872009572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5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5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5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5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5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B11" s="1">
        <v>1</v>
      </c>
      <c r="C11" s="5">
        <f>0.1*Grade14!C11</f>
        <v>2036.6881503853056</v>
      </c>
      <c r="D11" s="5">
        <f t="shared" ref="D11:D36" si="0">IF(A11&lt;startage,1,0)*(C11*(1-initialunempprob))+IF(A11=startage,1,0)*(C11*(1-unempprob))+IF(A11&gt;startage,1,0)*(C11*(1-unempprob)+unempprob*300*52)</f>
        <v>1883.9365391064077</v>
      </c>
      <c r="E11" s="5">
        <f t="shared" ref="E11:E56" si="1">IF(D11-9500&gt;0,1,0)*(D11-9500)</f>
        <v>0</v>
      </c>
      <c r="F11" s="5">
        <f t="shared" ref="F11:F56" si="2">IF(E11&lt;=8500,1,0)*(0.1*E11+0.1*E11+0.0765*D11)+IF(AND(E11&gt;8500,E11&lt;=34500),1,0)*(850+0.15*(E11-8500)+0.1*E11+0.0765*D11)+IF(AND(E11&gt;34500,E11&lt;=83600),1,0)*(4750+0.25*(E11-34500)+0.1*E11+0.0765*D11)+IF(AND(E11&gt;83600,E11&lt;=174400,D11&lt;=106800),1,0)*(17025+0.28*(E11-83600)+0.1*E11+0.0765*D11)+IF(AND(E11&gt;83600,E11&lt;=174400,D11&gt;106800),1,0)*(17025+0.28*(E11-83600)+0.1*E11+8170.2+0.0145*(D11-106800))+IF(AND(E11&gt;174400,E11&lt;=379150),1,0)*(42449+0.33*(E11-174400)+0.1*E11+8170.2+0.0145*(D11-106800))+IF(E11&gt;379150,1,0)*(110016.5+0.35*(E11-379150)+0.1*E11+8170.2+0.0145*(D11-106800))</f>
        <v>144.12114524164019</v>
      </c>
      <c r="G11" s="5">
        <f t="shared" ref="G11:G56" si="3">D11-F11</f>
        <v>1739.8153938647674</v>
      </c>
      <c r="H11" s="22">
        <f>0.1*Grade14!H11</f>
        <v>926.91969725845649</v>
      </c>
      <c r="I11" s="5">
        <f t="shared" ref="I11:I36" si="4">G11+IF(A11&lt;startage,1,0)*(H11*(1-initialunempprob))+IF(A11&gt;=startage,1,0)*(H11*(1-unempprob))</f>
        <v>2597.2161138288398</v>
      </c>
      <c r="J11" s="25">
        <f t="shared" ref="J11:J56" si="5">(F11-(IF(A11&gt;startage,1,0)*(unempprob*300*52)))/(IF(A11&lt;startage,1,0)*((C11+H11)*(1-initialunempprob))+IF(A11&gt;=startage,1,0)*((C11+H11)*(1-unempprob)))</f>
        <v>5.2573299678751725E-2</v>
      </c>
      <c r="L11" s="22">
        <f>0.1*Grade14!L11</f>
        <v>2261.8610345337343</v>
      </c>
      <c r="M11" s="5">
        <f>scrimecost*Meta!O8</f>
        <v>42094.024000000005</v>
      </c>
      <c r="N11" s="5">
        <f>L11-Grade14!L11</f>
        <v>-20356.749310803607</v>
      </c>
      <c r="O11" s="5"/>
      <c r="P11" s="22"/>
      <c r="Q11" s="22">
        <f>0.05*feel*Grade14!G11</f>
        <v>216.83637627234324</v>
      </c>
      <c r="R11" s="22">
        <f>coltuition</f>
        <v>8279</v>
      </c>
      <c r="S11" s="22">
        <f t="shared" ref="S11:S42" si="6">IF(A11&lt;startage,1,0)*(N11-Q11-R11)+IF(A11&gt;=startage,1,0)*completionprob*(N11*spart+O11+P11)</f>
        <v>-28852.585687075949</v>
      </c>
      <c r="T11" s="22">
        <f t="shared" ref="T11:T42" si="7">S11/sreturn^(A11-startage+1)</f>
        <v>-28852.585687075949</v>
      </c>
    </row>
    <row r="12" spans="1:20" x14ac:dyDescent="0.2">
      <c r="A12" s="5">
        <v>21</v>
      </c>
      <c r="B12" s="1">
        <f t="shared" ref="B12:B36" si="8">(1+experiencepremium)^(A12-startage)</f>
        <v>1</v>
      </c>
      <c r="C12" s="5">
        <f t="shared" ref="C12:C36" si="9">pretaxincome*B12/expnorm</f>
        <v>21490.286341682222</v>
      </c>
      <c r="D12" s="5">
        <f t="shared" si="0"/>
        <v>19921.495438739421</v>
      </c>
      <c r="E12" s="5">
        <f t="shared" si="1"/>
        <v>10421.495438739421</v>
      </c>
      <c r="F12" s="5">
        <f t="shared" si="2"/>
        <v>3704.3682607484207</v>
      </c>
      <c r="G12" s="5">
        <f t="shared" si="3"/>
        <v>16217.127177991</v>
      </c>
      <c r="H12" s="22">
        <f t="shared" ref="H12:H36" si="10">benefits*B12/expnorm</f>
        <v>9728.5652392680477</v>
      </c>
      <c r="I12" s="5">
        <f t="shared" si="4"/>
        <v>25235.507154792482</v>
      </c>
      <c r="J12" s="25">
        <f t="shared" si="5"/>
        <v>0.12800221865361419</v>
      </c>
      <c r="L12" s="22">
        <f t="shared" ref="L12:L36" si="11">(sincome+sbenefits)*(1-sunemp)*B12/expnorm</f>
        <v>23428.447510033297</v>
      </c>
      <c r="M12" s="5">
        <f>scrimecost*Meta!O9</f>
        <v>38226.464</v>
      </c>
      <c r="N12" s="5">
        <f>L12-Grade14!L12</f>
        <v>244.37190606252261</v>
      </c>
      <c r="O12" s="5">
        <f>Grade14!M12-M12</f>
        <v>300.27199999999721</v>
      </c>
      <c r="P12" s="22">
        <f t="shared" ref="P12:P56" si="12">(spart-initialspart)*(L12*J12+nptrans)</f>
        <v>19.105786521788026</v>
      </c>
      <c r="Q12" s="22"/>
      <c r="R12" s="22"/>
      <c r="S12" s="22">
        <f t="shared" si="6"/>
        <v>227.35161298321393</v>
      </c>
      <c r="T12" s="22">
        <f t="shared" si="7"/>
        <v>237.4760483964715</v>
      </c>
    </row>
    <row r="13" spans="1:20" x14ac:dyDescent="0.2">
      <c r="A13" s="5">
        <v>22</v>
      </c>
      <c r="B13" s="1">
        <f t="shared" si="8"/>
        <v>1.0249999999999999</v>
      </c>
      <c r="C13" s="5">
        <f t="shared" si="9"/>
        <v>22027.543500224278</v>
      </c>
      <c r="D13" s="5">
        <f t="shared" si="0"/>
        <v>21558.332824707904</v>
      </c>
      <c r="E13" s="5">
        <f t="shared" si="1"/>
        <v>12058.332824707904</v>
      </c>
      <c r="F13" s="5">
        <f t="shared" si="2"/>
        <v>4238.7956672671307</v>
      </c>
      <c r="G13" s="5">
        <f t="shared" si="3"/>
        <v>17319.537157440773</v>
      </c>
      <c r="H13" s="22">
        <f t="shared" si="10"/>
        <v>9971.7793702497474</v>
      </c>
      <c r="I13" s="5">
        <f t="shared" si="4"/>
        <v>26563.376633662287</v>
      </c>
      <c r="J13" s="25">
        <f t="shared" si="5"/>
        <v>0.10450584093468025</v>
      </c>
      <c r="L13" s="22">
        <f t="shared" si="11"/>
        <v>24014.158697784129</v>
      </c>
      <c r="M13" s="5">
        <f>scrimecost*Meta!O10</f>
        <v>35032.608</v>
      </c>
      <c r="N13" s="5">
        <f>L13-Grade14!L13</f>
        <v>250.48120371408731</v>
      </c>
      <c r="O13" s="5">
        <f>Grade14!M13-M13</f>
        <v>275.18400000000111</v>
      </c>
      <c r="P13" s="22">
        <f t="shared" si="12"/>
        <v>18.127239698101608</v>
      </c>
      <c r="Q13" s="22"/>
      <c r="R13" s="22"/>
      <c r="S13" s="22">
        <f t="shared" si="6"/>
        <v>216.11206053889131</v>
      </c>
      <c r="T13" s="22">
        <f t="shared" si="7"/>
        <v>235.78846329261299</v>
      </c>
    </row>
    <row r="14" spans="1:20" x14ac:dyDescent="0.2">
      <c r="A14" s="5">
        <v>23</v>
      </c>
      <c r="B14" s="1">
        <f t="shared" si="8"/>
        <v>1.0506249999999999</v>
      </c>
      <c r="C14" s="5">
        <f t="shared" si="9"/>
        <v>22578.232087729884</v>
      </c>
      <c r="D14" s="5">
        <f t="shared" si="0"/>
        <v>22068.821145325604</v>
      </c>
      <c r="E14" s="5">
        <f t="shared" si="1"/>
        <v>12568.821145325604</v>
      </c>
      <c r="F14" s="5">
        <f t="shared" si="2"/>
        <v>4405.47010394881</v>
      </c>
      <c r="G14" s="5">
        <f t="shared" si="3"/>
        <v>17663.351041376794</v>
      </c>
      <c r="H14" s="22">
        <f t="shared" si="10"/>
        <v>10221.073854505992</v>
      </c>
      <c r="I14" s="5">
        <f t="shared" si="4"/>
        <v>27138.286504503849</v>
      </c>
      <c r="J14" s="25">
        <f t="shared" si="5"/>
        <v>0.10743873592770288</v>
      </c>
      <c r="L14" s="22">
        <f t="shared" si="11"/>
        <v>24614.512665228733</v>
      </c>
      <c r="M14" s="5">
        <f>scrimecost*Meta!O11</f>
        <v>32737.024000000001</v>
      </c>
      <c r="N14" s="5">
        <f>L14-Grade14!L14</f>
        <v>256.74323380694113</v>
      </c>
      <c r="O14" s="5">
        <f>Grade14!M14-M14</f>
        <v>257.15199999999822</v>
      </c>
      <c r="P14" s="22">
        <f t="shared" si="12"/>
        <v>18.397104252457233</v>
      </c>
      <c r="Q14" s="22"/>
      <c r="R14" s="22"/>
      <c r="S14" s="22">
        <f t="shared" si="6"/>
        <v>209.04268858262847</v>
      </c>
      <c r="T14" s="22">
        <f t="shared" si="7"/>
        <v>238.23211378644504</v>
      </c>
    </row>
    <row r="15" spans="1:20" x14ac:dyDescent="0.2">
      <c r="A15" s="5">
        <v>24</v>
      </c>
      <c r="B15" s="1">
        <f t="shared" si="8"/>
        <v>1.0768906249999999</v>
      </c>
      <c r="C15" s="5">
        <f t="shared" si="9"/>
        <v>23142.687889923131</v>
      </c>
      <c r="D15" s="5">
        <f t="shared" si="0"/>
        <v>22592.071673958741</v>
      </c>
      <c r="E15" s="5">
        <f t="shared" si="1"/>
        <v>13092.071673958741</v>
      </c>
      <c r="F15" s="5">
        <f t="shared" si="2"/>
        <v>4576.3114015475285</v>
      </c>
      <c r="G15" s="5">
        <f t="shared" si="3"/>
        <v>18015.760272411211</v>
      </c>
      <c r="H15" s="22">
        <f t="shared" si="10"/>
        <v>10476.600700868641</v>
      </c>
      <c r="I15" s="5">
        <f t="shared" si="4"/>
        <v>27727.569122116442</v>
      </c>
      <c r="J15" s="25">
        <f t="shared" si="5"/>
        <v>0.11030009689650536</v>
      </c>
      <c r="L15" s="22">
        <f t="shared" si="11"/>
        <v>25229.875481859446</v>
      </c>
      <c r="M15" s="5">
        <f>scrimecost*Meta!O12</f>
        <v>31277.332000000002</v>
      </c>
      <c r="N15" s="5">
        <f>L15-Grade14!L15</f>
        <v>263.16181465211412</v>
      </c>
      <c r="O15" s="5">
        <f>Grade14!M15-M15</f>
        <v>245.68599999999788</v>
      </c>
      <c r="P15" s="22">
        <f t="shared" si="12"/>
        <v>18.673715420671741</v>
      </c>
      <c r="Q15" s="22"/>
      <c r="R15" s="22"/>
      <c r="S15" s="22">
        <f t="shared" si="6"/>
        <v>205.28393192745969</v>
      </c>
      <c r="T15" s="22">
        <f t="shared" si="7"/>
        <v>244.36671636701695</v>
      </c>
    </row>
    <row r="16" spans="1:20" x14ac:dyDescent="0.2">
      <c r="A16" s="5">
        <v>25</v>
      </c>
      <c r="B16" s="1">
        <f t="shared" si="8"/>
        <v>1.1038128906249998</v>
      </c>
      <c r="C16" s="5">
        <f t="shared" si="9"/>
        <v>23721.255087171208</v>
      </c>
      <c r="D16" s="5">
        <f t="shared" si="0"/>
        <v>23128.403465807711</v>
      </c>
      <c r="E16" s="5">
        <f t="shared" si="1"/>
        <v>13628.403465807711</v>
      </c>
      <c r="F16" s="5">
        <f t="shared" si="2"/>
        <v>4751.4237315862174</v>
      </c>
      <c r="G16" s="5">
        <f t="shared" si="3"/>
        <v>18376.979734221495</v>
      </c>
      <c r="H16" s="22">
        <f t="shared" si="10"/>
        <v>10738.515718390356</v>
      </c>
      <c r="I16" s="5">
        <f t="shared" si="4"/>
        <v>28331.583805169357</v>
      </c>
      <c r="J16" s="25">
        <f t="shared" si="5"/>
        <v>0.1130916685733859</v>
      </c>
      <c r="L16" s="22">
        <f t="shared" si="11"/>
        <v>25860.622368905933</v>
      </c>
      <c r="M16" s="5">
        <f>scrimecost*Meta!O13</f>
        <v>26261.98</v>
      </c>
      <c r="N16" s="5">
        <f>L16-Grade14!L16</f>
        <v>269.74086001842079</v>
      </c>
      <c r="O16" s="5">
        <f>Grade14!M16-M16</f>
        <v>206.29000000000087</v>
      </c>
      <c r="P16" s="22">
        <f t="shared" si="12"/>
        <v>18.957241868091614</v>
      </c>
      <c r="Q16" s="22"/>
      <c r="R16" s="22"/>
      <c r="S16" s="22">
        <f t="shared" si="6"/>
        <v>187.6924614059146</v>
      </c>
      <c r="T16" s="22">
        <f t="shared" si="7"/>
        <v>233.37573531705544</v>
      </c>
    </row>
    <row r="17" spans="1:20" x14ac:dyDescent="0.2">
      <c r="A17" s="5">
        <v>26</v>
      </c>
      <c r="B17" s="1">
        <f t="shared" si="8"/>
        <v>1.1314082128906247</v>
      </c>
      <c r="C17" s="5">
        <f t="shared" si="9"/>
        <v>24314.286464350484</v>
      </c>
      <c r="D17" s="5">
        <f t="shared" si="0"/>
        <v>23678.143552452897</v>
      </c>
      <c r="E17" s="5">
        <f t="shared" si="1"/>
        <v>14178.143552452897</v>
      </c>
      <c r="F17" s="5">
        <f t="shared" si="2"/>
        <v>4930.9138698758707</v>
      </c>
      <c r="G17" s="5">
        <f t="shared" si="3"/>
        <v>18747.229682577025</v>
      </c>
      <c r="H17" s="22">
        <f t="shared" si="10"/>
        <v>11006.978611350114</v>
      </c>
      <c r="I17" s="5">
        <f t="shared" si="4"/>
        <v>28950.698855298579</v>
      </c>
      <c r="J17" s="25">
        <f t="shared" si="5"/>
        <v>0.11581515313619611</v>
      </c>
      <c r="L17" s="22">
        <f t="shared" si="11"/>
        <v>26507.137928128577</v>
      </c>
      <c r="M17" s="5">
        <f>scrimecost*Meta!O14</f>
        <v>26261.98</v>
      </c>
      <c r="N17" s="5">
        <f>L17-Grade14!L17</f>
        <v>276.48438151887967</v>
      </c>
      <c r="O17" s="5">
        <f>Grade14!M17-M17</f>
        <v>206.29000000000087</v>
      </c>
      <c r="P17" s="22">
        <f t="shared" si="12"/>
        <v>19.247856476696981</v>
      </c>
      <c r="Q17" s="22"/>
      <c r="R17" s="22"/>
      <c r="S17" s="22">
        <f t="shared" si="6"/>
        <v>189.73051142132783</v>
      </c>
      <c r="T17" s="22">
        <f t="shared" si="7"/>
        <v>246.41538573794443</v>
      </c>
    </row>
    <row r="18" spans="1:20" x14ac:dyDescent="0.2">
      <c r="A18" s="5">
        <v>27</v>
      </c>
      <c r="B18" s="1">
        <f t="shared" si="8"/>
        <v>1.1596934182128902</v>
      </c>
      <c r="C18" s="5">
        <f t="shared" si="9"/>
        <v>24922.143625959245</v>
      </c>
      <c r="D18" s="5">
        <f t="shared" si="0"/>
        <v>24241.62714126422</v>
      </c>
      <c r="E18" s="5">
        <f t="shared" si="1"/>
        <v>14741.62714126422</v>
      </c>
      <c r="F18" s="5">
        <f t="shared" si="2"/>
        <v>5114.8912616227681</v>
      </c>
      <c r="G18" s="5">
        <f t="shared" si="3"/>
        <v>19126.735879641452</v>
      </c>
      <c r="H18" s="22">
        <f t="shared" si="10"/>
        <v>11282.153076633866</v>
      </c>
      <c r="I18" s="5">
        <f t="shared" si="4"/>
        <v>29585.291781681044</v>
      </c>
      <c r="J18" s="25">
        <f t="shared" si="5"/>
        <v>0.11847221124625493</v>
      </c>
      <c r="L18" s="22">
        <f t="shared" si="11"/>
        <v>27169.81637633179</v>
      </c>
      <c r="M18" s="5">
        <f>scrimecost*Meta!O15</f>
        <v>26261.98</v>
      </c>
      <c r="N18" s="5">
        <f>L18-Grade14!L18</f>
        <v>283.39649105684657</v>
      </c>
      <c r="O18" s="5">
        <f>Grade14!M18-M18</f>
        <v>206.29000000000087</v>
      </c>
      <c r="P18" s="22">
        <f t="shared" si="12"/>
        <v>19.545736450517492</v>
      </c>
      <c r="Q18" s="22"/>
      <c r="R18" s="22"/>
      <c r="S18" s="22">
        <f t="shared" si="6"/>
        <v>191.81951268712541</v>
      </c>
      <c r="T18" s="22">
        <f t="shared" si="7"/>
        <v>260.22271326515261</v>
      </c>
    </row>
    <row r="19" spans="1:20" x14ac:dyDescent="0.2">
      <c r="A19" s="5">
        <v>28</v>
      </c>
      <c r="B19" s="1">
        <f t="shared" si="8"/>
        <v>1.1886857536682125</v>
      </c>
      <c r="C19" s="5">
        <f t="shared" si="9"/>
        <v>25545.197216608227</v>
      </c>
      <c r="D19" s="5">
        <f t="shared" si="0"/>
        <v>24819.197819795827</v>
      </c>
      <c r="E19" s="5">
        <f t="shared" si="1"/>
        <v>15319.197819795827</v>
      </c>
      <c r="F19" s="5">
        <f t="shared" si="2"/>
        <v>5303.4680881633376</v>
      </c>
      <c r="G19" s="5">
        <f t="shared" si="3"/>
        <v>19515.729731632491</v>
      </c>
      <c r="H19" s="22">
        <f t="shared" si="10"/>
        <v>11564.206903549713</v>
      </c>
      <c r="I19" s="5">
        <f t="shared" si="4"/>
        <v>30235.749531223075</v>
      </c>
      <c r="J19" s="25">
        <f t="shared" si="5"/>
        <v>0.12106446306094644</v>
      </c>
      <c r="L19" s="22">
        <f t="shared" si="11"/>
        <v>27849.061785740087</v>
      </c>
      <c r="M19" s="5">
        <f>scrimecost*Meta!O16</f>
        <v>26261.98</v>
      </c>
      <c r="N19" s="5">
        <f>L19-Grade14!L19</f>
        <v>290.48140333327319</v>
      </c>
      <c r="O19" s="5">
        <f>Grade14!M19-M19</f>
        <v>206.29000000000087</v>
      </c>
      <c r="P19" s="22">
        <f t="shared" si="12"/>
        <v>19.85106342368351</v>
      </c>
      <c r="Q19" s="22"/>
      <c r="R19" s="22"/>
      <c r="S19" s="22">
        <f t="shared" si="6"/>
        <v>193.9607389845709</v>
      </c>
      <c r="T19" s="22">
        <f t="shared" si="7"/>
        <v>274.84511444352216</v>
      </c>
    </row>
    <row r="20" spans="1:20" x14ac:dyDescent="0.2">
      <c r="A20" s="5">
        <v>29</v>
      </c>
      <c r="B20" s="1">
        <f t="shared" si="8"/>
        <v>1.2184028975099177</v>
      </c>
      <c r="C20" s="5">
        <f t="shared" si="9"/>
        <v>26183.827147023432</v>
      </c>
      <c r="D20" s="5">
        <f t="shared" si="0"/>
        <v>25411.207765290721</v>
      </c>
      <c r="E20" s="5">
        <f t="shared" si="1"/>
        <v>15911.207765290721</v>
      </c>
      <c r="F20" s="5">
        <f t="shared" si="2"/>
        <v>5496.7593353674201</v>
      </c>
      <c r="G20" s="5">
        <f t="shared" si="3"/>
        <v>19914.448429923301</v>
      </c>
      <c r="H20" s="22">
        <f t="shared" si="10"/>
        <v>11853.312076138456</v>
      </c>
      <c r="I20" s="5">
        <f t="shared" si="4"/>
        <v>30902.468724503651</v>
      </c>
      <c r="J20" s="25">
        <f t="shared" si="5"/>
        <v>0.12359348922162104</v>
      </c>
      <c r="L20" s="22">
        <f t="shared" si="11"/>
        <v>28545.288330383584</v>
      </c>
      <c r="M20" s="5">
        <f>scrimecost*Meta!O17</f>
        <v>26261.98</v>
      </c>
      <c r="N20" s="5">
        <f>L20-Grade14!L20</f>
        <v>297.74343841660448</v>
      </c>
      <c r="O20" s="5">
        <f>Grade14!M20-M20</f>
        <v>206.29000000000087</v>
      </c>
      <c r="P20" s="22">
        <f t="shared" si="12"/>
        <v>20.164023571178678</v>
      </c>
      <c r="Q20" s="22"/>
      <c r="R20" s="22"/>
      <c r="S20" s="22">
        <f t="shared" si="6"/>
        <v>196.15549593945084</v>
      </c>
      <c r="T20" s="22">
        <f t="shared" si="7"/>
        <v>290.33302973020642</v>
      </c>
    </row>
    <row r="21" spans="1:20" x14ac:dyDescent="0.2">
      <c r="A21" s="5">
        <v>30</v>
      </c>
      <c r="B21" s="1">
        <f t="shared" si="8"/>
        <v>1.2488629699476654</v>
      </c>
      <c r="C21" s="5">
        <f t="shared" si="9"/>
        <v>26838.422825699014</v>
      </c>
      <c r="D21" s="5">
        <f t="shared" si="0"/>
        <v>26018.017959422985</v>
      </c>
      <c r="E21" s="5">
        <f t="shared" si="1"/>
        <v>16518.017959422985</v>
      </c>
      <c r="F21" s="5">
        <f t="shared" si="2"/>
        <v>5694.8828637516044</v>
      </c>
      <c r="G21" s="5">
        <f t="shared" si="3"/>
        <v>20323.13509567138</v>
      </c>
      <c r="H21" s="22">
        <f t="shared" si="10"/>
        <v>12149.644878041914</v>
      </c>
      <c r="I21" s="5">
        <f t="shared" si="4"/>
        <v>31585.855897616235</v>
      </c>
      <c r="J21" s="25">
        <f t="shared" si="5"/>
        <v>0.12606083181740119</v>
      </c>
      <c r="L21" s="22">
        <f t="shared" si="11"/>
        <v>29258.920538643171</v>
      </c>
      <c r="M21" s="5">
        <f>scrimecost*Meta!O18</f>
        <v>21171.772000000001</v>
      </c>
      <c r="N21" s="5">
        <f>L21-Grade14!L21</f>
        <v>305.18702437701722</v>
      </c>
      <c r="O21" s="5">
        <f>Grade14!M21-M21</f>
        <v>166.30600000000049</v>
      </c>
      <c r="P21" s="22">
        <f t="shared" si="12"/>
        <v>20.484807722361225</v>
      </c>
      <c r="Q21" s="22"/>
      <c r="R21" s="22"/>
      <c r="S21" s="22">
        <f t="shared" si="6"/>
        <v>178.53307381820207</v>
      </c>
      <c r="T21" s="22">
        <f t="shared" si="7"/>
        <v>276.01737517729083</v>
      </c>
    </row>
    <row r="22" spans="1:20" x14ac:dyDescent="0.2">
      <c r="A22" s="5">
        <v>31</v>
      </c>
      <c r="B22" s="1">
        <f t="shared" si="8"/>
        <v>1.2800845441963571</v>
      </c>
      <c r="C22" s="5">
        <f t="shared" si="9"/>
        <v>27509.383396341487</v>
      </c>
      <c r="D22" s="5">
        <f t="shared" si="0"/>
        <v>26639.998408408559</v>
      </c>
      <c r="E22" s="5">
        <f t="shared" si="1"/>
        <v>17139.998408408559</v>
      </c>
      <c r="F22" s="5">
        <f t="shared" si="2"/>
        <v>5897.9594803453947</v>
      </c>
      <c r="G22" s="5">
        <f t="shared" si="3"/>
        <v>20742.038928063164</v>
      </c>
      <c r="H22" s="22">
        <f t="shared" si="10"/>
        <v>12453.385999992963</v>
      </c>
      <c r="I22" s="5">
        <f t="shared" si="4"/>
        <v>32286.32775005664</v>
      </c>
      <c r="J22" s="25">
        <f t="shared" si="5"/>
        <v>0.12846799532547937</v>
      </c>
      <c r="L22" s="22">
        <f t="shared" si="11"/>
        <v>29990.39355210925</v>
      </c>
      <c r="M22" s="5">
        <f>scrimecost*Meta!O19</f>
        <v>21171.772000000001</v>
      </c>
      <c r="N22" s="5">
        <f>L22-Grade14!L22</f>
        <v>312.81669998644429</v>
      </c>
      <c r="O22" s="5">
        <f>Grade14!M22-M22</f>
        <v>166.30600000000049</v>
      </c>
      <c r="P22" s="22">
        <f t="shared" si="12"/>
        <v>20.813611477323334</v>
      </c>
      <c r="Q22" s="22"/>
      <c r="R22" s="22"/>
      <c r="S22" s="22">
        <f t="shared" si="6"/>
        <v>180.83894034392341</v>
      </c>
      <c r="T22" s="22">
        <f t="shared" si="7"/>
        <v>292.03268854421208</v>
      </c>
    </row>
    <row r="23" spans="1:20" x14ac:dyDescent="0.2">
      <c r="A23" s="5">
        <v>32</v>
      </c>
      <c r="B23" s="1">
        <f t="shared" si="8"/>
        <v>1.312086657801266</v>
      </c>
      <c r="C23" s="5">
        <f t="shared" si="9"/>
        <v>28197.117981250027</v>
      </c>
      <c r="D23" s="5">
        <f t="shared" si="0"/>
        <v>27277.528368618776</v>
      </c>
      <c r="E23" s="5">
        <f t="shared" si="1"/>
        <v>17777.528368618776</v>
      </c>
      <c r="F23" s="5">
        <f t="shared" si="2"/>
        <v>6106.1130123540297</v>
      </c>
      <c r="G23" s="5">
        <f t="shared" si="3"/>
        <v>21171.415356264748</v>
      </c>
      <c r="H23" s="22">
        <f t="shared" si="10"/>
        <v>12764.720649992785</v>
      </c>
      <c r="I23" s="5">
        <f t="shared" si="4"/>
        <v>33004.311398808059</v>
      </c>
      <c r="J23" s="25">
        <f t="shared" si="5"/>
        <v>0.13081644752848245</v>
      </c>
      <c r="L23" s="22">
        <f t="shared" si="11"/>
        <v>30740.153390911983</v>
      </c>
      <c r="M23" s="5">
        <f>scrimecost*Meta!O20</f>
        <v>21171.772000000001</v>
      </c>
      <c r="N23" s="5">
        <f>L23-Grade14!L23</f>
        <v>320.63711748610513</v>
      </c>
      <c r="O23" s="5">
        <f>Grade14!M23-M23</f>
        <v>166.30600000000049</v>
      </c>
      <c r="P23" s="22">
        <f t="shared" si="12"/>
        <v>21.150635326159495</v>
      </c>
      <c r="Q23" s="22"/>
      <c r="R23" s="22"/>
      <c r="S23" s="22">
        <f t="shared" si="6"/>
        <v>183.20245353278725</v>
      </c>
      <c r="T23" s="22">
        <f t="shared" si="7"/>
        <v>309.0242583071888</v>
      </c>
    </row>
    <row r="24" spans="1:20" x14ac:dyDescent="0.2">
      <c r="A24" s="5">
        <v>33</v>
      </c>
      <c r="B24" s="1">
        <f t="shared" si="8"/>
        <v>1.3448888242462975</v>
      </c>
      <c r="C24" s="5">
        <f t="shared" si="9"/>
        <v>28902.045930781274</v>
      </c>
      <c r="D24" s="5">
        <f t="shared" si="0"/>
        <v>27930.996577834241</v>
      </c>
      <c r="E24" s="5">
        <f t="shared" si="1"/>
        <v>18430.996577834241</v>
      </c>
      <c r="F24" s="5">
        <f t="shared" si="2"/>
        <v>6319.4703826628793</v>
      </c>
      <c r="G24" s="5">
        <f t="shared" si="3"/>
        <v>21611.526195171362</v>
      </c>
      <c r="H24" s="22">
        <f t="shared" si="10"/>
        <v>13083.838666242606</v>
      </c>
      <c r="I24" s="5">
        <f t="shared" si="4"/>
        <v>33740.244638778255</v>
      </c>
      <c r="J24" s="25">
        <f t="shared" si="5"/>
        <v>0.13310762040946111</v>
      </c>
      <c r="L24" s="22">
        <f t="shared" si="11"/>
        <v>31508.657225684776</v>
      </c>
      <c r="M24" s="5">
        <f>scrimecost*Meta!O21</f>
        <v>21171.772000000001</v>
      </c>
      <c r="N24" s="5">
        <f>L24-Grade14!L24</f>
        <v>328.65304542325248</v>
      </c>
      <c r="O24" s="5">
        <f>Grade14!M24-M24</f>
        <v>166.30600000000049</v>
      </c>
      <c r="P24" s="22">
        <f t="shared" si="12"/>
        <v>21.496084771216569</v>
      </c>
      <c r="Q24" s="22"/>
      <c r="R24" s="22"/>
      <c r="S24" s="22">
        <f t="shared" si="6"/>
        <v>185.62505455137128</v>
      </c>
      <c r="T24" s="22">
        <f t="shared" si="7"/>
        <v>327.05414324927858</v>
      </c>
    </row>
    <row r="25" spans="1:20" x14ac:dyDescent="0.2">
      <c r="A25" s="5">
        <v>34</v>
      </c>
      <c r="B25" s="1">
        <f t="shared" si="8"/>
        <v>1.3785110448524549</v>
      </c>
      <c r="C25" s="5">
        <f t="shared" si="9"/>
        <v>29624.5970790508</v>
      </c>
      <c r="D25" s="5">
        <f t="shared" si="0"/>
        <v>28600.801492280094</v>
      </c>
      <c r="E25" s="5">
        <f t="shared" si="1"/>
        <v>19100.801492280094</v>
      </c>
      <c r="F25" s="5">
        <f t="shared" si="2"/>
        <v>6538.1616872294508</v>
      </c>
      <c r="G25" s="5">
        <f t="shared" si="3"/>
        <v>22062.639805050643</v>
      </c>
      <c r="H25" s="22">
        <f t="shared" si="10"/>
        <v>13410.934632898668</v>
      </c>
      <c r="I25" s="5">
        <f t="shared" si="4"/>
        <v>34494.576209747713</v>
      </c>
      <c r="J25" s="25">
        <f t="shared" si="5"/>
        <v>0.13534291102505</v>
      </c>
      <c r="L25" s="22">
        <f t="shared" si="11"/>
        <v>32296.373656326894</v>
      </c>
      <c r="M25" s="5">
        <f>scrimecost*Meta!O22</f>
        <v>21171.772000000001</v>
      </c>
      <c r="N25" s="5">
        <f>L25-Grade14!L25</f>
        <v>336.86937155883788</v>
      </c>
      <c r="O25" s="5">
        <f>Grade14!M25-M25</f>
        <v>166.30600000000049</v>
      </c>
      <c r="P25" s="22">
        <f t="shared" si="12"/>
        <v>21.850170452400057</v>
      </c>
      <c r="Q25" s="22"/>
      <c r="R25" s="22"/>
      <c r="S25" s="22">
        <f t="shared" si="6"/>
        <v>188.10822059542252</v>
      </c>
      <c r="T25" s="22">
        <f t="shared" si="7"/>
        <v>346.18847863765654</v>
      </c>
    </row>
    <row r="26" spans="1:20" x14ac:dyDescent="0.2">
      <c r="A26" s="5">
        <v>35</v>
      </c>
      <c r="B26" s="1">
        <f t="shared" si="8"/>
        <v>1.4129738209737661</v>
      </c>
      <c r="C26" s="5">
        <f t="shared" si="9"/>
        <v>30365.212006027072</v>
      </c>
      <c r="D26" s="5">
        <f t="shared" si="0"/>
        <v>29287.351529587097</v>
      </c>
      <c r="E26" s="5">
        <f t="shared" si="1"/>
        <v>19787.351529587097</v>
      </c>
      <c r="F26" s="5">
        <f t="shared" si="2"/>
        <v>6762.3202744101873</v>
      </c>
      <c r="G26" s="5">
        <f t="shared" si="3"/>
        <v>22525.031255176909</v>
      </c>
      <c r="H26" s="22">
        <f t="shared" si="10"/>
        <v>13746.207998721133</v>
      </c>
      <c r="I26" s="5">
        <f t="shared" si="4"/>
        <v>35267.766069991398</v>
      </c>
      <c r="J26" s="25">
        <f t="shared" si="5"/>
        <v>0.13752368235733192</v>
      </c>
      <c r="L26" s="22">
        <f t="shared" si="11"/>
        <v>33103.782997735063</v>
      </c>
      <c r="M26" s="5">
        <f>scrimecost*Meta!O23</f>
        <v>16430.892</v>
      </c>
      <c r="N26" s="5">
        <f>L26-Grade14!L26</f>
        <v>345.2911058478021</v>
      </c>
      <c r="O26" s="5">
        <f>Grade14!M26-M26</f>
        <v>129.06599999999889</v>
      </c>
      <c r="P26" s="22">
        <f t="shared" si="12"/>
        <v>22.213108275613141</v>
      </c>
      <c r="Q26" s="22"/>
      <c r="R26" s="22"/>
      <c r="S26" s="22">
        <f t="shared" si="6"/>
        <v>172.14518579057125</v>
      </c>
      <c r="T26" s="22">
        <f t="shared" si="7"/>
        <v>330.91883796170123</v>
      </c>
    </row>
    <row r="27" spans="1:20" x14ac:dyDescent="0.2">
      <c r="A27" s="5">
        <v>36</v>
      </c>
      <c r="B27" s="1">
        <f t="shared" si="8"/>
        <v>1.4482981664981105</v>
      </c>
      <c r="C27" s="5">
        <f t="shared" si="9"/>
        <v>31124.34230617775</v>
      </c>
      <c r="D27" s="5">
        <f t="shared" si="0"/>
        <v>29991.065317826775</v>
      </c>
      <c r="E27" s="5">
        <f t="shared" si="1"/>
        <v>20491.065317826775</v>
      </c>
      <c r="F27" s="5">
        <f t="shared" si="2"/>
        <v>6992.0828262704417</v>
      </c>
      <c r="G27" s="5">
        <f t="shared" si="3"/>
        <v>22998.982491556333</v>
      </c>
      <c r="H27" s="22">
        <f t="shared" si="10"/>
        <v>14089.863198689165</v>
      </c>
      <c r="I27" s="5">
        <f t="shared" si="4"/>
        <v>36060.285676741187</v>
      </c>
      <c r="J27" s="25">
        <f t="shared" si="5"/>
        <v>0.13965126414492396</v>
      </c>
      <c r="L27" s="22">
        <f t="shared" si="11"/>
        <v>33931.377572678444</v>
      </c>
      <c r="M27" s="5">
        <f>scrimecost*Meta!O24</f>
        <v>16430.892</v>
      </c>
      <c r="N27" s="5">
        <f>L27-Grade14!L27</f>
        <v>353.92338349400234</v>
      </c>
      <c r="O27" s="5">
        <f>Grade14!M27-M27</f>
        <v>129.06599999999889</v>
      </c>
      <c r="P27" s="22">
        <f t="shared" si="12"/>
        <v>22.585119544406552</v>
      </c>
      <c r="Q27" s="22"/>
      <c r="R27" s="22"/>
      <c r="S27" s="22">
        <f t="shared" si="6"/>
        <v>174.75406211560284</v>
      </c>
      <c r="T27" s="22">
        <f t="shared" si="7"/>
        <v>350.89377393442061</v>
      </c>
    </row>
    <row r="28" spans="1:20" x14ac:dyDescent="0.2">
      <c r="A28" s="5">
        <v>37</v>
      </c>
      <c r="B28" s="1">
        <f t="shared" si="8"/>
        <v>1.4845056206605631</v>
      </c>
      <c r="C28" s="5">
        <f t="shared" si="9"/>
        <v>31902.450863832193</v>
      </c>
      <c r="D28" s="5">
        <f t="shared" si="0"/>
        <v>30712.371950772445</v>
      </c>
      <c r="E28" s="5">
        <f t="shared" si="1"/>
        <v>21212.371950772445</v>
      </c>
      <c r="F28" s="5">
        <f t="shared" si="2"/>
        <v>7227.5894419272036</v>
      </c>
      <c r="G28" s="5">
        <f t="shared" si="3"/>
        <v>23484.782508845241</v>
      </c>
      <c r="H28" s="22">
        <f t="shared" si="10"/>
        <v>14442.109778656391</v>
      </c>
      <c r="I28" s="5">
        <f t="shared" si="4"/>
        <v>36872.618273659718</v>
      </c>
      <c r="J28" s="25">
        <f t="shared" si="5"/>
        <v>0.14172695369379426</v>
      </c>
      <c r="L28" s="22">
        <f t="shared" si="11"/>
        <v>34779.662011995402</v>
      </c>
      <c r="M28" s="5">
        <f>scrimecost*Meta!O25</f>
        <v>16430.892</v>
      </c>
      <c r="N28" s="5">
        <f>L28-Grade14!L28</f>
        <v>362.77146808135876</v>
      </c>
      <c r="O28" s="5">
        <f>Grade14!M28-M28</f>
        <v>129.06599999999889</v>
      </c>
      <c r="P28" s="22">
        <f t="shared" si="12"/>
        <v>22.966431094919795</v>
      </c>
      <c r="Q28" s="22"/>
      <c r="R28" s="22"/>
      <c r="S28" s="22">
        <f t="shared" si="6"/>
        <v>177.42816034876051</v>
      </c>
      <c r="T28" s="22">
        <f t="shared" si="7"/>
        <v>372.12830632841275</v>
      </c>
    </row>
    <row r="29" spans="1:20" x14ac:dyDescent="0.2">
      <c r="A29" s="5">
        <v>38</v>
      </c>
      <c r="B29" s="1">
        <f t="shared" si="8"/>
        <v>1.521618261177077</v>
      </c>
      <c r="C29" s="5">
        <f t="shared" si="9"/>
        <v>32700.012135427991</v>
      </c>
      <c r="D29" s="5">
        <f t="shared" si="0"/>
        <v>31451.71124954175</v>
      </c>
      <c r="E29" s="5">
        <f t="shared" si="1"/>
        <v>21951.71124954175</v>
      </c>
      <c r="F29" s="5">
        <f t="shared" si="2"/>
        <v>7468.9837229753812</v>
      </c>
      <c r="G29" s="5">
        <f t="shared" si="3"/>
        <v>23982.72752656637</v>
      </c>
      <c r="H29" s="22">
        <f t="shared" si="10"/>
        <v>14803.162523122801</v>
      </c>
      <c r="I29" s="5">
        <f t="shared" si="4"/>
        <v>37705.259185501207</v>
      </c>
      <c r="J29" s="25">
        <f t="shared" si="5"/>
        <v>0.14375201666830184</v>
      </c>
      <c r="L29" s="22">
        <f t="shared" si="11"/>
        <v>35649.153562295287</v>
      </c>
      <c r="M29" s="5">
        <f>scrimecost*Meta!O26</f>
        <v>16430.892</v>
      </c>
      <c r="N29" s="5">
        <f>L29-Grade14!L29</f>
        <v>371.84075478338491</v>
      </c>
      <c r="O29" s="5">
        <f>Grade14!M29-M29</f>
        <v>129.06599999999889</v>
      </c>
      <c r="P29" s="22">
        <f t="shared" si="12"/>
        <v>23.35727543419587</v>
      </c>
      <c r="Q29" s="22"/>
      <c r="R29" s="22"/>
      <c r="S29" s="22">
        <f t="shared" si="6"/>
        <v>180.16911103774316</v>
      </c>
      <c r="T29" s="22">
        <f t="shared" si="7"/>
        <v>394.70467139281823</v>
      </c>
    </row>
    <row r="30" spans="1:20" x14ac:dyDescent="0.2">
      <c r="A30" s="5">
        <v>39</v>
      </c>
      <c r="B30" s="1">
        <f t="shared" si="8"/>
        <v>1.559658717706504</v>
      </c>
      <c r="C30" s="5">
        <f t="shared" si="9"/>
        <v>33517.512438813697</v>
      </c>
      <c r="D30" s="5">
        <f t="shared" si="0"/>
        <v>32209.534030780298</v>
      </c>
      <c r="E30" s="5">
        <f t="shared" si="1"/>
        <v>22709.534030780298</v>
      </c>
      <c r="F30" s="5">
        <f t="shared" si="2"/>
        <v>7716.4128610497673</v>
      </c>
      <c r="G30" s="5">
        <f t="shared" si="3"/>
        <v>24493.12116973053</v>
      </c>
      <c r="H30" s="22">
        <f t="shared" si="10"/>
        <v>15173.241586200871</v>
      </c>
      <c r="I30" s="5">
        <f t="shared" si="4"/>
        <v>38558.716120138735</v>
      </c>
      <c r="J30" s="25">
        <f t="shared" si="5"/>
        <v>0.14572768786294346</v>
      </c>
      <c r="L30" s="22">
        <f t="shared" si="11"/>
        <v>36540.382401352661</v>
      </c>
      <c r="M30" s="5">
        <f>scrimecost*Meta!O27</f>
        <v>16430.892</v>
      </c>
      <c r="N30" s="5">
        <f>L30-Grade14!L30</f>
        <v>381.13677365296462</v>
      </c>
      <c r="O30" s="5">
        <f>Grade14!M30-M30</f>
        <v>129.06599999999889</v>
      </c>
      <c r="P30" s="22">
        <f t="shared" si="12"/>
        <v>23.757890881953848</v>
      </c>
      <c r="Q30" s="22"/>
      <c r="R30" s="22"/>
      <c r="S30" s="22">
        <f t="shared" si="6"/>
        <v>182.97858549395124</v>
      </c>
      <c r="T30" s="22">
        <f t="shared" si="7"/>
        <v>418.71061446637583</v>
      </c>
    </row>
    <row r="31" spans="1:20" x14ac:dyDescent="0.2">
      <c r="A31" s="5">
        <v>40</v>
      </c>
      <c r="B31" s="1">
        <f t="shared" si="8"/>
        <v>1.5986501856491666</v>
      </c>
      <c r="C31" s="5">
        <f t="shared" si="9"/>
        <v>34355.450249784037</v>
      </c>
      <c r="D31" s="5">
        <f t="shared" si="0"/>
        <v>32986.302381549802</v>
      </c>
      <c r="E31" s="5">
        <f t="shared" si="1"/>
        <v>23486.302381549802</v>
      </c>
      <c r="F31" s="5">
        <f t="shared" si="2"/>
        <v>7970.0277275760109</v>
      </c>
      <c r="G31" s="5">
        <f t="shared" si="3"/>
        <v>25016.274653973793</v>
      </c>
      <c r="H31" s="22">
        <f t="shared" si="10"/>
        <v>15552.572625855893</v>
      </c>
      <c r="I31" s="5">
        <f t="shared" si="4"/>
        <v>39433.509478142209</v>
      </c>
      <c r="J31" s="25">
        <f t="shared" si="5"/>
        <v>0.14765517195527669</v>
      </c>
      <c r="L31" s="22">
        <f t="shared" si="11"/>
        <v>37453.891961386485</v>
      </c>
      <c r="M31" s="5">
        <f>scrimecost*Meta!O28</f>
        <v>14372.351999999999</v>
      </c>
      <c r="N31" s="5">
        <f>L31-Grade14!L31</f>
        <v>390.66519299429638</v>
      </c>
      <c r="O31" s="5">
        <f>Grade14!M31-M31</f>
        <v>112.89600000000064</v>
      </c>
      <c r="P31" s="22">
        <f t="shared" si="12"/>
        <v>24.168521715905776</v>
      </c>
      <c r="Q31" s="22"/>
      <c r="R31" s="22"/>
      <c r="S31" s="22">
        <f t="shared" si="6"/>
        <v>177.82180681156888</v>
      </c>
      <c r="T31" s="22">
        <f t="shared" si="7"/>
        <v>425.03089270073639</v>
      </c>
    </row>
    <row r="32" spans="1:20" x14ac:dyDescent="0.2">
      <c r="A32" s="5">
        <v>41</v>
      </c>
      <c r="B32" s="1">
        <f t="shared" si="8"/>
        <v>1.6386164402903955</v>
      </c>
      <c r="C32" s="5">
        <f t="shared" si="9"/>
        <v>35214.336506028631</v>
      </c>
      <c r="D32" s="5">
        <f t="shared" si="0"/>
        <v>33782.489941088541</v>
      </c>
      <c r="E32" s="5">
        <f t="shared" si="1"/>
        <v>24282.489941088541</v>
      </c>
      <c r="F32" s="5">
        <f t="shared" si="2"/>
        <v>8229.9829657654082</v>
      </c>
      <c r="G32" s="5">
        <f t="shared" si="3"/>
        <v>25552.506975323133</v>
      </c>
      <c r="H32" s="22">
        <f t="shared" si="10"/>
        <v>15941.386941502287</v>
      </c>
      <c r="I32" s="5">
        <f t="shared" si="4"/>
        <v>40330.172670095752</v>
      </c>
      <c r="J32" s="25">
        <f t="shared" si="5"/>
        <v>0.14953564424047983</v>
      </c>
      <c r="L32" s="22">
        <f t="shared" si="11"/>
        <v>38390.239260421135</v>
      </c>
      <c r="M32" s="5">
        <f>scrimecost*Meta!O29</f>
        <v>14372.351999999999</v>
      </c>
      <c r="N32" s="5">
        <f>L32-Grade14!L32</f>
        <v>400.43182281915506</v>
      </c>
      <c r="O32" s="5">
        <f>Grade14!M32-M32</f>
        <v>112.89600000000064</v>
      </c>
      <c r="P32" s="22">
        <f t="shared" si="12"/>
        <v>24.589418320706493</v>
      </c>
      <c r="Q32" s="22"/>
      <c r="R32" s="22"/>
      <c r="S32" s="22">
        <f t="shared" si="6"/>
        <v>180.77351091212429</v>
      </c>
      <c r="T32" s="22">
        <f t="shared" si="7"/>
        <v>451.32775849749635</v>
      </c>
    </row>
    <row r="33" spans="1:20" x14ac:dyDescent="0.2">
      <c r="A33" s="5">
        <v>42</v>
      </c>
      <c r="B33" s="1">
        <f t="shared" si="8"/>
        <v>1.6795818512976552</v>
      </c>
      <c r="C33" s="5">
        <f t="shared" si="9"/>
        <v>36094.694918679343</v>
      </c>
      <c r="D33" s="5">
        <f t="shared" si="0"/>
        <v>34598.582189615758</v>
      </c>
      <c r="E33" s="5">
        <f t="shared" si="1"/>
        <v>25098.582189615758</v>
      </c>
      <c r="F33" s="5">
        <f t="shared" si="2"/>
        <v>8496.4370849095449</v>
      </c>
      <c r="G33" s="5">
        <f t="shared" si="3"/>
        <v>26102.145104706215</v>
      </c>
      <c r="H33" s="22">
        <f t="shared" si="10"/>
        <v>16339.921615039844</v>
      </c>
      <c r="I33" s="5">
        <f t="shared" si="4"/>
        <v>41249.252441848148</v>
      </c>
      <c r="J33" s="25">
        <f t="shared" si="5"/>
        <v>0.15137025134799517</v>
      </c>
      <c r="L33" s="22">
        <f t="shared" si="11"/>
        <v>39349.995241931669</v>
      </c>
      <c r="M33" s="5">
        <f>scrimecost*Meta!O30</f>
        <v>14372.351999999999</v>
      </c>
      <c r="N33" s="5">
        <f>L33-Grade14!L33</f>
        <v>410.44261838963575</v>
      </c>
      <c r="O33" s="5">
        <f>Grade14!M33-M33</f>
        <v>112.89600000000064</v>
      </c>
      <c r="P33" s="22">
        <f t="shared" si="12"/>
        <v>25.020837340627246</v>
      </c>
      <c r="Q33" s="22"/>
      <c r="R33" s="22"/>
      <c r="S33" s="22">
        <f t="shared" si="6"/>
        <v>183.79900761519372</v>
      </c>
      <c r="T33" s="22">
        <f t="shared" si="7"/>
        <v>479.31628932026496</v>
      </c>
    </row>
    <row r="34" spans="1:20" x14ac:dyDescent="0.2">
      <c r="A34" s="5">
        <v>43</v>
      </c>
      <c r="B34" s="1">
        <f t="shared" si="8"/>
        <v>1.7215713975800966</v>
      </c>
      <c r="C34" s="5">
        <f t="shared" si="9"/>
        <v>36997.062291646333</v>
      </c>
      <c r="D34" s="5">
        <f t="shared" si="0"/>
        <v>35435.076744356156</v>
      </c>
      <c r="E34" s="5">
        <f t="shared" si="1"/>
        <v>25935.076744356156</v>
      </c>
      <c r="F34" s="5">
        <f t="shared" si="2"/>
        <v>8769.5525570322843</v>
      </c>
      <c r="G34" s="5">
        <f t="shared" si="3"/>
        <v>26665.52418732387</v>
      </c>
      <c r="H34" s="22">
        <f t="shared" si="10"/>
        <v>16748.419655415841</v>
      </c>
      <c r="I34" s="5">
        <f t="shared" si="4"/>
        <v>42191.309207894359</v>
      </c>
      <c r="J34" s="25">
        <f t="shared" si="5"/>
        <v>0.15316011194069301</v>
      </c>
      <c r="L34" s="22">
        <f t="shared" si="11"/>
        <v>40333.745122979963</v>
      </c>
      <c r="M34" s="5">
        <f>scrimecost*Meta!O31</f>
        <v>14372.351999999999</v>
      </c>
      <c r="N34" s="5">
        <f>L34-Grade14!L34</f>
        <v>420.70368384937319</v>
      </c>
      <c r="O34" s="5">
        <f>Grade14!M34-M34</f>
        <v>112.89600000000064</v>
      </c>
      <c r="P34" s="22">
        <f t="shared" si="12"/>
        <v>25.463041836046006</v>
      </c>
      <c r="Q34" s="22"/>
      <c r="R34" s="22"/>
      <c r="S34" s="22">
        <f t="shared" si="6"/>
        <v>186.90014173583839</v>
      </c>
      <c r="T34" s="22">
        <f t="shared" si="7"/>
        <v>509.10859727906472</v>
      </c>
    </row>
    <row r="35" spans="1:20" x14ac:dyDescent="0.2">
      <c r="A35" s="5">
        <v>44</v>
      </c>
      <c r="B35" s="1">
        <f t="shared" si="8"/>
        <v>1.7646106825195991</v>
      </c>
      <c r="C35" s="5">
        <f t="shared" si="9"/>
        <v>37921.988848937486</v>
      </c>
      <c r="D35" s="5">
        <f t="shared" si="0"/>
        <v>36292.483662965053</v>
      </c>
      <c r="E35" s="5">
        <f t="shared" si="1"/>
        <v>26792.483662965053</v>
      </c>
      <c r="F35" s="5">
        <f t="shared" si="2"/>
        <v>9049.4959159580903</v>
      </c>
      <c r="G35" s="5">
        <f t="shared" si="3"/>
        <v>27242.987747006962</v>
      </c>
      <c r="H35" s="22">
        <f t="shared" si="10"/>
        <v>17167.130146801235</v>
      </c>
      <c r="I35" s="5">
        <f t="shared" si="4"/>
        <v>43156.91739309171</v>
      </c>
      <c r="J35" s="25">
        <f t="shared" si="5"/>
        <v>0.15490631739698354</v>
      </c>
      <c r="L35" s="22">
        <f t="shared" si="11"/>
        <v>41342.088751054456</v>
      </c>
      <c r="M35" s="5">
        <f>scrimecost*Meta!O32</f>
        <v>14372.351999999999</v>
      </c>
      <c r="N35" s="5">
        <f>L35-Grade14!L35</f>
        <v>431.2212759456088</v>
      </c>
      <c r="O35" s="5">
        <f>Grade14!M35-M35</f>
        <v>112.89600000000064</v>
      </c>
      <c r="P35" s="22">
        <f t="shared" si="12"/>
        <v>25.91630144385023</v>
      </c>
      <c r="Q35" s="22"/>
      <c r="R35" s="22"/>
      <c r="S35" s="22">
        <f t="shared" si="6"/>
        <v>190.07880420950056</v>
      </c>
      <c r="T35" s="22">
        <f t="shared" si="7"/>
        <v>540.8243853174273</v>
      </c>
    </row>
    <row r="36" spans="1:20" x14ac:dyDescent="0.2">
      <c r="A36" s="5">
        <v>45</v>
      </c>
      <c r="B36" s="1">
        <f t="shared" si="8"/>
        <v>1.8087259495825889</v>
      </c>
      <c r="C36" s="5">
        <f t="shared" si="9"/>
        <v>38870.038570160919</v>
      </c>
      <c r="D36" s="5">
        <f t="shared" si="0"/>
        <v>37171.325754539175</v>
      </c>
      <c r="E36" s="5">
        <f t="shared" si="1"/>
        <v>27671.325754539175</v>
      </c>
      <c r="F36" s="5">
        <f t="shared" si="2"/>
        <v>9336.4378588570398</v>
      </c>
      <c r="G36" s="5">
        <f t="shared" si="3"/>
        <v>27834.887895682135</v>
      </c>
      <c r="H36" s="22">
        <f t="shared" si="10"/>
        <v>17596.308400471265</v>
      </c>
      <c r="I36" s="5">
        <f t="shared" si="4"/>
        <v>44146.665782919001</v>
      </c>
      <c r="J36" s="25">
        <f t="shared" si="5"/>
        <v>0.15660993247629143</v>
      </c>
      <c r="L36" s="22">
        <f t="shared" si="11"/>
        <v>42375.640969830813</v>
      </c>
      <c r="M36" s="5">
        <f>scrimecost*Meta!O33</f>
        <v>11615.156000000001</v>
      </c>
      <c r="N36" s="5">
        <f>L36-Grade14!L36</f>
        <v>442.00180784425174</v>
      </c>
      <c r="O36" s="5">
        <f>Grade14!M36-M36</f>
        <v>91.237999999999374</v>
      </c>
      <c r="P36" s="22">
        <f t="shared" si="12"/>
        <v>26.380892541849565</v>
      </c>
      <c r="Q36" s="22"/>
      <c r="R36" s="22"/>
      <c r="S36" s="22">
        <f t="shared" si="6"/>
        <v>182.57290724500402</v>
      </c>
      <c r="T36" s="22">
        <f t="shared" si="7"/>
        <v>542.60111183436504</v>
      </c>
    </row>
    <row r="37" spans="1:20" x14ac:dyDescent="0.2">
      <c r="A37" s="5">
        <v>46</v>
      </c>
      <c r="B37" s="1">
        <f t="shared" ref="B37:B56" si="13">(1+experiencepremium)^(A37-startage)</f>
        <v>1.8539440983221533</v>
      </c>
      <c r="C37" s="5">
        <f t="shared" ref="C37:C56" si="14">pretaxincome*B37/expnorm</f>
        <v>39841.789534414936</v>
      </c>
      <c r="D37" s="5">
        <f t="shared" ref="D37:D56" si="15">IF(A37&lt;startage,1,0)*(C37*(1-initialunempprob))+IF(A37=startage,1,0)*(C37*(1-unempprob))+IF(A37&gt;startage,1,0)*(C37*(1-unempprob)+unempprob*300*52)</f>
        <v>38072.138898402649</v>
      </c>
      <c r="E37" s="5">
        <f t="shared" si="1"/>
        <v>28572.138898402649</v>
      </c>
      <c r="F37" s="5">
        <f t="shared" si="2"/>
        <v>9630.5533503284641</v>
      </c>
      <c r="G37" s="5">
        <f t="shared" si="3"/>
        <v>28441.585548074185</v>
      </c>
      <c r="H37" s="22">
        <f t="shared" ref="H37:H56" si="16">benefits*B37/expnorm</f>
        <v>18036.216110483045</v>
      </c>
      <c r="I37" s="5">
        <f t="shared" ref="I37:I56" si="17">G37+IF(A37&lt;startage,1,0)*(H37*(1-initialunempprob))+IF(A37&gt;=startage,1,0)*(H37*(1-unempprob))</f>
        <v>45161.157882491971</v>
      </c>
      <c r="J37" s="25">
        <f t="shared" si="5"/>
        <v>0.15827199596829911</v>
      </c>
      <c r="L37" s="22">
        <f t="shared" ref="L37:L56" si="18">(sincome+sbenefits)*(1-sunemp)*B37/expnorm</f>
        <v>43435.031994076577</v>
      </c>
      <c r="M37" s="5">
        <f>scrimecost*Meta!O34</f>
        <v>11615.156000000001</v>
      </c>
      <c r="N37" s="5">
        <f>L37-Grade14!L37</f>
        <v>453.05185304034967</v>
      </c>
      <c r="O37" s="5">
        <f>Grade14!M37-M37</f>
        <v>91.237999999999374</v>
      </c>
      <c r="P37" s="22">
        <f t="shared" si="12"/>
        <v>26.857098417298886</v>
      </c>
      <c r="Q37" s="22"/>
      <c r="R37" s="22"/>
      <c r="S37" s="22">
        <f t="shared" si="6"/>
        <v>185.91248950639257</v>
      </c>
      <c r="T37" s="22">
        <f t="shared" si="7"/>
        <v>577.13137988031201</v>
      </c>
    </row>
    <row r="38" spans="1:20" x14ac:dyDescent="0.2">
      <c r="A38" s="5">
        <v>47</v>
      </c>
      <c r="B38" s="1">
        <f t="shared" si="13"/>
        <v>1.9002927007802071</v>
      </c>
      <c r="C38" s="5">
        <f t="shared" si="14"/>
        <v>40837.834272775304</v>
      </c>
      <c r="D38" s="5">
        <f t="shared" si="15"/>
        <v>38995.472370862713</v>
      </c>
      <c r="E38" s="5">
        <f t="shared" si="1"/>
        <v>29495.472370862713</v>
      </c>
      <c r="F38" s="5">
        <f t="shared" si="2"/>
        <v>9932.0217290866749</v>
      </c>
      <c r="G38" s="5">
        <f t="shared" si="3"/>
        <v>29063.450641776039</v>
      </c>
      <c r="H38" s="22">
        <f t="shared" si="16"/>
        <v>18487.121513245118</v>
      </c>
      <c r="I38" s="5">
        <f t="shared" si="17"/>
        <v>46201.012284554265</v>
      </c>
      <c r="J38" s="25">
        <f t="shared" si="5"/>
        <v>0.1598935213263554</v>
      </c>
      <c r="L38" s="22">
        <f t="shared" si="18"/>
        <v>44520.907793928491</v>
      </c>
      <c r="M38" s="5">
        <f>scrimecost*Meta!O35</f>
        <v>11615.156000000001</v>
      </c>
      <c r="N38" s="5">
        <f>L38-Grade14!L38</f>
        <v>464.37814936636278</v>
      </c>
      <c r="O38" s="5">
        <f>Grade14!M38-M38</f>
        <v>91.237999999999374</v>
      </c>
      <c r="P38" s="22">
        <f t="shared" si="12"/>
        <v>27.345209439634438</v>
      </c>
      <c r="Q38" s="22"/>
      <c r="R38" s="22"/>
      <c r="S38" s="22">
        <f t="shared" si="6"/>
        <v>189.33556132431949</v>
      </c>
      <c r="T38" s="22">
        <f t="shared" si="7"/>
        <v>613.93174102333194</v>
      </c>
    </row>
    <row r="39" spans="1:20" x14ac:dyDescent="0.2">
      <c r="A39" s="5">
        <v>48</v>
      </c>
      <c r="B39" s="1">
        <f t="shared" si="13"/>
        <v>1.9478000182997122</v>
      </c>
      <c r="C39" s="5">
        <f t="shared" si="14"/>
        <v>41858.780129594685</v>
      </c>
      <c r="D39" s="5">
        <f t="shared" si="15"/>
        <v>39941.889180134276</v>
      </c>
      <c r="E39" s="5">
        <f t="shared" si="1"/>
        <v>30441.889180134276</v>
      </c>
      <c r="F39" s="5">
        <f t="shared" si="2"/>
        <v>10241.026817313841</v>
      </c>
      <c r="G39" s="5">
        <f t="shared" si="3"/>
        <v>29700.862362820437</v>
      </c>
      <c r="H39" s="22">
        <f t="shared" si="16"/>
        <v>18949.299551076248</v>
      </c>
      <c r="I39" s="5">
        <f t="shared" si="17"/>
        <v>47266.863046668121</v>
      </c>
      <c r="J39" s="25">
        <f t="shared" si="5"/>
        <v>0.16147549728543467</v>
      </c>
      <c r="L39" s="22">
        <f t="shared" si="18"/>
        <v>45633.930488776699</v>
      </c>
      <c r="M39" s="5">
        <f>scrimecost*Meta!O36</f>
        <v>11615.156000000001</v>
      </c>
      <c r="N39" s="5">
        <f>L39-Grade14!L39</f>
        <v>475.98760310051875</v>
      </c>
      <c r="O39" s="5">
        <f>Grade14!M39-M39</f>
        <v>91.237999999999374</v>
      </c>
      <c r="P39" s="22">
        <f t="shared" si="12"/>
        <v>27.845523237528376</v>
      </c>
      <c r="Q39" s="22"/>
      <c r="R39" s="22"/>
      <c r="S39" s="22">
        <f t="shared" si="6"/>
        <v>192.84420993769243</v>
      </c>
      <c r="T39" s="22">
        <f t="shared" si="7"/>
        <v>653.15502707950372</v>
      </c>
    </row>
    <row r="40" spans="1:20" x14ac:dyDescent="0.2">
      <c r="A40" s="5">
        <v>49</v>
      </c>
      <c r="B40" s="1">
        <f t="shared" si="13"/>
        <v>1.9964950187572048</v>
      </c>
      <c r="C40" s="5">
        <f t="shared" si="14"/>
        <v>42905.249632834551</v>
      </c>
      <c r="D40" s="5">
        <f t="shared" si="15"/>
        <v>40911.966409637636</v>
      </c>
      <c r="E40" s="5">
        <f t="shared" si="1"/>
        <v>31411.966409637636</v>
      </c>
      <c r="F40" s="5">
        <f t="shared" si="2"/>
        <v>10557.757032746689</v>
      </c>
      <c r="G40" s="5">
        <f t="shared" si="3"/>
        <v>30354.209376890947</v>
      </c>
      <c r="H40" s="22">
        <f t="shared" si="16"/>
        <v>19423.032039853151</v>
      </c>
      <c r="I40" s="5">
        <f t="shared" si="17"/>
        <v>48359.360077834819</v>
      </c>
      <c r="J40" s="25">
        <f t="shared" si="5"/>
        <v>0.16301888846502427</v>
      </c>
      <c r="L40" s="22">
        <f t="shared" si="18"/>
        <v>46774.778750996113</v>
      </c>
      <c r="M40" s="5">
        <f>scrimecost*Meta!O37</f>
        <v>11615.156000000001</v>
      </c>
      <c r="N40" s="5">
        <f>L40-Grade14!L40</f>
        <v>487.88729317802063</v>
      </c>
      <c r="O40" s="5">
        <f>Grade14!M40-M40</f>
        <v>91.237999999999374</v>
      </c>
      <c r="P40" s="22">
        <f t="shared" si="12"/>
        <v>28.358344880369671</v>
      </c>
      <c r="Q40" s="22"/>
      <c r="R40" s="22"/>
      <c r="S40" s="22">
        <f t="shared" si="6"/>
        <v>196.44057476639748</v>
      </c>
      <c r="T40" s="22">
        <f t="shared" si="7"/>
        <v>694.96453096399739</v>
      </c>
    </row>
    <row r="41" spans="1:20" x14ac:dyDescent="0.2">
      <c r="A41" s="5">
        <v>50</v>
      </c>
      <c r="B41" s="1">
        <f t="shared" si="13"/>
        <v>2.0464073942261352</v>
      </c>
      <c r="C41" s="5">
        <f t="shared" si="14"/>
        <v>43977.880873655427</v>
      </c>
      <c r="D41" s="5">
        <f t="shared" si="15"/>
        <v>41906.295569878588</v>
      </c>
      <c r="E41" s="5">
        <f t="shared" si="1"/>
        <v>32406.295569878588</v>
      </c>
      <c r="F41" s="5">
        <f t="shared" si="2"/>
        <v>10882.405503565358</v>
      </c>
      <c r="G41" s="5">
        <f t="shared" si="3"/>
        <v>31023.89006631323</v>
      </c>
      <c r="H41" s="22">
        <f t="shared" si="16"/>
        <v>19908.60784084948</v>
      </c>
      <c r="I41" s="5">
        <f t="shared" si="17"/>
        <v>49479.169534780696</v>
      </c>
      <c r="J41" s="25">
        <f t="shared" si="5"/>
        <v>0.16452463595730676</v>
      </c>
      <c r="L41" s="22">
        <f t="shared" si="18"/>
        <v>47944.148219771021</v>
      </c>
      <c r="M41" s="5">
        <f>scrimecost*Meta!O38</f>
        <v>7760.0720000000001</v>
      </c>
      <c r="N41" s="5">
        <f>L41-Grade14!L41</f>
        <v>500.08447550749406</v>
      </c>
      <c r="O41" s="5">
        <f>Grade14!M41-M41</f>
        <v>60.956000000000131</v>
      </c>
      <c r="P41" s="22">
        <f t="shared" si="12"/>
        <v>28.883987064281996</v>
      </c>
      <c r="Q41" s="22"/>
      <c r="R41" s="22"/>
      <c r="S41" s="22">
        <f t="shared" si="6"/>
        <v>185.07669471583009</v>
      </c>
      <c r="T41" s="22">
        <f t="shared" si="7"/>
        <v>683.91944647214439</v>
      </c>
    </row>
    <row r="42" spans="1:20" x14ac:dyDescent="0.2">
      <c r="A42" s="5">
        <v>51</v>
      </c>
      <c r="B42" s="1">
        <f t="shared" si="13"/>
        <v>2.097567579081788</v>
      </c>
      <c r="C42" s="5">
        <f t="shared" si="14"/>
        <v>45077.327895496797</v>
      </c>
      <c r="D42" s="5">
        <f t="shared" si="15"/>
        <v>42925.482959125533</v>
      </c>
      <c r="E42" s="5">
        <f t="shared" si="1"/>
        <v>33425.482959125533</v>
      </c>
      <c r="F42" s="5">
        <f t="shared" si="2"/>
        <v>11215.170186154486</v>
      </c>
      <c r="G42" s="5">
        <f t="shared" si="3"/>
        <v>31710.312772971047</v>
      </c>
      <c r="H42" s="22">
        <f t="shared" si="16"/>
        <v>20406.323036870715</v>
      </c>
      <c r="I42" s="5">
        <f t="shared" si="17"/>
        <v>50626.974228150197</v>
      </c>
      <c r="J42" s="25">
        <f t="shared" si="5"/>
        <v>0.16599365790099696</v>
      </c>
      <c r="L42" s="22">
        <f t="shared" si="18"/>
        <v>49142.751925265286</v>
      </c>
      <c r="M42" s="5">
        <f>scrimecost*Meta!O39</f>
        <v>7760.0720000000001</v>
      </c>
      <c r="N42" s="5">
        <f>L42-Grade14!L42</f>
        <v>512.58658739515522</v>
      </c>
      <c r="O42" s="5">
        <f>Grade14!M42-M42</f>
        <v>60.956000000000131</v>
      </c>
      <c r="P42" s="22">
        <f t="shared" si="12"/>
        <v>29.422770302792117</v>
      </c>
      <c r="Q42" s="22"/>
      <c r="R42" s="22"/>
      <c r="S42" s="22">
        <f t="shared" si="6"/>
        <v>188.85512551398429</v>
      </c>
      <c r="T42" s="22">
        <f t="shared" si="7"/>
        <v>728.96011690786656</v>
      </c>
    </row>
    <row r="43" spans="1:20" x14ac:dyDescent="0.2">
      <c r="A43" s="5">
        <v>52</v>
      </c>
      <c r="B43" s="1">
        <f t="shared" si="13"/>
        <v>2.1500067685588333</v>
      </c>
      <c r="C43" s="5">
        <f t="shared" si="14"/>
        <v>46204.261092884226</v>
      </c>
      <c r="D43" s="5">
        <f t="shared" si="15"/>
        <v>43970.15003310368</v>
      </c>
      <c r="E43" s="5">
        <f t="shared" si="1"/>
        <v>34470.15003310368</v>
      </c>
      <c r="F43" s="5">
        <f t="shared" si="2"/>
        <v>11556.253985808351</v>
      </c>
      <c r="G43" s="5">
        <f t="shared" si="3"/>
        <v>32413.896047295329</v>
      </c>
      <c r="H43" s="22">
        <f t="shared" si="16"/>
        <v>20916.481112792488</v>
      </c>
      <c r="I43" s="5">
        <f t="shared" si="17"/>
        <v>51803.474038853965</v>
      </c>
      <c r="J43" s="25">
        <f t="shared" si="5"/>
        <v>0.16742685004118257</v>
      </c>
      <c r="L43" s="22">
        <f t="shared" si="18"/>
        <v>50371.320723396937</v>
      </c>
      <c r="M43" s="5">
        <f>scrimecost*Meta!O40</f>
        <v>7760.0720000000001</v>
      </c>
      <c r="N43" s="5">
        <f>L43-Grade14!L43</f>
        <v>525.40125208006793</v>
      </c>
      <c r="O43" s="5">
        <f>Grade14!M43-M43</f>
        <v>60.956000000000131</v>
      </c>
      <c r="P43" s="22">
        <f t="shared" si="12"/>
        <v>29.975023122265007</v>
      </c>
      <c r="Q43" s="22"/>
      <c r="R43" s="22"/>
      <c r="S43" s="22">
        <f t="shared" ref="S43:S69" si="19">IF(A43&lt;startage,1,0)*(N43-Q43-R43)+IF(A43&gt;=startage,1,0)*completionprob*(N43*spart+O43+P43)</f>
        <v>192.72801708210923</v>
      </c>
      <c r="T43" s="22">
        <f t="shared" ref="T43:T69" si="20">S43/sreturn^(A43-startage+1)</f>
        <v>777.03685633563998</v>
      </c>
    </row>
    <row r="44" spans="1:20" x14ac:dyDescent="0.2">
      <c r="A44" s="5">
        <v>53</v>
      </c>
      <c r="B44" s="1">
        <f t="shared" si="13"/>
        <v>2.2037569377728037</v>
      </c>
      <c r="C44" s="5">
        <f t="shared" si="14"/>
        <v>47359.367620206322</v>
      </c>
      <c r="D44" s="5">
        <f t="shared" si="15"/>
        <v>45040.933783931265</v>
      </c>
      <c r="E44" s="5">
        <f t="shared" si="1"/>
        <v>35540.933783931265</v>
      </c>
      <c r="F44" s="5">
        <f t="shared" si="2"/>
        <v>12009.958258846684</v>
      </c>
      <c r="G44" s="5">
        <f t="shared" si="3"/>
        <v>33030.975525084577</v>
      </c>
      <c r="H44" s="22">
        <f t="shared" si="16"/>
        <v>21439.393140612294</v>
      </c>
      <c r="I44" s="5">
        <f t="shared" si="17"/>
        <v>52905.292966432171</v>
      </c>
      <c r="J44" s="25">
        <f t="shared" si="5"/>
        <v>0.17045724636584547</v>
      </c>
      <c r="L44" s="22">
        <f t="shared" si="18"/>
        <v>51630.603741481842</v>
      </c>
      <c r="M44" s="5">
        <f>scrimecost*Meta!O41</f>
        <v>7760.0720000000001</v>
      </c>
      <c r="N44" s="5">
        <f>L44-Grade14!L44</f>
        <v>538.53628338204726</v>
      </c>
      <c r="O44" s="5">
        <f>Grade14!M44-M44</f>
        <v>60.956000000000131</v>
      </c>
      <c r="P44" s="22">
        <f t="shared" si="12"/>
        <v>30.709621083958254</v>
      </c>
      <c r="Q44" s="22"/>
      <c r="R44" s="22"/>
      <c r="S44" s="22">
        <f t="shared" si="19"/>
        <v>196.78149473382311</v>
      </c>
      <c r="T44" s="22">
        <f t="shared" si="20"/>
        <v>828.71041053093836</v>
      </c>
    </row>
    <row r="45" spans="1:20" x14ac:dyDescent="0.2">
      <c r="A45" s="5">
        <v>54</v>
      </c>
      <c r="B45" s="1">
        <f t="shared" si="13"/>
        <v>2.2588508612171236</v>
      </c>
      <c r="C45" s="5">
        <f t="shared" si="14"/>
        <v>48543.35181071148</v>
      </c>
      <c r="D45" s="5">
        <f t="shared" si="15"/>
        <v>46138.487128529545</v>
      </c>
      <c r="E45" s="5">
        <f t="shared" si="1"/>
        <v>36638.487128529545</v>
      </c>
      <c r="F45" s="5">
        <f t="shared" si="2"/>
        <v>12478.064760317851</v>
      </c>
      <c r="G45" s="5">
        <f t="shared" si="3"/>
        <v>33660.422368211694</v>
      </c>
      <c r="H45" s="22">
        <f t="shared" si="16"/>
        <v>21975.377969127599</v>
      </c>
      <c r="I45" s="5">
        <f t="shared" si="17"/>
        <v>54031.597745592982</v>
      </c>
      <c r="J45" s="25">
        <f t="shared" si="5"/>
        <v>0.1734605346425184</v>
      </c>
      <c r="L45" s="22">
        <f t="shared" si="18"/>
        <v>52921.36883501889</v>
      </c>
      <c r="M45" s="5">
        <f>scrimecost*Meta!O42</f>
        <v>7760.0720000000001</v>
      </c>
      <c r="N45" s="5">
        <f>L45-Grade14!L45</f>
        <v>551.99969046660408</v>
      </c>
      <c r="O45" s="5">
        <f>Grade14!M45-M45</f>
        <v>60.956000000000131</v>
      </c>
      <c r="P45" s="22">
        <f t="shared" si="12"/>
        <v>31.4675378642726</v>
      </c>
      <c r="Q45" s="22"/>
      <c r="R45" s="22"/>
      <c r="S45" s="22">
        <f t="shared" si="19"/>
        <v>200.93877140001831</v>
      </c>
      <c r="T45" s="22">
        <f t="shared" si="20"/>
        <v>883.90187665054452</v>
      </c>
    </row>
    <row r="46" spans="1:20" x14ac:dyDescent="0.2">
      <c r="A46" s="5">
        <v>55</v>
      </c>
      <c r="B46" s="1">
        <f t="shared" si="13"/>
        <v>2.3153221327475517</v>
      </c>
      <c r="C46" s="5">
        <f t="shared" si="14"/>
        <v>49756.93560597927</v>
      </c>
      <c r="D46" s="5">
        <f t="shared" si="15"/>
        <v>47263.479306742789</v>
      </c>
      <c r="E46" s="5">
        <f t="shared" si="1"/>
        <v>37763.479306742789</v>
      </c>
      <c r="F46" s="5">
        <f t="shared" si="2"/>
        <v>12957.873924325799</v>
      </c>
      <c r="G46" s="5">
        <f t="shared" si="3"/>
        <v>34305.605382416994</v>
      </c>
      <c r="H46" s="22">
        <f t="shared" si="16"/>
        <v>22524.762418355793</v>
      </c>
      <c r="I46" s="5">
        <f t="shared" si="17"/>
        <v>55186.060144232819</v>
      </c>
      <c r="J46" s="25">
        <f t="shared" si="5"/>
        <v>0.17639057198561395</v>
      </c>
      <c r="L46" s="22">
        <f t="shared" si="18"/>
        <v>54244.403055894363</v>
      </c>
      <c r="M46" s="5">
        <f>scrimecost*Meta!O43</f>
        <v>4304.2199999999993</v>
      </c>
      <c r="N46" s="5">
        <f>L46-Grade14!L46</f>
        <v>565.7996827282841</v>
      </c>
      <c r="O46" s="5">
        <f>Grade14!M46-M46</f>
        <v>33.8100000000004</v>
      </c>
      <c r="P46" s="22">
        <f t="shared" si="12"/>
        <v>32.244402564094813</v>
      </c>
      <c r="Q46" s="22"/>
      <c r="R46" s="22"/>
      <c r="S46" s="22">
        <f t="shared" si="19"/>
        <v>191.70841798287111</v>
      </c>
      <c r="T46" s="22">
        <f t="shared" si="20"/>
        <v>880.85266106990946</v>
      </c>
    </row>
    <row r="47" spans="1:20" x14ac:dyDescent="0.2">
      <c r="A47" s="5">
        <v>56</v>
      </c>
      <c r="B47" s="1">
        <f t="shared" si="13"/>
        <v>2.3732051860662402</v>
      </c>
      <c r="C47" s="5">
        <f t="shared" si="14"/>
        <v>51000.858996128736</v>
      </c>
      <c r="D47" s="5">
        <f t="shared" si="15"/>
        <v>48416.596289411347</v>
      </c>
      <c r="E47" s="5">
        <f t="shared" si="1"/>
        <v>38916.596289411347</v>
      </c>
      <c r="F47" s="5">
        <f t="shared" si="2"/>
        <v>13449.67831743394</v>
      </c>
      <c r="G47" s="5">
        <f t="shared" si="3"/>
        <v>34966.917971977411</v>
      </c>
      <c r="H47" s="22">
        <f t="shared" si="16"/>
        <v>23087.881478814685</v>
      </c>
      <c r="I47" s="5">
        <f t="shared" si="17"/>
        <v>56369.384102838623</v>
      </c>
      <c r="J47" s="25">
        <f t="shared" si="5"/>
        <v>0.17924914500326811</v>
      </c>
      <c r="L47" s="22">
        <f t="shared" si="18"/>
        <v>55600.513132291708</v>
      </c>
      <c r="M47" s="5">
        <f>scrimecost*Meta!O44</f>
        <v>4304.2199999999993</v>
      </c>
      <c r="N47" s="5">
        <f>L47-Grade14!L47</f>
        <v>579.94467479646846</v>
      </c>
      <c r="O47" s="5">
        <f>Grade14!M47-M47</f>
        <v>33.8100000000004</v>
      </c>
      <c r="P47" s="22">
        <f t="shared" si="12"/>
        <v>33.040688881412571</v>
      </c>
      <c r="Q47" s="22"/>
      <c r="R47" s="22"/>
      <c r="S47" s="22">
        <f t="shared" si="19"/>
        <v>196.07615678028455</v>
      </c>
      <c r="T47" s="22">
        <f t="shared" si="20"/>
        <v>941.04122026300251</v>
      </c>
    </row>
    <row r="48" spans="1:20" x14ac:dyDescent="0.2">
      <c r="A48" s="5">
        <v>57</v>
      </c>
      <c r="B48" s="1">
        <f t="shared" si="13"/>
        <v>2.4325353157178964</v>
      </c>
      <c r="C48" s="5">
        <f t="shared" si="14"/>
        <v>52275.88047103196</v>
      </c>
      <c r="D48" s="5">
        <f t="shared" si="15"/>
        <v>49598.541196646634</v>
      </c>
      <c r="E48" s="5">
        <f t="shared" si="1"/>
        <v>40098.541196646634</v>
      </c>
      <c r="F48" s="5">
        <f t="shared" si="2"/>
        <v>13953.777820369789</v>
      </c>
      <c r="G48" s="5">
        <f t="shared" si="3"/>
        <v>35644.763376276846</v>
      </c>
      <c r="H48" s="22">
        <f t="shared" si="16"/>
        <v>23665.078515785055</v>
      </c>
      <c r="I48" s="5">
        <f t="shared" si="17"/>
        <v>57582.291160409593</v>
      </c>
      <c r="J48" s="25">
        <f t="shared" si="5"/>
        <v>0.18203799672780877</v>
      </c>
      <c r="L48" s="22">
        <f t="shared" si="18"/>
        <v>56990.525960599007</v>
      </c>
      <c r="M48" s="5">
        <f>scrimecost*Meta!O45</f>
        <v>4304.2199999999993</v>
      </c>
      <c r="N48" s="5">
        <f>L48-Grade14!L48</f>
        <v>594.44329166638636</v>
      </c>
      <c r="O48" s="5">
        <f>Grade14!M48-M48</f>
        <v>33.8100000000004</v>
      </c>
      <c r="P48" s="22">
        <f t="shared" si="12"/>
        <v>33.856882356663277</v>
      </c>
      <c r="Q48" s="22"/>
      <c r="R48" s="22"/>
      <c r="S48" s="22">
        <f t="shared" si="19"/>
        <v>200.55308904764146</v>
      </c>
      <c r="T48" s="22">
        <f t="shared" si="20"/>
        <v>1005.390994568364</v>
      </c>
    </row>
    <row r="49" spans="1:20" x14ac:dyDescent="0.2">
      <c r="A49" s="5">
        <v>58</v>
      </c>
      <c r="B49" s="1">
        <f t="shared" si="13"/>
        <v>2.4933486986108435</v>
      </c>
      <c r="C49" s="5">
        <f t="shared" si="14"/>
        <v>53582.777482807753</v>
      </c>
      <c r="D49" s="5">
        <f t="shared" si="15"/>
        <v>50810.034726562793</v>
      </c>
      <c r="E49" s="5">
        <f t="shared" si="1"/>
        <v>41310.034726562793</v>
      </c>
      <c r="F49" s="5">
        <f t="shared" si="2"/>
        <v>14470.479810879033</v>
      </c>
      <c r="G49" s="5">
        <f t="shared" si="3"/>
        <v>36339.554915683759</v>
      </c>
      <c r="H49" s="22">
        <f t="shared" si="16"/>
        <v>24256.705478679676</v>
      </c>
      <c r="I49" s="5">
        <f t="shared" si="17"/>
        <v>58825.520894419824</v>
      </c>
      <c r="J49" s="25">
        <f t="shared" si="5"/>
        <v>0.18475882767858018</v>
      </c>
      <c r="L49" s="22">
        <f t="shared" si="18"/>
        <v>58415.289109613979</v>
      </c>
      <c r="M49" s="5">
        <f>scrimecost*Meta!O46</f>
        <v>4304.2199999999993</v>
      </c>
      <c r="N49" s="5">
        <f>L49-Grade14!L49</f>
        <v>609.30437395805347</v>
      </c>
      <c r="O49" s="5">
        <f>Grade14!M49-M49</f>
        <v>33.8100000000004</v>
      </c>
      <c r="P49" s="22">
        <f t="shared" si="12"/>
        <v>34.693480668795253</v>
      </c>
      <c r="Q49" s="22"/>
      <c r="R49" s="22"/>
      <c r="S49" s="22">
        <f t="shared" si="19"/>
        <v>205.14194462168263</v>
      </c>
      <c r="T49" s="22">
        <f t="shared" si="20"/>
        <v>1074.1919097985501</v>
      </c>
    </row>
    <row r="50" spans="1:20" x14ac:dyDescent="0.2">
      <c r="A50" s="5">
        <v>59</v>
      </c>
      <c r="B50" s="1">
        <f t="shared" si="13"/>
        <v>2.555682416076114</v>
      </c>
      <c r="C50" s="5">
        <f t="shared" si="14"/>
        <v>54922.346919877935</v>
      </c>
      <c r="D50" s="5">
        <f t="shared" si="15"/>
        <v>52051.815594726853</v>
      </c>
      <c r="E50" s="5">
        <f t="shared" si="1"/>
        <v>42551.815594726853</v>
      </c>
      <c r="F50" s="5">
        <f t="shared" si="2"/>
        <v>15000.099351151004</v>
      </c>
      <c r="G50" s="5">
        <f t="shared" si="3"/>
        <v>37051.716243575851</v>
      </c>
      <c r="H50" s="22">
        <f t="shared" si="16"/>
        <v>24863.123115646664</v>
      </c>
      <c r="I50" s="5">
        <f t="shared" si="17"/>
        <v>60099.83137178031</v>
      </c>
      <c r="J50" s="25">
        <f t="shared" si="5"/>
        <v>0.18741329689884489</v>
      </c>
      <c r="L50" s="22">
        <f t="shared" si="18"/>
        <v>59875.671337354317</v>
      </c>
      <c r="M50" s="5">
        <f>scrimecost*Meta!O47</f>
        <v>4304.2199999999993</v>
      </c>
      <c r="N50" s="5">
        <f>L50-Grade14!L50</f>
        <v>624.5369833069999</v>
      </c>
      <c r="O50" s="5">
        <f>Grade14!M50-M50</f>
        <v>33.8100000000004</v>
      </c>
      <c r="P50" s="22">
        <f t="shared" si="12"/>
        <v>35.550993938730514</v>
      </c>
      <c r="Q50" s="22"/>
      <c r="R50" s="22"/>
      <c r="S50" s="22">
        <f t="shared" si="19"/>
        <v>209.84552158507137</v>
      </c>
      <c r="T50" s="22">
        <f t="shared" si="20"/>
        <v>1147.7541935595473</v>
      </c>
    </row>
    <row r="51" spans="1:20" x14ac:dyDescent="0.2">
      <c r="A51" s="5">
        <v>60</v>
      </c>
      <c r="B51" s="1">
        <f t="shared" si="13"/>
        <v>2.6195744764780171</v>
      </c>
      <c r="C51" s="5">
        <f t="shared" si="14"/>
        <v>56295.405592874886</v>
      </c>
      <c r="D51" s="5">
        <f t="shared" si="15"/>
        <v>53324.640984595026</v>
      </c>
      <c r="E51" s="5">
        <f t="shared" si="1"/>
        <v>43824.640984595026</v>
      </c>
      <c r="F51" s="5">
        <f t="shared" si="2"/>
        <v>15542.959379929778</v>
      </c>
      <c r="G51" s="5">
        <f t="shared" si="3"/>
        <v>37781.681604665246</v>
      </c>
      <c r="H51" s="22">
        <f t="shared" si="16"/>
        <v>25484.701193537832</v>
      </c>
      <c r="I51" s="5">
        <f t="shared" si="17"/>
        <v>61405.999611074818</v>
      </c>
      <c r="J51" s="25">
        <f t="shared" si="5"/>
        <v>0.19000302296739588</v>
      </c>
      <c r="L51" s="22">
        <f t="shared" si="18"/>
        <v>61372.563120788174</v>
      </c>
      <c r="M51" s="5">
        <f>scrimecost*Meta!O48</f>
        <v>2270.6320000000001</v>
      </c>
      <c r="N51" s="5">
        <f>L51-Grade14!L51</f>
        <v>640.15040788967599</v>
      </c>
      <c r="O51" s="5">
        <f>Grade14!M51-M51</f>
        <v>17.835999999999785</v>
      </c>
      <c r="P51" s="22">
        <f t="shared" si="12"/>
        <v>36.429945040414168</v>
      </c>
      <c r="Q51" s="22"/>
      <c r="R51" s="22"/>
      <c r="S51" s="22">
        <f t="shared" si="19"/>
        <v>206.72760997254616</v>
      </c>
      <c r="T51" s="22">
        <f t="shared" si="20"/>
        <v>1181.0531456775232</v>
      </c>
    </row>
    <row r="52" spans="1:20" x14ac:dyDescent="0.2">
      <c r="A52" s="5">
        <v>61</v>
      </c>
      <c r="B52" s="1">
        <f t="shared" si="13"/>
        <v>2.6850638383899672</v>
      </c>
      <c r="C52" s="5">
        <f t="shared" si="14"/>
        <v>57702.790732696754</v>
      </c>
      <c r="D52" s="5">
        <f t="shared" si="15"/>
        <v>54629.287009209896</v>
      </c>
      <c r="E52" s="5">
        <f t="shared" si="1"/>
        <v>45129.287009209896</v>
      </c>
      <c r="F52" s="5">
        <f t="shared" si="2"/>
        <v>16099.390909428021</v>
      </c>
      <c r="G52" s="5">
        <f t="shared" si="3"/>
        <v>38529.896099781879</v>
      </c>
      <c r="H52" s="22">
        <f t="shared" si="16"/>
        <v>26121.818723376273</v>
      </c>
      <c r="I52" s="5">
        <f t="shared" si="17"/>
        <v>62744.822056351681</v>
      </c>
      <c r="J52" s="25">
        <f t="shared" si="5"/>
        <v>0.19252958498549438</v>
      </c>
      <c r="L52" s="22">
        <f t="shared" si="18"/>
        <v>62906.877198807873</v>
      </c>
      <c r="M52" s="5">
        <f>scrimecost*Meta!O49</f>
        <v>2270.6320000000001</v>
      </c>
      <c r="N52" s="5">
        <f>L52-Grade14!L52</f>
        <v>656.15416808691953</v>
      </c>
      <c r="O52" s="5">
        <f>Grade14!M52-M52</f>
        <v>17.835999999999785</v>
      </c>
      <c r="P52" s="22">
        <f t="shared" si="12"/>
        <v>37.330869919639916</v>
      </c>
      <c r="Q52" s="22"/>
      <c r="R52" s="22"/>
      <c r="S52" s="22">
        <f t="shared" si="19"/>
        <v>211.66930551970836</v>
      </c>
      <c r="T52" s="22">
        <f t="shared" si="20"/>
        <v>1263.1374626562404</v>
      </c>
    </row>
    <row r="53" spans="1:20" x14ac:dyDescent="0.2">
      <c r="A53" s="5">
        <v>62</v>
      </c>
      <c r="B53" s="1">
        <f t="shared" si="13"/>
        <v>2.7521904343497163</v>
      </c>
      <c r="C53" s="5">
        <f t="shared" si="14"/>
        <v>59145.360501014176</v>
      </c>
      <c r="D53" s="5">
        <f t="shared" si="15"/>
        <v>55966.549184440148</v>
      </c>
      <c r="E53" s="5">
        <f t="shared" si="1"/>
        <v>46466.549184440148</v>
      </c>
      <c r="F53" s="5">
        <f t="shared" si="2"/>
        <v>16669.733227163721</v>
      </c>
      <c r="G53" s="5">
        <f t="shared" si="3"/>
        <v>39296.815957276427</v>
      </c>
      <c r="H53" s="22">
        <f t="shared" si="16"/>
        <v>26774.864191460678</v>
      </c>
      <c r="I53" s="5">
        <f t="shared" si="17"/>
        <v>64117.11506276048</v>
      </c>
      <c r="J53" s="25">
        <f t="shared" si="5"/>
        <v>0.19499452353973687</v>
      </c>
      <c r="L53" s="22">
        <f t="shared" si="18"/>
        <v>64479.549128778068</v>
      </c>
      <c r="M53" s="5">
        <f>scrimecost*Meta!O50</f>
        <v>2270.6320000000001</v>
      </c>
      <c r="N53" s="5">
        <f>L53-Grade14!L53</f>
        <v>672.55802228908578</v>
      </c>
      <c r="O53" s="5">
        <f>Grade14!M53-M53</f>
        <v>17.835999999999785</v>
      </c>
      <c r="P53" s="22">
        <f t="shared" si="12"/>
        <v>38.254317920846304</v>
      </c>
      <c r="Q53" s="22"/>
      <c r="R53" s="22"/>
      <c r="S53" s="22">
        <f t="shared" si="19"/>
        <v>216.73454345554723</v>
      </c>
      <c r="T53" s="22">
        <f t="shared" si="20"/>
        <v>1350.9604658956655</v>
      </c>
    </row>
    <row r="54" spans="1:20" x14ac:dyDescent="0.2">
      <c r="A54" s="5">
        <v>63</v>
      </c>
      <c r="B54" s="1">
        <f t="shared" si="13"/>
        <v>2.8209951952084591</v>
      </c>
      <c r="C54" s="5">
        <f t="shared" si="14"/>
        <v>60623.994513539532</v>
      </c>
      <c r="D54" s="5">
        <f t="shared" si="15"/>
        <v>57337.242914051152</v>
      </c>
      <c r="E54" s="5">
        <f t="shared" si="1"/>
        <v>47837.242914051152</v>
      </c>
      <c r="F54" s="5">
        <f t="shared" si="2"/>
        <v>17254.334102842819</v>
      </c>
      <c r="G54" s="5">
        <f t="shared" si="3"/>
        <v>40082.908811208334</v>
      </c>
      <c r="H54" s="22">
        <f t="shared" si="16"/>
        <v>27444.235796247198</v>
      </c>
      <c r="I54" s="5">
        <f t="shared" si="17"/>
        <v>65523.715394329483</v>
      </c>
      <c r="J54" s="25">
        <f t="shared" si="5"/>
        <v>0.19739934164143688</v>
      </c>
      <c r="L54" s="22">
        <f t="shared" si="18"/>
        <v>66091.537856997515</v>
      </c>
      <c r="M54" s="5">
        <f>scrimecost*Meta!O51</f>
        <v>2270.6320000000001</v>
      </c>
      <c r="N54" s="5">
        <f>L54-Grade14!L54</f>
        <v>689.37197284631111</v>
      </c>
      <c r="O54" s="5">
        <f>Grade14!M54-M54</f>
        <v>17.835999999999785</v>
      </c>
      <c r="P54" s="22">
        <f t="shared" si="12"/>
        <v>39.200852122082864</v>
      </c>
      <c r="Q54" s="22"/>
      <c r="R54" s="22"/>
      <c r="S54" s="22">
        <f t="shared" si="19"/>
        <v>221.92641233978341</v>
      </c>
      <c r="T54" s="22">
        <f t="shared" si="20"/>
        <v>1444.9248865748416</v>
      </c>
    </row>
    <row r="55" spans="1:20" x14ac:dyDescent="0.2">
      <c r="A55" s="5">
        <v>64</v>
      </c>
      <c r="B55" s="1">
        <f t="shared" si="13"/>
        <v>2.8915200750886707</v>
      </c>
      <c r="C55" s="5">
        <f t="shared" si="14"/>
        <v>62139.594376378016</v>
      </c>
      <c r="D55" s="5">
        <f t="shared" si="15"/>
        <v>58742.20398690243</v>
      </c>
      <c r="E55" s="5">
        <f t="shared" si="1"/>
        <v>49242.20398690243</v>
      </c>
      <c r="F55" s="5">
        <f t="shared" si="2"/>
        <v>17853.550000413885</v>
      </c>
      <c r="G55" s="5">
        <f t="shared" si="3"/>
        <v>40888.653986488542</v>
      </c>
      <c r="H55" s="22">
        <f t="shared" si="16"/>
        <v>28130.341691153375</v>
      </c>
      <c r="I55" s="5">
        <f t="shared" si="17"/>
        <v>66965.480734187717</v>
      </c>
      <c r="J55" s="25">
        <f t="shared" si="5"/>
        <v>0.19974550564309534</v>
      </c>
      <c r="L55" s="22">
        <f t="shared" si="18"/>
        <v>67743.826303422466</v>
      </c>
      <c r="M55" s="5">
        <f>scrimecost*Meta!O52</f>
        <v>2270.6320000000001</v>
      </c>
      <c r="N55" s="5">
        <f>L55-Grade14!L55</f>
        <v>706.60627216749708</v>
      </c>
      <c r="O55" s="5">
        <f>Grade14!M55-M55</f>
        <v>17.835999999999785</v>
      </c>
      <c r="P55" s="22">
        <f t="shared" si="12"/>
        <v>40.171049678350322</v>
      </c>
      <c r="Q55" s="22"/>
      <c r="R55" s="22"/>
      <c r="S55" s="22">
        <f t="shared" si="19"/>
        <v>227.248077946134</v>
      </c>
      <c r="T55" s="22">
        <f t="shared" si="20"/>
        <v>1545.4617875992722</v>
      </c>
    </row>
    <row r="56" spans="1:20" x14ac:dyDescent="0.2">
      <c r="A56" s="5">
        <v>65</v>
      </c>
      <c r="B56" s="1">
        <f t="shared" si="13"/>
        <v>2.9638080769658868</v>
      </c>
      <c r="C56" s="5">
        <f t="shared" si="14"/>
        <v>63693.08423578745</v>
      </c>
      <c r="D56" s="5">
        <f t="shared" si="15"/>
        <v>60182.289086574972</v>
      </c>
      <c r="E56" s="5">
        <f t="shared" si="1"/>
        <v>50682.289086574972</v>
      </c>
      <c r="F56" s="5">
        <f t="shared" si="2"/>
        <v>18467.746295424226</v>
      </c>
      <c r="G56" s="5">
        <f t="shared" si="3"/>
        <v>41714.542791150743</v>
      </c>
      <c r="H56" s="22">
        <f t="shared" si="16"/>
        <v>28833.600233432204</v>
      </c>
      <c r="I56" s="5">
        <f t="shared" si="17"/>
        <v>68443.290207542392</v>
      </c>
      <c r="J56" s="25">
        <f t="shared" si="5"/>
        <v>0.20203444613251828</v>
      </c>
      <c r="L56" s="22">
        <f t="shared" si="18"/>
        <v>69437.421961008004</v>
      </c>
      <c r="M56" s="5">
        <f>scrimecost*Meta!O53</f>
        <v>686.18</v>
      </c>
      <c r="N56" s="5">
        <f>L56-Grade14!L56</f>
        <v>724.27142897165322</v>
      </c>
      <c r="O56" s="5">
        <f>Grade14!M56-M56</f>
        <v>5.3900000000001</v>
      </c>
      <c r="P56" s="22">
        <f t="shared" si="12"/>
        <v>41.165502173524459</v>
      </c>
      <c r="Q56" s="22"/>
      <c r="R56" s="22"/>
      <c r="S56" s="22">
        <f t="shared" si="19"/>
        <v>226.51712319262677</v>
      </c>
      <c r="T56" s="22">
        <f t="shared" si="20"/>
        <v>1609.0919568387278</v>
      </c>
    </row>
    <row r="57" spans="1:20" x14ac:dyDescent="0.2">
      <c r="A57" s="5">
        <v>66</v>
      </c>
      <c r="C57" s="5"/>
      <c r="H57" s="21"/>
      <c r="I57" s="5"/>
      <c r="M57" s="5">
        <f>scrimecost*Meta!O54</f>
        <v>686.18</v>
      </c>
      <c r="N57" s="5">
        <f>L57-Grade14!L57</f>
        <v>0</v>
      </c>
      <c r="O57" s="5">
        <f>Grade14!M57-M57</f>
        <v>5.3900000000001</v>
      </c>
      <c r="Q57" s="22"/>
      <c r="R57" s="22"/>
      <c r="S57" s="22">
        <f t="shared" si="19"/>
        <v>2.6788300000000498</v>
      </c>
      <c r="T57" s="22">
        <f t="shared" si="20"/>
        <v>19.876813116435894</v>
      </c>
    </row>
    <row r="58" spans="1:20" x14ac:dyDescent="0.2">
      <c r="A58" s="5">
        <v>67</v>
      </c>
      <c r="C58" s="5"/>
      <c r="H58" s="21"/>
      <c r="I58" s="5"/>
      <c r="M58" s="5">
        <f>scrimecost*Meta!O55</f>
        <v>686.18</v>
      </c>
      <c r="N58" s="5">
        <f>L58-Grade14!L58</f>
        <v>0</v>
      </c>
      <c r="O58" s="5">
        <f>Grade14!M58-M58</f>
        <v>5.3900000000001</v>
      </c>
      <c r="Q58" s="22"/>
      <c r="R58" s="22"/>
      <c r="S58" s="22">
        <f t="shared" si="19"/>
        <v>2.6788300000000498</v>
      </c>
      <c r="T58" s="22">
        <f t="shared" si="20"/>
        <v>20.761968528258752</v>
      </c>
    </row>
    <row r="59" spans="1:20" x14ac:dyDescent="0.2">
      <c r="A59" s="5">
        <v>68</v>
      </c>
      <c r="H59" s="21"/>
      <c r="I59" s="5"/>
      <c r="M59" s="5">
        <f>scrimecost*Meta!O56</f>
        <v>686.18</v>
      </c>
      <c r="N59" s="5">
        <f>L59-Grade14!L59</f>
        <v>0</v>
      </c>
      <c r="O59" s="5">
        <f>Grade14!M59-M59</f>
        <v>5.3900000000001</v>
      </c>
      <c r="Q59" s="22"/>
      <c r="R59" s="22"/>
      <c r="S59" s="22">
        <f t="shared" si="19"/>
        <v>2.6788300000000498</v>
      </c>
      <c r="T59" s="22">
        <f t="shared" si="20"/>
        <v>21.686541732988822</v>
      </c>
    </row>
    <row r="60" spans="1:20" x14ac:dyDescent="0.2">
      <c r="A60" s="5">
        <v>69</v>
      </c>
      <c r="H60" s="21"/>
      <c r="I60" s="5"/>
      <c r="M60" s="5">
        <f>scrimecost*Meta!O57</f>
        <v>686.18</v>
      </c>
      <c r="N60" s="5">
        <f>L60-Grade14!L60</f>
        <v>0</v>
      </c>
      <c r="O60" s="5">
        <f>Grade14!M60-M60</f>
        <v>5.3900000000001</v>
      </c>
      <c r="Q60" s="22"/>
      <c r="R60" s="22"/>
      <c r="S60" s="22">
        <f t="shared" si="19"/>
        <v>2.6788300000000498</v>
      </c>
      <c r="T60" s="22">
        <f t="shared" si="20"/>
        <v>22.652288086100345</v>
      </c>
    </row>
    <row r="61" spans="1:20" x14ac:dyDescent="0.2">
      <c r="A61" s="5">
        <v>70</v>
      </c>
      <c r="H61" s="21"/>
      <c r="I61" s="5"/>
      <c r="M61" s="5">
        <f>scrimecost*Meta!O58</f>
        <v>686.18</v>
      </c>
      <c r="N61" s="5">
        <f>L61-Grade14!L61</f>
        <v>0</v>
      </c>
      <c r="O61" s="5">
        <f>Grade14!M61-M61</f>
        <v>5.3900000000001</v>
      </c>
      <c r="Q61" s="22"/>
      <c r="R61" s="22"/>
      <c r="S61" s="22">
        <f t="shared" si="19"/>
        <v>2.6788300000000498</v>
      </c>
      <c r="T61" s="22">
        <f t="shared" si="20"/>
        <v>23.66104111266084</v>
      </c>
    </row>
    <row r="62" spans="1:20" x14ac:dyDescent="0.2">
      <c r="A62" s="5">
        <v>71</v>
      </c>
      <c r="H62" s="21"/>
      <c r="I62" s="5"/>
      <c r="M62" s="5">
        <f>scrimecost*Meta!O59</f>
        <v>686.18</v>
      </c>
      <c r="N62" s="5">
        <f>L62-Grade14!L62</f>
        <v>0</v>
      </c>
      <c r="O62" s="5">
        <f>Grade14!M62-M62</f>
        <v>5.3900000000001</v>
      </c>
      <c r="Q62" s="22"/>
      <c r="R62" s="22"/>
      <c r="S62" s="22">
        <f t="shared" si="19"/>
        <v>2.6788300000000498</v>
      </c>
      <c r="T62" s="22">
        <f t="shared" si="20"/>
        <v>24.714715988384079</v>
      </c>
    </row>
    <row r="63" spans="1:20" x14ac:dyDescent="0.2">
      <c r="A63" s="5">
        <v>72</v>
      </c>
      <c r="H63" s="21"/>
      <c r="M63" s="5">
        <f>scrimecost*Meta!O60</f>
        <v>686.18</v>
      </c>
      <c r="N63" s="5">
        <f>L63-Grade14!L63</f>
        <v>0</v>
      </c>
      <c r="O63" s="5">
        <f>Grade14!M63-M63</f>
        <v>5.3900000000001</v>
      </c>
      <c r="Q63" s="22"/>
      <c r="R63" s="22"/>
      <c r="S63" s="22">
        <f t="shared" si="19"/>
        <v>2.6788300000000498</v>
      </c>
      <c r="T63" s="22">
        <f t="shared" si="20"/>
        <v>25.81531317570148</v>
      </c>
    </row>
    <row r="64" spans="1:20" x14ac:dyDescent="0.2">
      <c r="A64" s="5">
        <v>73</v>
      </c>
      <c r="H64" s="21"/>
      <c r="M64" s="5">
        <f>scrimecost*Meta!O61</f>
        <v>686.18</v>
      </c>
      <c r="N64" s="5">
        <f>L64-Grade14!L64</f>
        <v>0</v>
      </c>
      <c r="O64" s="5">
        <f>Grade14!M64-M64</f>
        <v>5.3900000000001</v>
      </c>
      <c r="Q64" s="22"/>
      <c r="R64" s="22"/>
      <c r="S64" s="22">
        <f t="shared" si="19"/>
        <v>2.6788300000000498</v>
      </c>
      <c r="T64" s="22">
        <f t="shared" si="20"/>
        <v>26.964922221755202</v>
      </c>
    </row>
    <row r="65" spans="1:20" x14ac:dyDescent="0.2">
      <c r="A65" s="5">
        <v>74</v>
      </c>
      <c r="H65" s="21"/>
      <c r="M65" s="5">
        <f>scrimecost*Meta!O62</f>
        <v>686.18</v>
      </c>
      <c r="N65" s="5">
        <f>L65-Grade14!L65</f>
        <v>0</v>
      </c>
      <c r="O65" s="5">
        <f>Grade14!M65-M65</f>
        <v>5.3900000000001</v>
      </c>
      <c r="Q65" s="22"/>
      <c r="R65" s="22"/>
      <c r="S65" s="22">
        <f t="shared" si="19"/>
        <v>2.6788300000000498</v>
      </c>
      <c r="T65" s="22">
        <f t="shared" si="20"/>
        <v>28.16572572552375</v>
      </c>
    </row>
    <row r="66" spans="1:20" x14ac:dyDescent="0.2">
      <c r="A66" s="5">
        <v>75</v>
      </c>
      <c r="H66" s="21"/>
      <c r="M66" s="5">
        <f>scrimecost*Meta!O63</f>
        <v>686.18</v>
      </c>
      <c r="N66" s="5">
        <f>L66-Grade14!L66</f>
        <v>0</v>
      </c>
      <c r="O66" s="5">
        <f>Grade14!M66-M66</f>
        <v>5.3900000000001</v>
      </c>
      <c r="Q66" s="22"/>
      <c r="R66" s="22"/>
      <c r="S66" s="22">
        <f t="shared" si="19"/>
        <v>2.6788300000000498</v>
      </c>
      <c r="T66" s="22">
        <f t="shared" si="20"/>
        <v>29.42000348161184</v>
      </c>
    </row>
    <row r="67" spans="1:20" x14ac:dyDescent="0.2">
      <c r="A67" s="5">
        <v>76</v>
      </c>
      <c r="H67" s="21"/>
      <c r="M67" s="5">
        <f>scrimecost*Meta!O64</f>
        <v>686.18</v>
      </c>
      <c r="N67" s="5">
        <f>L67-Grade14!L67</f>
        <v>0</v>
      </c>
      <c r="O67" s="5">
        <f>Grade14!M67-M67</f>
        <v>5.3900000000001</v>
      </c>
      <c r="Q67" s="22"/>
      <c r="R67" s="22"/>
      <c r="S67" s="22">
        <f t="shared" si="19"/>
        <v>2.6788300000000498</v>
      </c>
      <c r="T67" s="22">
        <f t="shared" si="20"/>
        <v>30.730136808571714</v>
      </c>
    </row>
    <row r="68" spans="1:20" x14ac:dyDescent="0.2">
      <c r="A68" s="5">
        <v>77</v>
      </c>
      <c r="H68" s="21"/>
      <c r="M68" s="5">
        <f>scrimecost*Meta!O65</f>
        <v>686.18</v>
      </c>
      <c r="N68" s="5">
        <f>L68-Grade14!L68</f>
        <v>0</v>
      </c>
      <c r="O68" s="5">
        <f>Grade14!M68-M68</f>
        <v>5.3900000000001</v>
      </c>
      <c r="Q68" s="22"/>
      <c r="R68" s="22"/>
      <c r="S68" s="22">
        <f t="shared" si="19"/>
        <v>2.6788300000000498</v>
      </c>
      <c r="T68" s="22">
        <f t="shared" si="20"/>
        <v>32.098613069973581</v>
      </c>
    </row>
    <row r="69" spans="1:20" x14ac:dyDescent="0.2">
      <c r="A69" s="5">
        <v>78</v>
      </c>
      <c r="H69" s="21"/>
      <c r="M69" s="5">
        <f>scrimecost*Meta!O66</f>
        <v>686.18</v>
      </c>
      <c r="N69" s="5">
        <f>L69-Grade14!L69</f>
        <v>0</v>
      </c>
      <c r="O69" s="5">
        <f>Grade14!M69-M69</f>
        <v>5.3900000000001</v>
      </c>
      <c r="Q69" s="22"/>
      <c r="R69" s="22"/>
      <c r="S69" s="22">
        <f t="shared" si="19"/>
        <v>2.6788300000000498</v>
      </c>
      <c r="T69" s="22">
        <f t="shared" si="20"/>
        <v>33.528030396808589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-1.0248868420603685E-10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S12" sqref="S1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Meta!A10+6</f>
        <v>22</v>
      </c>
      <c r="C2" s="7">
        <f>Meta!B10</f>
        <v>49327</v>
      </c>
      <c r="D2" s="7">
        <f>Meta!C10</f>
        <v>21678</v>
      </c>
      <c r="E2" s="1">
        <f>Meta!D10</f>
        <v>5.8999999999999997E-2</v>
      </c>
      <c r="F2" s="1">
        <f>Meta!F10</f>
        <v>0.66700000000000004</v>
      </c>
      <c r="G2" s="1">
        <f>Meta!I10</f>
        <v>1.7852800699689915</v>
      </c>
      <c r="H2" s="1">
        <f>Meta!E10</f>
        <v>0.497</v>
      </c>
      <c r="I2" s="13"/>
      <c r="J2" s="1">
        <f>Meta!X9</f>
        <v>0.56499999999999995</v>
      </c>
      <c r="K2" s="1">
        <f>Meta!D9</f>
        <v>7.2999999999999995E-2</v>
      </c>
      <c r="L2" s="28"/>
      <c r="N2" s="22">
        <f>Meta!T10</f>
        <v>32764</v>
      </c>
      <c r="O2" s="22">
        <f>Meta!U10</f>
        <v>14895</v>
      </c>
      <c r="P2" s="1">
        <f>Meta!V10</f>
        <v>9.0999999999999998E-2</v>
      </c>
      <c r="Q2" s="1">
        <f>Meta!X10</f>
        <v>0.56799999999999995</v>
      </c>
      <c r="R2" s="22">
        <f>Meta!W10</f>
        <v>12379</v>
      </c>
      <c r="T2" s="12">
        <f>IRR(S5:S69)+1</f>
        <v>0.95660118932133853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5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5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5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5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5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5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B12" s="1">
        <v>1</v>
      </c>
      <c r="C12" s="5">
        <f>0.1*Grade15!C12</f>
        <v>2149.0286341682222</v>
      </c>
      <c r="D12" s="5">
        <f t="shared" ref="D12:D36" si="0">IF(A12&lt;startage,1,0)*(C12*(1-initialunempprob))+IF(A12=startage,1,0)*(C12*(1-unempprob))+IF(A12&gt;startage,1,0)*(C12*(1-unempprob)+unempprob*300*52)</f>
        <v>1992.1495438739421</v>
      </c>
      <c r="E12" s="5">
        <f t="shared" ref="E12:E56" si="1">IF(D12-9500&gt;0,1,0)*(D12-9500)</f>
        <v>0</v>
      </c>
      <c r="F12" s="5">
        <f t="shared" ref="F12:F56" si="2">IF(E12&lt;=8500,1,0)*(0.1*E12+0.1*E12+0.0765*D12)+IF(AND(E12&gt;8500,E12&lt;=34500),1,0)*(850+0.15*(E12-8500)+0.1*E12+0.0765*D12)+IF(AND(E12&gt;34500,E12&lt;=83600),1,0)*(4750+0.25*(E12-34500)+0.1*E12+0.0765*D12)+IF(AND(E12&gt;83600,E12&lt;=174400,D12&lt;=106800),1,0)*(17025+0.28*(E12-83600)+0.1*E12+0.0765*D12)+IF(AND(E12&gt;83600,E12&lt;=174400,D12&gt;106800),1,0)*(17025+0.28*(E12-83600)+0.1*E12+8170.2+0.0145*(D12-106800))+IF(AND(E12&gt;174400,E12&lt;=379150),1,0)*(42449+0.33*(E12-174400)+0.1*E12+8170.2+0.0145*(D12-106800))+IF(E12&gt;379150,1,0)*(110016.5+0.35*(E12-379150)+0.1*E12+8170.2+0.0145*(D12-106800))</f>
        <v>152.39944010635656</v>
      </c>
      <c r="G12" s="5">
        <f t="shared" ref="G12:G56" si="3">D12-F12</f>
        <v>1839.7501037675856</v>
      </c>
      <c r="H12" s="22">
        <f>0.1*Grade15!H12</f>
        <v>972.85652392680481</v>
      </c>
      <c r="I12" s="5">
        <f t="shared" ref="I12:I36" si="4">G12+IF(A12&lt;startage,1,0)*(H12*(1-initialunempprob))+IF(A12&gt;=startage,1,0)*(H12*(1-unempprob))</f>
        <v>2741.5881014477336</v>
      </c>
      <c r="J12" s="25">
        <f t="shared" ref="J12:J56" si="5">(F12-(IF(A12&gt;startage,1,0)*(unempprob*300*52)))/(IF(A12&lt;startage,1,0)*((C12+H12)*(1-initialunempprob))+IF(A12&gt;=startage,1,0)*((C12+H12)*(1-unempprob)))</f>
        <v>5.266071049653416E-2</v>
      </c>
      <c r="L12" s="22">
        <f>0.1*Grade15!L12</f>
        <v>2342.8447510033297</v>
      </c>
      <c r="M12" s="5">
        <f>scrimecost*Meta!O9</f>
        <v>37929.256000000001</v>
      </c>
      <c r="N12" s="5">
        <f>L12-Grade15!L12</f>
        <v>-21085.602759029967</v>
      </c>
      <c r="O12" s="5"/>
      <c r="P12" s="22"/>
      <c r="Q12" s="22">
        <f>0.05*feel*Grade15!G12</f>
        <v>227.03978049187404</v>
      </c>
      <c r="R12" s="22">
        <f>coltuition</f>
        <v>8279</v>
      </c>
      <c r="S12" s="22">
        <f t="shared" ref="S12:S43" si="6">IF(A12&lt;startage,1,0)*(N12-Q12-R12)+IF(A12&gt;=startage,1,0)*completionprob*(N12*spart+O12+P12)</f>
        <v>-29591.642539521843</v>
      </c>
      <c r="T12" s="22">
        <f t="shared" ref="T12:T43" si="7">S12/sreturn^(A12-startage+1)</f>
        <v>-29591.642539521843</v>
      </c>
    </row>
    <row r="13" spans="1:20" x14ac:dyDescent="0.2">
      <c r="A13" s="5">
        <v>22</v>
      </c>
      <c r="B13" s="1">
        <f t="shared" ref="B13:B36" si="8">(1+experiencepremium)^(A13-startage)</f>
        <v>1</v>
      </c>
      <c r="C13" s="5">
        <f t="shared" ref="C13:C36" si="9">pretaxincome*B13/expnorm</f>
        <v>27629.838494111886</v>
      </c>
      <c r="D13" s="5">
        <f t="shared" si="0"/>
        <v>25999.678022959288</v>
      </c>
      <c r="E13" s="5">
        <f t="shared" si="1"/>
        <v>16499.678022959288</v>
      </c>
      <c r="F13" s="5">
        <f t="shared" si="2"/>
        <v>5688.8948744962072</v>
      </c>
      <c r="G13" s="5">
        <f t="shared" si="3"/>
        <v>20310.783148463081</v>
      </c>
      <c r="H13" s="22">
        <f t="shared" ref="H13:H36" si="10">benefits*B13/expnorm</f>
        <v>12142.632612471009</v>
      </c>
      <c r="I13" s="5">
        <f t="shared" si="4"/>
        <v>31737.000436798298</v>
      </c>
      <c r="J13" s="25">
        <f t="shared" si="5"/>
        <v>0.15200424270890839</v>
      </c>
      <c r="L13" s="22">
        <f t="shared" ref="L13:L36" si="11">(sincome+sbenefits)*(1-sunemp)*B13/expnorm</f>
        <v>24266.237958256301</v>
      </c>
      <c r="M13" s="5">
        <f>scrimecost*Meta!O10</f>
        <v>34760.231999999996</v>
      </c>
      <c r="N13" s="5">
        <f>L13-Grade15!L13</f>
        <v>252.07926047217188</v>
      </c>
      <c r="O13" s="5">
        <f>Grade15!M13-M13</f>
        <v>272.37600000000384</v>
      </c>
      <c r="P13" s="22">
        <f t="shared" ref="P13:P56" si="12">(spart-initialspart)*(L13*J13+nptrans)</f>
        <v>30.727713372716774</v>
      </c>
      <c r="Q13" s="22"/>
      <c r="R13" s="22"/>
      <c r="S13" s="22">
        <f t="shared" si="6"/>
        <v>221.80351246049435</v>
      </c>
      <c r="T13" s="22">
        <f t="shared" si="7"/>
        <v>231.86623112799288</v>
      </c>
    </row>
    <row r="14" spans="1:20" x14ac:dyDescent="0.2">
      <c r="A14" s="5">
        <v>23</v>
      </c>
      <c r="B14" s="1">
        <f t="shared" si="8"/>
        <v>1.0249999999999999</v>
      </c>
      <c r="C14" s="5">
        <f t="shared" si="9"/>
        <v>28320.58445646468</v>
      </c>
      <c r="D14" s="5">
        <f t="shared" si="0"/>
        <v>27570.069973533267</v>
      </c>
      <c r="E14" s="5">
        <f t="shared" si="1"/>
        <v>18070.069973533267</v>
      </c>
      <c r="F14" s="5">
        <f t="shared" si="2"/>
        <v>6201.6278463586114</v>
      </c>
      <c r="G14" s="5">
        <f t="shared" si="3"/>
        <v>21368.442127174654</v>
      </c>
      <c r="H14" s="22">
        <f t="shared" si="10"/>
        <v>12446.198427782781</v>
      </c>
      <c r="I14" s="5">
        <f t="shared" si="4"/>
        <v>33080.314847718255</v>
      </c>
      <c r="J14" s="25">
        <f t="shared" si="5"/>
        <v>0.13766985046652069</v>
      </c>
      <c r="L14" s="22">
        <f t="shared" si="11"/>
        <v>24872.893907212703</v>
      </c>
      <c r="M14" s="5">
        <f>scrimecost*Meta!O11</f>
        <v>32482.496000000003</v>
      </c>
      <c r="N14" s="5">
        <f>L14-Grade15!L14</f>
        <v>258.38124198397054</v>
      </c>
      <c r="O14" s="5">
        <f>Grade15!M14-M14</f>
        <v>254.52799999999843</v>
      </c>
      <c r="P14" s="22">
        <f t="shared" si="12"/>
        <v>29.93474275462685</v>
      </c>
      <c r="Q14" s="22"/>
      <c r="R14" s="22"/>
      <c r="S14" s="22">
        <f t="shared" si="6"/>
        <v>214.31797423615569</v>
      </c>
      <c r="T14" s="22">
        <f t="shared" si="7"/>
        <v>234.20532363491066</v>
      </c>
    </row>
    <row r="15" spans="1:20" x14ac:dyDescent="0.2">
      <c r="A15" s="5">
        <v>24</v>
      </c>
      <c r="B15" s="1">
        <f t="shared" si="8"/>
        <v>1.0506249999999999</v>
      </c>
      <c r="C15" s="5">
        <f t="shared" si="9"/>
        <v>29028.599067876294</v>
      </c>
      <c r="D15" s="5">
        <f t="shared" si="0"/>
        <v>28236.311722871596</v>
      </c>
      <c r="E15" s="5">
        <f t="shared" si="1"/>
        <v>18736.311722871596</v>
      </c>
      <c r="F15" s="5">
        <f t="shared" si="2"/>
        <v>6419.1557775175761</v>
      </c>
      <c r="G15" s="5">
        <f t="shared" si="3"/>
        <v>21817.155945354021</v>
      </c>
      <c r="H15" s="22">
        <f t="shared" si="10"/>
        <v>12757.353388477353</v>
      </c>
      <c r="I15" s="5">
        <f t="shared" si="4"/>
        <v>33821.825483911212</v>
      </c>
      <c r="J15" s="25">
        <f t="shared" si="5"/>
        <v>0.13984421392344823</v>
      </c>
      <c r="L15" s="22">
        <f t="shared" si="11"/>
        <v>25494.716254893025</v>
      </c>
      <c r="M15" s="5">
        <f>scrimecost*Meta!O12</f>
        <v>31034.153000000002</v>
      </c>
      <c r="N15" s="5">
        <f>L15-Grade15!L15</f>
        <v>264.84077303357844</v>
      </c>
      <c r="O15" s="5">
        <f>Grade15!M15-M15</f>
        <v>243.17900000000009</v>
      </c>
      <c r="P15" s="22">
        <f t="shared" si="12"/>
        <v>30.357865661600645</v>
      </c>
      <c r="Q15" s="22"/>
      <c r="R15" s="22"/>
      <c r="S15" s="22">
        <f t="shared" si="6"/>
        <v>210.71131309810264</v>
      </c>
      <c r="T15" s="22">
        <f t="shared" si="7"/>
        <v>240.71053828612955</v>
      </c>
    </row>
    <row r="16" spans="1:20" x14ac:dyDescent="0.2">
      <c r="A16" s="5">
        <v>25</v>
      </c>
      <c r="B16" s="1">
        <f t="shared" si="8"/>
        <v>1.0768906249999999</v>
      </c>
      <c r="C16" s="5">
        <f t="shared" si="9"/>
        <v>29754.314044573202</v>
      </c>
      <c r="D16" s="5">
        <f t="shared" si="0"/>
        <v>28919.209515943388</v>
      </c>
      <c r="E16" s="5">
        <f t="shared" si="1"/>
        <v>19419.209515943388</v>
      </c>
      <c r="F16" s="5">
        <f t="shared" si="2"/>
        <v>6642.1219069555164</v>
      </c>
      <c r="G16" s="5">
        <f t="shared" si="3"/>
        <v>22277.087608987873</v>
      </c>
      <c r="H16" s="22">
        <f t="shared" si="10"/>
        <v>13076.287223189285</v>
      </c>
      <c r="I16" s="5">
        <f t="shared" si="4"/>
        <v>34581.873886008994</v>
      </c>
      <c r="J16" s="25">
        <f t="shared" si="5"/>
        <v>0.14196554412532875</v>
      </c>
      <c r="L16" s="22">
        <f t="shared" si="11"/>
        <v>26132.084161265346</v>
      </c>
      <c r="M16" s="5">
        <f>scrimecost*Meta!O13</f>
        <v>26057.794999999998</v>
      </c>
      <c r="N16" s="5">
        <f>L16-Grade15!L16</f>
        <v>271.46179235941236</v>
      </c>
      <c r="O16" s="5">
        <f>Grade15!M16-M16</f>
        <v>204.18500000000131</v>
      </c>
      <c r="P16" s="22">
        <f t="shared" si="12"/>
        <v>30.791566641248785</v>
      </c>
      <c r="Q16" s="22"/>
      <c r="R16" s="22"/>
      <c r="S16" s="22">
        <f t="shared" si="6"/>
        <v>193.41593175659398</v>
      </c>
      <c r="T16" s="22">
        <f t="shared" si="7"/>
        <v>230.97691597544315</v>
      </c>
    </row>
    <row r="17" spans="1:20" x14ac:dyDescent="0.2">
      <c r="A17" s="5">
        <v>26</v>
      </c>
      <c r="B17" s="1">
        <f t="shared" si="8"/>
        <v>1.1038128906249998</v>
      </c>
      <c r="C17" s="5">
        <f t="shared" si="9"/>
        <v>30498.17189568753</v>
      </c>
      <c r="D17" s="5">
        <f t="shared" si="0"/>
        <v>29619.179753841971</v>
      </c>
      <c r="E17" s="5">
        <f t="shared" si="1"/>
        <v>20119.179753841971</v>
      </c>
      <c r="F17" s="5">
        <f t="shared" si="2"/>
        <v>6870.6621896294037</v>
      </c>
      <c r="G17" s="5">
        <f t="shared" si="3"/>
        <v>22748.517564212569</v>
      </c>
      <c r="H17" s="22">
        <f t="shared" si="10"/>
        <v>13403.194403769017</v>
      </c>
      <c r="I17" s="5">
        <f t="shared" si="4"/>
        <v>35360.923498159216</v>
      </c>
      <c r="J17" s="25">
        <f t="shared" si="5"/>
        <v>0.1440351345661878</v>
      </c>
      <c r="L17" s="22">
        <f t="shared" si="11"/>
        <v>26785.386265296976</v>
      </c>
      <c r="M17" s="5">
        <f>scrimecost*Meta!O14</f>
        <v>26057.794999999998</v>
      </c>
      <c r="N17" s="5">
        <f>L17-Grade15!L17</f>
        <v>278.2483371683993</v>
      </c>
      <c r="O17" s="5">
        <f>Grade15!M17-M17</f>
        <v>204.18500000000131</v>
      </c>
      <c r="P17" s="22">
        <f t="shared" si="12"/>
        <v>31.236110145388132</v>
      </c>
      <c r="Q17" s="22"/>
      <c r="R17" s="22"/>
      <c r="S17" s="22">
        <f t="shared" si="6"/>
        <v>195.55268433154899</v>
      </c>
      <c r="T17" s="22">
        <f t="shared" si="7"/>
        <v>244.12328167878226</v>
      </c>
    </row>
    <row r="18" spans="1:20" x14ac:dyDescent="0.2">
      <c r="A18" s="5">
        <v>27</v>
      </c>
      <c r="B18" s="1">
        <f t="shared" si="8"/>
        <v>1.1314082128906247</v>
      </c>
      <c r="C18" s="5">
        <f t="shared" si="9"/>
        <v>31260.626193079715</v>
      </c>
      <c r="D18" s="5">
        <f t="shared" si="0"/>
        <v>30336.649247688016</v>
      </c>
      <c r="E18" s="5">
        <f t="shared" si="1"/>
        <v>20836.649247688016</v>
      </c>
      <c r="F18" s="5">
        <f t="shared" si="2"/>
        <v>7104.9159793701365</v>
      </c>
      <c r="G18" s="5">
        <f t="shared" si="3"/>
        <v>23231.733268317879</v>
      </c>
      <c r="H18" s="22">
        <f t="shared" si="10"/>
        <v>13738.274263863243</v>
      </c>
      <c r="I18" s="5">
        <f t="shared" si="4"/>
        <v>36159.449350613191</v>
      </c>
      <c r="J18" s="25">
        <f t="shared" si="5"/>
        <v>0.14605424719141608</v>
      </c>
      <c r="L18" s="22">
        <f t="shared" si="11"/>
        <v>27455.020921929401</v>
      </c>
      <c r="M18" s="5">
        <f>scrimecost*Meta!O15</f>
        <v>26057.794999999998</v>
      </c>
      <c r="N18" s="5">
        <f>L18-Grade15!L18</f>
        <v>285.20454559761129</v>
      </c>
      <c r="O18" s="5">
        <f>Grade15!M18-M18</f>
        <v>204.18500000000131</v>
      </c>
      <c r="P18" s="22">
        <f t="shared" si="12"/>
        <v>31.691767237130957</v>
      </c>
      <c r="Q18" s="22"/>
      <c r="R18" s="22"/>
      <c r="S18" s="22">
        <f t="shared" si="6"/>
        <v>197.74285572087797</v>
      </c>
      <c r="T18" s="22">
        <f t="shared" si="7"/>
        <v>258.05679720622709</v>
      </c>
    </row>
    <row r="19" spans="1:20" x14ac:dyDescent="0.2">
      <c r="A19" s="5">
        <v>28</v>
      </c>
      <c r="B19" s="1">
        <f t="shared" si="8"/>
        <v>1.1596934182128902</v>
      </c>
      <c r="C19" s="5">
        <f t="shared" si="9"/>
        <v>32042.141847906707</v>
      </c>
      <c r="D19" s="5">
        <f t="shared" si="0"/>
        <v>31072.055478880215</v>
      </c>
      <c r="E19" s="5">
        <f t="shared" si="1"/>
        <v>21572.055478880215</v>
      </c>
      <c r="F19" s="5">
        <f t="shared" si="2"/>
        <v>7345.0261138543901</v>
      </c>
      <c r="G19" s="5">
        <f t="shared" si="3"/>
        <v>23727.029365025825</v>
      </c>
      <c r="H19" s="22">
        <f t="shared" si="10"/>
        <v>14081.731120459821</v>
      </c>
      <c r="I19" s="5">
        <f t="shared" si="4"/>
        <v>36977.938349378514</v>
      </c>
      <c r="J19" s="25">
        <f t="shared" si="5"/>
        <v>0.14802411316724862</v>
      </c>
      <c r="L19" s="22">
        <f t="shared" si="11"/>
        <v>28141.396444977636</v>
      </c>
      <c r="M19" s="5">
        <f>scrimecost*Meta!O16</f>
        <v>26057.794999999998</v>
      </c>
      <c r="N19" s="5">
        <f>L19-Grade15!L19</f>
        <v>292.3346592375492</v>
      </c>
      <c r="O19" s="5">
        <f>Grade15!M19-M19</f>
        <v>204.18500000000131</v>
      </c>
      <c r="P19" s="22">
        <f t="shared" si="12"/>
        <v>32.158815756167364</v>
      </c>
      <c r="Q19" s="22"/>
      <c r="R19" s="22"/>
      <c r="S19" s="22">
        <f t="shared" si="6"/>
        <v>199.98778139493902</v>
      </c>
      <c r="T19" s="22">
        <f t="shared" si="7"/>
        <v>272.8268112520592</v>
      </c>
    </row>
    <row r="20" spans="1:20" x14ac:dyDescent="0.2">
      <c r="A20" s="5">
        <v>29</v>
      </c>
      <c r="B20" s="1">
        <f t="shared" si="8"/>
        <v>1.1886857536682125</v>
      </c>
      <c r="C20" s="5">
        <f t="shared" si="9"/>
        <v>32843.195394104376</v>
      </c>
      <c r="D20" s="5">
        <f t="shared" si="0"/>
        <v>31825.846865852222</v>
      </c>
      <c r="E20" s="5">
        <f t="shared" si="1"/>
        <v>22325.846865852222</v>
      </c>
      <c r="F20" s="5">
        <f t="shared" si="2"/>
        <v>7591.1390017007507</v>
      </c>
      <c r="G20" s="5">
        <f t="shared" si="3"/>
        <v>24234.707864151471</v>
      </c>
      <c r="H20" s="22">
        <f t="shared" si="10"/>
        <v>14433.774398471316</v>
      </c>
      <c r="I20" s="5">
        <f t="shared" si="4"/>
        <v>37816.889573112981</v>
      </c>
      <c r="J20" s="25">
        <f t="shared" si="5"/>
        <v>0.14994593363147546</v>
      </c>
      <c r="L20" s="22">
        <f t="shared" si="11"/>
        <v>28844.931356102075</v>
      </c>
      <c r="M20" s="5">
        <f>scrimecost*Meta!O17</f>
        <v>26057.794999999998</v>
      </c>
      <c r="N20" s="5">
        <f>L20-Grade15!L20</f>
        <v>299.64302571849112</v>
      </c>
      <c r="O20" s="5">
        <f>Grade15!M20-M20</f>
        <v>204.18500000000131</v>
      </c>
      <c r="P20" s="22">
        <f t="shared" si="12"/>
        <v>32.637540488179667</v>
      </c>
      <c r="Q20" s="22"/>
      <c r="R20" s="22"/>
      <c r="S20" s="22">
        <f t="shared" si="6"/>
        <v>202.28883021085306</v>
      </c>
      <c r="T20" s="22">
        <f t="shared" si="7"/>
        <v>288.48588645572215</v>
      </c>
    </row>
    <row r="21" spans="1:20" x14ac:dyDescent="0.2">
      <c r="A21" s="5">
        <v>30</v>
      </c>
      <c r="B21" s="1">
        <f t="shared" si="8"/>
        <v>1.2184028975099177</v>
      </c>
      <c r="C21" s="5">
        <f t="shared" si="9"/>
        <v>33664.275278956986</v>
      </c>
      <c r="D21" s="5">
        <f t="shared" si="0"/>
        <v>32598.483037498529</v>
      </c>
      <c r="E21" s="5">
        <f t="shared" si="1"/>
        <v>23098.483037498529</v>
      </c>
      <c r="F21" s="5">
        <f t="shared" si="2"/>
        <v>7843.4047117432692</v>
      </c>
      <c r="G21" s="5">
        <f t="shared" si="3"/>
        <v>24755.078325755261</v>
      </c>
      <c r="H21" s="22">
        <f t="shared" si="10"/>
        <v>14794.618758433098</v>
      </c>
      <c r="I21" s="5">
        <f t="shared" si="4"/>
        <v>38676.814577440804</v>
      </c>
      <c r="J21" s="25">
        <f t="shared" si="5"/>
        <v>0.1518208804258431</v>
      </c>
      <c r="L21" s="22">
        <f t="shared" si="11"/>
        <v>29566.054640004622</v>
      </c>
      <c r="M21" s="5">
        <f>scrimecost*Meta!O18</f>
        <v>21007.163</v>
      </c>
      <c r="N21" s="5">
        <f>L21-Grade15!L21</f>
        <v>307.13410136145103</v>
      </c>
      <c r="O21" s="5">
        <f>Grade15!M21-M21</f>
        <v>164.60900000000038</v>
      </c>
      <c r="P21" s="22">
        <f t="shared" si="12"/>
        <v>33.128233338492279</v>
      </c>
      <c r="Q21" s="22"/>
      <c r="R21" s="22"/>
      <c r="S21" s="22">
        <f t="shared" si="6"/>
        <v>184.97813324716302</v>
      </c>
      <c r="T21" s="22">
        <f t="shared" si="7"/>
        <v>275.76690438139536</v>
      </c>
    </row>
    <row r="22" spans="1:20" x14ac:dyDescent="0.2">
      <c r="A22" s="5">
        <v>31</v>
      </c>
      <c r="B22" s="1">
        <f t="shared" si="8"/>
        <v>1.2488629699476654</v>
      </c>
      <c r="C22" s="5">
        <f t="shared" si="9"/>
        <v>34505.882160930902</v>
      </c>
      <c r="D22" s="5">
        <f t="shared" si="0"/>
        <v>33390.435113435982</v>
      </c>
      <c r="E22" s="5">
        <f t="shared" si="1"/>
        <v>23890.435113435982</v>
      </c>
      <c r="F22" s="5">
        <f t="shared" si="2"/>
        <v>8101.977064536848</v>
      </c>
      <c r="G22" s="5">
        <f t="shared" si="3"/>
        <v>25288.458048899134</v>
      </c>
      <c r="H22" s="22">
        <f t="shared" si="10"/>
        <v>15164.484227393923</v>
      </c>
      <c r="I22" s="5">
        <f t="shared" si="4"/>
        <v>39558.237706876818</v>
      </c>
      <c r="J22" s="25">
        <f t="shared" si="5"/>
        <v>0.15365009681059205</v>
      </c>
      <c r="L22" s="22">
        <f t="shared" si="11"/>
        <v>30305.206006004737</v>
      </c>
      <c r="M22" s="5">
        <f>scrimecost*Meta!O19</f>
        <v>21007.163</v>
      </c>
      <c r="N22" s="5">
        <f>L22-Grade15!L22</f>
        <v>314.81245389548712</v>
      </c>
      <c r="O22" s="5">
        <f>Grade15!M22-M22</f>
        <v>164.60900000000038</v>
      </c>
      <c r="P22" s="22">
        <f t="shared" si="12"/>
        <v>33.631193510062722</v>
      </c>
      <c r="Q22" s="22"/>
      <c r="R22" s="22"/>
      <c r="S22" s="22">
        <f t="shared" si="6"/>
        <v>187.39567265938175</v>
      </c>
      <c r="T22" s="22">
        <f t="shared" si="7"/>
        <v>292.04541548074513</v>
      </c>
    </row>
    <row r="23" spans="1:20" x14ac:dyDescent="0.2">
      <c r="A23" s="5">
        <v>32</v>
      </c>
      <c r="B23" s="1">
        <f t="shared" si="8"/>
        <v>1.2800845441963571</v>
      </c>
      <c r="C23" s="5">
        <f t="shared" si="9"/>
        <v>35368.529214954178</v>
      </c>
      <c r="D23" s="5">
        <f t="shared" si="0"/>
        <v>34202.185991271886</v>
      </c>
      <c r="E23" s="5">
        <f t="shared" si="1"/>
        <v>24702.185991271886</v>
      </c>
      <c r="F23" s="5">
        <f t="shared" si="2"/>
        <v>8367.0137261502714</v>
      </c>
      <c r="G23" s="5">
        <f t="shared" si="3"/>
        <v>25835.172265121615</v>
      </c>
      <c r="H23" s="22">
        <f t="shared" si="10"/>
        <v>15543.596333078773</v>
      </c>
      <c r="I23" s="5">
        <f t="shared" si="4"/>
        <v>40461.696414548744</v>
      </c>
      <c r="J23" s="25">
        <f t="shared" si="5"/>
        <v>0.15543469816156663</v>
      </c>
      <c r="L23" s="22">
        <f t="shared" si="11"/>
        <v>31062.836156154855</v>
      </c>
      <c r="M23" s="5">
        <f>scrimecost*Meta!O20</f>
        <v>21007.163</v>
      </c>
      <c r="N23" s="5">
        <f>L23-Grade15!L23</f>
        <v>322.68276524287285</v>
      </c>
      <c r="O23" s="5">
        <f>Grade15!M23-M23</f>
        <v>164.60900000000038</v>
      </c>
      <c r="P23" s="22">
        <f t="shared" si="12"/>
        <v>34.146727685922421</v>
      </c>
      <c r="Q23" s="22"/>
      <c r="R23" s="22"/>
      <c r="S23" s="22">
        <f t="shared" si="6"/>
        <v>189.87365055690569</v>
      </c>
      <c r="T23" s="22">
        <f t="shared" si="7"/>
        <v>309.33183579003031</v>
      </c>
    </row>
    <row r="24" spans="1:20" x14ac:dyDescent="0.2">
      <c r="A24" s="5">
        <v>33</v>
      </c>
      <c r="B24" s="1">
        <f t="shared" si="8"/>
        <v>1.312086657801266</v>
      </c>
      <c r="C24" s="5">
        <f t="shared" si="9"/>
        <v>36252.742445328025</v>
      </c>
      <c r="D24" s="5">
        <f t="shared" si="0"/>
        <v>35034.230641053677</v>
      </c>
      <c r="E24" s="5">
        <f t="shared" si="1"/>
        <v>25534.230641053677</v>
      </c>
      <c r="F24" s="5">
        <f t="shared" si="2"/>
        <v>8638.6763043040264</v>
      </c>
      <c r="G24" s="5">
        <f t="shared" si="3"/>
        <v>26395.55433674965</v>
      </c>
      <c r="H24" s="22">
        <f t="shared" si="10"/>
        <v>15932.186241405741</v>
      </c>
      <c r="I24" s="5">
        <f t="shared" si="4"/>
        <v>41387.741589912453</v>
      </c>
      <c r="J24" s="25">
        <f t="shared" si="5"/>
        <v>0.15717577265032229</v>
      </c>
      <c r="L24" s="22">
        <f t="shared" si="11"/>
        <v>31839.407060058726</v>
      </c>
      <c r="M24" s="5">
        <f>scrimecost*Meta!O21</f>
        <v>21007.163</v>
      </c>
      <c r="N24" s="5">
        <f>L24-Grade15!L24</f>
        <v>330.74983437394985</v>
      </c>
      <c r="O24" s="5">
        <f>Grade15!M24-M24</f>
        <v>164.60900000000038</v>
      </c>
      <c r="P24" s="22">
        <f t="shared" si="12"/>
        <v>34.675150216178601</v>
      </c>
      <c r="Q24" s="22"/>
      <c r="R24" s="22"/>
      <c r="S24" s="22">
        <f t="shared" si="6"/>
        <v>192.4135779018695</v>
      </c>
      <c r="T24" s="22">
        <f t="shared" si="7"/>
        <v>327.69115377164871</v>
      </c>
    </row>
    <row r="25" spans="1:20" x14ac:dyDescent="0.2">
      <c r="A25" s="5">
        <v>34</v>
      </c>
      <c r="B25" s="1">
        <f t="shared" si="8"/>
        <v>1.3448888242462975</v>
      </c>
      <c r="C25" s="5">
        <f t="shared" si="9"/>
        <v>37159.061006461226</v>
      </c>
      <c r="D25" s="5">
        <f t="shared" si="0"/>
        <v>35887.076407080014</v>
      </c>
      <c r="E25" s="5">
        <f t="shared" si="1"/>
        <v>26387.076407080014</v>
      </c>
      <c r="F25" s="5">
        <f t="shared" si="2"/>
        <v>8917.1304469116239</v>
      </c>
      <c r="G25" s="5">
        <f t="shared" si="3"/>
        <v>26969.945960168392</v>
      </c>
      <c r="H25" s="22">
        <f t="shared" si="10"/>
        <v>16330.490897440883</v>
      </c>
      <c r="I25" s="5">
        <f t="shared" si="4"/>
        <v>42336.937894660266</v>
      </c>
      <c r="J25" s="25">
        <f t="shared" si="5"/>
        <v>0.15887438190764483</v>
      </c>
      <c r="L25" s="22">
        <f t="shared" si="11"/>
        <v>32635.39223656019</v>
      </c>
      <c r="M25" s="5">
        <f>scrimecost*Meta!O22</f>
        <v>21007.163</v>
      </c>
      <c r="N25" s="5">
        <f>L25-Grade15!L25</f>
        <v>339.01858023329623</v>
      </c>
      <c r="O25" s="5">
        <f>Grade15!M25-M25</f>
        <v>164.60900000000038</v>
      </c>
      <c r="P25" s="22">
        <f t="shared" si="12"/>
        <v>35.216783309691181</v>
      </c>
      <c r="Q25" s="22"/>
      <c r="R25" s="22"/>
      <c r="S25" s="22">
        <f t="shared" si="6"/>
        <v>195.0170034304553</v>
      </c>
      <c r="T25" s="22">
        <f t="shared" si="7"/>
        <v>347.19268353039485</v>
      </c>
    </row>
    <row r="26" spans="1:20" x14ac:dyDescent="0.2">
      <c r="A26" s="5">
        <v>35</v>
      </c>
      <c r="B26" s="1">
        <f t="shared" si="8"/>
        <v>1.3785110448524549</v>
      </c>
      <c r="C26" s="5">
        <f t="shared" si="9"/>
        <v>38088.037531622758</v>
      </c>
      <c r="D26" s="5">
        <f t="shared" si="0"/>
        <v>36761.243317257016</v>
      </c>
      <c r="E26" s="5">
        <f t="shared" si="1"/>
        <v>27261.243317257016</v>
      </c>
      <c r="F26" s="5">
        <f t="shared" si="2"/>
        <v>9202.5459430844166</v>
      </c>
      <c r="G26" s="5">
        <f t="shared" si="3"/>
        <v>27558.6973741726</v>
      </c>
      <c r="H26" s="22">
        <f t="shared" si="10"/>
        <v>16738.753169876905</v>
      </c>
      <c r="I26" s="5">
        <f t="shared" si="4"/>
        <v>43309.864107026769</v>
      </c>
      <c r="J26" s="25">
        <f t="shared" si="5"/>
        <v>0.16053156167088645</v>
      </c>
      <c r="L26" s="22">
        <f t="shared" si="11"/>
        <v>33451.277042474198</v>
      </c>
      <c r="M26" s="5">
        <f>scrimecost*Meta!O23</f>
        <v>16303.143</v>
      </c>
      <c r="N26" s="5">
        <f>L26-Grade15!L26</f>
        <v>347.49404473913455</v>
      </c>
      <c r="O26" s="5">
        <f>Grade15!M26-M26</f>
        <v>127.7489999999998</v>
      </c>
      <c r="P26" s="22">
        <f t="shared" si="12"/>
        <v>35.771957230541595</v>
      </c>
      <c r="Q26" s="22"/>
      <c r="R26" s="22"/>
      <c r="S26" s="22">
        <f t="shared" si="6"/>
        <v>179.36609459725778</v>
      </c>
      <c r="T26" s="22">
        <f t="shared" si="7"/>
        <v>333.81628636833847</v>
      </c>
    </row>
    <row r="27" spans="1:20" x14ac:dyDescent="0.2">
      <c r="A27" s="5">
        <v>36</v>
      </c>
      <c r="B27" s="1">
        <f t="shared" si="8"/>
        <v>1.4129738209737661</v>
      </c>
      <c r="C27" s="5">
        <f t="shared" si="9"/>
        <v>39040.238469913318</v>
      </c>
      <c r="D27" s="5">
        <f t="shared" si="0"/>
        <v>37657.264400188433</v>
      </c>
      <c r="E27" s="5">
        <f t="shared" si="1"/>
        <v>28157.264400188433</v>
      </c>
      <c r="F27" s="5">
        <f t="shared" si="2"/>
        <v>9495.0968266615237</v>
      </c>
      <c r="G27" s="5">
        <f t="shared" si="3"/>
        <v>28162.167573526909</v>
      </c>
      <c r="H27" s="22">
        <f t="shared" si="10"/>
        <v>17157.221999123823</v>
      </c>
      <c r="I27" s="5">
        <f t="shared" si="4"/>
        <v>44307.113474702426</v>
      </c>
      <c r="J27" s="25">
        <f t="shared" si="5"/>
        <v>0.16214832241551233</v>
      </c>
      <c r="L27" s="22">
        <f t="shared" si="11"/>
        <v>34287.558968536046</v>
      </c>
      <c r="M27" s="5">
        <f>scrimecost*Meta!O24</f>
        <v>16303.143</v>
      </c>
      <c r="N27" s="5">
        <f>L27-Grade15!L27</f>
        <v>356.18139585760218</v>
      </c>
      <c r="O27" s="5">
        <f>Grade15!M27-M27</f>
        <v>127.7489999999998</v>
      </c>
      <c r="P27" s="22">
        <f t="shared" si="12"/>
        <v>36.341010499413258</v>
      </c>
      <c r="Q27" s="22"/>
      <c r="R27" s="22"/>
      <c r="S27" s="22">
        <f t="shared" si="6"/>
        <v>182.10131854322591</v>
      </c>
      <c r="T27" s="22">
        <f t="shared" si="7"/>
        <v>354.28220837090208</v>
      </c>
    </row>
    <row r="28" spans="1:20" x14ac:dyDescent="0.2">
      <c r="A28" s="5">
        <v>37</v>
      </c>
      <c r="B28" s="1">
        <f t="shared" si="8"/>
        <v>1.4482981664981105</v>
      </c>
      <c r="C28" s="5">
        <f t="shared" si="9"/>
        <v>40016.244431661151</v>
      </c>
      <c r="D28" s="5">
        <f t="shared" si="0"/>
        <v>38575.686010193145</v>
      </c>
      <c r="E28" s="5">
        <f t="shared" si="1"/>
        <v>29075.686010193145</v>
      </c>
      <c r="F28" s="5">
        <f t="shared" si="2"/>
        <v>9794.9614823280608</v>
      </c>
      <c r="G28" s="5">
        <f t="shared" si="3"/>
        <v>28780.724527865084</v>
      </c>
      <c r="H28" s="22">
        <f t="shared" si="10"/>
        <v>17586.152549101924</v>
      </c>
      <c r="I28" s="5">
        <f t="shared" si="4"/>
        <v>45329.294076569997</v>
      </c>
      <c r="J28" s="25">
        <f t="shared" si="5"/>
        <v>0.16372564997124492</v>
      </c>
      <c r="L28" s="22">
        <f t="shared" si="11"/>
        <v>35144.747942749447</v>
      </c>
      <c r="M28" s="5">
        <f>scrimecost*Meta!O25</f>
        <v>16303.143</v>
      </c>
      <c r="N28" s="5">
        <f>L28-Grade15!L28</f>
        <v>365.08593075404497</v>
      </c>
      <c r="O28" s="5">
        <f>Grade15!M28-M28</f>
        <v>127.7489999999998</v>
      </c>
      <c r="P28" s="22">
        <f t="shared" si="12"/>
        <v>36.924290100006708</v>
      </c>
      <c r="Q28" s="22"/>
      <c r="R28" s="22"/>
      <c r="S28" s="22">
        <f t="shared" si="6"/>
        <v>184.90492308784712</v>
      </c>
      <c r="T28" s="22">
        <f t="shared" si="7"/>
        <v>376.05711559393364</v>
      </c>
    </row>
    <row r="29" spans="1:20" x14ac:dyDescent="0.2">
      <c r="A29" s="5">
        <v>38</v>
      </c>
      <c r="B29" s="1">
        <f t="shared" si="8"/>
        <v>1.4845056206605631</v>
      </c>
      <c r="C29" s="5">
        <f t="shared" si="9"/>
        <v>41016.650542452684</v>
      </c>
      <c r="D29" s="5">
        <f t="shared" si="0"/>
        <v>39517.068160447976</v>
      </c>
      <c r="E29" s="5">
        <f t="shared" si="1"/>
        <v>30017.068160447976</v>
      </c>
      <c r="F29" s="5">
        <f t="shared" si="2"/>
        <v>10102.322754386263</v>
      </c>
      <c r="G29" s="5">
        <f t="shared" si="3"/>
        <v>29414.745406061713</v>
      </c>
      <c r="H29" s="22">
        <f t="shared" si="10"/>
        <v>18025.806362829469</v>
      </c>
      <c r="I29" s="5">
        <f t="shared" si="4"/>
        <v>46377.029193484246</v>
      </c>
      <c r="J29" s="25">
        <f t="shared" si="5"/>
        <v>0.16526450612317917</v>
      </c>
      <c r="L29" s="22">
        <f t="shared" si="11"/>
        <v>36023.366641318185</v>
      </c>
      <c r="M29" s="5">
        <f>scrimecost*Meta!O26</f>
        <v>16303.143</v>
      </c>
      <c r="N29" s="5">
        <f>L29-Grade15!L29</f>
        <v>374.21307902289846</v>
      </c>
      <c r="O29" s="5">
        <f>Grade15!M29-M29</f>
        <v>127.7489999999998</v>
      </c>
      <c r="P29" s="22">
        <f t="shared" si="12"/>
        <v>37.522151690615004</v>
      </c>
      <c r="Q29" s="22"/>
      <c r="R29" s="22"/>
      <c r="S29" s="22">
        <f t="shared" si="6"/>
        <v>187.77861774608368</v>
      </c>
      <c r="T29" s="22">
        <f t="shared" si="7"/>
        <v>399.22759968884071</v>
      </c>
    </row>
    <row r="30" spans="1:20" x14ac:dyDescent="0.2">
      <c r="A30" s="5">
        <v>39</v>
      </c>
      <c r="B30" s="1">
        <f t="shared" si="8"/>
        <v>1.521618261177077</v>
      </c>
      <c r="C30" s="5">
        <f t="shared" si="9"/>
        <v>42042.066806013994</v>
      </c>
      <c r="D30" s="5">
        <f t="shared" si="0"/>
        <v>40481.984864459169</v>
      </c>
      <c r="E30" s="5">
        <f t="shared" si="1"/>
        <v>30981.984864459169</v>
      </c>
      <c r="F30" s="5">
        <f t="shared" si="2"/>
        <v>10417.368058245918</v>
      </c>
      <c r="G30" s="5">
        <f t="shared" si="3"/>
        <v>30064.616806213249</v>
      </c>
      <c r="H30" s="22">
        <f t="shared" si="10"/>
        <v>18476.451521900202</v>
      </c>
      <c r="I30" s="5">
        <f t="shared" si="4"/>
        <v>47450.957688321345</v>
      </c>
      <c r="J30" s="25">
        <f t="shared" si="5"/>
        <v>0.16676582919823701</v>
      </c>
      <c r="L30" s="22">
        <f t="shared" si="11"/>
        <v>36923.950807351132</v>
      </c>
      <c r="M30" s="5">
        <f>scrimecost*Meta!O27</f>
        <v>16303.143</v>
      </c>
      <c r="N30" s="5">
        <f>L30-Grade15!L30</f>
        <v>383.56840599847055</v>
      </c>
      <c r="O30" s="5">
        <f>Grade15!M30-M30</f>
        <v>127.7489999999998</v>
      </c>
      <c r="P30" s="22">
        <f t="shared" si="12"/>
        <v>38.134959820988506</v>
      </c>
      <c r="Q30" s="22"/>
      <c r="R30" s="22"/>
      <c r="S30" s="22">
        <f t="shared" si="6"/>
        <v>190.72415477077541</v>
      </c>
      <c r="T30" s="22">
        <f t="shared" si="7"/>
        <v>423.88612605210119</v>
      </c>
    </row>
    <row r="31" spans="1:20" x14ac:dyDescent="0.2">
      <c r="A31" s="5">
        <v>40</v>
      </c>
      <c r="B31" s="1">
        <f t="shared" si="8"/>
        <v>1.559658717706504</v>
      </c>
      <c r="C31" s="5">
        <f t="shared" si="9"/>
        <v>43093.118476164345</v>
      </c>
      <c r="D31" s="5">
        <f t="shared" si="0"/>
        <v>41471.024486070652</v>
      </c>
      <c r="E31" s="5">
        <f t="shared" si="1"/>
        <v>31971.024486070652</v>
      </c>
      <c r="F31" s="5">
        <f t="shared" si="2"/>
        <v>10740.289494702069</v>
      </c>
      <c r="G31" s="5">
        <f t="shared" si="3"/>
        <v>30730.734991368583</v>
      </c>
      <c r="H31" s="22">
        <f t="shared" si="10"/>
        <v>18938.36280994771</v>
      </c>
      <c r="I31" s="5">
        <f t="shared" si="4"/>
        <v>48551.734395529376</v>
      </c>
      <c r="J31" s="25">
        <f t="shared" si="5"/>
        <v>0.1682305346373178</v>
      </c>
      <c r="L31" s="22">
        <f t="shared" si="11"/>
        <v>37847.049577534912</v>
      </c>
      <c r="M31" s="5">
        <f>scrimecost*Meta!O28</f>
        <v>14260.607999999998</v>
      </c>
      <c r="N31" s="5">
        <f>L31-Grade15!L31</f>
        <v>393.15761614842631</v>
      </c>
      <c r="O31" s="5">
        <f>Grade15!M31-M31</f>
        <v>111.7440000000006</v>
      </c>
      <c r="P31" s="22">
        <f t="shared" si="12"/>
        <v>38.76308815462135</v>
      </c>
      <c r="Q31" s="22"/>
      <c r="R31" s="22"/>
      <c r="S31" s="22">
        <f t="shared" si="6"/>
        <v>185.78884522108325</v>
      </c>
      <c r="T31" s="22">
        <f t="shared" si="7"/>
        <v>431.6504739928053</v>
      </c>
    </row>
    <row r="32" spans="1:20" x14ac:dyDescent="0.2">
      <c r="A32" s="5">
        <v>41</v>
      </c>
      <c r="B32" s="1">
        <f t="shared" si="8"/>
        <v>1.5986501856491666</v>
      </c>
      <c r="C32" s="5">
        <f t="shared" si="9"/>
        <v>44170.446438068459</v>
      </c>
      <c r="D32" s="5">
        <f t="shared" si="0"/>
        <v>42484.790098222424</v>
      </c>
      <c r="E32" s="5">
        <f t="shared" si="1"/>
        <v>32984.790098222424</v>
      </c>
      <c r="F32" s="5">
        <f t="shared" si="2"/>
        <v>11071.283967069621</v>
      </c>
      <c r="G32" s="5">
        <f t="shared" si="3"/>
        <v>31413.506131152804</v>
      </c>
      <c r="H32" s="22">
        <f t="shared" si="10"/>
        <v>19411.821880196403</v>
      </c>
      <c r="I32" s="5">
        <f t="shared" si="4"/>
        <v>49680.030520417626</v>
      </c>
      <c r="J32" s="25">
        <f t="shared" si="5"/>
        <v>0.16965951555349418</v>
      </c>
      <c r="L32" s="22">
        <f t="shared" si="11"/>
        <v>38793.225816973289</v>
      </c>
      <c r="M32" s="5">
        <f>scrimecost*Meta!O29</f>
        <v>14260.607999999998</v>
      </c>
      <c r="N32" s="5">
        <f>L32-Grade15!L32</f>
        <v>402.98655655215407</v>
      </c>
      <c r="O32" s="5">
        <f>Grade15!M32-M32</f>
        <v>111.7440000000006</v>
      </c>
      <c r="P32" s="22">
        <f t="shared" si="12"/>
        <v>39.406919696595011</v>
      </c>
      <c r="Q32" s="22"/>
      <c r="R32" s="22"/>
      <c r="S32" s="22">
        <f t="shared" si="6"/>
        <v>188.88350005765489</v>
      </c>
      <c r="T32" s="22">
        <f t="shared" si="7"/>
        <v>458.7495930735854</v>
      </c>
    </row>
    <row r="33" spans="1:20" x14ac:dyDescent="0.2">
      <c r="A33" s="5">
        <v>42</v>
      </c>
      <c r="B33" s="1">
        <f t="shared" si="8"/>
        <v>1.6386164402903955</v>
      </c>
      <c r="C33" s="5">
        <f t="shared" si="9"/>
        <v>45274.707599020163</v>
      </c>
      <c r="D33" s="5">
        <f t="shared" si="0"/>
        <v>43523.899850677975</v>
      </c>
      <c r="E33" s="5">
        <f t="shared" si="1"/>
        <v>34023.899850677975</v>
      </c>
      <c r="F33" s="5">
        <f t="shared" si="2"/>
        <v>11410.553301246358</v>
      </c>
      <c r="G33" s="5">
        <f t="shared" si="3"/>
        <v>32113.346549431619</v>
      </c>
      <c r="H33" s="22">
        <f t="shared" si="10"/>
        <v>19897.117427201309</v>
      </c>
      <c r="I33" s="5">
        <f t="shared" si="4"/>
        <v>50836.534048428046</v>
      </c>
      <c r="J33" s="25">
        <f t="shared" si="5"/>
        <v>0.17105364327659306</v>
      </c>
      <c r="L33" s="22">
        <f t="shared" si="11"/>
        <v>39763.05646239761</v>
      </c>
      <c r="M33" s="5">
        <f>scrimecost*Meta!O30</f>
        <v>14260.607999999998</v>
      </c>
      <c r="N33" s="5">
        <f>L33-Grade15!L33</f>
        <v>413.06122046594101</v>
      </c>
      <c r="O33" s="5">
        <f>Grade15!M33-M33</f>
        <v>111.7440000000006</v>
      </c>
      <c r="P33" s="22">
        <f t="shared" si="12"/>
        <v>40.066847027118001</v>
      </c>
      <c r="Q33" s="22"/>
      <c r="R33" s="22"/>
      <c r="S33" s="22">
        <f t="shared" si="6"/>
        <v>192.0555212651312</v>
      </c>
      <c r="T33" s="22">
        <f t="shared" si="7"/>
        <v>487.61555443053948</v>
      </c>
    </row>
    <row r="34" spans="1:20" x14ac:dyDescent="0.2">
      <c r="A34" s="5">
        <v>43</v>
      </c>
      <c r="B34" s="1">
        <f t="shared" si="8"/>
        <v>1.6795818512976552</v>
      </c>
      <c r="C34" s="5">
        <f t="shared" si="9"/>
        <v>46406.575288995657</v>
      </c>
      <c r="D34" s="5">
        <f t="shared" si="0"/>
        <v>44588.987346944916</v>
      </c>
      <c r="E34" s="5">
        <f t="shared" si="1"/>
        <v>35088.987346944916</v>
      </c>
      <c r="F34" s="5">
        <f t="shared" si="2"/>
        <v>11817.203103472008</v>
      </c>
      <c r="G34" s="5">
        <f t="shared" si="3"/>
        <v>32771.78424347291</v>
      </c>
      <c r="H34" s="22">
        <f t="shared" si="10"/>
        <v>20394.545362881341</v>
      </c>
      <c r="I34" s="5">
        <f t="shared" si="4"/>
        <v>51963.051429944258</v>
      </c>
      <c r="J34" s="25">
        <f t="shared" si="5"/>
        <v>0.17335075278736567</v>
      </c>
      <c r="L34" s="22">
        <f t="shared" si="11"/>
        <v>40757.132873957547</v>
      </c>
      <c r="M34" s="5">
        <f>scrimecost*Meta!O31</f>
        <v>14260.607999999998</v>
      </c>
      <c r="N34" s="5">
        <f>L34-Grade15!L34</f>
        <v>423.3877509775848</v>
      </c>
      <c r="O34" s="5">
        <f>Grade15!M34-M34</f>
        <v>111.7440000000006</v>
      </c>
      <c r="P34" s="22">
        <f t="shared" si="12"/>
        <v>40.85783899546572</v>
      </c>
      <c r="Q34" s="22"/>
      <c r="R34" s="22"/>
      <c r="S34" s="22">
        <f t="shared" si="6"/>
        <v>195.36378253071501</v>
      </c>
      <c r="T34" s="22">
        <f t="shared" si="7"/>
        <v>518.51806610361405</v>
      </c>
    </row>
    <row r="35" spans="1:20" x14ac:dyDescent="0.2">
      <c r="A35" s="5">
        <v>44</v>
      </c>
      <c r="B35" s="1">
        <f t="shared" si="8"/>
        <v>1.7215713975800966</v>
      </c>
      <c r="C35" s="5">
        <f t="shared" si="9"/>
        <v>47566.739671220552</v>
      </c>
      <c r="D35" s="5">
        <f t="shared" si="0"/>
        <v>45680.702030618544</v>
      </c>
      <c r="E35" s="5">
        <f t="shared" si="1"/>
        <v>36180.702030618544</v>
      </c>
      <c r="F35" s="5">
        <f t="shared" si="2"/>
        <v>12282.819416058808</v>
      </c>
      <c r="G35" s="5">
        <f t="shared" si="3"/>
        <v>33397.882614559734</v>
      </c>
      <c r="H35" s="22">
        <f t="shared" si="10"/>
        <v>20904.408996953374</v>
      </c>
      <c r="I35" s="5">
        <f t="shared" si="4"/>
        <v>53068.93148069286</v>
      </c>
      <c r="J35" s="25">
        <f t="shared" si="5"/>
        <v>0.17634923461819962</v>
      </c>
      <c r="L35" s="22">
        <f t="shared" si="11"/>
        <v>41776.061195806484</v>
      </c>
      <c r="M35" s="5">
        <f>scrimecost*Meta!O32</f>
        <v>14260.607999999998</v>
      </c>
      <c r="N35" s="5">
        <f>L35-Grade15!L35</f>
        <v>433.97244475202751</v>
      </c>
      <c r="O35" s="5">
        <f>Grade15!M35-M35</f>
        <v>111.7440000000006</v>
      </c>
      <c r="P35" s="22">
        <f t="shared" si="12"/>
        <v>41.763529251730667</v>
      </c>
      <c r="Q35" s="22"/>
      <c r="R35" s="22"/>
      <c r="S35" s="22">
        <f t="shared" si="6"/>
        <v>198.80192730182878</v>
      </c>
      <c r="T35" s="22">
        <f t="shared" si="7"/>
        <v>551.58127098564648</v>
      </c>
    </row>
    <row r="36" spans="1:20" x14ac:dyDescent="0.2">
      <c r="A36" s="5">
        <v>45</v>
      </c>
      <c r="B36" s="1">
        <f t="shared" si="8"/>
        <v>1.7646106825195991</v>
      </c>
      <c r="C36" s="5">
        <f t="shared" si="9"/>
        <v>48755.908163001062</v>
      </c>
      <c r="D36" s="5">
        <f t="shared" si="0"/>
        <v>46799.709581384006</v>
      </c>
      <c r="E36" s="5">
        <f t="shared" si="1"/>
        <v>37299.709581384006</v>
      </c>
      <c r="F36" s="5">
        <f t="shared" si="2"/>
        <v>12760.076136460279</v>
      </c>
      <c r="G36" s="5">
        <f t="shared" si="3"/>
        <v>34039.633444923726</v>
      </c>
      <c r="H36" s="22">
        <f t="shared" si="10"/>
        <v>21427.01922187721</v>
      </c>
      <c r="I36" s="5">
        <f t="shared" si="4"/>
        <v>54202.458532710181</v>
      </c>
      <c r="J36" s="25">
        <f t="shared" si="5"/>
        <v>0.17927458274584257</v>
      </c>
      <c r="L36" s="22">
        <f t="shared" si="11"/>
        <v>42820.462725701647</v>
      </c>
      <c r="M36" s="5">
        <f>scrimecost*Meta!O33</f>
        <v>11524.849</v>
      </c>
      <c r="N36" s="5">
        <f>L36-Grade15!L36</f>
        <v>444.82175587083475</v>
      </c>
      <c r="O36" s="5">
        <f>Grade15!M36-M36</f>
        <v>90.307000000000698</v>
      </c>
      <c r="P36" s="22">
        <f t="shared" si="12"/>
        <v>42.69186176440224</v>
      </c>
      <c r="Q36" s="22"/>
      <c r="R36" s="22"/>
      <c r="S36" s="22">
        <f t="shared" si="6"/>
        <v>191.6718366922214</v>
      </c>
      <c r="T36" s="22">
        <f t="shared" si="7"/>
        <v>555.92513326369408</v>
      </c>
    </row>
    <row r="37" spans="1:20" x14ac:dyDescent="0.2">
      <c r="A37" s="5">
        <v>46</v>
      </c>
      <c r="B37" s="1">
        <f t="shared" ref="B37:B56" si="13">(1+experiencepremium)^(A37-startage)</f>
        <v>1.8087259495825889</v>
      </c>
      <c r="C37" s="5">
        <f t="shared" ref="C37:C56" si="14">pretaxincome*B37/expnorm</f>
        <v>49974.805867076087</v>
      </c>
      <c r="D37" s="5">
        <f t="shared" ref="D37:D56" si="15">IF(A37&lt;startage,1,0)*(C37*(1-initialunempprob))+IF(A37=startage,1,0)*(C37*(1-unempprob))+IF(A37&gt;startage,1,0)*(C37*(1-unempprob)+unempprob*300*52)</f>
        <v>47946.692320918606</v>
      </c>
      <c r="E37" s="5">
        <f t="shared" si="1"/>
        <v>38446.692320918606</v>
      </c>
      <c r="F37" s="5">
        <f t="shared" si="2"/>
        <v>13249.264274871786</v>
      </c>
      <c r="G37" s="5">
        <f t="shared" si="3"/>
        <v>34697.428046046822</v>
      </c>
      <c r="H37" s="22">
        <f t="shared" ref="H37:H56" si="16">benefits*B37/expnorm</f>
        <v>21962.694702424138</v>
      </c>
      <c r="I37" s="5">
        <f t="shared" ref="I37:I56" si="17">G37+IF(A37&lt;startage,1,0)*(H37*(1-initialunempprob))+IF(A37&gt;=startage,1,0)*(H37*(1-unempprob))</f>
        <v>55364.323761027932</v>
      </c>
      <c r="J37" s="25">
        <f t="shared" si="5"/>
        <v>0.18212858091915274</v>
      </c>
      <c r="L37" s="22">
        <f t="shared" ref="L37:L56" si="18">(sincome+sbenefits)*(1-sunemp)*B37/expnorm</f>
        <v>43890.974293844192</v>
      </c>
      <c r="M37" s="5">
        <f>scrimecost*Meta!O34</f>
        <v>11524.849</v>
      </c>
      <c r="N37" s="5">
        <f>L37-Grade15!L37</f>
        <v>455.94229976761562</v>
      </c>
      <c r="O37" s="5">
        <f>Grade15!M37-M37</f>
        <v>90.307000000000698</v>
      </c>
      <c r="P37" s="22">
        <f t="shared" si="12"/>
        <v>43.643402589890606</v>
      </c>
      <c r="Q37" s="22"/>
      <c r="R37" s="22"/>
      <c r="S37" s="22">
        <f t="shared" si="6"/>
        <v>195.28403754237479</v>
      </c>
      <c r="T37" s="22">
        <f t="shared" si="7"/>
        <v>592.0983263823025</v>
      </c>
    </row>
    <row r="38" spans="1:20" x14ac:dyDescent="0.2">
      <c r="A38" s="5">
        <v>47</v>
      </c>
      <c r="B38" s="1">
        <f t="shared" si="13"/>
        <v>1.8539440983221533</v>
      </c>
      <c r="C38" s="5">
        <f t="shared" si="14"/>
        <v>51224.176013752978</v>
      </c>
      <c r="D38" s="5">
        <f t="shared" si="15"/>
        <v>49122.349628941556</v>
      </c>
      <c r="E38" s="5">
        <f t="shared" si="1"/>
        <v>39622.349628941556</v>
      </c>
      <c r="F38" s="5">
        <f t="shared" si="2"/>
        <v>13750.682116743574</v>
      </c>
      <c r="G38" s="5">
        <f t="shared" si="3"/>
        <v>35371.667512197979</v>
      </c>
      <c r="H38" s="22">
        <f t="shared" si="16"/>
        <v>22511.762069984736</v>
      </c>
      <c r="I38" s="5">
        <f t="shared" si="17"/>
        <v>56555.235620053616</v>
      </c>
      <c r="J38" s="25">
        <f t="shared" si="5"/>
        <v>0.18491296938091875</v>
      </c>
      <c r="L38" s="22">
        <f t="shared" si="18"/>
        <v>44988.248651190283</v>
      </c>
      <c r="M38" s="5">
        <f>scrimecost*Meta!O35</f>
        <v>11524.849</v>
      </c>
      <c r="N38" s="5">
        <f>L38-Grade15!L38</f>
        <v>467.34085726179183</v>
      </c>
      <c r="O38" s="5">
        <f>Grade15!M38-M38</f>
        <v>90.307000000000698</v>
      </c>
      <c r="P38" s="22">
        <f t="shared" si="12"/>
        <v>44.618731936016168</v>
      </c>
      <c r="Q38" s="22"/>
      <c r="R38" s="22"/>
      <c r="S38" s="22">
        <f t="shared" si="6"/>
        <v>198.98654341377514</v>
      </c>
      <c r="T38" s="22">
        <f t="shared" si="7"/>
        <v>630.69571353463198</v>
      </c>
    </row>
    <row r="39" spans="1:20" x14ac:dyDescent="0.2">
      <c r="A39" s="5">
        <v>48</v>
      </c>
      <c r="B39" s="1">
        <f t="shared" si="13"/>
        <v>1.9002927007802071</v>
      </c>
      <c r="C39" s="5">
        <f t="shared" si="14"/>
        <v>52504.7804140968</v>
      </c>
      <c r="D39" s="5">
        <f t="shared" si="15"/>
        <v>50327.39836966509</v>
      </c>
      <c r="E39" s="5">
        <f t="shared" si="1"/>
        <v>40827.39836966509</v>
      </c>
      <c r="F39" s="5">
        <f t="shared" si="2"/>
        <v>14264.635404662162</v>
      </c>
      <c r="G39" s="5">
        <f t="shared" si="3"/>
        <v>36062.762965002927</v>
      </c>
      <c r="H39" s="22">
        <f t="shared" si="16"/>
        <v>23074.556121734357</v>
      </c>
      <c r="I39" s="5">
        <f t="shared" si="17"/>
        <v>57775.920275554956</v>
      </c>
      <c r="J39" s="25">
        <f t="shared" si="5"/>
        <v>0.18762944592898315</v>
      </c>
      <c r="L39" s="22">
        <f t="shared" si="18"/>
        <v>46112.954867470035</v>
      </c>
      <c r="M39" s="5">
        <f>scrimecost*Meta!O36</f>
        <v>11524.849</v>
      </c>
      <c r="N39" s="5">
        <f>L39-Grade15!L39</f>
        <v>479.02437869333517</v>
      </c>
      <c r="O39" s="5">
        <f>Grade15!M39-M39</f>
        <v>90.307000000000698</v>
      </c>
      <c r="P39" s="22">
        <f t="shared" si="12"/>
        <v>45.61844451579487</v>
      </c>
      <c r="Q39" s="22"/>
      <c r="R39" s="22"/>
      <c r="S39" s="22">
        <f t="shared" si="6"/>
        <v>202.78161193196411</v>
      </c>
      <c r="T39" s="22">
        <f t="shared" si="7"/>
        <v>671.88326793178146</v>
      </c>
    </row>
    <row r="40" spans="1:20" x14ac:dyDescent="0.2">
      <c r="A40" s="5">
        <v>49</v>
      </c>
      <c r="B40" s="1">
        <f t="shared" si="13"/>
        <v>1.9478000182997122</v>
      </c>
      <c r="C40" s="5">
        <f t="shared" si="14"/>
        <v>53817.399924449222</v>
      </c>
      <c r="D40" s="5">
        <f t="shared" si="15"/>
        <v>51562.573328906721</v>
      </c>
      <c r="E40" s="5">
        <f t="shared" si="1"/>
        <v>42062.573328906721</v>
      </c>
      <c r="F40" s="5">
        <f t="shared" si="2"/>
        <v>14791.437524778716</v>
      </c>
      <c r="G40" s="5">
        <f t="shared" si="3"/>
        <v>36771.135804128004</v>
      </c>
      <c r="H40" s="22">
        <f t="shared" si="16"/>
        <v>23651.420024777712</v>
      </c>
      <c r="I40" s="5">
        <f t="shared" si="17"/>
        <v>59027.122047443831</v>
      </c>
      <c r="J40" s="25">
        <f t="shared" si="5"/>
        <v>0.19027966695148502</v>
      </c>
      <c r="L40" s="22">
        <f t="shared" si="18"/>
        <v>47265.778739156784</v>
      </c>
      <c r="M40" s="5">
        <f>scrimecost*Meta!O37</f>
        <v>11524.849</v>
      </c>
      <c r="N40" s="5">
        <f>L40-Grade15!L40</f>
        <v>490.99998816067091</v>
      </c>
      <c r="O40" s="5">
        <f>Grade15!M40-M40</f>
        <v>90.307000000000698</v>
      </c>
      <c r="P40" s="22">
        <f t="shared" si="12"/>
        <v>46.643149910068047</v>
      </c>
      <c r="Q40" s="22"/>
      <c r="R40" s="22"/>
      <c r="S40" s="22">
        <f t="shared" si="6"/>
        <v>206.67155716310893</v>
      </c>
      <c r="T40" s="22">
        <f t="shared" si="7"/>
        <v>715.83849622129981</v>
      </c>
    </row>
    <row r="41" spans="1:20" x14ac:dyDescent="0.2">
      <c r="A41" s="5">
        <v>50</v>
      </c>
      <c r="B41" s="1">
        <f t="shared" si="13"/>
        <v>1.9964950187572048</v>
      </c>
      <c r="C41" s="5">
        <f t="shared" si="14"/>
        <v>55162.834922560447</v>
      </c>
      <c r="D41" s="5">
        <f t="shared" si="15"/>
        <v>52828.627662129387</v>
      </c>
      <c r="E41" s="5">
        <f t="shared" si="1"/>
        <v>43328.627662129387</v>
      </c>
      <c r="F41" s="5">
        <f t="shared" si="2"/>
        <v>15331.409697898183</v>
      </c>
      <c r="G41" s="5">
        <f t="shared" si="3"/>
        <v>37497.217964231204</v>
      </c>
      <c r="H41" s="22">
        <f t="shared" si="16"/>
        <v>24242.705525397156</v>
      </c>
      <c r="I41" s="5">
        <f t="shared" si="17"/>
        <v>60309.603863629927</v>
      </c>
      <c r="J41" s="25">
        <f t="shared" si="5"/>
        <v>0.19286524843685271</v>
      </c>
      <c r="L41" s="22">
        <f t="shared" si="18"/>
        <v>48447.423207635708</v>
      </c>
      <c r="M41" s="5">
        <f>scrimecost*Meta!O38</f>
        <v>7699.7380000000003</v>
      </c>
      <c r="N41" s="5">
        <f>L41-Grade15!L41</f>
        <v>503.27498786468641</v>
      </c>
      <c r="O41" s="5">
        <f>Grade15!M41-M41</f>
        <v>60.333999999999833</v>
      </c>
      <c r="P41" s="22">
        <f t="shared" si="12"/>
        <v>47.69347293919806</v>
      </c>
      <c r="Q41" s="22"/>
      <c r="R41" s="22"/>
      <c r="S41" s="22">
        <f t="shared" si="6"/>
        <v>195.76217002503085</v>
      </c>
      <c r="T41" s="22">
        <f t="shared" si="7"/>
        <v>708.81384595215434</v>
      </c>
    </row>
    <row r="42" spans="1:20" x14ac:dyDescent="0.2">
      <c r="A42" s="5">
        <v>51</v>
      </c>
      <c r="B42" s="1">
        <f t="shared" si="13"/>
        <v>2.0464073942261352</v>
      </c>
      <c r="C42" s="5">
        <f t="shared" si="14"/>
        <v>56541.905795624465</v>
      </c>
      <c r="D42" s="5">
        <f t="shared" si="15"/>
        <v>54126.333353682625</v>
      </c>
      <c r="E42" s="5">
        <f t="shared" si="1"/>
        <v>44626.333353682625</v>
      </c>
      <c r="F42" s="5">
        <f t="shared" si="2"/>
        <v>15884.881175345641</v>
      </c>
      <c r="G42" s="5">
        <f t="shared" si="3"/>
        <v>38241.452178336986</v>
      </c>
      <c r="H42" s="22">
        <f t="shared" si="16"/>
        <v>24848.773163532085</v>
      </c>
      <c r="I42" s="5">
        <f t="shared" si="17"/>
        <v>61624.147725220682</v>
      </c>
      <c r="J42" s="25">
        <f t="shared" si="5"/>
        <v>0.19538776695916266</v>
      </c>
      <c r="L42" s="22">
        <f t="shared" si="18"/>
        <v>49658.608787826604</v>
      </c>
      <c r="M42" s="5">
        <f>scrimecost*Meta!O39</f>
        <v>7699.7380000000003</v>
      </c>
      <c r="N42" s="5">
        <f>L42-Grade15!L42</f>
        <v>515.85686256131885</v>
      </c>
      <c r="O42" s="5">
        <f>Grade15!M42-M42</f>
        <v>60.333999999999833</v>
      </c>
      <c r="P42" s="22">
        <f t="shared" si="12"/>
        <v>48.770054044056316</v>
      </c>
      <c r="Q42" s="22"/>
      <c r="R42" s="22"/>
      <c r="S42" s="22">
        <f t="shared" si="6"/>
        <v>199.84904373350599</v>
      </c>
      <c r="T42" s="22">
        <f t="shared" si="7"/>
        <v>756.4401637516969</v>
      </c>
    </row>
    <row r="43" spans="1:20" x14ac:dyDescent="0.2">
      <c r="A43" s="5">
        <v>52</v>
      </c>
      <c r="B43" s="1">
        <f t="shared" si="13"/>
        <v>2.097567579081788</v>
      </c>
      <c r="C43" s="5">
        <f t="shared" si="14"/>
        <v>57955.453440515063</v>
      </c>
      <c r="D43" s="5">
        <f t="shared" si="15"/>
        <v>55456.481687524676</v>
      </c>
      <c r="E43" s="5">
        <f t="shared" si="1"/>
        <v>45956.481687524676</v>
      </c>
      <c r="F43" s="5">
        <f t="shared" si="2"/>
        <v>16452.189439729274</v>
      </c>
      <c r="G43" s="5">
        <f t="shared" si="3"/>
        <v>39004.292247795398</v>
      </c>
      <c r="H43" s="22">
        <f t="shared" si="16"/>
        <v>25469.992492620378</v>
      </c>
      <c r="I43" s="5">
        <f t="shared" si="17"/>
        <v>62971.555183351171</v>
      </c>
      <c r="J43" s="25">
        <f t="shared" si="5"/>
        <v>0.19784876063946497</v>
      </c>
      <c r="L43" s="22">
        <f t="shared" si="18"/>
        <v>50900.074007522257</v>
      </c>
      <c r="M43" s="5">
        <f>scrimecost*Meta!O40</f>
        <v>7699.7380000000003</v>
      </c>
      <c r="N43" s="5">
        <f>L43-Grade15!L43</f>
        <v>528.75328412531962</v>
      </c>
      <c r="O43" s="5">
        <f>Grade15!M43-M43</f>
        <v>60.333999999999833</v>
      </c>
      <c r="P43" s="22">
        <f t="shared" si="12"/>
        <v>49.873549676536015</v>
      </c>
      <c r="Q43" s="22"/>
      <c r="R43" s="22"/>
      <c r="S43" s="22">
        <f t="shared" si="6"/>
        <v>204.03808928467953</v>
      </c>
      <c r="T43" s="22">
        <f t="shared" si="7"/>
        <v>807.33324559128914</v>
      </c>
    </row>
    <row r="44" spans="1:20" x14ac:dyDescent="0.2">
      <c r="A44" s="5">
        <v>53</v>
      </c>
      <c r="B44" s="1">
        <f t="shared" si="13"/>
        <v>2.1500067685588333</v>
      </c>
      <c r="C44" s="5">
        <f t="shared" si="14"/>
        <v>59404.339776527951</v>
      </c>
      <c r="D44" s="5">
        <f t="shared" si="15"/>
        <v>56819.883729712805</v>
      </c>
      <c r="E44" s="5">
        <f t="shared" si="1"/>
        <v>47319.883729712805</v>
      </c>
      <c r="F44" s="5">
        <f t="shared" si="2"/>
        <v>17033.680410722511</v>
      </c>
      <c r="G44" s="5">
        <f t="shared" si="3"/>
        <v>39786.203318990294</v>
      </c>
      <c r="H44" s="22">
        <f t="shared" si="16"/>
        <v>26106.742304935899</v>
      </c>
      <c r="I44" s="5">
        <f t="shared" si="17"/>
        <v>64352.647827934976</v>
      </c>
      <c r="J44" s="25">
        <f t="shared" si="5"/>
        <v>0.2002497300836624</v>
      </c>
      <c r="L44" s="22">
        <f t="shared" si="18"/>
        <v>52172.575857710326</v>
      </c>
      <c r="M44" s="5">
        <f>scrimecost*Meta!O41</f>
        <v>7699.7380000000003</v>
      </c>
      <c r="N44" s="5">
        <f>L44-Grade15!L44</f>
        <v>541.97211622848408</v>
      </c>
      <c r="O44" s="5">
        <f>Grade15!M44-M44</f>
        <v>60.333999999999833</v>
      </c>
      <c r="P44" s="22">
        <f t="shared" si="12"/>
        <v>51.004632699827724</v>
      </c>
      <c r="Q44" s="22"/>
      <c r="R44" s="22"/>
      <c r="S44" s="22">
        <f t="shared" ref="S44:S69" si="19">IF(A44&lt;startage,1,0)*(N44-Q44-R44)+IF(A44&gt;=startage,1,0)*completionprob*(N44*spart+O44+P44)</f>
        <v>208.33186097465043</v>
      </c>
      <c r="T44" s="22">
        <f t="shared" ref="T44:T69" si="20">S44/sreturn^(A44-startage+1)</f>
        <v>861.72038297998722</v>
      </c>
    </row>
    <row r="45" spans="1:20" x14ac:dyDescent="0.2">
      <c r="A45" s="5">
        <v>54</v>
      </c>
      <c r="B45" s="1">
        <f t="shared" si="13"/>
        <v>2.2037569377728037</v>
      </c>
      <c r="C45" s="5">
        <f t="shared" si="14"/>
        <v>60889.448270941139</v>
      </c>
      <c r="D45" s="5">
        <f t="shared" si="15"/>
        <v>58217.370822955614</v>
      </c>
      <c r="E45" s="5">
        <f t="shared" si="1"/>
        <v>48717.370822955614</v>
      </c>
      <c r="F45" s="5">
        <f t="shared" si="2"/>
        <v>17629.708655990569</v>
      </c>
      <c r="G45" s="5">
        <f t="shared" si="3"/>
        <v>40587.662166965049</v>
      </c>
      <c r="H45" s="22">
        <f t="shared" si="16"/>
        <v>26759.410862559289</v>
      </c>
      <c r="I45" s="5">
        <f t="shared" si="17"/>
        <v>65768.26778863334</v>
      </c>
      <c r="J45" s="25">
        <f t="shared" si="5"/>
        <v>0.20259213929751355</v>
      </c>
      <c r="L45" s="22">
        <f t="shared" si="18"/>
        <v>53476.890254153077</v>
      </c>
      <c r="M45" s="5">
        <f>scrimecost*Meta!O42</f>
        <v>7699.7380000000003</v>
      </c>
      <c r="N45" s="5">
        <f>L45-Grade15!L45</f>
        <v>555.52141913418745</v>
      </c>
      <c r="O45" s="5">
        <f>Grade15!M45-M45</f>
        <v>60.333999999999833</v>
      </c>
      <c r="P45" s="22">
        <f t="shared" si="12"/>
        <v>52.16399279870172</v>
      </c>
      <c r="Q45" s="22"/>
      <c r="R45" s="22"/>
      <c r="S45" s="22">
        <f t="shared" si="19"/>
        <v>212.73297695685923</v>
      </c>
      <c r="T45" s="22">
        <f t="shared" si="20"/>
        <v>919.84483391500157</v>
      </c>
    </row>
    <row r="46" spans="1:20" x14ac:dyDescent="0.2">
      <c r="A46" s="5">
        <v>55</v>
      </c>
      <c r="B46" s="1">
        <f t="shared" si="13"/>
        <v>2.2588508612171236</v>
      </c>
      <c r="C46" s="5">
        <f t="shared" si="14"/>
        <v>62411.684477714669</v>
      </c>
      <c r="D46" s="5">
        <f t="shared" si="15"/>
        <v>59649.795093529508</v>
      </c>
      <c r="E46" s="5">
        <f t="shared" si="1"/>
        <v>50149.795093529508</v>
      </c>
      <c r="F46" s="5">
        <f t="shared" si="2"/>
        <v>18240.637607390334</v>
      </c>
      <c r="G46" s="5">
        <f t="shared" si="3"/>
        <v>41409.157486139171</v>
      </c>
      <c r="H46" s="22">
        <f t="shared" si="16"/>
        <v>27428.396134123268</v>
      </c>
      <c r="I46" s="5">
        <f t="shared" si="17"/>
        <v>67219.278248349176</v>
      </c>
      <c r="J46" s="25">
        <f t="shared" si="5"/>
        <v>0.20487741657931954</v>
      </c>
      <c r="L46" s="22">
        <f t="shared" si="18"/>
        <v>54813.812510506898</v>
      </c>
      <c r="M46" s="5">
        <f>scrimecost*Meta!O43</f>
        <v>4270.7550000000001</v>
      </c>
      <c r="N46" s="5">
        <f>L46-Grade15!L46</f>
        <v>569.40945461253432</v>
      </c>
      <c r="O46" s="5">
        <f>Grade15!M46-M46</f>
        <v>33.464999999999236</v>
      </c>
      <c r="P46" s="22">
        <f t="shared" si="12"/>
        <v>53.352336900047568</v>
      </c>
      <c r="Q46" s="22"/>
      <c r="R46" s="22"/>
      <c r="S46" s="22">
        <f t="shared" si="19"/>
        <v>203.89022783862325</v>
      </c>
      <c r="T46" s="22">
        <f t="shared" si="20"/>
        <v>921.60590911947804</v>
      </c>
    </row>
    <row r="47" spans="1:20" x14ac:dyDescent="0.2">
      <c r="A47" s="5">
        <v>56</v>
      </c>
      <c r="B47" s="1">
        <f t="shared" si="13"/>
        <v>2.3153221327475517</v>
      </c>
      <c r="C47" s="5">
        <f t="shared" si="14"/>
        <v>63971.976589657534</v>
      </c>
      <c r="D47" s="5">
        <f t="shared" si="15"/>
        <v>61118.029970867741</v>
      </c>
      <c r="E47" s="5">
        <f t="shared" si="1"/>
        <v>51618.029970867741</v>
      </c>
      <c r="F47" s="5">
        <f t="shared" si="2"/>
        <v>18866.839782575091</v>
      </c>
      <c r="G47" s="5">
        <f t="shared" si="3"/>
        <v>42251.190188292647</v>
      </c>
      <c r="H47" s="22">
        <f t="shared" si="16"/>
        <v>28114.106037476351</v>
      </c>
      <c r="I47" s="5">
        <f t="shared" si="17"/>
        <v>68706.563969557901</v>
      </c>
      <c r="J47" s="25">
        <f t="shared" si="5"/>
        <v>0.20710695539083757</v>
      </c>
      <c r="L47" s="22">
        <f t="shared" si="18"/>
        <v>56184.157823269568</v>
      </c>
      <c r="M47" s="5">
        <f>scrimecost*Meta!O44</f>
        <v>4270.7550000000001</v>
      </c>
      <c r="N47" s="5">
        <f>L47-Grade15!L47</f>
        <v>583.64469097786059</v>
      </c>
      <c r="O47" s="5">
        <f>Grade15!M47-M47</f>
        <v>33.464999999999236</v>
      </c>
      <c r="P47" s="22">
        <f t="shared" si="12"/>
        <v>54.570389603927048</v>
      </c>
      <c r="Q47" s="22"/>
      <c r="R47" s="22"/>
      <c r="S47" s="22">
        <f t="shared" si="19"/>
        <v>208.51415031743747</v>
      </c>
      <c r="T47" s="22">
        <f t="shared" si="20"/>
        <v>985.26590806071579</v>
      </c>
    </row>
    <row r="48" spans="1:20" x14ac:dyDescent="0.2">
      <c r="A48" s="5">
        <v>57</v>
      </c>
      <c r="B48" s="1">
        <f t="shared" si="13"/>
        <v>2.3732051860662402</v>
      </c>
      <c r="C48" s="5">
        <f t="shared" si="14"/>
        <v>65571.276004398969</v>
      </c>
      <c r="D48" s="5">
        <f t="shared" si="15"/>
        <v>62622.970720139434</v>
      </c>
      <c r="E48" s="5">
        <f t="shared" si="1"/>
        <v>53122.970720139434</v>
      </c>
      <c r="F48" s="5">
        <f t="shared" si="2"/>
        <v>19508.69701213947</v>
      </c>
      <c r="G48" s="5">
        <f t="shared" si="3"/>
        <v>43114.273707999964</v>
      </c>
      <c r="H48" s="22">
        <f t="shared" si="16"/>
        <v>28816.958688413255</v>
      </c>
      <c r="I48" s="5">
        <f t="shared" si="17"/>
        <v>70231.031833796835</v>
      </c>
      <c r="J48" s="25">
        <f t="shared" si="5"/>
        <v>0.20928211520695278</v>
      </c>
      <c r="L48" s="22">
        <f t="shared" si="18"/>
        <v>57588.761768851306</v>
      </c>
      <c r="M48" s="5">
        <f>scrimecost*Meta!O45</f>
        <v>4270.7550000000001</v>
      </c>
      <c r="N48" s="5">
        <f>L48-Grade15!L48</f>
        <v>598.23580825229874</v>
      </c>
      <c r="O48" s="5">
        <f>Grade15!M48-M48</f>
        <v>33.464999999999236</v>
      </c>
      <c r="P48" s="22">
        <f t="shared" si="12"/>
        <v>55.81889362540354</v>
      </c>
      <c r="Q48" s="22"/>
      <c r="R48" s="22"/>
      <c r="S48" s="22">
        <f t="shared" si="19"/>
        <v>213.25367085821608</v>
      </c>
      <c r="T48" s="22">
        <f t="shared" si="20"/>
        <v>1053.3762497843561</v>
      </c>
    </row>
    <row r="49" spans="1:20" x14ac:dyDescent="0.2">
      <c r="A49" s="5">
        <v>58</v>
      </c>
      <c r="B49" s="1">
        <f t="shared" si="13"/>
        <v>2.4325353157178964</v>
      </c>
      <c r="C49" s="5">
        <f t="shared" si="14"/>
        <v>67210.55790450894</v>
      </c>
      <c r="D49" s="5">
        <f t="shared" si="15"/>
        <v>64165.534988142921</v>
      </c>
      <c r="E49" s="5">
        <f t="shared" si="1"/>
        <v>54665.534988142921</v>
      </c>
      <c r="F49" s="5">
        <f t="shared" si="2"/>
        <v>20166.600672442954</v>
      </c>
      <c r="G49" s="5">
        <f t="shared" si="3"/>
        <v>43998.934315699968</v>
      </c>
      <c r="H49" s="22">
        <f t="shared" si="16"/>
        <v>29537.382655623591</v>
      </c>
      <c r="I49" s="5">
        <f t="shared" si="17"/>
        <v>71793.611394641775</v>
      </c>
      <c r="J49" s="25">
        <f t="shared" si="5"/>
        <v>0.21140422234462611</v>
      </c>
      <c r="L49" s="22">
        <f t="shared" si="18"/>
        <v>59028.480813072587</v>
      </c>
      <c r="M49" s="5">
        <f>scrimecost*Meta!O46</f>
        <v>4270.7550000000001</v>
      </c>
      <c r="N49" s="5">
        <f>L49-Grade15!L49</f>
        <v>613.19170345860766</v>
      </c>
      <c r="O49" s="5">
        <f>Grade15!M49-M49</f>
        <v>33.464999999999236</v>
      </c>
      <c r="P49" s="22">
        <f t="shared" si="12"/>
        <v>57.098610247416921</v>
      </c>
      <c r="Q49" s="22"/>
      <c r="R49" s="22"/>
      <c r="S49" s="22">
        <f t="shared" si="19"/>
        <v>218.11167941251693</v>
      </c>
      <c r="T49" s="22">
        <f t="shared" si="20"/>
        <v>1126.2505388925488</v>
      </c>
    </row>
    <row r="50" spans="1:20" x14ac:dyDescent="0.2">
      <c r="A50" s="5">
        <v>59</v>
      </c>
      <c r="B50" s="1">
        <f t="shared" si="13"/>
        <v>2.4933486986108435</v>
      </c>
      <c r="C50" s="5">
        <f t="shared" si="14"/>
        <v>68890.821852121662</v>
      </c>
      <c r="D50" s="5">
        <f t="shared" si="15"/>
        <v>65746.663362846492</v>
      </c>
      <c r="E50" s="5">
        <f t="shared" si="1"/>
        <v>56246.663362846492</v>
      </c>
      <c r="F50" s="5">
        <f t="shared" si="2"/>
        <v>20840.951924254026</v>
      </c>
      <c r="G50" s="5">
        <f t="shared" si="3"/>
        <v>44905.711438592465</v>
      </c>
      <c r="H50" s="22">
        <f t="shared" si="16"/>
        <v>30275.817222014179</v>
      </c>
      <c r="I50" s="5">
        <f t="shared" si="17"/>
        <v>73395.255444507813</v>
      </c>
      <c r="J50" s="25">
        <f t="shared" si="5"/>
        <v>0.21347457077162449</v>
      </c>
      <c r="L50" s="22">
        <f t="shared" si="18"/>
        <v>60504.192833399393</v>
      </c>
      <c r="M50" s="5">
        <f>scrimecost*Meta!O47</f>
        <v>4270.7550000000001</v>
      </c>
      <c r="N50" s="5">
        <f>L50-Grade15!L50</f>
        <v>628.52149604507576</v>
      </c>
      <c r="O50" s="5">
        <f>Grade15!M50-M50</f>
        <v>33.464999999999236</v>
      </c>
      <c r="P50" s="22">
        <f t="shared" si="12"/>
        <v>58.410319784980658</v>
      </c>
      <c r="Q50" s="22"/>
      <c r="R50" s="22"/>
      <c r="S50" s="22">
        <f t="shared" si="19"/>
        <v>223.0911381806757</v>
      </c>
      <c r="T50" s="22">
        <f t="shared" si="20"/>
        <v>1204.2245944691983</v>
      </c>
    </row>
    <row r="51" spans="1:20" x14ac:dyDescent="0.2">
      <c r="A51" s="5">
        <v>60</v>
      </c>
      <c r="B51" s="1">
        <f t="shared" si="13"/>
        <v>2.555682416076114</v>
      </c>
      <c r="C51" s="5">
        <f t="shared" si="14"/>
        <v>70613.092398424691</v>
      </c>
      <c r="D51" s="5">
        <f t="shared" si="15"/>
        <v>67367.319946917632</v>
      </c>
      <c r="E51" s="5">
        <f t="shared" si="1"/>
        <v>57867.319946917632</v>
      </c>
      <c r="F51" s="5">
        <f t="shared" si="2"/>
        <v>21532.161957360371</v>
      </c>
      <c r="G51" s="5">
        <f t="shared" si="3"/>
        <v>45835.157989557265</v>
      </c>
      <c r="H51" s="22">
        <f t="shared" si="16"/>
        <v>31032.712652564522</v>
      </c>
      <c r="I51" s="5">
        <f t="shared" si="17"/>
        <v>75036.940595620486</v>
      </c>
      <c r="J51" s="25">
        <f t="shared" si="5"/>
        <v>0.21549442289552534</v>
      </c>
      <c r="L51" s="22">
        <f t="shared" si="18"/>
        <v>62016.797654234368</v>
      </c>
      <c r="M51" s="5">
        <f>scrimecost*Meta!O48</f>
        <v>2252.9780000000001</v>
      </c>
      <c r="N51" s="5">
        <f>L51-Grade15!L51</f>
        <v>644.23453344619338</v>
      </c>
      <c r="O51" s="5">
        <f>Grade15!M51-M51</f>
        <v>17.653999999999996</v>
      </c>
      <c r="P51" s="22">
        <f t="shared" si="12"/>
        <v>59.754822060983464</v>
      </c>
      <c r="Q51" s="22"/>
      <c r="R51" s="22"/>
      <c r="S51" s="22">
        <f t="shared" si="19"/>
        <v>220.33701641803538</v>
      </c>
      <c r="T51" s="22">
        <f t="shared" si="20"/>
        <v>1243.3165694157017</v>
      </c>
    </row>
    <row r="52" spans="1:20" x14ac:dyDescent="0.2">
      <c r="A52" s="5">
        <v>61</v>
      </c>
      <c r="B52" s="1">
        <f t="shared" si="13"/>
        <v>2.6195744764780171</v>
      </c>
      <c r="C52" s="5">
        <f t="shared" si="14"/>
        <v>72378.419708385307</v>
      </c>
      <c r="D52" s="5">
        <f t="shared" si="15"/>
        <v>69028.492945590566</v>
      </c>
      <c r="E52" s="5">
        <f t="shared" si="1"/>
        <v>59528.492945590566</v>
      </c>
      <c r="F52" s="5">
        <f t="shared" si="2"/>
        <v>22240.652241294378</v>
      </c>
      <c r="G52" s="5">
        <f t="shared" si="3"/>
        <v>46787.840704296192</v>
      </c>
      <c r="H52" s="22">
        <f t="shared" si="16"/>
        <v>31808.530468878638</v>
      </c>
      <c r="I52" s="5">
        <f t="shared" si="17"/>
        <v>76719.66787551099</v>
      </c>
      <c r="J52" s="25">
        <f t="shared" si="5"/>
        <v>0.21746501033347734</v>
      </c>
      <c r="L52" s="22">
        <f t="shared" si="18"/>
        <v>63567.217595590228</v>
      </c>
      <c r="M52" s="5">
        <f>scrimecost*Meta!O49</f>
        <v>2252.9780000000001</v>
      </c>
      <c r="N52" s="5">
        <f>L52-Grade15!L52</f>
        <v>660.34039678235422</v>
      </c>
      <c r="O52" s="5">
        <f>Grade15!M52-M52</f>
        <v>17.653999999999996</v>
      </c>
      <c r="P52" s="22">
        <f t="shared" si="12"/>
        <v>61.132936893886352</v>
      </c>
      <c r="Q52" s="22"/>
      <c r="R52" s="22"/>
      <c r="S52" s="22">
        <f t="shared" si="19"/>
        <v>225.56856028633297</v>
      </c>
      <c r="T52" s="22">
        <f t="shared" si="20"/>
        <v>1330.5828093619477</v>
      </c>
    </row>
    <row r="53" spans="1:20" x14ac:dyDescent="0.2">
      <c r="A53" s="5">
        <v>62</v>
      </c>
      <c r="B53" s="1">
        <f t="shared" si="13"/>
        <v>2.6850638383899672</v>
      </c>
      <c r="C53" s="5">
        <f t="shared" si="14"/>
        <v>74187.880201094929</v>
      </c>
      <c r="D53" s="5">
        <f t="shared" si="15"/>
        <v>70731.195269230331</v>
      </c>
      <c r="E53" s="5">
        <f t="shared" si="1"/>
        <v>61231.195269230331</v>
      </c>
      <c r="F53" s="5">
        <f t="shared" si="2"/>
        <v>22966.854782326736</v>
      </c>
      <c r="G53" s="5">
        <f t="shared" si="3"/>
        <v>47764.340486903595</v>
      </c>
      <c r="H53" s="22">
        <f t="shared" si="16"/>
        <v>32603.743730600603</v>
      </c>
      <c r="I53" s="5">
        <f t="shared" si="17"/>
        <v>78444.46333739876</v>
      </c>
      <c r="J53" s="25">
        <f t="shared" si="5"/>
        <v>0.2193875346631867</v>
      </c>
      <c r="L53" s="22">
        <f t="shared" si="18"/>
        <v>65156.398035479979</v>
      </c>
      <c r="M53" s="5">
        <f>scrimecost*Meta!O50</f>
        <v>2252.9780000000001</v>
      </c>
      <c r="N53" s="5">
        <f>L53-Grade15!L53</f>
        <v>676.84890670191089</v>
      </c>
      <c r="O53" s="5">
        <f>Grade15!M53-M53</f>
        <v>17.653999999999996</v>
      </c>
      <c r="P53" s="22">
        <f t="shared" si="12"/>
        <v>62.54550459761181</v>
      </c>
      <c r="Q53" s="22"/>
      <c r="R53" s="22"/>
      <c r="S53" s="22">
        <f t="shared" si="19"/>
        <v>230.93089275133568</v>
      </c>
      <c r="T53" s="22">
        <f t="shared" si="20"/>
        <v>1424.014654389347</v>
      </c>
    </row>
    <row r="54" spans="1:20" x14ac:dyDescent="0.2">
      <c r="A54" s="5">
        <v>63</v>
      </c>
      <c r="B54" s="1">
        <f t="shared" si="13"/>
        <v>2.7521904343497163</v>
      </c>
      <c r="C54" s="5">
        <f t="shared" si="14"/>
        <v>76042.577206122296</v>
      </c>
      <c r="D54" s="5">
        <f t="shared" si="15"/>
        <v>72476.465150961085</v>
      </c>
      <c r="E54" s="5">
        <f t="shared" si="1"/>
        <v>62976.465150961085</v>
      </c>
      <c r="F54" s="5">
        <f t="shared" si="2"/>
        <v>23711.212386884901</v>
      </c>
      <c r="G54" s="5">
        <f t="shared" si="3"/>
        <v>48765.252764076184</v>
      </c>
      <c r="H54" s="22">
        <f t="shared" si="16"/>
        <v>33418.837323865613</v>
      </c>
      <c r="I54" s="5">
        <f t="shared" si="17"/>
        <v>80212.378685833726</v>
      </c>
      <c r="J54" s="25">
        <f t="shared" si="5"/>
        <v>0.22126316815558605</v>
      </c>
      <c r="L54" s="22">
        <f t="shared" si="18"/>
        <v>66785.30798636697</v>
      </c>
      <c r="M54" s="5">
        <f>scrimecost*Meta!O51</f>
        <v>2252.9780000000001</v>
      </c>
      <c r="N54" s="5">
        <f>L54-Grade15!L54</f>
        <v>693.77012936945539</v>
      </c>
      <c r="O54" s="5">
        <f>Grade15!M54-M54</f>
        <v>17.653999999999996</v>
      </c>
      <c r="P54" s="22">
        <f t="shared" si="12"/>
        <v>63.993386493930409</v>
      </c>
      <c r="Q54" s="22"/>
      <c r="R54" s="22"/>
      <c r="S54" s="22">
        <f t="shared" si="19"/>
        <v>236.42728352796317</v>
      </c>
      <c r="T54" s="22">
        <f t="shared" si="20"/>
        <v>1524.0495953883315</v>
      </c>
    </row>
    <row r="55" spans="1:20" x14ac:dyDescent="0.2">
      <c r="A55" s="5">
        <v>64</v>
      </c>
      <c r="B55" s="1">
        <f t="shared" si="13"/>
        <v>2.8209951952084591</v>
      </c>
      <c r="C55" s="5">
        <f t="shared" si="14"/>
        <v>77943.641636275352</v>
      </c>
      <c r="D55" s="5">
        <f t="shared" si="15"/>
        <v>74265.366779735108</v>
      </c>
      <c r="E55" s="5">
        <f t="shared" si="1"/>
        <v>64765.366779735108</v>
      </c>
      <c r="F55" s="5">
        <f t="shared" si="2"/>
        <v>24474.178931557024</v>
      </c>
      <c r="G55" s="5">
        <f t="shared" si="3"/>
        <v>49791.187848178088</v>
      </c>
      <c r="H55" s="22">
        <f t="shared" si="16"/>
        <v>34254.308256962257</v>
      </c>
      <c r="I55" s="5">
        <f t="shared" si="17"/>
        <v>82024.491917979569</v>
      </c>
      <c r="J55" s="25">
        <f t="shared" si="5"/>
        <v>0.22309305448963415</v>
      </c>
      <c r="L55" s="22">
        <f t="shared" si="18"/>
        <v>68454.940686026152</v>
      </c>
      <c r="M55" s="5">
        <f>scrimecost*Meta!O52</f>
        <v>2252.9780000000001</v>
      </c>
      <c r="N55" s="5">
        <f>L55-Grade15!L55</f>
        <v>711.11438260368595</v>
      </c>
      <c r="O55" s="5">
        <f>Grade15!M55-M55</f>
        <v>17.653999999999996</v>
      </c>
      <c r="P55" s="22">
        <f t="shared" si="12"/>
        <v>65.477465437656974</v>
      </c>
      <c r="Q55" s="22"/>
      <c r="R55" s="22"/>
      <c r="S55" s="22">
        <f t="shared" si="19"/>
        <v>242.06108407400563</v>
      </c>
      <c r="T55" s="22">
        <f t="shared" si="20"/>
        <v>1631.1562521730059</v>
      </c>
    </row>
    <row r="56" spans="1:20" x14ac:dyDescent="0.2">
      <c r="A56" s="5">
        <v>65</v>
      </c>
      <c r="B56" s="1">
        <f t="shared" si="13"/>
        <v>2.8915200750886707</v>
      </c>
      <c r="C56" s="5">
        <f t="shared" si="14"/>
        <v>79892.232677182241</v>
      </c>
      <c r="D56" s="5">
        <f t="shared" si="15"/>
        <v>76098.990949228493</v>
      </c>
      <c r="E56" s="5">
        <f t="shared" si="1"/>
        <v>66598.990949228493</v>
      </c>
      <c r="F56" s="5">
        <f t="shared" si="2"/>
        <v>25256.219639845953</v>
      </c>
      <c r="G56" s="5">
        <f t="shared" si="3"/>
        <v>50842.771309382544</v>
      </c>
      <c r="H56" s="22">
        <f t="shared" si="16"/>
        <v>35110.665963386316</v>
      </c>
      <c r="I56" s="5">
        <f t="shared" si="17"/>
        <v>83881.907980929071</v>
      </c>
      <c r="J56" s="25">
        <f t="shared" si="5"/>
        <v>0.22487830944968112</v>
      </c>
      <c r="L56" s="22">
        <f t="shared" si="18"/>
        <v>70166.314203176807</v>
      </c>
      <c r="M56" s="5">
        <f>scrimecost*Meta!O53</f>
        <v>680.84500000000003</v>
      </c>
      <c r="N56" s="5">
        <f>L56-Grade15!L56</f>
        <v>728.89224216880393</v>
      </c>
      <c r="O56" s="5">
        <f>Grade15!M56-M56</f>
        <v>5.3349999999999227</v>
      </c>
      <c r="P56" s="22">
        <f t="shared" si="12"/>
        <v>66.998646354976714</v>
      </c>
      <c r="Q56" s="22"/>
      <c r="R56" s="22"/>
      <c r="S56" s="22">
        <f t="shared" si="19"/>
        <v>241.71318663370806</v>
      </c>
      <c r="T56" s="22">
        <f t="shared" si="20"/>
        <v>1702.7073808116386</v>
      </c>
    </row>
    <row r="57" spans="1:20" x14ac:dyDescent="0.2">
      <c r="A57" s="5">
        <v>66</v>
      </c>
      <c r="C57" s="5"/>
      <c r="H57" s="21"/>
      <c r="I57" s="5"/>
      <c r="M57" s="5">
        <f>scrimecost*Meta!O54</f>
        <v>680.84500000000003</v>
      </c>
      <c r="N57" s="5">
        <f>L57-Grade15!L57</f>
        <v>0</v>
      </c>
      <c r="O57" s="5">
        <f>Grade15!M57-M57</f>
        <v>5.3349999999999227</v>
      </c>
      <c r="Q57" s="22"/>
      <c r="R57" s="22"/>
      <c r="S57" s="22">
        <f t="shared" si="19"/>
        <v>2.6514949999999615</v>
      </c>
      <c r="T57" s="22">
        <f t="shared" si="20"/>
        <v>19.525383410509711</v>
      </c>
    </row>
    <row r="58" spans="1:20" x14ac:dyDescent="0.2">
      <c r="A58" s="5">
        <v>67</v>
      </c>
      <c r="C58" s="5"/>
      <c r="H58" s="21"/>
      <c r="I58" s="5"/>
      <c r="M58" s="5">
        <f>scrimecost*Meta!O55</f>
        <v>680.84500000000003</v>
      </c>
      <c r="N58" s="5">
        <f>L58-Grade15!L58</f>
        <v>0</v>
      </c>
      <c r="O58" s="5">
        <f>Grade15!M58-M58</f>
        <v>5.3349999999999227</v>
      </c>
      <c r="Q58" s="22"/>
      <c r="R58" s="22"/>
      <c r="S58" s="22">
        <f t="shared" si="19"/>
        <v>2.6514949999999615</v>
      </c>
      <c r="T58" s="22">
        <f t="shared" si="20"/>
        <v>20.411205451628184</v>
      </c>
    </row>
    <row r="59" spans="1:20" x14ac:dyDescent="0.2">
      <c r="A59" s="5">
        <v>68</v>
      </c>
      <c r="H59" s="21"/>
      <c r="I59" s="5"/>
      <c r="M59" s="5">
        <f>scrimecost*Meta!O56</f>
        <v>680.84500000000003</v>
      </c>
      <c r="N59" s="5">
        <f>L59-Grade15!L59</f>
        <v>0</v>
      </c>
      <c r="O59" s="5">
        <f>Grade15!M59-M59</f>
        <v>5.3349999999999227</v>
      </c>
      <c r="Q59" s="22"/>
      <c r="R59" s="22"/>
      <c r="S59" s="22">
        <f t="shared" si="19"/>
        <v>2.6514949999999615</v>
      </c>
      <c r="T59" s="22">
        <f t="shared" si="20"/>
        <v>21.337215215160807</v>
      </c>
    </row>
    <row r="60" spans="1:20" x14ac:dyDescent="0.2">
      <c r="A60" s="5">
        <v>69</v>
      </c>
      <c r="H60" s="21"/>
      <c r="I60" s="5"/>
      <c r="M60" s="5">
        <f>scrimecost*Meta!O57</f>
        <v>680.84500000000003</v>
      </c>
      <c r="N60" s="5">
        <f>L60-Grade15!L60</f>
        <v>0</v>
      </c>
      <c r="O60" s="5">
        <f>Grade15!M60-M60</f>
        <v>5.3349999999999227</v>
      </c>
      <c r="Q60" s="22"/>
      <c r="R60" s="22"/>
      <c r="S60" s="22">
        <f t="shared" si="19"/>
        <v>2.6514949999999615</v>
      </c>
      <c r="T60" s="22">
        <f t="shared" si="20"/>
        <v>22.30523592626778</v>
      </c>
    </row>
    <row r="61" spans="1:20" x14ac:dyDescent="0.2">
      <c r="A61" s="5">
        <v>70</v>
      </c>
      <c r="H61" s="21"/>
      <c r="I61" s="5"/>
      <c r="M61" s="5">
        <f>scrimecost*Meta!O58</f>
        <v>680.84500000000003</v>
      </c>
      <c r="N61" s="5">
        <f>L61-Grade15!L61</f>
        <v>0</v>
      </c>
      <c r="O61" s="5">
        <f>Grade15!M61-M61</f>
        <v>5.3349999999999227</v>
      </c>
      <c r="Q61" s="22"/>
      <c r="R61" s="22"/>
      <c r="S61" s="22">
        <f t="shared" si="19"/>
        <v>2.6514949999999615</v>
      </c>
      <c r="T61" s="22">
        <f t="shared" si="20"/>
        <v>23.317173525669823</v>
      </c>
    </row>
    <row r="62" spans="1:20" x14ac:dyDescent="0.2">
      <c r="A62" s="5">
        <v>71</v>
      </c>
      <c r="H62" s="21"/>
      <c r="I62" s="5"/>
      <c r="M62" s="5">
        <f>scrimecost*Meta!O59</f>
        <v>680.84500000000003</v>
      </c>
      <c r="N62" s="5">
        <f>L62-Grade15!L62</f>
        <v>0</v>
      </c>
      <c r="O62" s="5">
        <f>Grade15!M62-M62</f>
        <v>5.3349999999999227</v>
      </c>
      <c r="Q62" s="22"/>
      <c r="R62" s="22"/>
      <c r="S62" s="22">
        <f t="shared" si="19"/>
        <v>2.6514949999999615</v>
      </c>
      <c r="T62" s="22">
        <f t="shared" si="20"/>
        <v>24.375020422264171</v>
      </c>
    </row>
    <row r="63" spans="1:20" x14ac:dyDescent="0.2">
      <c r="A63" s="5">
        <v>72</v>
      </c>
      <c r="H63" s="21"/>
      <c r="M63" s="5">
        <f>scrimecost*Meta!O60</f>
        <v>680.84500000000003</v>
      </c>
      <c r="N63" s="5">
        <f>L63-Grade15!L63</f>
        <v>0</v>
      </c>
      <c r="O63" s="5">
        <f>Grade15!M63-M63</f>
        <v>5.3349999999999227</v>
      </c>
      <c r="Q63" s="22"/>
      <c r="R63" s="22"/>
      <c r="S63" s="22">
        <f t="shared" si="19"/>
        <v>2.6514949999999615</v>
      </c>
      <c r="T63" s="22">
        <f t="shared" si="20"/>
        <v>25.480859415988231</v>
      </c>
    </row>
    <row r="64" spans="1:20" x14ac:dyDescent="0.2">
      <c r="A64" s="5">
        <v>73</v>
      </c>
      <c r="H64" s="21"/>
      <c r="M64" s="5">
        <f>scrimecost*Meta!O61</f>
        <v>680.84500000000003</v>
      </c>
      <c r="N64" s="5">
        <f>L64-Grade15!L64</f>
        <v>0</v>
      </c>
      <c r="O64" s="5">
        <f>Grade15!M64-M64</f>
        <v>5.3349999999999227</v>
      </c>
      <c r="Q64" s="22"/>
      <c r="R64" s="22"/>
      <c r="S64" s="22">
        <f t="shared" si="19"/>
        <v>2.6514949999999615</v>
      </c>
      <c r="T64" s="22">
        <f t="shared" si="20"/>
        <v>26.636867798654574</v>
      </c>
    </row>
    <row r="65" spans="1:20" x14ac:dyDescent="0.2">
      <c r="A65" s="5">
        <v>74</v>
      </c>
      <c r="H65" s="21"/>
      <c r="M65" s="5">
        <f>scrimecost*Meta!O62</f>
        <v>680.84500000000003</v>
      </c>
      <c r="N65" s="5">
        <f>L65-Grade15!L65</f>
        <v>0</v>
      </c>
      <c r="O65" s="5">
        <f>Grade15!M65-M65</f>
        <v>5.3349999999999227</v>
      </c>
      <c r="Q65" s="22"/>
      <c r="R65" s="22"/>
      <c r="S65" s="22">
        <f t="shared" si="19"/>
        <v>2.6514949999999615</v>
      </c>
      <c r="T65" s="22">
        <f t="shared" si="20"/>
        <v>27.84532164083145</v>
      </c>
    </row>
    <row r="66" spans="1:20" x14ac:dyDescent="0.2">
      <c r="A66" s="5">
        <v>75</v>
      </c>
      <c r="H66" s="21"/>
      <c r="M66" s="5">
        <f>scrimecost*Meta!O63</f>
        <v>680.84500000000003</v>
      </c>
      <c r="N66" s="5">
        <f>L66-Grade15!L66</f>
        <v>0</v>
      </c>
      <c r="O66" s="5">
        <f>Grade15!M66-M66</f>
        <v>5.3349999999999227</v>
      </c>
      <c r="Q66" s="22"/>
      <c r="R66" s="22"/>
      <c r="S66" s="22">
        <f t="shared" si="19"/>
        <v>2.6514949999999615</v>
      </c>
      <c r="T66" s="22">
        <f t="shared" si="20"/>
        <v>29.108600273209298</v>
      </c>
    </row>
    <row r="67" spans="1:20" x14ac:dyDescent="0.2">
      <c r="A67" s="5">
        <v>76</v>
      </c>
      <c r="H67" s="21"/>
      <c r="M67" s="5">
        <f>scrimecost*Meta!O64</f>
        <v>680.84500000000003</v>
      </c>
      <c r="N67" s="5">
        <f>L67-Grade15!L67</f>
        <v>0</v>
      </c>
      <c r="O67" s="5">
        <f>Grade15!M67-M67</f>
        <v>5.3349999999999227</v>
      </c>
      <c r="Q67" s="22"/>
      <c r="R67" s="22"/>
      <c r="S67" s="22">
        <f t="shared" si="19"/>
        <v>2.6514949999999615</v>
      </c>
      <c r="T67" s="22">
        <f t="shared" si="20"/>
        <v>30.429190971276565</v>
      </c>
    </row>
    <row r="68" spans="1:20" x14ac:dyDescent="0.2">
      <c r="A68" s="5">
        <v>77</v>
      </c>
      <c r="H68" s="21"/>
      <c r="M68" s="5">
        <f>scrimecost*Meta!O65</f>
        <v>680.84500000000003</v>
      </c>
      <c r="N68" s="5">
        <f>L68-Grade15!L68</f>
        <v>0</v>
      </c>
      <c r="O68" s="5">
        <f>Grade15!M68-M68</f>
        <v>5.3349999999999227</v>
      </c>
      <c r="Q68" s="22"/>
      <c r="R68" s="22"/>
      <c r="S68" s="22">
        <f t="shared" si="19"/>
        <v>2.6514949999999615</v>
      </c>
      <c r="T68" s="22">
        <f t="shared" si="20"/>
        <v>31.809693852528632</v>
      </c>
    </row>
    <row r="69" spans="1:20" x14ac:dyDescent="0.2">
      <c r="A69" s="5">
        <v>78</v>
      </c>
      <c r="H69" s="21"/>
      <c r="M69" s="5">
        <f>scrimecost*Meta!O66</f>
        <v>680.84500000000003</v>
      </c>
      <c r="N69" s="5">
        <f>L69-Grade15!L69</f>
        <v>0</v>
      </c>
      <c r="O69" s="5">
        <f>Grade15!M69-M69</f>
        <v>5.3349999999999227</v>
      </c>
      <c r="Q69" s="22"/>
      <c r="R69" s="22"/>
      <c r="S69" s="22">
        <f t="shared" si="19"/>
        <v>2.6514949999999615</v>
      </c>
      <c r="T69" s="22">
        <f t="shared" si="20"/>
        <v>33.252826995851891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-1.0104628245244385E-10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S14" sqref="S14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Meta!A11+6</f>
        <v>23</v>
      </c>
      <c r="C2" s="7">
        <f>Meta!B11</f>
        <v>50357</v>
      </c>
      <c r="D2" s="7">
        <f>Meta!C11</f>
        <v>22040</v>
      </c>
      <c r="E2" s="1">
        <f>Meta!D11</f>
        <v>5.8999999999999997E-2</v>
      </c>
      <c r="F2" s="1">
        <f>Meta!F11</f>
        <v>0.66700000000000004</v>
      </c>
      <c r="G2" s="1">
        <f>Meta!I11</f>
        <v>1.7595535582220223</v>
      </c>
      <c r="H2" s="1">
        <f>Meta!E11</f>
        <v>0.214</v>
      </c>
      <c r="I2" s="13"/>
      <c r="J2" s="1">
        <f>Meta!X10</f>
        <v>0.56799999999999995</v>
      </c>
      <c r="K2" s="1">
        <f>Meta!D10</f>
        <v>5.8999999999999997E-2</v>
      </c>
      <c r="L2" s="28"/>
      <c r="N2" s="22">
        <f>Meta!T11</f>
        <v>33296</v>
      </c>
      <c r="O2" s="22">
        <f>Meta!U11</f>
        <v>15088</v>
      </c>
      <c r="P2" s="1">
        <f>Meta!V11</f>
        <v>0.09</v>
      </c>
      <c r="Q2" s="1">
        <f>Meta!X11</f>
        <v>0.56799999999999995</v>
      </c>
      <c r="R2" s="22">
        <f>Meta!W11</f>
        <v>12379</v>
      </c>
      <c r="T2" s="12">
        <f>IRR(S5:S69)+1</f>
        <v>0.90631470271752168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5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5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5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5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5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5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C12" s="5"/>
      <c r="D12" s="5"/>
      <c r="E12" s="5"/>
      <c r="F12" s="5"/>
      <c r="G12" s="5"/>
      <c r="H12" s="22"/>
      <c r="I12" s="5"/>
      <c r="J12" s="25"/>
      <c r="L12" s="22"/>
      <c r="M12" s="5"/>
      <c r="N12" s="5"/>
      <c r="O12" s="5"/>
      <c r="P12" s="22"/>
      <c r="Q12" s="22"/>
      <c r="R12" s="22"/>
      <c r="S12" s="22"/>
      <c r="T12" s="22"/>
    </row>
    <row r="13" spans="1:20" x14ac:dyDescent="0.2">
      <c r="A13" s="5">
        <v>22</v>
      </c>
      <c r="B13" s="1">
        <v>1</v>
      </c>
      <c r="C13" s="5">
        <f>0.1*Grade16!C13</f>
        <v>2762.9838494111887</v>
      </c>
      <c r="D13" s="5">
        <f t="shared" ref="D13:D36" si="0">IF(A13&lt;startage,1,0)*(C13*(1-initialunempprob))+IF(A13=startage,1,0)*(C13*(1-unempprob))+IF(A13&gt;startage,1,0)*(C13*(1-unempprob)+unempprob*300*52)</f>
        <v>2599.9678022959288</v>
      </c>
      <c r="E13" s="5">
        <f t="shared" ref="E13:E56" si="1">IF(D13-9500&gt;0,1,0)*(D13-9500)</f>
        <v>0</v>
      </c>
      <c r="F13" s="5">
        <f t="shared" ref="F13:F56" si="2">IF(E13&lt;=8500,1,0)*(0.1*E13+0.1*E13+0.0765*D13)+IF(AND(E13&gt;8500,E13&lt;=34500),1,0)*(850+0.15*(E13-8500)+0.1*E13+0.0765*D13)+IF(AND(E13&gt;34500,E13&lt;=83600),1,0)*(4750+0.25*(E13-34500)+0.1*E13+0.0765*D13)+IF(AND(E13&gt;83600,E13&lt;=174400,D13&lt;=106800),1,0)*(17025+0.28*(E13-83600)+0.1*E13+0.0765*D13)+IF(AND(E13&gt;83600,E13&lt;=174400,D13&gt;106800),1,0)*(17025+0.28*(E13-83600)+0.1*E13+8170.2+0.0145*(D13-106800))+IF(AND(E13&gt;174400,E13&lt;=379150),1,0)*(42449+0.33*(E13-174400)+0.1*E13+8170.2+0.0145*(D13-106800))+IF(E13&gt;379150,1,0)*(110016.5+0.35*(E13-379150)+0.1*E13+8170.2+0.0145*(D13-106800))</f>
        <v>198.89753687563854</v>
      </c>
      <c r="G13" s="5">
        <f t="shared" ref="G13:G56" si="3">D13-F13</f>
        <v>2401.0702654202901</v>
      </c>
      <c r="H13" s="22">
        <f>0.1*Grade16!H13</f>
        <v>1214.2632612471009</v>
      </c>
      <c r="I13" s="5">
        <f t="shared" ref="I13:I36" si="4">G13+IF(A13&lt;startage,1,0)*(H13*(1-initialunempprob))+IF(A13&gt;=startage,1,0)*(H13*(1-unempprob))</f>
        <v>3543.691994253812</v>
      </c>
      <c r="J13" s="25">
        <f t="shared" ref="J13:J56" si="5">(F13-(IF(A13&gt;startage,1,0)*(unempprob*300*52)))/(IF(A13&lt;startage,1,0)*((C13+H13)*(1-initialunempprob))+IF(A13&gt;=startage,1,0)*((C13+H13)*(1-unempprob)))</f>
        <v>5.3144363073023025E-2</v>
      </c>
      <c r="L13" s="22">
        <f>0.1*Grade16!L13</f>
        <v>2426.6237958256302</v>
      </c>
      <c r="M13" s="5">
        <f>scrimecost*Meta!O10</f>
        <v>34760.231999999996</v>
      </c>
      <c r="N13" s="5">
        <f>L13-Grade16!L13</f>
        <v>-21839.614162430669</v>
      </c>
      <c r="O13" s="5"/>
      <c r="P13" s="22"/>
      <c r="Q13" s="22">
        <f>0.05*feel*Grade16!G13</f>
        <v>284.35096407848317</v>
      </c>
      <c r="R13" s="22">
        <f>coltuition</f>
        <v>8279</v>
      </c>
      <c r="S13" s="22">
        <f t="shared" ref="S13:S44" si="6">IF(A13&lt;startage,1,0)*(N13-Q13-R13)+IF(A13&gt;=startage,1,0)*completionprob*(N13*spart+O13+P13)</f>
        <v>-30402.965126509152</v>
      </c>
      <c r="T13" s="22">
        <f t="shared" ref="T13:T44" si="7">S13/sreturn^(A13-startage+1)</f>
        <v>-30402.965126509152</v>
      </c>
    </row>
    <row r="14" spans="1:20" x14ac:dyDescent="0.2">
      <c r="A14" s="5">
        <v>23</v>
      </c>
      <c r="B14" s="1">
        <f t="shared" ref="B14:B36" si="8">(1+experiencepremium)^(A14-startage)</f>
        <v>1</v>
      </c>
      <c r="C14" s="5">
        <f t="shared" ref="C14:C36" si="9">pretaxincome*B14/expnorm</f>
        <v>28619.191365157581</v>
      </c>
      <c r="D14" s="5">
        <f t="shared" si="0"/>
        <v>26930.659074613286</v>
      </c>
      <c r="E14" s="5">
        <f t="shared" si="1"/>
        <v>17430.659074613286</v>
      </c>
      <c r="F14" s="5">
        <f t="shared" si="2"/>
        <v>5992.860187861238</v>
      </c>
      <c r="G14" s="5">
        <f t="shared" si="3"/>
        <v>20937.798886752047</v>
      </c>
      <c r="H14" s="22">
        <f t="shared" ref="H14:H36" si="10">benefits*B14/expnorm</f>
        <v>12525.904594953494</v>
      </c>
      <c r="I14" s="5">
        <f t="shared" si="4"/>
        <v>32724.675110603286</v>
      </c>
      <c r="J14" s="25">
        <f t="shared" si="5"/>
        <v>0.15478413441516009</v>
      </c>
      <c r="L14" s="22">
        <f t="shared" ref="L14:L36" si="11">(sincome+sbenefits)*(1-sunemp)*B14/expnorm</f>
        <v>25023.074628367933</v>
      </c>
      <c r="M14" s="5">
        <f>scrimecost*Meta!O11</f>
        <v>32482.496000000003</v>
      </c>
      <c r="N14" s="5">
        <f>L14-Grade16!L14</f>
        <v>150.18072115522955</v>
      </c>
      <c r="O14" s="5">
        <f>Grade16!M14-M14</f>
        <v>0</v>
      </c>
      <c r="P14" s="22">
        <f t="shared" ref="P14:P56" si="12">(spart-initialspart)*(L14*J14+nptrans)</f>
        <v>0</v>
      </c>
      <c r="Q14" s="22"/>
      <c r="R14" s="22"/>
      <c r="S14" s="22">
        <f t="shared" si="6"/>
        <v>18.254767017860459</v>
      </c>
      <c r="T14" s="22">
        <f t="shared" si="7"/>
        <v>20.141753149457699</v>
      </c>
    </row>
    <row r="15" spans="1:20" x14ac:dyDescent="0.2">
      <c r="A15" s="5">
        <v>24</v>
      </c>
      <c r="B15" s="1">
        <f t="shared" si="8"/>
        <v>1.0249999999999999</v>
      </c>
      <c r="C15" s="5">
        <f t="shared" si="9"/>
        <v>29334.671149286518</v>
      </c>
      <c r="D15" s="5">
        <f t="shared" si="0"/>
        <v>28524.325551478618</v>
      </c>
      <c r="E15" s="5">
        <f t="shared" si="1"/>
        <v>19024.325551478618</v>
      </c>
      <c r="F15" s="5">
        <f t="shared" si="2"/>
        <v>6513.1922925577692</v>
      </c>
      <c r="G15" s="5">
        <f t="shared" si="3"/>
        <v>22011.133258920847</v>
      </c>
      <c r="H15" s="22">
        <f t="shared" si="10"/>
        <v>12839.05220982733</v>
      </c>
      <c r="I15" s="5">
        <f t="shared" si="4"/>
        <v>34092.681388368364</v>
      </c>
      <c r="J15" s="25">
        <f t="shared" si="5"/>
        <v>0.14092794601682707</v>
      </c>
      <c r="L15" s="22">
        <f t="shared" si="11"/>
        <v>25648.651494077127</v>
      </c>
      <c r="M15" s="5">
        <f>scrimecost*Meta!O12</f>
        <v>31034.153000000002</v>
      </c>
      <c r="N15" s="5">
        <f>L15-Grade16!L15</f>
        <v>153.9352391841021</v>
      </c>
      <c r="O15" s="5">
        <f>Grade16!M15-M15</f>
        <v>0</v>
      </c>
      <c r="P15" s="22">
        <f t="shared" si="12"/>
        <v>0</v>
      </c>
      <c r="Q15" s="22"/>
      <c r="R15" s="22"/>
      <c r="S15" s="22">
        <f t="shared" si="6"/>
        <v>18.711136193305975</v>
      </c>
      <c r="T15" s="22">
        <f t="shared" si="7"/>
        <v>22.779390995522363</v>
      </c>
    </row>
    <row r="16" spans="1:20" x14ac:dyDescent="0.2">
      <c r="A16" s="5">
        <v>25</v>
      </c>
      <c r="B16" s="1">
        <f t="shared" si="8"/>
        <v>1.0506249999999999</v>
      </c>
      <c r="C16" s="5">
        <f t="shared" si="9"/>
        <v>30068.037928018683</v>
      </c>
      <c r="D16" s="5">
        <f t="shared" si="0"/>
        <v>29214.423690265583</v>
      </c>
      <c r="E16" s="5">
        <f t="shared" si="1"/>
        <v>19714.423690265583</v>
      </c>
      <c r="F16" s="5">
        <f t="shared" si="2"/>
        <v>6738.5093348717128</v>
      </c>
      <c r="G16" s="5">
        <f t="shared" si="3"/>
        <v>22475.91435539387</v>
      </c>
      <c r="H16" s="22">
        <f t="shared" si="10"/>
        <v>13160.028515073014</v>
      </c>
      <c r="I16" s="5">
        <f t="shared" si="4"/>
        <v>34859.501188077578</v>
      </c>
      <c r="J16" s="25">
        <f t="shared" si="5"/>
        <v>0.14302977141661952</v>
      </c>
      <c r="L16" s="22">
        <f t="shared" si="11"/>
        <v>26289.867781429057</v>
      </c>
      <c r="M16" s="5">
        <f>scrimecost*Meta!O13</f>
        <v>26057.794999999998</v>
      </c>
      <c r="N16" s="5">
        <f>L16-Grade16!L16</f>
        <v>157.78362016371102</v>
      </c>
      <c r="O16" s="5">
        <f>Grade16!M16-M16</f>
        <v>0</v>
      </c>
      <c r="P16" s="22">
        <f t="shared" si="12"/>
        <v>0</v>
      </c>
      <c r="Q16" s="22"/>
      <c r="R16" s="22"/>
      <c r="S16" s="22">
        <f t="shared" si="6"/>
        <v>19.1789145981394</v>
      </c>
      <c r="T16" s="22">
        <f t="shared" si="7"/>
        <v>25.762437374569103</v>
      </c>
    </row>
    <row r="17" spans="1:20" x14ac:dyDescent="0.2">
      <c r="A17" s="5">
        <v>26</v>
      </c>
      <c r="B17" s="1">
        <f t="shared" si="8"/>
        <v>1.0768906249999999</v>
      </c>
      <c r="C17" s="5">
        <f t="shared" si="9"/>
        <v>30819.738876219151</v>
      </c>
      <c r="D17" s="5">
        <f t="shared" si="0"/>
        <v>29921.774282522223</v>
      </c>
      <c r="E17" s="5">
        <f t="shared" si="1"/>
        <v>20421.774282522223</v>
      </c>
      <c r="F17" s="5">
        <f t="shared" si="2"/>
        <v>6969.4593032435059</v>
      </c>
      <c r="G17" s="5">
        <f t="shared" si="3"/>
        <v>22952.314979278715</v>
      </c>
      <c r="H17" s="22">
        <f t="shared" si="10"/>
        <v>13489.029227949839</v>
      </c>
      <c r="I17" s="5">
        <f t="shared" si="4"/>
        <v>35645.491482779515</v>
      </c>
      <c r="J17" s="25">
        <f t="shared" si="5"/>
        <v>0.14508033278227067</v>
      </c>
      <c r="L17" s="22">
        <f t="shared" si="11"/>
        <v>26947.114475964783</v>
      </c>
      <c r="M17" s="5">
        <f>scrimecost*Meta!O14</f>
        <v>26057.794999999998</v>
      </c>
      <c r="N17" s="5">
        <f>L17-Grade16!L17</f>
        <v>161.72821066780671</v>
      </c>
      <c r="O17" s="5">
        <f>Grade16!M17-M17</f>
        <v>0</v>
      </c>
      <c r="P17" s="22">
        <f t="shared" si="12"/>
        <v>0</v>
      </c>
      <c r="Q17" s="22"/>
      <c r="R17" s="22"/>
      <c r="S17" s="22">
        <f t="shared" si="6"/>
        <v>19.658387463093238</v>
      </c>
      <c r="T17" s="22">
        <f t="shared" si="7"/>
        <v>29.136124824805062</v>
      </c>
    </row>
    <row r="18" spans="1:20" x14ac:dyDescent="0.2">
      <c r="A18" s="5">
        <v>27</v>
      </c>
      <c r="B18" s="1">
        <f t="shared" si="8"/>
        <v>1.1038128906249998</v>
      </c>
      <c r="C18" s="5">
        <f t="shared" si="9"/>
        <v>31590.232348124624</v>
      </c>
      <c r="D18" s="5">
        <f t="shared" si="0"/>
        <v>30646.808639585273</v>
      </c>
      <c r="E18" s="5">
        <f t="shared" si="1"/>
        <v>21146.808639585273</v>
      </c>
      <c r="F18" s="5">
        <f t="shared" si="2"/>
        <v>7206.1830208245919</v>
      </c>
      <c r="G18" s="5">
        <f t="shared" si="3"/>
        <v>23440.625618760681</v>
      </c>
      <c r="H18" s="22">
        <f t="shared" si="10"/>
        <v>13826.254958648584</v>
      </c>
      <c r="I18" s="5">
        <f t="shared" si="4"/>
        <v>36451.131534849002</v>
      </c>
      <c r="J18" s="25">
        <f t="shared" si="5"/>
        <v>0.1470808804560767</v>
      </c>
      <c r="L18" s="22">
        <f t="shared" si="11"/>
        <v>27620.792337863899</v>
      </c>
      <c r="M18" s="5">
        <f>scrimecost*Meta!O15</f>
        <v>26057.794999999998</v>
      </c>
      <c r="N18" s="5">
        <f>L18-Grade16!L18</f>
        <v>165.77141593449778</v>
      </c>
      <c r="O18" s="5">
        <f>Grade16!M18-M18</f>
        <v>0</v>
      </c>
      <c r="P18" s="22">
        <f t="shared" si="12"/>
        <v>0</v>
      </c>
      <c r="Q18" s="22"/>
      <c r="R18" s="22"/>
      <c r="S18" s="22">
        <f t="shared" si="6"/>
        <v>20.14984714967007</v>
      </c>
      <c r="T18" s="22">
        <f t="shared" si="7"/>
        <v>32.951609254354736</v>
      </c>
    </row>
    <row r="19" spans="1:20" x14ac:dyDescent="0.2">
      <c r="A19" s="5">
        <v>28</v>
      </c>
      <c r="B19" s="1">
        <f t="shared" si="8"/>
        <v>1.1314082128906247</v>
      </c>
      <c r="C19" s="5">
        <f t="shared" si="9"/>
        <v>32379.988156827734</v>
      </c>
      <c r="D19" s="5">
        <f t="shared" si="0"/>
        <v>31389.968855574902</v>
      </c>
      <c r="E19" s="5">
        <f t="shared" si="1"/>
        <v>21889.968855574902</v>
      </c>
      <c r="F19" s="5">
        <f t="shared" si="2"/>
        <v>7448.8248313452059</v>
      </c>
      <c r="G19" s="5">
        <f t="shared" si="3"/>
        <v>23941.144024229696</v>
      </c>
      <c r="H19" s="22">
        <f t="shared" si="10"/>
        <v>14171.911332614796</v>
      </c>
      <c r="I19" s="5">
        <f t="shared" si="4"/>
        <v>37276.912588220221</v>
      </c>
      <c r="J19" s="25">
        <f t="shared" si="5"/>
        <v>0.14903263428418018</v>
      </c>
      <c r="L19" s="22">
        <f t="shared" si="11"/>
        <v>28311.312146310494</v>
      </c>
      <c r="M19" s="5">
        <f>scrimecost*Meta!O16</f>
        <v>26057.794999999998</v>
      </c>
      <c r="N19" s="5">
        <f>L19-Grade16!L19</f>
        <v>169.91570133285859</v>
      </c>
      <c r="O19" s="5">
        <f>Grade16!M19-M19</f>
        <v>0</v>
      </c>
      <c r="P19" s="22">
        <f t="shared" si="12"/>
        <v>0</v>
      </c>
      <c r="Q19" s="22"/>
      <c r="R19" s="22"/>
      <c r="S19" s="22">
        <f t="shared" si="6"/>
        <v>20.653593328411624</v>
      </c>
      <c r="T19" s="22">
        <f t="shared" si="7"/>
        <v>37.266745628687353</v>
      </c>
    </row>
    <row r="20" spans="1:20" x14ac:dyDescent="0.2">
      <c r="A20" s="5">
        <v>29</v>
      </c>
      <c r="B20" s="1">
        <f t="shared" si="8"/>
        <v>1.1596934182128902</v>
      </c>
      <c r="C20" s="5">
        <f t="shared" si="9"/>
        <v>33189.487860748428</v>
      </c>
      <c r="D20" s="5">
        <f t="shared" si="0"/>
        <v>32151.708076964274</v>
      </c>
      <c r="E20" s="5">
        <f t="shared" si="1"/>
        <v>22651.708076964274</v>
      </c>
      <c r="F20" s="5">
        <f t="shared" si="2"/>
        <v>7697.5326871288362</v>
      </c>
      <c r="G20" s="5">
        <f t="shared" si="3"/>
        <v>24454.175389835436</v>
      </c>
      <c r="H20" s="22">
        <f t="shared" si="10"/>
        <v>14526.209115930165</v>
      </c>
      <c r="I20" s="5">
        <f t="shared" si="4"/>
        <v>38123.338167925722</v>
      </c>
      <c r="J20" s="25">
        <f t="shared" si="5"/>
        <v>0.15093678436037866</v>
      </c>
      <c r="L20" s="22">
        <f t="shared" si="11"/>
        <v>29019.09494996825</v>
      </c>
      <c r="M20" s="5">
        <f>scrimecost*Meta!O17</f>
        <v>26057.794999999998</v>
      </c>
      <c r="N20" s="5">
        <f>L20-Grade16!L20</f>
        <v>174.16359386617478</v>
      </c>
      <c r="O20" s="5">
        <f>Grade16!M20-M20</f>
        <v>0</v>
      </c>
      <c r="P20" s="22">
        <f t="shared" si="12"/>
        <v>0</v>
      </c>
      <c r="Q20" s="22"/>
      <c r="R20" s="22"/>
      <c r="S20" s="22">
        <f t="shared" si="6"/>
        <v>21.169933161621273</v>
      </c>
      <c r="T20" s="22">
        <f t="shared" si="7"/>
        <v>42.146965237205237</v>
      </c>
    </row>
    <row r="21" spans="1:20" x14ac:dyDescent="0.2">
      <c r="A21" s="5">
        <v>30</v>
      </c>
      <c r="B21" s="1">
        <f t="shared" si="8"/>
        <v>1.1886857536682125</v>
      </c>
      <c r="C21" s="5">
        <f t="shared" si="9"/>
        <v>34019.22505726714</v>
      </c>
      <c r="D21" s="5">
        <f t="shared" si="0"/>
        <v>32932.490778888379</v>
      </c>
      <c r="E21" s="5">
        <f t="shared" si="1"/>
        <v>23432.490778888379</v>
      </c>
      <c r="F21" s="5">
        <f t="shared" si="2"/>
        <v>7952.4582393070559</v>
      </c>
      <c r="G21" s="5">
        <f t="shared" si="3"/>
        <v>24980.032539581323</v>
      </c>
      <c r="H21" s="22">
        <f t="shared" si="10"/>
        <v>14889.36434382842</v>
      </c>
      <c r="I21" s="5">
        <f t="shared" si="4"/>
        <v>38990.924387123865</v>
      </c>
      <c r="J21" s="25">
        <f t="shared" si="5"/>
        <v>0.15279449175179177</v>
      </c>
      <c r="L21" s="22">
        <f t="shared" si="11"/>
        <v>29744.572323717464</v>
      </c>
      <c r="M21" s="5">
        <f>scrimecost*Meta!O18</f>
        <v>21007.163</v>
      </c>
      <c r="N21" s="5">
        <f>L21-Grade16!L21</f>
        <v>178.51768371284197</v>
      </c>
      <c r="O21" s="5">
        <f>Grade16!M21-M21</f>
        <v>0</v>
      </c>
      <c r="P21" s="22">
        <f t="shared" si="12"/>
        <v>0</v>
      </c>
      <c r="Q21" s="22"/>
      <c r="R21" s="22"/>
      <c r="S21" s="22">
        <f t="shared" si="6"/>
        <v>21.699181490663364</v>
      </c>
      <c r="T21" s="22">
        <f t="shared" si="7"/>
        <v>47.666267841186233</v>
      </c>
    </row>
    <row r="22" spans="1:20" x14ac:dyDescent="0.2">
      <c r="A22" s="5">
        <v>31</v>
      </c>
      <c r="B22" s="1">
        <f t="shared" si="8"/>
        <v>1.2184028975099177</v>
      </c>
      <c r="C22" s="5">
        <f t="shared" si="9"/>
        <v>34869.705683698819</v>
      </c>
      <c r="D22" s="5">
        <f t="shared" si="0"/>
        <v>33732.793048360596</v>
      </c>
      <c r="E22" s="5">
        <f t="shared" si="1"/>
        <v>24232.793048360596</v>
      </c>
      <c r="F22" s="5">
        <f t="shared" si="2"/>
        <v>8213.7569302897355</v>
      </c>
      <c r="G22" s="5">
        <f t="shared" si="3"/>
        <v>25519.036118070861</v>
      </c>
      <c r="H22" s="22">
        <f t="shared" si="10"/>
        <v>15261.59845242413</v>
      </c>
      <c r="I22" s="5">
        <f t="shared" si="4"/>
        <v>39880.200261801969</v>
      </c>
      <c r="J22" s="25">
        <f t="shared" si="5"/>
        <v>0.15460688920682908</v>
      </c>
      <c r="L22" s="22">
        <f t="shared" si="11"/>
        <v>30488.186631810397</v>
      </c>
      <c r="M22" s="5">
        <f>scrimecost*Meta!O19</f>
        <v>21007.163</v>
      </c>
      <c r="N22" s="5">
        <f>L22-Grade16!L22</f>
        <v>182.98062580565966</v>
      </c>
      <c r="O22" s="5">
        <f>Grade16!M22-M22</f>
        <v>0</v>
      </c>
      <c r="P22" s="22">
        <f t="shared" si="12"/>
        <v>0</v>
      </c>
      <c r="Q22" s="22"/>
      <c r="R22" s="22"/>
      <c r="S22" s="22">
        <f t="shared" si="6"/>
        <v>22.241661027929542</v>
      </c>
      <c r="T22" s="22">
        <f t="shared" si="7"/>
        <v>53.908343747175131</v>
      </c>
    </row>
    <row r="23" spans="1:20" x14ac:dyDescent="0.2">
      <c r="A23" s="5">
        <v>32</v>
      </c>
      <c r="B23" s="1">
        <f t="shared" si="8"/>
        <v>1.2488629699476654</v>
      </c>
      <c r="C23" s="5">
        <f t="shared" si="9"/>
        <v>35741.44832579128</v>
      </c>
      <c r="D23" s="5">
        <f t="shared" si="0"/>
        <v>34553.102874569595</v>
      </c>
      <c r="E23" s="5">
        <f t="shared" si="1"/>
        <v>25053.102874569595</v>
      </c>
      <c r="F23" s="5">
        <f t="shared" si="2"/>
        <v>8481.5880885469724</v>
      </c>
      <c r="G23" s="5">
        <f t="shared" si="3"/>
        <v>26071.514786022621</v>
      </c>
      <c r="H23" s="22">
        <f t="shared" si="10"/>
        <v>15643.13841373473</v>
      </c>
      <c r="I23" s="5">
        <f t="shared" si="4"/>
        <v>40791.708033347</v>
      </c>
      <c r="J23" s="25">
        <f t="shared" si="5"/>
        <v>0.15637508184588969</v>
      </c>
      <c r="L23" s="22">
        <f t="shared" si="11"/>
        <v>31250.391297605649</v>
      </c>
      <c r="M23" s="5">
        <f>scrimecost*Meta!O20</f>
        <v>21007.163</v>
      </c>
      <c r="N23" s="5">
        <f>L23-Grade16!L23</f>
        <v>187.5551414507936</v>
      </c>
      <c r="O23" s="5">
        <f>Grade16!M23-M23</f>
        <v>0</v>
      </c>
      <c r="P23" s="22">
        <f t="shared" si="12"/>
        <v>0</v>
      </c>
      <c r="Q23" s="22"/>
      <c r="R23" s="22"/>
      <c r="S23" s="22">
        <f t="shared" si="6"/>
        <v>22.797702553626863</v>
      </c>
      <c r="T23" s="22">
        <f t="shared" si="7"/>
        <v>60.967842820127323</v>
      </c>
    </row>
    <row r="24" spans="1:20" x14ac:dyDescent="0.2">
      <c r="A24" s="5">
        <v>33</v>
      </c>
      <c r="B24" s="1">
        <f t="shared" si="8"/>
        <v>1.2800845441963571</v>
      </c>
      <c r="C24" s="5">
        <f t="shared" si="9"/>
        <v>36634.984533936062</v>
      </c>
      <c r="D24" s="5">
        <f t="shared" si="0"/>
        <v>35393.92044643384</v>
      </c>
      <c r="E24" s="5">
        <f t="shared" si="1"/>
        <v>25893.92044643384</v>
      </c>
      <c r="F24" s="5">
        <f t="shared" si="2"/>
        <v>8756.1150257606496</v>
      </c>
      <c r="G24" s="5">
        <f t="shared" si="3"/>
        <v>26637.80542067319</v>
      </c>
      <c r="H24" s="22">
        <f t="shared" si="10"/>
        <v>16034.216874078098</v>
      </c>
      <c r="I24" s="5">
        <f t="shared" si="4"/>
        <v>41726.003499180682</v>
      </c>
      <c r="J24" s="25">
        <f t="shared" si="5"/>
        <v>0.15810014783521725</v>
      </c>
      <c r="L24" s="22">
        <f t="shared" si="11"/>
        <v>32031.651080045791</v>
      </c>
      <c r="M24" s="5">
        <f>scrimecost*Meta!O21</f>
        <v>21007.163</v>
      </c>
      <c r="N24" s="5">
        <f>L24-Grade16!L24</f>
        <v>192.24401998706526</v>
      </c>
      <c r="O24" s="5">
        <f>Grade16!M24-M24</f>
        <v>0</v>
      </c>
      <c r="P24" s="22">
        <f t="shared" si="12"/>
        <v>0</v>
      </c>
      <c r="Q24" s="22"/>
      <c r="R24" s="22"/>
      <c r="S24" s="22">
        <f t="shared" si="6"/>
        <v>23.367645117467756</v>
      </c>
      <c r="T24" s="22">
        <f t="shared" si="7"/>
        <v>68.951809678528946</v>
      </c>
    </row>
    <row r="25" spans="1:20" x14ac:dyDescent="0.2">
      <c r="A25" s="5">
        <v>34</v>
      </c>
      <c r="B25" s="1">
        <f t="shared" si="8"/>
        <v>1.312086657801266</v>
      </c>
      <c r="C25" s="5">
        <f t="shared" si="9"/>
        <v>37550.859147284464</v>
      </c>
      <c r="D25" s="5">
        <f t="shared" si="0"/>
        <v>36255.758457594682</v>
      </c>
      <c r="E25" s="5">
        <f t="shared" si="1"/>
        <v>26755.758457594682</v>
      </c>
      <c r="F25" s="5">
        <f t="shared" si="2"/>
        <v>9037.5051364046631</v>
      </c>
      <c r="G25" s="5">
        <f t="shared" si="3"/>
        <v>27218.253321190019</v>
      </c>
      <c r="H25" s="22">
        <f t="shared" si="10"/>
        <v>16435.072295930051</v>
      </c>
      <c r="I25" s="5">
        <f t="shared" si="4"/>
        <v>42683.656351660196</v>
      </c>
      <c r="J25" s="25">
        <f t="shared" si="5"/>
        <v>0.15978313904431724</v>
      </c>
      <c r="L25" s="22">
        <f t="shared" si="11"/>
        <v>32832.442357046937</v>
      </c>
      <c r="M25" s="5">
        <f>scrimecost*Meta!O22</f>
        <v>21007.163</v>
      </c>
      <c r="N25" s="5">
        <f>L25-Grade16!L25</f>
        <v>197.05012048674689</v>
      </c>
      <c r="O25" s="5">
        <f>Grade16!M25-M25</f>
        <v>0</v>
      </c>
      <c r="P25" s="22">
        <f t="shared" si="12"/>
        <v>0</v>
      </c>
      <c r="Q25" s="22"/>
      <c r="R25" s="22"/>
      <c r="S25" s="22">
        <f t="shared" si="6"/>
        <v>23.951836245405055</v>
      </c>
      <c r="T25" s="22">
        <f t="shared" si="7"/>
        <v>77.981306833683774</v>
      </c>
    </row>
    <row r="26" spans="1:20" x14ac:dyDescent="0.2">
      <c r="A26" s="5">
        <v>35</v>
      </c>
      <c r="B26" s="1">
        <f t="shared" si="8"/>
        <v>1.3448888242462975</v>
      </c>
      <c r="C26" s="5">
        <f t="shared" si="9"/>
        <v>38489.630625966573</v>
      </c>
      <c r="D26" s="5">
        <f t="shared" si="0"/>
        <v>37139.14241903455</v>
      </c>
      <c r="E26" s="5">
        <f t="shared" si="1"/>
        <v>27639.14241903455</v>
      </c>
      <c r="F26" s="5">
        <f t="shared" si="2"/>
        <v>9325.9299998147799</v>
      </c>
      <c r="G26" s="5">
        <f t="shared" si="3"/>
        <v>27813.21241921977</v>
      </c>
      <c r="H26" s="22">
        <f t="shared" si="10"/>
        <v>16845.949103328301</v>
      </c>
      <c r="I26" s="5">
        <f t="shared" si="4"/>
        <v>43665.250525451702</v>
      </c>
      <c r="J26" s="25">
        <f t="shared" si="5"/>
        <v>0.16142508168734165</v>
      </c>
      <c r="L26" s="22">
        <f t="shared" si="11"/>
        <v>33653.253415973108</v>
      </c>
      <c r="M26" s="5">
        <f>scrimecost*Meta!O23</f>
        <v>16303.143</v>
      </c>
      <c r="N26" s="5">
        <f>L26-Grade16!L26</f>
        <v>201.97637349891011</v>
      </c>
      <c r="O26" s="5">
        <f>Grade16!M26-M26</f>
        <v>0</v>
      </c>
      <c r="P26" s="22">
        <f t="shared" si="12"/>
        <v>0</v>
      </c>
      <c r="Q26" s="22"/>
      <c r="R26" s="22"/>
      <c r="S26" s="22">
        <f t="shared" si="6"/>
        <v>24.550632151539517</v>
      </c>
      <c r="T26" s="22">
        <f t="shared" si="7"/>
        <v>88.193250385166024</v>
      </c>
    </row>
    <row r="27" spans="1:20" x14ac:dyDescent="0.2">
      <c r="A27" s="5">
        <v>36</v>
      </c>
      <c r="B27" s="1">
        <f t="shared" si="8"/>
        <v>1.3785110448524549</v>
      </c>
      <c r="C27" s="5">
        <f t="shared" si="9"/>
        <v>39451.871391615736</v>
      </c>
      <c r="D27" s="5">
        <f t="shared" si="0"/>
        <v>38044.610979510413</v>
      </c>
      <c r="E27" s="5">
        <f t="shared" si="1"/>
        <v>28544.610979510413</v>
      </c>
      <c r="F27" s="5">
        <f t="shared" si="2"/>
        <v>9621.5654848101494</v>
      </c>
      <c r="G27" s="5">
        <f t="shared" si="3"/>
        <v>28423.045494700265</v>
      </c>
      <c r="H27" s="22">
        <f t="shared" si="10"/>
        <v>17267.097830911509</v>
      </c>
      <c r="I27" s="5">
        <f t="shared" si="4"/>
        <v>44671.384553587995</v>
      </c>
      <c r="J27" s="25">
        <f t="shared" si="5"/>
        <v>0.16302697694882887</v>
      </c>
      <c r="L27" s="22">
        <f t="shared" si="11"/>
        <v>34494.584751372429</v>
      </c>
      <c r="M27" s="5">
        <f>scrimecost*Meta!O24</f>
        <v>16303.143</v>
      </c>
      <c r="N27" s="5">
        <f>L27-Grade16!L27</f>
        <v>207.02578283638286</v>
      </c>
      <c r="O27" s="5">
        <f>Grade16!M27-M27</f>
        <v>0</v>
      </c>
      <c r="P27" s="22">
        <f t="shared" si="12"/>
        <v>0</v>
      </c>
      <c r="Q27" s="22"/>
      <c r="R27" s="22"/>
      <c r="S27" s="22">
        <f t="shared" si="6"/>
        <v>25.16439795532801</v>
      </c>
      <c r="T27" s="22">
        <f t="shared" si="7"/>
        <v>99.742486107466675</v>
      </c>
    </row>
    <row r="28" spans="1:20" x14ac:dyDescent="0.2">
      <c r="A28" s="5">
        <v>37</v>
      </c>
      <c r="B28" s="1">
        <f t="shared" si="8"/>
        <v>1.4129738209737661</v>
      </c>
      <c r="C28" s="5">
        <f t="shared" si="9"/>
        <v>40438.168176406129</v>
      </c>
      <c r="D28" s="5">
        <f t="shared" si="0"/>
        <v>38972.716253998173</v>
      </c>
      <c r="E28" s="5">
        <f t="shared" si="1"/>
        <v>29472.716253998173</v>
      </c>
      <c r="F28" s="5">
        <f t="shared" si="2"/>
        <v>9924.5918569304031</v>
      </c>
      <c r="G28" s="5">
        <f t="shared" si="3"/>
        <v>29048.124397067768</v>
      </c>
      <c r="H28" s="22">
        <f t="shared" si="10"/>
        <v>17698.775276684293</v>
      </c>
      <c r="I28" s="5">
        <f t="shared" si="4"/>
        <v>45702.671932427693</v>
      </c>
      <c r="J28" s="25">
        <f t="shared" si="5"/>
        <v>0.16458980159418227</v>
      </c>
      <c r="L28" s="22">
        <f t="shared" si="11"/>
        <v>35356.949370156741</v>
      </c>
      <c r="M28" s="5">
        <f>scrimecost*Meta!O25</f>
        <v>16303.143</v>
      </c>
      <c r="N28" s="5">
        <f>L28-Grade16!L28</f>
        <v>212.20142740729352</v>
      </c>
      <c r="O28" s="5">
        <f>Grade16!M28-M28</f>
        <v>0</v>
      </c>
      <c r="P28" s="22">
        <f t="shared" si="12"/>
        <v>0</v>
      </c>
      <c r="Q28" s="22"/>
      <c r="R28" s="22"/>
      <c r="S28" s="22">
        <f t="shared" si="6"/>
        <v>25.793507904211342</v>
      </c>
      <c r="T28" s="22">
        <f t="shared" si="7"/>
        <v>112.80413740790719</v>
      </c>
    </row>
    <row r="29" spans="1:20" x14ac:dyDescent="0.2">
      <c r="A29" s="5">
        <v>38</v>
      </c>
      <c r="B29" s="1">
        <f t="shared" si="8"/>
        <v>1.4482981664981105</v>
      </c>
      <c r="C29" s="5">
        <f t="shared" si="9"/>
        <v>41449.122380816283</v>
      </c>
      <c r="D29" s="5">
        <f t="shared" si="0"/>
        <v>39924.024160348126</v>
      </c>
      <c r="E29" s="5">
        <f t="shared" si="1"/>
        <v>30424.024160348126</v>
      </c>
      <c r="F29" s="5">
        <f t="shared" si="2"/>
        <v>10235.193888353664</v>
      </c>
      <c r="G29" s="5">
        <f t="shared" si="3"/>
        <v>29688.830271994462</v>
      </c>
      <c r="H29" s="22">
        <f t="shared" si="10"/>
        <v>18141.244658601405</v>
      </c>
      <c r="I29" s="5">
        <f t="shared" si="4"/>
        <v>46759.741495738388</v>
      </c>
      <c r="J29" s="25">
        <f t="shared" si="5"/>
        <v>0.16611450856525875</v>
      </c>
      <c r="L29" s="22">
        <f t="shared" si="11"/>
        <v>36240.873104410661</v>
      </c>
      <c r="M29" s="5">
        <f>scrimecost*Meta!O26</f>
        <v>16303.143</v>
      </c>
      <c r="N29" s="5">
        <f>L29-Grade16!L29</f>
        <v>217.50646309247531</v>
      </c>
      <c r="O29" s="5">
        <f>Grade16!M29-M29</f>
        <v>0</v>
      </c>
      <c r="P29" s="22">
        <f t="shared" si="12"/>
        <v>0</v>
      </c>
      <c r="Q29" s="22"/>
      <c r="R29" s="22"/>
      <c r="S29" s="22">
        <f t="shared" si="6"/>
        <v>26.438345601816557</v>
      </c>
      <c r="T29" s="22">
        <f t="shared" si="7"/>
        <v>127.57626075844661</v>
      </c>
    </row>
    <row r="30" spans="1:20" x14ac:dyDescent="0.2">
      <c r="A30" s="5">
        <v>39</v>
      </c>
      <c r="B30" s="1">
        <f t="shared" si="8"/>
        <v>1.4845056206605631</v>
      </c>
      <c r="C30" s="5">
        <f t="shared" si="9"/>
        <v>42485.350440336682</v>
      </c>
      <c r="D30" s="5">
        <f t="shared" si="0"/>
        <v>40899.114764356826</v>
      </c>
      <c r="E30" s="5">
        <f t="shared" si="1"/>
        <v>31399.114764356826</v>
      </c>
      <c r="F30" s="5">
        <f t="shared" si="2"/>
        <v>10553.560970562503</v>
      </c>
      <c r="G30" s="5">
        <f t="shared" si="3"/>
        <v>30345.553793794323</v>
      </c>
      <c r="H30" s="22">
        <f t="shared" si="10"/>
        <v>18594.775775066435</v>
      </c>
      <c r="I30" s="5">
        <f t="shared" si="4"/>
        <v>47843.237798131842</v>
      </c>
      <c r="J30" s="25">
        <f t="shared" si="5"/>
        <v>0.16760202756143094</v>
      </c>
      <c r="L30" s="22">
        <f t="shared" si="11"/>
        <v>37146.894932020929</v>
      </c>
      <c r="M30" s="5">
        <f>scrimecost*Meta!O27</f>
        <v>16303.143</v>
      </c>
      <c r="N30" s="5">
        <f>L30-Grade16!L30</f>
        <v>222.94412466979702</v>
      </c>
      <c r="O30" s="5">
        <f>Grade16!M30-M30</f>
        <v>0</v>
      </c>
      <c r="P30" s="22">
        <f t="shared" si="12"/>
        <v>0</v>
      </c>
      <c r="Q30" s="22"/>
      <c r="R30" s="22"/>
      <c r="S30" s="22">
        <f t="shared" si="6"/>
        <v>27.099304241863162</v>
      </c>
      <c r="T30" s="22">
        <f t="shared" si="7"/>
        <v>144.28284886620699</v>
      </c>
    </row>
    <row r="31" spans="1:20" x14ac:dyDescent="0.2">
      <c r="A31" s="5">
        <v>40</v>
      </c>
      <c r="B31" s="1">
        <f t="shared" si="8"/>
        <v>1.521618261177077</v>
      </c>
      <c r="C31" s="5">
        <f t="shared" si="9"/>
        <v>43547.484201345098</v>
      </c>
      <c r="D31" s="5">
        <f t="shared" si="0"/>
        <v>41898.582633465739</v>
      </c>
      <c r="E31" s="5">
        <f t="shared" si="1"/>
        <v>32398.582633465739</v>
      </c>
      <c r="F31" s="5">
        <f t="shared" si="2"/>
        <v>10879.887229826563</v>
      </c>
      <c r="G31" s="5">
        <f t="shared" si="3"/>
        <v>31018.695403639176</v>
      </c>
      <c r="H31" s="22">
        <f t="shared" si="10"/>
        <v>19059.645169443094</v>
      </c>
      <c r="I31" s="5">
        <f t="shared" si="4"/>
        <v>48953.82150808513</v>
      </c>
      <c r="J31" s="25">
        <f t="shared" si="5"/>
        <v>0.16905326560647693</v>
      </c>
      <c r="L31" s="22">
        <f t="shared" si="11"/>
        <v>38075.567305321441</v>
      </c>
      <c r="M31" s="5">
        <f>scrimecost*Meta!O28</f>
        <v>14260.607999999998</v>
      </c>
      <c r="N31" s="5">
        <f>L31-Grade16!L31</f>
        <v>228.51772778652958</v>
      </c>
      <c r="O31" s="5">
        <f>Grade16!M31-M31</f>
        <v>0</v>
      </c>
      <c r="P31" s="22">
        <f t="shared" si="12"/>
        <v>0</v>
      </c>
      <c r="Q31" s="22"/>
      <c r="R31" s="22"/>
      <c r="S31" s="22">
        <f t="shared" si="6"/>
        <v>27.776786847908241</v>
      </c>
      <c r="T31" s="22">
        <f t="shared" si="7"/>
        <v>163.17722712035516</v>
      </c>
    </row>
    <row r="32" spans="1:20" x14ac:dyDescent="0.2">
      <c r="A32" s="5">
        <v>41</v>
      </c>
      <c r="B32" s="1">
        <f t="shared" si="8"/>
        <v>1.559658717706504</v>
      </c>
      <c r="C32" s="5">
        <f t="shared" si="9"/>
        <v>44636.171306378725</v>
      </c>
      <c r="D32" s="5">
        <f t="shared" si="0"/>
        <v>42923.037199302387</v>
      </c>
      <c r="E32" s="5">
        <f t="shared" si="1"/>
        <v>33423.037199302387</v>
      </c>
      <c r="F32" s="5">
        <f t="shared" si="2"/>
        <v>11214.37164557223</v>
      </c>
      <c r="G32" s="5">
        <f t="shared" si="3"/>
        <v>31708.665553730156</v>
      </c>
      <c r="H32" s="22">
        <f t="shared" si="10"/>
        <v>19536.136298679172</v>
      </c>
      <c r="I32" s="5">
        <f t="shared" si="4"/>
        <v>50092.169810787258</v>
      </c>
      <c r="J32" s="25">
        <f t="shared" si="5"/>
        <v>0.17046910760164383</v>
      </c>
      <c r="L32" s="22">
        <f t="shared" si="11"/>
        <v>39027.456487954485</v>
      </c>
      <c r="M32" s="5">
        <f>scrimecost*Meta!O29</f>
        <v>14260.607999999998</v>
      </c>
      <c r="N32" s="5">
        <f>L32-Grade16!L32</f>
        <v>234.23067098119645</v>
      </c>
      <c r="O32" s="5">
        <f>Grade16!M32-M32</f>
        <v>0</v>
      </c>
      <c r="P32" s="22">
        <f t="shared" si="12"/>
        <v>0</v>
      </c>
      <c r="Q32" s="22"/>
      <c r="R32" s="22"/>
      <c r="S32" s="22">
        <f t="shared" si="6"/>
        <v>28.471206519106389</v>
      </c>
      <c r="T32" s="22">
        <f t="shared" si="7"/>
        <v>184.54589481651257</v>
      </c>
    </row>
    <row r="33" spans="1:20" x14ac:dyDescent="0.2">
      <c r="A33" s="5">
        <v>42</v>
      </c>
      <c r="B33" s="1">
        <f t="shared" si="8"/>
        <v>1.5986501856491666</v>
      </c>
      <c r="C33" s="5">
        <f t="shared" si="9"/>
        <v>45752.075589038192</v>
      </c>
      <c r="D33" s="5">
        <f t="shared" si="0"/>
        <v>43973.103129284944</v>
      </c>
      <c r="E33" s="5">
        <f t="shared" si="1"/>
        <v>34473.103129284944</v>
      </c>
      <c r="F33" s="5">
        <f t="shared" si="2"/>
        <v>11557.218171711535</v>
      </c>
      <c r="G33" s="5">
        <f t="shared" si="3"/>
        <v>32415.884957573409</v>
      </c>
      <c r="H33" s="22">
        <f t="shared" si="10"/>
        <v>20024.539706146152</v>
      </c>
      <c r="I33" s="5">
        <f t="shared" si="4"/>
        <v>51258.976821056938</v>
      </c>
      <c r="J33" s="25">
        <f t="shared" si="5"/>
        <v>0.17185041686522123</v>
      </c>
      <c r="L33" s="22">
        <f t="shared" si="11"/>
        <v>40003.142900153347</v>
      </c>
      <c r="M33" s="5">
        <f>scrimecost*Meta!O30</f>
        <v>14260.607999999998</v>
      </c>
      <c r="N33" s="5">
        <f>L33-Grade16!L33</f>
        <v>240.08643775573728</v>
      </c>
      <c r="O33" s="5">
        <f>Grade16!M33-M33</f>
        <v>0</v>
      </c>
      <c r="P33" s="22">
        <f t="shared" si="12"/>
        <v>0</v>
      </c>
      <c r="Q33" s="22"/>
      <c r="R33" s="22"/>
      <c r="S33" s="22">
        <f t="shared" si="6"/>
        <v>29.182986682085374</v>
      </c>
      <c r="T33" s="22">
        <f t="shared" si="7"/>
        <v>208.71286940369856</v>
      </c>
    </row>
    <row r="34" spans="1:20" x14ac:dyDescent="0.2">
      <c r="A34" s="5">
        <v>43</v>
      </c>
      <c r="B34" s="1">
        <f t="shared" si="8"/>
        <v>1.6386164402903955</v>
      </c>
      <c r="C34" s="5">
        <f t="shared" si="9"/>
        <v>46895.877478764145</v>
      </c>
      <c r="D34" s="5">
        <f t="shared" si="0"/>
        <v>45049.420707517063</v>
      </c>
      <c r="E34" s="5">
        <f t="shared" si="1"/>
        <v>35549.420707517063</v>
      </c>
      <c r="F34" s="5">
        <f t="shared" si="2"/>
        <v>12013.577931756028</v>
      </c>
      <c r="G34" s="5">
        <f t="shared" si="3"/>
        <v>33035.842775761033</v>
      </c>
      <c r="H34" s="22">
        <f t="shared" si="10"/>
        <v>20525.153198799806</v>
      </c>
      <c r="I34" s="5">
        <f t="shared" si="4"/>
        <v>52350.011935831651</v>
      </c>
      <c r="J34" s="25">
        <f t="shared" si="5"/>
        <v>0.17485214654100159</v>
      </c>
      <c r="L34" s="22">
        <f t="shared" si="11"/>
        <v>41003.221472657169</v>
      </c>
      <c r="M34" s="5">
        <f>scrimecost*Meta!O31</f>
        <v>14260.607999999998</v>
      </c>
      <c r="N34" s="5">
        <f>L34-Grade16!L34</f>
        <v>246.0885986996218</v>
      </c>
      <c r="O34" s="5">
        <f>Grade16!M34-M34</f>
        <v>0</v>
      </c>
      <c r="P34" s="22">
        <f t="shared" si="12"/>
        <v>0</v>
      </c>
      <c r="Q34" s="22"/>
      <c r="R34" s="22"/>
      <c r="S34" s="22">
        <f t="shared" si="6"/>
        <v>29.912561349136428</v>
      </c>
      <c r="T34" s="22">
        <f t="shared" si="7"/>
        <v>236.04459962673778</v>
      </c>
    </row>
    <row r="35" spans="1:20" x14ac:dyDescent="0.2">
      <c r="A35" s="5">
        <v>44</v>
      </c>
      <c r="B35" s="1">
        <f t="shared" si="8"/>
        <v>1.6795818512976552</v>
      </c>
      <c r="C35" s="5">
        <f t="shared" si="9"/>
        <v>48068.274415733242</v>
      </c>
      <c r="D35" s="5">
        <f t="shared" si="0"/>
        <v>46152.646225204982</v>
      </c>
      <c r="E35" s="5">
        <f t="shared" si="1"/>
        <v>36652.646225204982</v>
      </c>
      <c r="F35" s="5">
        <f t="shared" si="2"/>
        <v>12484.103615049926</v>
      </c>
      <c r="G35" s="5">
        <f t="shared" si="3"/>
        <v>33668.542610155055</v>
      </c>
      <c r="H35" s="22">
        <f t="shared" si="10"/>
        <v>21038.282028769798</v>
      </c>
      <c r="I35" s="5">
        <f t="shared" si="4"/>
        <v>53465.56599922743</v>
      </c>
      <c r="J35" s="25">
        <f t="shared" si="5"/>
        <v>0.17782305850335248</v>
      </c>
      <c r="L35" s="22">
        <f t="shared" si="11"/>
        <v>42028.302009473598</v>
      </c>
      <c r="M35" s="5">
        <f>scrimecost*Meta!O32</f>
        <v>14260.607999999998</v>
      </c>
      <c r="N35" s="5">
        <f>L35-Grade16!L35</f>
        <v>252.24081366711471</v>
      </c>
      <c r="O35" s="5">
        <f>Grade16!M35-M35</f>
        <v>0</v>
      </c>
      <c r="P35" s="22">
        <f t="shared" si="12"/>
        <v>0</v>
      </c>
      <c r="Q35" s="22"/>
      <c r="R35" s="22"/>
      <c r="S35" s="22">
        <f t="shared" si="6"/>
        <v>30.660375382865126</v>
      </c>
      <c r="T35" s="22">
        <f t="shared" si="7"/>
        <v>266.9555220630881</v>
      </c>
    </row>
    <row r="36" spans="1:20" x14ac:dyDescent="0.2">
      <c r="A36" s="5">
        <v>45</v>
      </c>
      <c r="B36" s="1">
        <f t="shared" si="8"/>
        <v>1.7215713975800966</v>
      </c>
      <c r="C36" s="5">
        <f t="shared" si="9"/>
        <v>49269.981276126571</v>
      </c>
      <c r="D36" s="5">
        <f t="shared" si="0"/>
        <v>47283.452380835108</v>
      </c>
      <c r="E36" s="5">
        <f t="shared" si="1"/>
        <v>37783.452380835108</v>
      </c>
      <c r="F36" s="5">
        <f t="shared" si="2"/>
        <v>12966.392440426174</v>
      </c>
      <c r="G36" s="5">
        <f t="shared" si="3"/>
        <v>34317.05994040893</v>
      </c>
      <c r="H36" s="22">
        <f t="shared" si="10"/>
        <v>21564.239079489038</v>
      </c>
      <c r="I36" s="5">
        <f t="shared" si="4"/>
        <v>54609.008914208112</v>
      </c>
      <c r="J36" s="25">
        <f t="shared" si="5"/>
        <v>0.18072150919832905</v>
      </c>
      <c r="L36" s="22">
        <f t="shared" si="11"/>
        <v>43079.00955971043</v>
      </c>
      <c r="M36" s="5">
        <f>scrimecost*Meta!O33</f>
        <v>11524.849</v>
      </c>
      <c r="N36" s="5">
        <f>L36-Grade16!L36</f>
        <v>258.54683400878275</v>
      </c>
      <c r="O36" s="5">
        <f>Grade16!M36-M36</f>
        <v>0</v>
      </c>
      <c r="P36" s="22">
        <f t="shared" si="12"/>
        <v>0</v>
      </c>
      <c r="Q36" s="22"/>
      <c r="R36" s="22"/>
      <c r="S36" s="22">
        <f t="shared" si="6"/>
        <v>31.426884767435556</v>
      </c>
      <c r="T36" s="22">
        <f t="shared" si="7"/>
        <v>301.91434530874994</v>
      </c>
    </row>
    <row r="37" spans="1:20" x14ac:dyDescent="0.2">
      <c r="A37" s="5">
        <v>46</v>
      </c>
      <c r="B37" s="1">
        <f t="shared" ref="B37:B56" si="13">(1+experiencepremium)^(A37-startage)</f>
        <v>1.7646106825195991</v>
      </c>
      <c r="C37" s="5">
        <f t="shared" ref="C37:C56" si="14">pretaxincome*B37/expnorm</f>
        <v>50501.730808029737</v>
      </c>
      <c r="D37" s="5">
        <f t="shared" ref="D37:D56" si="15">IF(A37&lt;startage,1,0)*(C37*(1-initialunempprob))+IF(A37=startage,1,0)*(C37*(1-unempprob))+IF(A37&gt;startage,1,0)*(C37*(1-unempprob)+unempprob*300*52)</f>
        <v>48442.52869035599</v>
      </c>
      <c r="E37" s="5">
        <f t="shared" si="1"/>
        <v>38942.52869035599</v>
      </c>
      <c r="F37" s="5">
        <f t="shared" si="2"/>
        <v>13460.73848643683</v>
      </c>
      <c r="G37" s="5">
        <f t="shared" si="3"/>
        <v>34981.790203919161</v>
      </c>
      <c r="H37" s="22">
        <f t="shared" ref="H37:H56" si="16">benefits*B37/expnorm</f>
        <v>22103.345056476268</v>
      </c>
      <c r="I37" s="5">
        <f t="shared" ref="I37:I56" si="17">G37+IF(A37&lt;startage,1,0)*(H37*(1-initialunempprob))+IF(A37&gt;=startage,1,0)*(H37*(1-unempprob))</f>
        <v>55781.037902063326</v>
      </c>
      <c r="J37" s="25">
        <f t="shared" si="5"/>
        <v>0.18354926597391583</v>
      </c>
      <c r="L37" s="22">
        <f t="shared" ref="L37:L56" si="18">(sincome+sbenefits)*(1-sunemp)*B37/expnorm</f>
        <v>44155.984798703197</v>
      </c>
      <c r="M37" s="5">
        <f>scrimecost*Meta!O34</f>
        <v>11524.849</v>
      </c>
      <c r="N37" s="5">
        <f>L37-Grade16!L37</f>
        <v>265.01050485900487</v>
      </c>
      <c r="O37" s="5">
        <f>Grade16!M37-M37</f>
        <v>0</v>
      </c>
      <c r="P37" s="22">
        <f t="shared" si="12"/>
        <v>0</v>
      </c>
      <c r="Q37" s="22"/>
      <c r="R37" s="22"/>
      <c r="S37" s="22">
        <f t="shared" si="6"/>
        <v>32.212556886621755</v>
      </c>
      <c r="T37" s="22">
        <f t="shared" si="7"/>
        <v>341.45115710202066</v>
      </c>
    </row>
    <row r="38" spans="1:20" x14ac:dyDescent="0.2">
      <c r="A38" s="5">
        <v>47</v>
      </c>
      <c r="B38" s="1">
        <f t="shared" si="13"/>
        <v>1.8087259495825889</v>
      </c>
      <c r="C38" s="5">
        <f t="shared" si="14"/>
        <v>51764.274078230475</v>
      </c>
      <c r="D38" s="5">
        <f t="shared" si="15"/>
        <v>49630.581907614884</v>
      </c>
      <c r="E38" s="5">
        <f t="shared" si="1"/>
        <v>40130.581907614884</v>
      </c>
      <c r="F38" s="5">
        <f t="shared" si="2"/>
        <v>13967.443183597748</v>
      </c>
      <c r="G38" s="5">
        <f t="shared" si="3"/>
        <v>35663.138724017132</v>
      </c>
      <c r="H38" s="22">
        <f t="shared" si="16"/>
        <v>22655.92868288817</v>
      </c>
      <c r="I38" s="5">
        <f t="shared" si="17"/>
        <v>56982.367614614901</v>
      </c>
      <c r="J38" s="25">
        <f t="shared" si="5"/>
        <v>0.18630805307204934</v>
      </c>
      <c r="L38" s="22">
        <f t="shared" si="18"/>
        <v>45259.884418670779</v>
      </c>
      <c r="M38" s="5">
        <f>scrimecost*Meta!O35</f>
        <v>11524.849</v>
      </c>
      <c r="N38" s="5">
        <f>L38-Grade16!L38</f>
        <v>271.63576748049672</v>
      </c>
      <c r="O38" s="5">
        <f>Grade16!M38-M38</f>
        <v>0</v>
      </c>
      <c r="P38" s="22">
        <f t="shared" si="12"/>
        <v>0</v>
      </c>
      <c r="Q38" s="22"/>
      <c r="R38" s="22"/>
      <c r="S38" s="22">
        <f t="shared" si="6"/>
        <v>33.017870808789333</v>
      </c>
      <c r="T38" s="22">
        <f t="shared" si="7"/>
        <v>386.16546215147969</v>
      </c>
    </row>
    <row r="39" spans="1:20" x14ac:dyDescent="0.2">
      <c r="A39" s="5">
        <v>48</v>
      </c>
      <c r="B39" s="1">
        <f t="shared" si="13"/>
        <v>1.8539440983221533</v>
      </c>
      <c r="C39" s="5">
        <f t="shared" si="14"/>
        <v>53058.380930186235</v>
      </c>
      <c r="D39" s="5">
        <f t="shared" si="15"/>
        <v>50848.336455305252</v>
      </c>
      <c r="E39" s="5">
        <f t="shared" si="1"/>
        <v>41348.336455305252</v>
      </c>
      <c r="F39" s="5">
        <f t="shared" si="2"/>
        <v>14486.815498187691</v>
      </c>
      <c r="G39" s="5">
        <f t="shared" si="3"/>
        <v>36361.520957117566</v>
      </c>
      <c r="H39" s="22">
        <f t="shared" si="16"/>
        <v>23222.326899960375</v>
      </c>
      <c r="I39" s="5">
        <f t="shared" si="17"/>
        <v>58213.730569980282</v>
      </c>
      <c r="J39" s="25">
        <f t="shared" si="5"/>
        <v>0.18899955267998447</v>
      </c>
      <c r="L39" s="22">
        <f t="shared" si="18"/>
        <v>46391.381529137536</v>
      </c>
      <c r="M39" s="5">
        <f>scrimecost*Meta!O36</f>
        <v>11524.849</v>
      </c>
      <c r="N39" s="5">
        <f>L39-Grade16!L39</f>
        <v>278.42666166750132</v>
      </c>
      <c r="O39" s="5">
        <f>Grade16!M39-M39</f>
        <v>0</v>
      </c>
      <c r="P39" s="22">
        <f t="shared" si="12"/>
        <v>0</v>
      </c>
      <c r="Q39" s="22"/>
      <c r="R39" s="22"/>
      <c r="S39" s="22">
        <f t="shared" si="6"/>
        <v>33.843317579008115</v>
      </c>
      <c r="T39" s="22">
        <f t="shared" si="7"/>
        <v>436.73527254762394</v>
      </c>
    </row>
    <row r="40" spans="1:20" x14ac:dyDescent="0.2">
      <c r="A40" s="5">
        <v>49</v>
      </c>
      <c r="B40" s="1">
        <f t="shared" si="13"/>
        <v>1.9002927007802071</v>
      </c>
      <c r="C40" s="5">
        <f t="shared" si="14"/>
        <v>54384.840453440884</v>
      </c>
      <c r="D40" s="5">
        <f t="shared" si="15"/>
        <v>52096.534866687878</v>
      </c>
      <c r="E40" s="5">
        <f t="shared" si="1"/>
        <v>42596.534866687878</v>
      </c>
      <c r="F40" s="5">
        <f t="shared" si="2"/>
        <v>15019.172120642381</v>
      </c>
      <c r="G40" s="5">
        <f t="shared" si="3"/>
        <v>37077.362746045495</v>
      </c>
      <c r="H40" s="22">
        <f t="shared" si="16"/>
        <v>23802.885072459383</v>
      </c>
      <c r="I40" s="5">
        <f t="shared" si="17"/>
        <v>59475.877599229774</v>
      </c>
      <c r="J40" s="25">
        <f t="shared" si="5"/>
        <v>0.19162540595601871</v>
      </c>
      <c r="L40" s="22">
        <f t="shared" si="18"/>
        <v>47551.166067365972</v>
      </c>
      <c r="M40" s="5">
        <f>scrimecost*Meta!O37</f>
        <v>11524.849</v>
      </c>
      <c r="N40" s="5">
        <f>L40-Grade16!L40</f>
        <v>285.38732820918813</v>
      </c>
      <c r="O40" s="5">
        <f>Grade16!M40-M40</f>
        <v>0</v>
      </c>
      <c r="P40" s="22">
        <f t="shared" si="12"/>
        <v>0</v>
      </c>
      <c r="Q40" s="22"/>
      <c r="R40" s="22"/>
      <c r="S40" s="22">
        <f t="shared" si="6"/>
        <v>34.689400518483232</v>
      </c>
      <c r="T40" s="22">
        <f t="shared" si="7"/>
        <v>493.92738859808298</v>
      </c>
    </row>
    <row r="41" spans="1:20" x14ac:dyDescent="0.2">
      <c r="A41" s="5">
        <v>50</v>
      </c>
      <c r="B41" s="1">
        <f t="shared" si="13"/>
        <v>1.9478000182997122</v>
      </c>
      <c r="C41" s="5">
        <f t="shared" si="14"/>
        <v>55744.461464776898</v>
      </c>
      <c r="D41" s="5">
        <f t="shared" si="15"/>
        <v>53375.938238355062</v>
      </c>
      <c r="E41" s="5">
        <f t="shared" si="1"/>
        <v>43875.938238355062</v>
      </c>
      <c r="F41" s="5">
        <f t="shared" si="2"/>
        <v>15564.837658658435</v>
      </c>
      <c r="G41" s="5">
        <f t="shared" si="3"/>
        <v>37811.100579696627</v>
      </c>
      <c r="H41" s="22">
        <f t="shared" si="16"/>
        <v>24397.957199270866</v>
      </c>
      <c r="I41" s="5">
        <f t="shared" si="17"/>
        <v>60769.578304210518</v>
      </c>
      <c r="J41" s="25">
        <f t="shared" si="5"/>
        <v>0.19418721403019845</v>
      </c>
      <c r="L41" s="22">
        <f t="shared" si="18"/>
        <v>48739.945219050118</v>
      </c>
      <c r="M41" s="5">
        <f>scrimecost*Meta!O38</f>
        <v>7699.7380000000003</v>
      </c>
      <c r="N41" s="5">
        <f>L41-Grade16!L41</f>
        <v>292.52201141441037</v>
      </c>
      <c r="O41" s="5">
        <f>Grade16!M41-M41</f>
        <v>0</v>
      </c>
      <c r="P41" s="22">
        <f t="shared" si="12"/>
        <v>0</v>
      </c>
      <c r="Q41" s="22"/>
      <c r="R41" s="22"/>
      <c r="S41" s="22">
        <f t="shared" si="6"/>
        <v>35.5566355314444</v>
      </c>
      <c r="T41" s="22">
        <f t="shared" si="7"/>
        <v>558.60902597628615</v>
      </c>
    </row>
    <row r="42" spans="1:20" x14ac:dyDescent="0.2">
      <c r="A42" s="5">
        <v>51</v>
      </c>
      <c r="B42" s="1">
        <f t="shared" si="13"/>
        <v>1.9964950187572048</v>
      </c>
      <c r="C42" s="5">
        <f t="shared" si="14"/>
        <v>57138.073001396318</v>
      </c>
      <c r="D42" s="5">
        <f t="shared" si="15"/>
        <v>54687.326694313939</v>
      </c>
      <c r="E42" s="5">
        <f t="shared" si="1"/>
        <v>45187.326694313939</v>
      </c>
      <c r="F42" s="5">
        <f t="shared" si="2"/>
        <v>16124.144835124895</v>
      </c>
      <c r="G42" s="5">
        <f t="shared" si="3"/>
        <v>38563.181859189048</v>
      </c>
      <c r="H42" s="22">
        <f t="shared" si="16"/>
        <v>25007.906129252635</v>
      </c>
      <c r="I42" s="5">
        <f t="shared" si="17"/>
        <v>62095.621526815783</v>
      </c>
      <c r="J42" s="25">
        <f t="shared" si="5"/>
        <v>0.19668653898061772</v>
      </c>
      <c r="L42" s="22">
        <f t="shared" si="18"/>
        <v>49958.443849526368</v>
      </c>
      <c r="M42" s="5">
        <f>scrimecost*Meta!O39</f>
        <v>7699.7380000000003</v>
      </c>
      <c r="N42" s="5">
        <f>L42-Grade16!L42</f>
        <v>299.83506169976317</v>
      </c>
      <c r="O42" s="5">
        <f>Grade16!M42-M42</f>
        <v>0</v>
      </c>
      <c r="P42" s="22">
        <f t="shared" si="12"/>
        <v>0</v>
      </c>
      <c r="Q42" s="22"/>
      <c r="R42" s="22"/>
      <c r="S42" s="22">
        <f t="shared" si="6"/>
        <v>36.445551419729604</v>
      </c>
      <c r="T42" s="22">
        <f t="shared" si="7"/>
        <v>631.76096548897954</v>
      </c>
    </row>
    <row r="43" spans="1:20" x14ac:dyDescent="0.2">
      <c r="A43" s="5">
        <v>52</v>
      </c>
      <c r="B43" s="1">
        <f t="shared" si="13"/>
        <v>2.0464073942261352</v>
      </c>
      <c r="C43" s="5">
        <f t="shared" si="14"/>
        <v>58566.524826431239</v>
      </c>
      <c r="D43" s="5">
        <f t="shared" si="15"/>
        <v>56031.4998616718</v>
      </c>
      <c r="E43" s="5">
        <f t="shared" si="1"/>
        <v>46531.4998616718</v>
      </c>
      <c r="F43" s="5">
        <f t="shared" si="2"/>
        <v>16697.434691003022</v>
      </c>
      <c r="G43" s="5">
        <f t="shared" si="3"/>
        <v>39334.065170668779</v>
      </c>
      <c r="H43" s="22">
        <f t="shared" si="16"/>
        <v>25633.103782483951</v>
      </c>
      <c r="I43" s="5">
        <f t="shared" si="17"/>
        <v>63454.815829986183</v>
      </c>
      <c r="J43" s="25">
        <f t="shared" si="5"/>
        <v>0.19912490478590486</v>
      </c>
      <c r="L43" s="22">
        <f t="shared" si="18"/>
        <v>51207.404945764531</v>
      </c>
      <c r="M43" s="5">
        <f>scrimecost*Meta!O40</f>
        <v>7699.7380000000003</v>
      </c>
      <c r="N43" s="5">
        <f>L43-Grade16!L43</f>
        <v>307.33093824227399</v>
      </c>
      <c r="O43" s="5">
        <f>Grade16!M43-M43</f>
        <v>0</v>
      </c>
      <c r="P43" s="22">
        <f t="shared" si="12"/>
        <v>0</v>
      </c>
      <c r="Q43" s="22"/>
      <c r="R43" s="22"/>
      <c r="S43" s="22">
        <f t="shared" si="6"/>
        <v>37.356690205224886</v>
      </c>
      <c r="T43" s="22">
        <f t="shared" si="7"/>
        <v>714.49242485484433</v>
      </c>
    </row>
    <row r="44" spans="1:20" x14ac:dyDescent="0.2">
      <c r="A44" s="5">
        <v>53</v>
      </c>
      <c r="B44" s="1">
        <f t="shared" si="13"/>
        <v>2.097567579081788</v>
      </c>
      <c r="C44" s="5">
        <f t="shared" si="14"/>
        <v>60030.687947092003</v>
      </c>
      <c r="D44" s="5">
        <f t="shared" si="15"/>
        <v>57409.277358213578</v>
      </c>
      <c r="E44" s="5">
        <f t="shared" si="1"/>
        <v>47909.277358213578</v>
      </c>
      <c r="F44" s="5">
        <f t="shared" si="2"/>
        <v>17285.05679327809</v>
      </c>
      <c r="G44" s="5">
        <f t="shared" si="3"/>
        <v>40124.220564935487</v>
      </c>
      <c r="H44" s="22">
        <f t="shared" si="16"/>
        <v>26273.931377046047</v>
      </c>
      <c r="I44" s="5">
        <f t="shared" si="17"/>
        <v>64847.989990735819</v>
      </c>
      <c r="J44" s="25">
        <f t="shared" si="5"/>
        <v>0.20150379825447765</v>
      </c>
      <c r="L44" s="22">
        <f t="shared" si="18"/>
        <v>52487.590069408638</v>
      </c>
      <c r="M44" s="5">
        <f>scrimecost*Meta!O41</f>
        <v>7699.7380000000003</v>
      </c>
      <c r="N44" s="5">
        <f>L44-Grade16!L44</f>
        <v>315.01421169831156</v>
      </c>
      <c r="O44" s="5">
        <f>Grade16!M44-M44</f>
        <v>0</v>
      </c>
      <c r="P44" s="22">
        <f t="shared" si="12"/>
        <v>0</v>
      </c>
      <c r="Q44" s="22"/>
      <c r="R44" s="22"/>
      <c r="S44" s="22">
        <f t="shared" si="6"/>
        <v>38.290607460353165</v>
      </c>
      <c r="T44" s="22">
        <f t="shared" si="7"/>
        <v>808.05787799784764</v>
      </c>
    </row>
    <row r="45" spans="1:20" x14ac:dyDescent="0.2">
      <c r="A45" s="5">
        <v>54</v>
      </c>
      <c r="B45" s="1">
        <f t="shared" si="13"/>
        <v>2.1500067685588333</v>
      </c>
      <c r="C45" s="5">
        <f t="shared" si="14"/>
        <v>61531.455145769316</v>
      </c>
      <c r="D45" s="5">
        <f t="shared" si="15"/>
        <v>58821.499292168934</v>
      </c>
      <c r="E45" s="5">
        <f t="shared" si="1"/>
        <v>49321.499292168934</v>
      </c>
      <c r="F45" s="5">
        <f t="shared" si="2"/>
        <v>17887.36944811005</v>
      </c>
      <c r="G45" s="5">
        <f t="shared" si="3"/>
        <v>40934.129844058887</v>
      </c>
      <c r="H45" s="22">
        <f t="shared" si="16"/>
        <v>26930.779661472203</v>
      </c>
      <c r="I45" s="5">
        <f t="shared" si="17"/>
        <v>66275.99350550423</v>
      </c>
      <c r="J45" s="25">
        <f t="shared" si="5"/>
        <v>0.20382466993113404</v>
      </c>
      <c r="L45" s="22">
        <f t="shared" si="18"/>
        <v>53799.779821143864</v>
      </c>
      <c r="M45" s="5">
        <f>scrimecost*Meta!O42</f>
        <v>7699.7380000000003</v>
      </c>
      <c r="N45" s="5">
        <f>L45-Grade16!L45</f>
        <v>322.88956699078699</v>
      </c>
      <c r="O45" s="5">
        <f>Grade16!M45-M45</f>
        <v>0</v>
      </c>
      <c r="P45" s="22">
        <f t="shared" si="12"/>
        <v>0</v>
      </c>
      <c r="Q45" s="22"/>
      <c r="R45" s="22"/>
      <c r="S45" s="22">
        <f t="shared" ref="S45:S69" si="19">IF(A45&lt;startage,1,0)*(N45-Q45-R45)+IF(A45&gt;=startage,1,0)*completionprob*(N45*spart+O45+P45)</f>
        <v>39.247872646864138</v>
      </c>
      <c r="T45" s="22">
        <f t="shared" ref="T45:T69" si="20">S45/sreturn^(A45-startage+1)</f>
        <v>913.87607689068807</v>
      </c>
    </row>
    <row r="46" spans="1:20" x14ac:dyDescent="0.2">
      <c r="A46" s="5">
        <v>55</v>
      </c>
      <c r="B46" s="1">
        <f t="shared" si="13"/>
        <v>2.2037569377728037</v>
      </c>
      <c r="C46" s="5">
        <f t="shared" si="14"/>
        <v>63069.741524413541</v>
      </c>
      <c r="D46" s="5">
        <f t="shared" si="15"/>
        <v>60269.026774473146</v>
      </c>
      <c r="E46" s="5">
        <f t="shared" si="1"/>
        <v>50769.026774473146</v>
      </c>
      <c r="F46" s="5">
        <f t="shared" si="2"/>
        <v>18504.739919312797</v>
      </c>
      <c r="G46" s="5">
        <f t="shared" si="3"/>
        <v>41764.286855160346</v>
      </c>
      <c r="H46" s="22">
        <f t="shared" si="16"/>
        <v>27604.049153009004</v>
      </c>
      <c r="I46" s="5">
        <f t="shared" si="17"/>
        <v>67739.697108141816</v>
      </c>
      <c r="J46" s="25">
        <f t="shared" si="5"/>
        <v>0.2060889349815305</v>
      </c>
      <c r="L46" s="22">
        <f t="shared" si="18"/>
        <v>55144.774316672454</v>
      </c>
      <c r="M46" s="5">
        <f>scrimecost*Meta!O43</f>
        <v>4270.7550000000001</v>
      </c>
      <c r="N46" s="5">
        <f>L46-Grade16!L46</f>
        <v>330.96180616555648</v>
      </c>
      <c r="O46" s="5">
        <f>Grade16!M46-M46</f>
        <v>0</v>
      </c>
      <c r="P46" s="22">
        <f t="shared" si="12"/>
        <v>0</v>
      </c>
      <c r="Q46" s="22"/>
      <c r="R46" s="22"/>
      <c r="S46" s="22">
        <f t="shared" si="19"/>
        <v>40.229069463035714</v>
      </c>
      <c r="T46" s="22">
        <f t="shared" si="20"/>
        <v>1033.5515643785275</v>
      </c>
    </row>
    <row r="47" spans="1:20" x14ac:dyDescent="0.2">
      <c r="A47" s="5">
        <v>56</v>
      </c>
      <c r="B47" s="1">
        <f t="shared" si="13"/>
        <v>2.2588508612171236</v>
      </c>
      <c r="C47" s="5">
        <f t="shared" si="14"/>
        <v>64646.485062523869</v>
      </c>
      <c r="D47" s="5">
        <f t="shared" si="15"/>
        <v>61752.742443834963</v>
      </c>
      <c r="E47" s="5">
        <f t="shared" si="1"/>
        <v>52252.742443834963</v>
      </c>
      <c r="F47" s="5">
        <f t="shared" si="2"/>
        <v>19137.544652295612</v>
      </c>
      <c r="G47" s="5">
        <f t="shared" si="3"/>
        <v>42615.197791539351</v>
      </c>
      <c r="H47" s="22">
        <f t="shared" si="16"/>
        <v>28294.150381834228</v>
      </c>
      <c r="I47" s="5">
        <f t="shared" si="17"/>
        <v>69239.993300845366</v>
      </c>
      <c r="J47" s="25">
        <f t="shared" si="5"/>
        <v>0.20829797405508799</v>
      </c>
      <c r="L47" s="22">
        <f t="shared" si="18"/>
        <v>56523.393674589257</v>
      </c>
      <c r="M47" s="5">
        <f>scrimecost*Meta!O44</f>
        <v>4270.7550000000001</v>
      </c>
      <c r="N47" s="5">
        <f>L47-Grade16!L47</f>
        <v>339.23585131968866</v>
      </c>
      <c r="O47" s="5">
        <f>Grade16!M47-M47</f>
        <v>0</v>
      </c>
      <c r="P47" s="22">
        <f t="shared" si="12"/>
        <v>0</v>
      </c>
      <c r="Q47" s="22"/>
      <c r="R47" s="22"/>
      <c r="S47" s="22">
        <f t="shared" si="19"/>
        <v>41.234796199610791</v>
      </c>
      <c r="T47" s="22">
        <f t="shared" si="20"/>
        <v>1168.8990041885686</v>
      </c>
    </row>
    <row r="48" spans="1:20" x14ac:dyDescent="0.2">
      <c r="A48" s="5">
        <v>57</v>
      </c>
      <c r="B48" s="1">
        <f t="shared" si="13"/>
        <v>2.3153221327475517</v>
      </c>
      <c r="C48" s="5">
        <f t="shared" si="14"/>
        <v>66262.647189086973</v>
      </c>
      <c r="D48" s="5">
        <f t="shared" si="15"/>
        <v>63273.551004930843</v>
      </c>
      <c r="E48" s="5">
        <f t="shared" si="1"/>
        <v>53773.551004930843</v>
      </c>
      <c r="F48" s="5">
        <f t="shared" si="2"/>
        <v>19786.169503603007</v>
      </c>
      <c r="G48" s="5">
        <f t="shared" si="3"/>
        <v>43487.381501327836</v>
      </c>
      <c r="H48" s="22">
        <f t="shared" si="16"/>
        <v>29001.504141380083</v>
      </c>
      <c r="I48" s="5">
        <f t="shared" si="17"/>
        <v>70777.79689836649</v>
      </c>
      <c r="J48" s="25">
        <f t="shared" si="5"/>
        <v>0.21045313412685152</v>
      </c>
      <c r="L48" s="22">
        <f t="shared" si="18"/>
        <v>57936.478516453994</v>
      </c>
      <c r="M48" s="5">
        <f>scrimecost*Meta!O45</f>
        <v>4270.7550000000001</v>
      </c>
      <c r="N48" s="5">
        <f>L48-Grade16!L48</f>
        <v>347.71674760268797</v>
      </c>
      <c r="O48" s="5">
        <f>Grade16!M48-M48</f>
        <v>0</v>
      </c>
      <c r="P48" s="22">
        <f t="shared" si="12"/>
        <v>0</v>
      </c>
      <c r="Q48" s="22"/>
      <c r="R48" s="22"/>
      <c r="S48" s="22">
        <f t="shared" si="19"/>
        <v>42.26566610460192</v>
      </c>
      <c r="T48" s="22">
        <f t="shared" si="20"/>
        <v>1321.9706970446612</v>
      </c>
    </row>
    <row r="49" spans="1:20" x14ac:dyDescent="0.2">
      <c r="A49" s="5">
        <v>58</v>
      </c>
      <c r="B49" s="1">
        <f t="shared" si="13"/>
        <v>2.3732051860662402</v>
      </c>
      <c r="C49" s="5">
        <f t="shared" si="14"/>
        <v>67919.213368814133</v>
      </c>
      <c r="D49" s="5">
        <f t="shared" si="15"/>
        <v>64832.379780054107</v>
      </c>
      <c r="E49" s="5">
        <f t="shared" si="1"/>
        <v>55332.379780054107</v>
      </c>
      <c r="F49" s="5">
        <f t="shared" si="2"/>
        <v>20451.009976193076</v>
      </c>
      <c r="G49" s="5">
        <f t="shared" si="3"/>
        <v>44381.369803861031</v>
      </c>
      <c r="H49" s="22">
        <f t="shared" si="16"/>
        <v>29726.541744914583</v>
      </c>
      <c r="I49" s="5">
        <f t="shared" si="17"/>
        <v>72354.045585825661</v>
      </c>
      <c r="J49" s="25">
        <f t="shared" si="5"/>
        <v>0.21255572931881578</v>
      </c>
      <c r="L49" s="22">
        <f t="shared" si="18"/>
        <v>59384.890479365327</v>
      </c>
      <c r="M49" s="5">
        <f>scrimecost*Meta!O46</f>
        <v>4270.7550000000001</v>
      </c>
      <c r="N49" s="5">
        <f>L49-Grade16!L49</f>
        <v>356.40966629274044</v>
      </c>
      <c r="O49" s="5">
        <f>Grade16!M49-M49</f>
        <v>0</v>
      </c>
      <c r="P49" s="22">
        <f t="shared" si="12"/>
        <v>0</v>
      </c>
      <c r="Q49" s="22"/>
      <c r="R49" s="22"/>
      <c r="S49" s="22">
        <f t="shared" si="19"/>
        <v>43.322307757215185</v>
      </c>
      <c r="T49" s="22">
        <f t="shared" si="20"/>
        <v>1495.0877001198246</v>
      </c>
    </row>
    <row r="50" spans="1:20" x14ac:dyDescent="0.2">
      <c r="A50" s="5">
        <v>59</v>
      </c>
      <c r="B50" s="1">
        <f t="shared" si="13"/>
        <v>2.4325353157178964</v>
      </c>
      <c r="C50" s="5">
        <f t="shared" si="14"/>
        <v>69617.1937030345</v>
      </c>
      <c r="D50" s="5">
        <f t="shared" si="15"/>
        <v>66430.17927455547</v>
      </c>
      <c r="E50" s="5">
        <f t="shared" si="1"/>
        <v>56930.17927455547</v>
      </c>
      <c r="F50" s="5">
        <f t="shared" si="2"/>
        <v>21132.47146059791</v>
      </c>
      <c r="G50" s="5">
        <f t="shared" si="3"/>
        <v>45297.707813957561</v>
      </c>
      <c r="H50" s="22">
        <f t="shared" si="16"/>
        <v>30469.705288537447</v>
      </c>
      <c r="I50" s="5">
        <f t="shared" si="17"/>
        <v>73969.700490471296</v>
      </c>
      <c r="J50" s="25">
        <f t="shared" si="5"/>
        <v>0.21460704170122005</v>
      </c>
      <c r="L50" s="22">
        <f t="shared" si="18"/>
        <v>60869.51274134947</v>
      </c>
      <c r="M50" s="5">
        <f>scrimecost*Meta!O47</f>
        <v>4270.7550000000001</v>
      </c>
      <c r="N50" s="5">
        <f>L50-Grade16!L50</f>
        <v>365.31990795007732</v>
      </c>
      <c r="O50" s="5">
        <f>Grade16!M50-M50</f>
        <v>0</v>
      </c>
      <c r="P50" s="22">
        <f t="shared" si="12"/>
        <v>0</v>
      </c>
      <c r="Q50" s="22"/>
      <c r="R50" s="22"/>
      <c r="S50" s="22">
        <f t="shared" si="19"/>
        <v>44.405365451147794</v>
      </c>
      <c r="T50" s="22">
        <f t="shared" si="20"/>
        <v>1690.875021698211</v>
      </c>
    </row>
    <row r="51" spans="1:20" x14ac:dyDescent="0.2">
      <c r="A51" s="5">
        <v>60</v>
      </c>
      <c r="B51" s="1">
        <f t="shared" si="13"/>
        <v>2.4933486986108435</v>
      </c>
      <c r="C51" s="5">
        <f t="shared" si="14"/>
        <v>71357.623545610346</v>
      </c>
      <c r="D51" s="5">
        <f t="shared" si="15"/>
        <v>68067.923756419332</v>
      </c>
      <c r="E51" s="5">
        <f t="shared" si="1"/>
        <v>58567.923756419332</v>
      </c>
      <c r="F51" s="5">
        <f t="shared" si="2"/>
        <v>21830.969482112843</v>
      </c>
      <c r="G51" s="5">
        <f t="shared" si="3"/>
        <v>46236.954274306489</v>
      </c>
      <c r="H51" s="22">
        <f t="shared" si="16"/>
        <v>31231.447920750878</v>
      </c>
      <c r="I51" s="5">
        <f t="shared" si="17"/>
        <v>75625.746767733071</v>
      </c>
      <c r="J51" s="25">
        <f t="shared" si="5"/>
        <v>0.21660832207429725</v>
      </c>
      <c r="L51" s="22">
        <f t="shared" si="18"/>
        <v>62391.250559883199</v>
      </c>
      <c r="M51" s="5">
        <f>scrimecost*Meta!O48</f>
        <v>2252.9780000000001</v>
      </c>
      <c r="N51" s="5">
        <f>L51-Grade16!L51</f>
        <v>374.4529056488318</v>
      </c>
      <c r="O51" s="5">
        <f>Grade16!M51-M51</f>
        <v>0</v>
      </c>
      <c r="P51" s="22">
        <f t="shared" si="12"/>
        <v>0</v>
      </c>
      <c r="Q51" s="22"/>
      <c r="R51" s="22"/>
      <c r="S51" s="22">
        <f t="shared" si="19"/>
        <v>45.515499587426802</v>
      </c>
      <c r="T51" s="22">
        <f t="shared" si="20"/>
        <v>1912.3014247081699</v>
      </c>
    </row>
    <row r="52" spans="1:20" x14ac:dyDescent="0.2">
      <c r="A52" s="5">
        <v>61</v>
      </c>
      <c r="B52" s="1">
        <f t="shared" si="13"/>
        <v>2.555682416076114</v>
      </c>
      <c r="C52" s="5">
        <f t="shared" si="14"/>
        <v>73141.564134250584</v>
      </c>
      <c r="D52" s="5">
        <f t="shared" si="15"/>
        <v>69746.611850329791</v>
      </c>
      <c r="E52" s="5">
        <f t="shared" si="1"/>
        <v>60246.611850329791</v>
      </c>
      <c r="F52" s="5">
        <f t="shared" si="2"/>
        <v>22546.929954165655</v>
      </c>
      <c r="G52" s="5">
        <f t="shared" si="3"/>
        <v>47199.68189616414</v>
      </c>
      <c r="H52" s="22">
        <f t="shared" si="16"/>
        <v>32012.234118769644</v>
      </c>
      <c r="I52" s="5">
        <f t="shared" si="17"/>
        <v>77323.194201926381</v>
      </c>
      <c r="J52" s="25">
        <f t="shared" si="5"/>
        <v>0.21856079073095802</v>
      </c>
      <c r="L52" s="22">
        <f t="shared" si="18"/>
        <v>63951.031823880265</v>
      </c>
      <c r="M52" s="5">
        <f>scrimecost*Meta!O49</f>
        <v>2252.9780000000001</v>
      </c>
      <c r="N52" s="5">
        <f>L52-Grade16!L52</f>
        <v>383.81422829003714</v>
      </c>
      <c r="O52" s="5">
        <f>Grade16!M52-M52</f>
        <v>0</v>
      </c>
      <c r="P52" s="22">
        <f t="shared" si="12"/>
        <v>0</v>
      </c>
      <c r="Q52" s="22"/>
      <c r="R52" s="22"/>
      <c r="S52" s="22">
        <f t="shared" si="19"/>
        <v>46.653387077110587</v>
      </c>
      <c r="T52" s="22">
        <f t="shared" si="20"/>
        <v>2162.7244426781826</v>
      </c>
    </row>
    <row r="53" spans="1:20" x14ac:dyDescent="0.2">
      <c r="A53" s="5">
        <v>62</v>
      </c>
      <c r="B53" s="1">
        <f t="shared" si="13"/>
        <v>2.6195744764780171</v>
      </c>
      <c r="C53" s="5">
        <f t="shared" si="14"/>
        <v>74970.103237606862</v>
      </c>
      <c r="D53" s="5">
        <f t="shared" si="15"/>
        <v>71467.267146588056</v>
      </c>
      <c r="E53" s="5">
        <f t="shared" si="1"/>
        <v>61967.267146588056</v>
      </c>
      <c r="F53" s="5">
        <f t="shared" si="2"/>
        <v>23280.789438019805</v>
      </c>
      <c r="G53" s="5">
        <f t="shared" si="3"/>
        <v>48186.477708568251</v>
      </c>
      <c r="H53" s="22">
        <f t="shared" si="16"/>
        <v>32812.539971738886</v>
      </c>
      <c r="I53" s="5">
        <f t="shared" si="17"/>
        <v>79063.077821974541</v>
      </c>
      <c r="J53" s="25">
        <f t="shared" si="5"/>
        <v>0.22046563820087103</v>
      </c>
      <c r="L53" s="22">
        <f t="shared" si="18"/>
        <v>65549.807619477273</v>
      </c>
      <c r="M53" s="5">
        <f>scrimecost*Meta!O50</f>
        <v>2252.9780000000001</v>
      </c>
      <c r="N53" s="5">
        <f>L53-Grade16!L53</f>
        <v>393.40958399729425</v>
      </c>
      <c r="O53" s="5">
        <f>Grade16!M53-M53</f>
        <v>0</v>
      </c>
      <c r="P53" s="22">
        <f t="shared" si="12"/>
        <v>0</v>
      </c>
      <c r="Q53" s="22"/>
      <c r="R53" s="22"/>
      <c r="S53" s="22">
        <f t="shared" si="19"/>
        <v>47.819721754039108</v>
      </c>
      <c r="T53" s="22">
        <f t="shared" si="20"/>
        <v>2445.9412906998791</v>
      </c>
    </row>
    <row r="54" spans="1:20" x14ac:dyDescent="0.2">
      <c r="A54" s="5">
        <v>63</v>
      </c>
      <c r="B54" s="1">
        <f t="shared" si="13"/>
        <v>2.6850638383899672</v>
      </c>
      <c r="C54" s="5">
        <f t="shared" si="14"/>
        <v>76844.355818547032</v>
      </c>
      <c r="D54" s="5">
        <f t="shared" si="15"/>
        <v>73230.938825252757</v>
      </c>
      <c r="E54" s="5">
        <f t="shared" si="1"/>
        <v>63730.938825252757</v>
      </c>
      <c r="F54" s="5">
        <f t="shared" si="2"/>
        <v>24032.995408970299</v>
      </c>
      <c r="G54" s="5">
        <f t="shared" si="3"/>
        <v>49197.943416282462</v>
      </c>
      <c r="H54" s="22">
        <f t="shared" si="16"/>
        <v>33632.853471032358</v>
      </c>
      <c r="I54" s="5">
        <f t="shared" si="17"/>
        <v>80846.458532523917</v>
      </c>
      <c r="J54" s="25">
        <f t="shared" si="5"/>
        <v>0.22232402597639583</v>
      </c>
      <c r="L54" s="22">
        <f t="shared" si="18"/>
        <v>67188.552809964196</v>
      </c>
      <c r="M54" s="5">
        <f>scrimecost*Meta!O51</f>
        <v>2252.9780000000001</v>
      </c>
      <c r="N54" s="5">
        <f>L54-Grade16!L54</f>
        <v>403.24482359722606</v>
      </c>
      <c r="O54" s="5">
        <f>Grade16!M54-M54</f>
        <v>0</v>
      </c>
      <c r="P54" s="22">
        <f t="shared" si="12"/>
        <v>0</v>
      </c>
      <c r="Q54" s="22"/>
      <c r="R54" s="22"/>
      <c r="S54" s="22">
        <f t="shared" si="19"/>
        <v>49.015214797890017</v>
      </c>
      <c r="T54" s="22">
        <f t="shared" si="20"/>
        <v>2766.2464433712021</v>
      </c>
    </row>
    <row r="55" spans="1:20" x14ac:dyDescent="0.2">
      <c r="A55" s="5">
        <v>64</v>
      </c>
      <c r="B55" s="1">
        <f t="shared" si="13"/>
        <v>2.7521904343497163</v>
      </c>
      <c r="C55" s="5">
        <f t="shared" si="14"/>
        <v>78765.464714010697</v>
      </c>
      <c r="D55" s="5">
        <f t="shared" si="15"/>
        <v>75038.702295884068</v>
      </c>
      <c r="E55" s="5">
        <f t="shared" si="1"/>
        <v>65538.702295884068</v>
      </c>
      <c r="F55" s="5">
        <f t="shared" si="2"/>
        <v>24804.006529194554</v>
      </c>
      <c r="G55" s="5">
        <f t="shared" si="3"/>
        <v>50234.695766689518</v>
      </c>
      <c r="H55" s="22">
        <f t="shared" si="16"/>
        <v>34473.674807808165</v>
      </c>
      <c r="I55" s="5">
        <f t="shared" si="17"/>
        <v>82674.423760837002</v>
      </c>
      <c r="J55" s="25">
        <f t="shared" si="5"/>
        <v>0.22413708722081033</v>
      </c>
      <c r="L55" s="22">
        <f t="shared" si="18"/>
        <v>68868.2666302133</v>
      </c>
      <c r="M55" s="5">
        <f>scrimecost*Meta!O52</f>
        <v>2252.9780000000001</v>
      </c>
      <c r="N55" s="5">
        <f>L55-Grade16!L55</f>
        <v>413.32594418714871</v>
      </c>
      <c r="O55" s="5">
        <f>Grade16!M55-M55</f>
        <v>0</v>
      </c>
      <c r="P55" s="22">
        <f t="shared" si="12"/>
        <v>0</v>
      </c>
      <c r="Q55" s="22"/>
      <c r="R55" s="22"/>
      <c r="S55" s="22">
        <f t="shared" si="19"/>
        <v>50.240595167836297</v>
      </c>
      <c r="T55" s="22">
        <f t="shared" si="20"/>
        <v>3128.4967527876015</v>
      </c>
    </row>
    <row r="56" spans="1:20" x14ac:dyDescent="0.2">
      <c r="A56" s="5">
        <v>65</v>
      </c>
      <c r="B56" s="1">
        <f t="shared" si="13"/>
        <v>2.8209951952084591</v>
      </c>
      <c r="C56" s="5">
        <f t="shared" si="14"/>
        <v>80734.601331860962</v>
      </c>
      <c r="D56" s="5">
        <f t="shared" si="15"/>
        <v>76891.659853281162</v>
      </c>
      <c r="E56" s="5">
        <f t="shared" si="1"/>
        <v>67391.659853281162</v>
      </c>
      <c r="F56" s="5">
        <f t="shared" si="2"/>
        <v>25594.292927424416</v>
      </c>
      <c r="G56" s="5">
        <f t="shared" si="3"/>
        <v>51297.366925856746</v>
      </c>
      <c r="H56" s="22">
        <f t="shared" si="16"/>
        <v>35335.516678003369</v>
      </c>
      <c r="I56" s="5">
        <f t="shared" si="17"/>
        <v>84548.088119857915</v>
      </c>
      <c r="J56" s="25">
        <f t="shared" si="5"/>
        <v>0.22590592745926349</v>
      </c>
      <c r="L56" s="22">
        <f t="shared" si="18"/>
        <v>70589.973295968623</v>
      </c>
      <c r="M56" s="5">
        <f>scrimecost*Meta!O53</f>
        <v>680.84500000000003</v>
      </c>
      <c r="N56" s="5">
        <f>L56-Grade16!L56</f>
        <v>423.65909279181506</v>
      </c>
      <c r="O56" s="5">
        <f>Grade16!M56-M56</f>
        <v>0</v>
      </c>
      <c r="P56" s="22">
        <f t="shared" si="12"/>
        <v>0</v>
      </c>
      <c r="Q56" s="22"/>
      <c r="R56" s="22"/>
      <c r="S56" s="22">
        <f t="shared" si="19"/>
        <v>51.496610047030693</v>
      </c>
      <c r="T56" s="22">
        <f t="shared" si="20"/>
        <v>3538.1850939768524</v>
      </c>
    </row>
    <row r="57" spans="1:20" x14ac:dyDescent="0.2">
      <c r="A57" s="5">
        <v>66</v>
      </c>
      <c r="C57" s="5"/>
      <c r="H57" s="21"/>
      <c r="I57" s="5"/>
      <c r="M57" s="5">
        <f>scrimecost*Meta!O54</f>
        <v>680.84500000000003</v>
      </c>
      <c r="N57" s="5">
        <f>L57-Grade16!L57</f>
        <v>0</v>
      </c>
      <c r="O57" s="5">
        <f>Grade16!M57-M57</f>
        <v>0</v>
      </c>
      <c r="Q57" s="22"/>
      <c r="R57" s="22"/>
      <c r="S57" s="22">
        <f t="shared" si="19"/>
        <v>0</v>
      </c>
      <c r="T57" s="22">
        <f t="shared" si="20"/>
        <v>0</v>
      </c>
    </row>
    <row r="58" spans="1:20" x14ac:dyDescent="0.2">
      <c r="A58" s="5">
        <v>67</v>
      </c>
      <c r="C58" s="5"/>
      <c r="H58" s="21"/>
      <c r="I58" s="5"/>
      <c r="M58" s="5">
        <f>scrimecost*Meta!O55</f>
        <v>680.84500000000003</v>
      </c>
      <c r="N58" s="5">
        <f>L58-Grade16!L58</f>
        <v>0</v>
      </c>
      <c r="O58" s="5">
        <f>Grade16!M58-M58</f>
        <v>0</v>
      </c>
      <c r="Q58" s="22"/>
      <c r="R58" s="22"/>
      <c r="S58" s="22">
        <f t="shared" si="19"/>
        <v>0</v>
      </c>
      <c r="T58" s="22">
        <f t="shared" si="20"/>
        <v>0</v>
      </c>
    </row>
    <row r="59" spans="1:20" x14ac:dyDescent="0.2">
      <c r="A59" s="5">
        <v>68</v>
      </c>
      <c r="H59" s="21"/>
      <c r="I59" s="5"/>
      <c r="M59" s="5">
        <f>scrimecost*Meta!O56</f>
        <v>680.84500000000003</v>
      </c>
      <c r="N59" s="5">
        <f>L59-Grade16!L59</f>
        <v>0</v>
      </c>
      <c r="O59" s="5">
        <f>Grade16!M59-M59</f>
        <v>0</v>
      </c>
      <c r="Q59" s="22"/>
      <c r="R59" s="22"/>
      <c r="S59" s="22">
        <f t="shared" si="19"/>
        <v>0</v>
      </c>
      <c r="T59" s="22">
        <f t="shared" si="20"/>
        <v>0</v>
      </c>
    </row>
    <row r="60" spans="1:20" x14ac:dyDescent="0.2">
      <c r="A60" s="5">
        <v>69</v>
      </c>
      <c r="H60" s="21"/>
      <c r="I60" s="5"/>
      <c r="M60" s="5">
        <f>scrimecost*Meta!O57</f>
        <v>680.84500000000003</v>
      </c>
      <c r="N60" s="5">
        <f>L60-Grade16!L60</f>
        <v>0</v>
      </c>
      <c r="O60" s="5">
        <f>Grade16!M60-M60</f>
        <v>0</v>
      </c>
      <c r="Q60" s="22"/>
      <c r="R60" s="22"/>
      <c r="S60" s="22">
        <f t="shared" si="19"/>
        <v>0</v>
      </c>
      <c r="T60" s="22">
        <f t="shared" si="20"/>
        <v>0</v>
      </c>
    </row>
    <row r="61" spans="1:20" x14ac:dyDescent="0.2">
      <c r="A61" s="5">
        <v>70</v>
      </c>
      <c r="H61" s="21"/>
      <c r="I61" s="5"/>
      <c r="M61" s="5">
        <f>scrimecost*Meta!O58</f>
        <v>680.84500000000003</v>
      </c>
      <c r="N61" s="5">
        <f>L61-Grade16!L61</f>
        <v>0</v>
      </c>
      <c r="O61" s="5">
        <f>Grade16!M61-M61</f>
        <v>0</v>
      </c>
      <c r="Q61" s="22"/>
      <c r="R61" s="22"/>
      <c r="S61" s="22">
        <f t="shared" si="19"/>
        <v>0</v>
      </c>
      <c r="T61" s="22">
        <f t="shared" si="20"/>
        <v>0</v>
      </c>
    </row>
    <row r="62" spans="1:20" x14ac:dyDescent="0.2">
      <c r="A62" s="5">
        <v>71</v>
      </c>
      <c r="H62" s="21"/>
      <c r="I62" s="5"/>
      <c r="M62" s="5">
        <f>scrimecost*Meta!O59</f>
        <v>680.84500000000003</v>
      </c>
      <c r="N62" s="5">
        <f>L62-Grade16!L62</f>
        <v>0</v>
      </c>
      <c r="O62" s="5">
        <f>Grade16!M62-M62</f>
        <v>0</v>
      </c>
      <c r="Q62" s="22"/>
      <c r="R62" s="22"/>
      <c r="S62" s="22">
        <f t="shared" si="19"/>
        <v>0</v>
      </c>
      <c r="T62" s="22">
        <f t="shared" si="20"/>
        <v>0</v>
      </c>
    </row>
    <row r="63" spans="1:20" x14ac:dyDescent="0.2">
      <c r="A63" s="5">
        <v>72</v>
      </c>
      <c r="H63" s="21"/>
      <c r="M63" s="5">
        <f>scrimecost*Meta!O60</f>
        <v>680.84500000000003</v>
      </c>
      <c r="N63" s="5">
        <f>L63-Grade16!L63</f>
        <v>0</v>
      </c>
      <c r="O63" s="5">
        <f>Grade16!M63-M63</f>
        <v>0</v>
      </c>
      <c r="Q63" s="22"/>
      <c r="R63" s="22"/>
      <c r="S63" s="22">
        <f t="shared" si="19"/>
        <v>0</v>
      </c>
      <c r="T63" s="22">
        <f t="shared" si="20"/>
        <v>0</v>
      </c>
    </row>
    <row r="64" spans="1:20" x14ac:dyDescent="0.2">
      <c r="A64" s="5">
        <v>73</v>
      </c>
      <c r="H64" s="21"/>
      <c r="M64" s="5">
        <f>scrimecost*Meta!O61</f>
        <v>680.84500000000003</v>
      </c>
      <c r="N64" s="5">
        <f>L64-Grade16!L64</f>
        <v>0</v>
      </c>
      <c r="O64" s="5">
        <f>Grade16!M64-M64</f>
        <v>0</v>
      </c>
      <c r="Q64" s="22"/>
      <c r="R64" s="22"/>
      <c r="S64" s="22">
        <f t="shared" si="19"/>
        <v>0</v>
      </c>
      <c r="T64" s="22">
        <f t="shared" si="20"/>
        <v>0</v>
      </c>
    </row>
    <row r="65" spans="1:20" x14ac:dyDescent="0.2">
      <c r="A65" s="5">
        <v>74</v>
      </c>
      <c r="H65" s="21"/>
      <c r="M65" s="5">
        <f>scrimecost*Meta!O62</f>
        <v>680.84500000000003</v>
      </c>
      <c r="N65" s="5">
        <f>L65-Grade16!L65</f>
        <v>0</v>
      </c>
      <c r="O65" s="5">
        <f>Grade16!M65-M65</f>
        <v>0</v>
      </c>
      <c r="Q65" s="22"/>
      <c r="R65" s="22"/>
      <c r="S65" s="22">
        <f t="shared" si="19"/>
        <v>0</v>
      </c>
      <c r="T65" s="22">
        <f t="shared" si="20"/>
        <v>0</v>
      </c>
    </row>
    <row r="66" spans="1:20" x14ac:dyDescent="0.2">
      <c r="A66" s="5">
        <v>75</v>
      </c>
      <c r="H66" s="21"/>
      <c r="M66" s="5">
        <f>scrimecost*Meta!O63</f>
        <v>680.84500000000003</v>
      </c>
      <c r="N66" s="5">
        <f>L66-Grade16!L66</f>
        <v>0</v>
      </c>
      <c r="O66" s="5">
        <f>Grade16!M66-M66</f>
        <v>0</v>
      </c>
      <c r="Q66" s="22"/>
      <c r="R66" s="22"/>
      <c r="S66" s="22">
        <f t="shared" si="19"/>
        <v>0</v>
      </c>
      <c r="T66" s="22">
        <f t="shared" si="20"/>
        <v>0</v>
      </c>
    </row>
    <row r="67" spans="1:20" x14ac:dyDescent="0.2">
      <c r="A67" s="5">
        <v>76</v>
      </c>
      <c r="H67" s="21"/>
      <c r="M67" s="5">
        <f>scrimecost*Meta!O64</f>
        <v>680.84500000000003</v>
      </c>
      <c r="N67" s="5">
        <f>L67-Grade16!L67</f>
        <v>0</v>
      </c>
      <c r="O67" s="5">
        <f>Grade16!M67-M67</f>
        <v>0</v>
      </c>
      <c r="Q67" s="22"/>
      <c r="R67" s="22"/>
      <c r="S67" s="22">
        <f t="shared" si="19"/>
        <v>0</v>
      </c>
      <c r="T67" s="22">
        <f t="shared" si="20"/>
        <v>0</v>
      </c>
    </row>
    <row r="68" spans="1:20" x14ac:dyDescent="0.2">
      <c r="A68" s="5">
        <v>77</v>
      </c>
      <c r="H68" s="21"/>
      <c r="M68" s="5">
        <f>scrimecost*Meta!O65</f>
        <v>680.84500000000003</v>
      </c>
      <c r="N68" s="5">
        <f>L68-Grade16!L68</f>
        <v>0</v>
      </c>
      <c r="O68" s="5">
        <f>Grade16!M68-M68</f>
        <v>0</v>
      </c>
      <c r="Q68" s="22"/>
      <c r="R68" s="22"/>
      <c r="S68" s="22">
        <f t="shared" si="19"/>
        <v>0</v>
      </c>
      <c r="T68" s="22">
        <f t="shared" si="20"/>
        <v>0</v>
      </c>
    </row>
    <row r="69" spans="1:20" x14ac:dyDescent="0.2">
      <c r="A69" s="5">
        <v>78</v>
      </c>
      <c r="H69" s="21"/>
      <c r="M69" s="5">
        <f>scrimecost*Meta!O66</f>
        <v>680.84500000000003</v>
      </c>
      <c r="N69" s="5">
        <f>L69-Grade16!L69</f>
        <v>0</v>
      </c>
      <c r="O69" s="5">
        <f>Grade16!M69-M69</f>
        <v>0</v>
      </c>
      <c r="Q69" s="22"/>
      <c r="R69" s="22"/>
      <c r="S69" s="22">
        <f t="shared" si="19"/>
        <v>0</v>
      </c>
      <c r="T69" s="22">
        <f t="shared" si="20"/>
        <v>0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1.2278178473934531E-11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S14" sqref="S14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Meta!A12+6</f>
        <v>24</v>
      </c>
      <c r="C2" s="7">
        <f>Meta!B12</f>
        <v>57403</v>
      </c>
      <c r="D2" s="7">
        <f>Meta!C12</f>
        <v>24508</v>
      </c>
      <c r="E2" s="1">
        <f>Meta!D12</f>
        <v>5.2999999999999999E-2</v>
      </c>
      <c r="F2" s="1">
        <f>Meta!F12</f>
        <v>0.66700000000000004</v>
      </c>
      <c r="G2" s="1">
        <f>Meta!I12</f>
        <v>1.7342811382937739</v>
      </c>
      <c r="H2" s="1">
        <f>Meta!E12</f>
        <v>0.214</v>
      </c>
      <c r="I2" s="13"/>
      <c r="J2" s="1">
        <f>Meta!X11</f>
        <v>0.56799999999999995</v>
      </c>
      <c r="K2" s="1">
        <f>Meta!D11</f>
        <v>5.8999999999999997E-2</v>
      </c>
      <c r="L2" s="28"/>
      <c r="N2" s="22">
        <f>Meta!T12</f>
        <v>33836</v>
      </c>
      <c r="O2" s="22">
        <f>Meta!U12</f>
        <v>15283</v>
      </c>
      <c r="P2" s="1">
        <f>Meta!V12</f>
        <v>8.8999999999999996E-2</v>
      </c>
      <c r="Q2" s="1">
        <f>Meta!X12</f>
        <v>0.56799999999999995</v>
      </c>
      <c r="R2" s="22">
        <f>Meta!W12</f>
        <v>12379</v>
      </c>
      <c r="T2" s="12">
        <f>IRR(S5:S69)+1</f>
        <v>0.90299845891024655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5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5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5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5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5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5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C12" s="5"/>
      <c r="D12" s="5"/>
      <c r="E12" s="5"/>
      <c r="F12" s="5"/>
      <c r="G12" s="5"/>
      <c r="H12" s="22"/>
      <c r="I12" s="5"/>
      <c r="J12" s="25"/>
      <c r="L12" s="22"/>
      <c r="M12" s="5"/>
      <c r="N12" s="5"/>
      <c r="O12" s="5"/>
      <c r="P12" s="22"/>
      <c r="Q12" s="22"/>
      <c r="R12" s="22"/>
      <c r="S12" s="22"/>
      <c r="T12" s="22"/>
    </row>
    <row r="13" spans="1:20" x14ac:dyDescent="0.2">
      <c r="A13" s="5">
        <v>22</v>
      </c>
      <c r="C13" s="5"/>
      <c r="D13" s="5"/>
      <c r="E13" s="5"/>
      <c r="F13" s="5"/>
      <c r="G13" s="5"/>
      <c r="H13" s="22"/>
      <c r="I13" s="5"/>
      <c r="J13" s="25"/>
      <c r="L13" s="22"/>
      <c r="M13" s="5"/>
      <c r="N13" s="5"/>
      <c r="O13" s="5"/>
      <c r="P13" s="22"/>
      <c r="Q13" s="22"/>
      <c r="R13" s="22"/>
      <c r="S13" s="22"/>
      <c r="T13" s="22"/>
    </row>
    <row r="14" spans="1:20" x14ac:dyDescent="0.2">
      <c r="A14" s="5">
        <v>23</v>
      </c>
      <c r="B14" s="1">
        <v>1</v>
      </c>
      <c r="C14" s="5">
        <f>0.1*Grade17!C14</f>
        <v>2861.9191365157585</v>
      </c>
      <c r="D14" s="5">
        <f t="shared" ref="D14:D36" si="0">IF(A14&lt;startage,1,0)*(C14*(1-initialunempprob))+IF(A14=startage,1,0)*(C14*(1-unempprob))+IF(A14&gt;startage,1,0)*(C14*(1-unempprob)+unempprob*300*52)</f>
        <v>2693.0659074613291</v>
      </c>
      <c r="E14" s="5">
        <f t="shared" ref="E14:E56" si="1">IF(D14-9500&gt;0,1,0)*(D14-9500)</f>
        <v>0</v>
      </c>
      <c r="F14" s="5">
        <f t="shared" ref="F14:F56" si="2">IF(E14&lt;=8500,1,0)*(0.1*E14+0.1*E14+0.0765*D14)+IF(AND(E14&gt;8500,E14&lt;=34500),1,0)*(850+0.15*(E14-8500)+0.1*E14+0.0765*D14)+IF(AND(E14&gt;34500,E14&lt;=83600),1,0)*(4750+0.25*(E14-34500)+0.1*E14+0.0765*D14)+IF(AND(E14&gt;83600,E14&lt;=174400,D14&lt;=106800),1,0)*(17025+0.28*(E14-83600)+0.1*E14+0.0765*D14)+IF(AND(E14&gt;83600,E14&lt;=174400,D14&gt;106800),1,0)*(17025+0.28*(E14-83600)+0.1*E14+8170.2+0.0145*(D14-106800))+IF(AND(E14&gt;174400,E14&lt;=379150),1,0)*(42449+0.33*(E14-174400)+0.1*E14+8170.2+0.0145*(D14-106800))+IF(E14&gt;379150,1,0)*(110016.5+0.35*(E14-379150)+0.1*E14+8170.2+0.0145*(D14-106800))</f>
        <v>206.01954192079168</v>
      </c>
      <c r="G14" s="5">
        <f t="shared" ref="G14:G56" si="3">D14-F14</f>
        <v>2487.0463655405374</v>
      </c>
      <c r="H14" s="22">
        <f>0.1*Grade17!H14</f>
        <v>1252.5904594953495</v>
      </c>
      <c r="I14" s="5">
        <f t="shared" ref="I14:I36" si="4">G14+IF(A14&lt;startage,1,0)*(H14*(1-initialunempprob))+IF(A14&gt;=startage,1,0)*(H14*(1-unempprob))</f>
        <v>3665.7339879256615</v>
      </c>
      <c r="J14" s="25">
        <f t="shared" ref="J14:J56" si="5">(F14-(IF(A14&gt;startage,1,0)*(unempprob*300*52)))/(IF(A14&lt;startage,1,0)*((C14+H14)*(1-initialunempprob))+IF(A14&gt;=startage,1,0)*((C14+H14)*(1-unempprob)))</f>
        <v>5.3210913435639599E-2</v>
      </c>
      <c r="L14" s="22">
        <f>0.1*Grade17!L14</f>
        <v>2502.3074628367935</v>
      </c>
      <c r="M14" s="5">
        <f>scrimecost*Meta!O11</f>
        <v>32482.496000000003</v>
      </c>
      <c r="N14" s="5">
        <f>L14-Grade17!L14</f>
        <v>-22520.767165531139</v>
      </c>
      <c r="O14" s="5"/>
      <c r="P14" s="22"/>
      <c r="Q14" s="22">
        <f>0.05*feel*Grade17!G14</f>
        <v>293.12918441452871</v>
      </c>
      <c r="R14" s="22">
        <f>coltuition</f>
        <v>8279</v>
      </c>
      <c r="S14" s="22">
        <f t="shared" ref="S14:S45" si="6">IF(A14&lt;startage,1,0)*(N14-Q14-R14)+IF(A14&gt;=startage,1,0)*completionprob*(N14*spart+O14+P14)</f>
        <v>-31092.896349945666</v>
      </c>
      <c r="T14" s="22">
        <f t="shared" ref="T14:T45" si="7">S14/sreturn^(A14-startage+1)</f>
        <v>-31092.896349945666</v>
      </c>
    </row>
    <row r="15" spans="1:20" x14ac:dyDescent="0.2">
      <c r="A15" s="5">
        <v>24</v>
      </c>
      <c r="B15" s="1">
        <f t="shared" ref="B15:B36" si="8">(1+experiencepremium)^(A15-startage)</f>
        <v>1</v>
      </c>
      <c r="C15" s="5">
        <f t="shared" ref="C15:C36" si="9">pretaxincome*B15/expnorm</f>
        <v>33099.016493066636</v>
      </c>
      <c r="D15" s="5">
        <f t="shared" si="0"/>
        <v>31344.768618934104</v>
      </c>
      <c r="E15" s="5">
        <f t="shared" si="1"/>
        <v>21844.768618934104</v>
      </c>
      <c r="F15" s="5">
        <f t="shared" si="2"/>
        <v>7434.0669540819854</v>
      </c>
      <c r="G15" s="5">
        <f t="shared" si="3"/>
        <v>23910.701664852117</v>
      </c>
      <c r="H15" s="22">
        <f t="shared" ref="H15:H36" si="10">benefits*B15/expnorm</f>
        <v>14131.503513964028</v>
      </c>
      <c r="I15" s="5">
        <f t="shared" si="4"/>
        <v>37293.235492576052</v>
      </c>
      <c r="J15" s="25">
        <f t="shared" si="5"/>
        <v>0.16620870357535836</v>
      </c>
      <c r="L15" s="22">
        <f t="shared" ref="L15:L36" si="11">(sincome+sbenefits)*(1-sunemp)*B15/expnorm</f>
        <v>25801.704240422947</v>
      </c>
      <c r="M15" s="5">
        <f>scrimecost*Meta!O12</f>
        <v>31034.153000000002</v>
      </c>
      <c r="N15" s="5">
        <f>L15-Grade17!L15</f>
        <v>153.0527463458202</v>
      </c>
      <c r="O15" s="5">
        <f>Grade17!M15-M15</f>
        <v>0</v>
      </c>
      <c r="P15" s="22">
        <f t="shared" ref="P15:P56" si="12">(spart-initialspart)*(L15*J15+nptrans)</f>
        <v>0</v>
      </c>
      <c r="Q15" s="22"/>
      <c r="R15" s="22"/>
      <c r="S15" s="22">
        <f t="shared" si="6"/>
        <v>18.603867423827136</v>
      </c>
      <c r="T15" s="22">
        <f t="shared" si="7"/>
        <v>20.602324666510054</v>
      </c>
    </row>
    <row r="16" spans="1:20" x14ac:dyDescent="0.2">
      <c r="A16" s="5">
        <v>25</v>
      </c>
      <c r="B16" s="1">
        <f t="shared" si="8"/>
        <v>1.0249999999999999</v>
      </c>
      <c r="C16" s="5">
        <f t="shared" si="9"/>
        <v>33926.491905393297</v>
      </c>
      <c r="D16" s="5">
        <f t="shared" si="0"/>
        <v>32955.18783440745</v>
      </c>
      <c r="E16" s="5">
        <f t="shared" si="1"/>
        <v>23455.18783440745</v>
      </c>
      <c r="F16" s="5">
        <f t="shared" si="2"/>
        <v>7959.8688279340331</v>
      </c>
      <c r="G16" s="5">
        <f t="shared" si="3"/>
        <v>24995.319006473415</v>
      </c>
      <c r="H16" s="22">
        <f t="shared" si="10"/>
        <v>14484.791101813127</v>
      </c>
      <c r="I16" s="5">
        <f t="shared" si="4"/>
        <v>38712.416179890446</v>
      </c>
      <c r="J16" s="25">
        <f t="shared" si="5"/>
        <v>0.15558934160510304</v>
      </c>
      <c r="L16" s="22">
        <f t="shared" si="11"/>
        <v>26446.746846433514</v>
      </c>
      <c r="M16" s="5">
        <f>scrimecost*Meta!O13</f>
        <v>26057.794999999998</v>
      </c>
      <c r="N16" s="5">
        <f>L16-Grade17!L16</f>
        <v>156.87906500445752</v>
      </c>
      <c r="O16" s="5">
        <f>Grade17!M16-M16</f>
        <v>0</v>
      </c>
      <c r="P16" s="22">
        <f t="shared" si="12"/>
        <v>0</v>
      </c>
      <c r="Q16" s="22"/>
      <c r="R16" s="22"/>
      <c r="S16" s="22">
        <f t="shared" si="6"/>
        <v>19.068964109421817</v>
      </c>
      <c r="T16" s="22">
        <f t="shared" si="7"/>
        <v>23.385845872490751</v>
      </c>
    </row>
    <row r="17" spans="1:20" x14ac:dyDescent="0.2">
      <c r="A17" s="5">
        <v>26</v>
      </c>
      <c r="B17" s="1">
        <f t="shared" si="8"/>
        <v>1.0506249999999999</v>
      </c>
      <c r="C17" s="5">
        <f t="shared" si="9"/>
        <v>34774.654203028127</v>
      </c>
      <c r="D17" s="5">
        <f t="shared" si="0"/>
        <v>33758.397530267641</v>
      </c>
      <c r="E17" s="5">
        <f t="shared" si="1"/>
        <v>24258.397530267641</v>
      </c>
      <c r="F17" s="5">
        <f t="shared" si="2"/>
        <v>8222.1167936323836</v>
      </c>
      <c r="G17" s="5">
        <f t="shared" si="3"/>
        <v>25536.280736635257</v>
      </c>
      <c r="H17" s="22">
        <f t="shared" si="10"/>
        <v>14846.910879358456</v>
      </c>
      <c r="I17" s="5">
        <f t="shared" si="4"/>
        <v>39596.305339387713</v>
      </c>
      <c r="J17" s="25">
        <f t="shared" si="5"/>
        <v>0.15737521834633239</v>
      </c>
      <c r="L17" s="22">
        <f t="shared" si="11"/>
        <v>27107.915517594356</v>
      </c>
      <c r="M17" s="5">
        <f>scrimecost*Meta!O14</f>
        <v>26057.794999999998</v>
      </c>
      <c r="N17" s="5">
        <f>L17-Grade17!L17</f>
        <v>160.80104162957286</v>
      </c>
      <c r="O17" s="5">
        <f>Grade17!M17-M17</f>
        <v>0</v>
      </c>
      <c r="P17" s="22">
        <f t="shared" si="12"/>
        <v>0</v>
      </c>
      <c r="Q17" s="22"/>
      <c r="R17" s="22"/>
      <c r="S17" s="22">
        <f t="shared" si="6"/>
        <v>19.545688212157838</v>
      </c>
      <c r="T17" s="22">
        <f t="shared" si="7"/>
        <v>26.54544067354399</v>
      </c>
    </row>
    <row r="18" spans="1:20" x14ac:dyDescent="0.2">
      <c r="A18" s="5">
        <v>27</v>
      </c>
      <c r="B18" s="1">
        <f t="shared" si="8"/>
        <v>1.0768906249999999</v>
      </c>
      <c r="C18" s="5">
        <f t="shared" si="9"/>
        <v>35644.020558103832</v>
      </c>
      <c r="D18" s="5">
        <f t="shared" si="0"/>
        <v>34581.687468524331</v>
      </c>
      <c r="E18" s="5">
        <f t="shared" si="1"/>
        <v>25081.687468524331</v>
      </c>
      <c r="F18" s="5">
        <f t="shared" si="2"/>
        <v>8490.9209584731943</v>
      </c>
      <c r="G18" s="5">
        <f t="shared" si="3"/>
        <v>26090.766510051137</v>
      </c>
      <c r="H18" s="22">
        <f t="shared" si="10"/>
        <v>15218.083651342416</v>
      </c>
      <c r="I18" s="5">
        <f t="shared" si="4"/>
        <v>40502.291727872405</v>
      </c>
      <c r="J18" s="25">
        <f t="shared" si="5"/>
        <v>0.15911753711826354</v>
      </c>
      <c r="L18" s="22">
        <f t="shared" si="11"/>
        <v>27785.613405534212</v>
      </c>
      <c r="M18" s="5">
        <f>scrimecost*Meta!O15</f>
        <v>26057.794999999998</v>
      </c>
      <c r="N18" s="5">
        <f>L18-Grade17!L18</f>
        <v>164.82106767031291</v>
      </c>
      <c r="O18" s="5">
        <f>Grade17!M18-M18</f>
        <v>0</v>
      </c>
      <c r="P18" s="22">
        <f t="shared" si="12"/>
        <v>0</v>
      </c>
      <c r="Q18" s="22"/>
      <c r="R18" s="22"/>
      <c r="S18" s="22">
        <f t="shared" si="6"/>
        <v>20.034330417461874</v>
      </c>
      <c r="T18" s="22">
        <f t="shared" si="7"/>
        <v>30.131919298310958</v>
      </c>
    </row>
    <row r="19" spans="1:20" x14ac:dyDescent="0.2">
      <c r="A19" s="5">
        <v>28</v>
      </c>
      <c r="B19" s="1">
        <f t="shared" si="8"/>
        <v>1.1038128906249998</v>
      </c>
      <c r="C19" s="5">
        <f t="shared" si="9"/>
        <v>36535.121072056427</v>
      </c>
      <c r="D19" s="5">
        <f t="shared" si="0"/>
        <v>35425.559655237441</v>
      </c>
      <c r="E19" s="5">
        <f t="shared" si="1"/>
        <v>25925.559655237441</v>
      </c>
      <c r="F19" s="5">
        <f t="shared" si="2"/>
        <v>8766.4452274350242</v>
      </c>
      <c r="G19" s="5">
        <f t="shared" si="3"/>
        <v>26659.114427802415</v>
      </c>
      <c r="H19" s="22">
        <f t="shared" si="10"/>
        <v>15598.535742625976</v>
      </c>
      <c r="I19" s="5">
        <f t="shared" si="4"/>
        <v>41430.927776069213</v>
      </c>
      <c r="J19" s="25">
        <f t="shared" si="5"/>
        <v>0.16081736031039143</v>
      </c>
      <c r="L19" s="22">
        <f t="shared" si="11"/>
        <v>28480.253740672568</v>
      </c>
      <c r="M19" s="5">
        <f>scrimecost*Meta!O16</f>
        <v>26057.794999999998</v>
      </c>
      <c r="N19" s="5">
        <f>L19-Grade17!L19</f>
        <v>168.94159436207337</v>
      </c>
      <c r="O19" s="5">
        <f>Grade17!M19-M19</f>
        <v>0</v>
      </c>
      <c r="P19" s="22">
        <f t="shared" si="12"/>
        <v>0</v>
      </c>
      <c r="Q19" s="22"/>
      <c r="R19" s="22"/>
      <c r="S19" s="22">
        <f t="shared" si="6"/>
        <v>20.535188677898741</v>
      </c>
      <c r="T19" s="22">
        <f t="shared" si="7"/>
        <v>34.202956800216477</v>
      </c>
    </row>
    <row r="20" spans="1:20" x14ac:dyDescent="0.2">
      <c r="A20" s="5">
        <v>29</v>
      </c>
      <c r="B20" s="1">
        <f t="shared" si="8"/>
        <v>1.1314082128906247</v>
      </c>
      <c r="C20" s="5">
        <f t="shared" si="9"/>
        <v>37448.499098857828</v>
      </c>
      <c r="D20" s="5">
        <f t="shared" si="0"/>
        <v>36290.528646618368</v>
      </c>
      <c r="E20" s="5">
        <f t="shared" si="1"/>
        <v>26790.528646618368</v>
      </c>
      <c r="F20" s="5">
        <f t="shared" si="2"/>
        <v>9048.8576031208977</v>
      </c>
      <c r="G20" s="5">
        <f t="shared" si="3"/>
        <v>27241.67104349747</v>
      </c>
      <c r="H20" s="22">
        <f t="shared" si="10"/>
        <v>15988.499136191622</v>
      </c>
      <c r="I20" s="5">
        <f t="shared" si="4"/>
        <v>42382.779725470937</v>
      </c>
      <c r="J20" s="25">
        <f t="shared" si="5"/>
        <v>0.1624757244002723</v>
      </c>
      <c r="L20" s="22">
        <f t="shared" si="11"/>
        <v>29192.260084189376</v>
      </c>
      <c r="M20" s="5">
        <f>scrimecost*Meta!O17</f>
        <v>26057.794999999998</v>
      </c>
      <c r="N20" s="5">
        <f>L20-Grade17!L20</f>
        <v>173.16513422112621</v>
      </c>
      <c r="O20" s="5">
        <f>Grade17!M20-M20</f>
        <v>0</v>
      </c>
      <c r="P20" s="22">
        <f t="shared" si="12"/>
        <v>0</v>
      </c>
      <c r="Q20" s="22"/>
      <c r="R20" s="22"/>
      <c r="S20" s="22">
        <f t="shared" si="6"/>
        <v>21.048568394846331</v>
      </c>
      <c r="T20" s="22">
        <f t="shared" si="7"/>
        <v>38.824020544321527</v>
      </c>
    </row>
    <row r="21" spans="1:20" x14ac:dyDescent="0.2">
      <c r="A21" s="5">
        <v>30</v>
      </c>
      <c r="B21" s="1">
        <f t="shared" si="8"/>
        <v>1.1596934182128902</v>
      </c>
      <c r="C21" s="5">
        <f t="shared" si="9"/>
        <v>38384.711576329275</v>
      </c>
      <c r="D21" s="5">
        <f t="shared" si="0"/>
        <v>37177.121862783824</v>
      </c>
      <c r="E21" s="5">
        <f t="shared" si="1"/>
        <v>27677.121862783824</v>
      </c>
      <c r="F21" s="5">
        <f t="shared" si="2"/>
        <v>9338.3302881989184</v>
      </c>
      <c r="G21" s="5">
        <f t="shared" si="3"/>
        <v>27838.791574584906</v>
      </c>
      <c r="H21" s="22">
        <f t="shared" si="10"/>
        <v>16388.21161459641</v>
      </c>
      <c r="I21" s="5">
        <f t="shared" si="4"/>
        <v>43358.427973607708</v>
      </c>
      <c r="J21" s="25">
        <f t="shared" si="5"/>
        <v>0.16409364058552192</v>
      </c>
      <c r="L21" s="22">
        <f t="shared" si="11"/>
        <v>29922.06658629411</v>
      </c>
      <c r="M21" s="5">
        <f>scrimecost*Meta!O18</f>
        <v>21007.163</v>
      </c>
      <c r="N21" s="5">
        <f>L21-Grade17!L21</f>
        <v>177.49426257664527</v>
      </c>
      <c r="O21" s="5">
        <f>Grade17!M21-M21</f>
        <v>0</v>
      </c>
      <c r="P21" s="22">
        <f t="shared" si="12"/>
        <v>0</v>
      </c>
      <c r="Q21" s="22"/>
      <c r="R21" s="22"/>
      <c r="S21" s="22">
        <f t="shared" si="6"/>
        <v>21.574782604716383</v>
      </c>
      <c r="T21" s="22">
        <f t="shared" si="7"/>
        <v>44.069423004278796</v>
      </c>
    </row>
    <row r="22" spans="1:20" x14ac:dyDescent="0.2">
      <c r="A22" s="5">
        <v>31</v>
      </c>
      <c r="B22" s="1">
        <f t="shared" si="8"/>
        <v>1.1886857536682125</v>
      </c>
      <c r="C22" s="5">
        <f t="shared" si="9"/>
        <v>39344.329365737511</v>
      </c>
      <c r="D22" s="5">
        <f t="shared" si="0"/>
        <v>38085.879909353425</v>
      </c>
      <c r="E22" s="5">
        <f t="shared" si="1"/>
        <v>28585.879909353425</v>
      </c>
      <c r="F22" s="5">
        <f t="shared" si="2"/>
        <v>9635.0397904038928</v>
      </c>
      <c r="G22" s="5">
        <f t="shared" si="3"/>
        <v>28450.840118949534</v>
      </c>
      <c r="H22" s="22">
        <f t="shared" si="10"/>
        <v>16797.916904961323</v>
      </c>
      <c r="I22" s="5">
        <f t="shared" si="4"/>
        <v>44358.467427947908</v>
      </c>
      <c r="J22" s="25">
        <f t="shared" si="5"/>
        <v>0.16567209540039965</v>
      </c>
      <c r="L22" s="22">
        <f t="shared" si="11"/>
        <v>30670.118250951462</v>
      </c>
      <c r="M22" s="5">
        <f>scrimecost*Meta!O19</f>
        <v>21007.163</v>
      </c>
      <c r="N22" s="5">
        <f>L22-Grade17!L22</f>
        <v>181.93161914106531</v>
      </c>
      <c r="O22" s="5">
        <f>Grade17!M22-M22</f>
        <v>0</v>
      </c>
      <c r="P22" s="22">
        <f t="shared" si="12"/>
        <v>0</v>
      </c>
      <c r="Q22" s="22"/>
      <c r="R22" s="22"/>
      <c r="S22" s="22">
        <f t="shared" si="6"/>
        <v>22.114152169834767</v>
      </c>
      <c r="T22" s="22">
        <f t="shared" si="7"/>
        <v>50.023516799685389</v>
      </c>
    </row>
    <row r="23" spans="1:20" x14ac:dyDescent="0.2">
      <c r="A23" s="5">
        <v>32</v>
      </c>
      <c r="B23" s="1">
        <f t="shared" si="8"/>
        <v>1.2184028975099177</v>
      </c>
      <c r="C23" s="5">
        <f t="shared" si="9"/>
        <v>40327.937599880941</v>
      </c>
      <c r="D23" s="5">
        <f t="shared" si="0"/>
        <v>39017.356907087255</v>
      </c>
      <c r="E23" s="5">
        <f t="shared" si="1"/>
        <v>29517.356907087255</v>
      </c>
      <c r="F23" s="5">
        <f t="shared" si="2"/>
        <v>9939.1670301639879</v>
      </c>
      <c r="G23" s="5">
        <f t="shared" si="3"/>
        <v>29078.189876923265</v>
      </c>
      <c r="H23" s="22">
        <f t="shared" si="10"/>
        <v>17217.864827585356</v>
      </c>
      <c r="I23" s="5">
        <f t="shared" si="4"/>
        <v>45383.507868646593</v>
      </c>
      <c r="J23" s="25">
        <f t="shared" si="5"/>
        <v>0.16721205131735345</v>
      </c>
      <c r="L23" s="22">
        <f t="shared" si="11"/>
        <v>31436.871207225246</v>
      </c>
      <c r="M23" s="5">
        <f>scrimecost*Meta!O20</f>
        <v>21007.163</v>
      </c>
      <c r="N23" s="5">
        <f>L23-Grade17!L23</f>
        <v>186.47990961959658</v>
      </c>
      <c r="O23" s="5">
        <f>Grade17!M23-M23</f>
        <v>0</v>
      </c>
      <c r="P23" s="22">
        <f t="shared" si="12"/>
        <v>0</v>
      </c>
      <c r="Q23" s="22"/>
      <c r="R23" s="22"/>
      <c r="S23" s="22">
        <f t="shared" si="6"/>
        <v>22.667005974081199</v>
      </c>
      <c r="T23" s="22">
        <f t="shared" si="7"/>
        <v>56.782051191490666</v>
      </c>
    </row>
    <row r="24" spans="1:20" x14ac:dyDescent="0.2">
      <c r="A24" s="5">
        <v>33</v>
      </c>
      <c r="B24" s="1">
        <f t="shared" si="8"/>
        <v>1.2488629699476654</v>
      </c>
      <c r="C24" s="5">
        <f t="shared" si="9"/>
        <v>41336.136039877958</v>
      </c>
      <c r="D24" s="5">
        <f t="shared" si="0"/>
        <v>39972.120829764426</v>
      </c>
      <c r="E24" s="5">
        <f t="shared" si="1"/>
        <v>30472.120829764426</v>
      </c>
      <c r="F24" s="5">
        <f t="shared" si="2"/>
        <v>10250.897450918084</v>
      </c>
      <c r="G24" s="5">
        <f t="shared" si="3"/>
        <v>29721.223378846342</v>
      </c>
      <c r="H24" s="22">
        <f t="shared" si="10"/>
        <v>17648.311448274984</v>
      </c>
      <c r="I24" s="5">
        <f t="shared" si="4"/>
        <v>46434.174320362756</v>
      </c>
      <c r="J24" s="25">
        <f t="shared" si="5"/>
        <v>0.16871444733389376</v>
      </c>
      <c r="L24" s="22">
        <f t="shared" si="11"/>
        <v>32222.792987405872</v>
      </c>
      <c r="M24" s="5">
        <f>scrimecost*Meta!O21</f>
        <v>21007.163</v>
      </c>
      <c r="N24" s="5">
        <f>L24-Grade17!L24</f>
        <v>191.14190736008095</v>
      </c>
      <c r="O24" s="5">
        <f>Grade17!M24-M24</f>
        <v>0</v>
      </c>
      <c r="P24" s="22">
        <f t="shared" si="12"/>
        <v>0</v>
      </c>
      <c r="Q24" s="22"/>
      <c r="R24" s="22"/>
      <c r="S24" s="22">
        <f t="shared" si="6"/>
        <v>23.233681123432557</v>
      </c>
      <c r="T24" s="22">
        <f t="shared" si="7"/>
        <v>64.453711849646893</v>
      </c>
    </row>
    <row r="25" spans="1:20" x14ac:dyDescent="0.2">
      <c r="A25" s="5">
        <v>34</v>
      </c>
      <c r="B25" s="1">
        <f t="shared" si="8"/>
        <v>1.2800845441963571</v>
      </c>
      <c r="C25" s="5">
        <f t="shared" si="9"/>
        <v>42369.539440874905</v>
      </c>
      <c r="D25" s="5">
        <f t="shared" si="0"/>
        <v>40950.753850508539</v>
      </c>
      <c r="E25" s="5">
        <f t="shared" si="1"/>
        <v>31450.753850508539</v>
      </c>
      <c r="F25" s="5">
        <f t="shared" si="2"/>
        <v>10570.421132191037</v>
      </c>
      <c r="G25" s="5">
        <f t="shared" si="3"/>
        <v>30380.332718317502</v>
      </c>
      <c r="H25" s="22">
        <f t="shared" si="10"/>
        <v>18089.519234481861</v>
      </c>
      <c r="I25" s="5">
        <f t="shared" si="4"/>
        <v>47511.107433371828</v>
      </c>
      <c r="J25" s="25">
        <f t="shared" si="5"/>
        <v>0.17018019954515265</v>
      </c>
      <c r="L25" s="22">
        <f t="shared" si="11"/>
        <v>33028.362812091022</v>
      </c>
      <c r="M25" s="5">
        <f>scrimecost*Meta!O22</f>
        <v>21007.163</v>
      </c>
      <c r="N25" s="5">
        <f>L25-Grade17!L25</f>
        <v>195.92045504408452</v>
      </c>
      <c r="O25" s="5">
        <f>Grade17!M25-M25</f>
        <v>0</v>
      </c>
      <c r="P25" s="22">
        <f t="shared" si="12"/>
        <v>0</v>
      </c>
      <c r="Q25" s="22"/>
      <c r="R25" s="22"/>
      <c r="S25" s="22">
        <f t="shared" si="6"/>
        <v>23.814523151518557</v>
      </c>
      <c r="T25" s="22">
        <f t="shared" si="7"/>
        <v>73.161868654368448</v>
      </c>
    </row>
    <row r="26" spans="1:20" x14ac:dyDescent="0.2">
      <c r="A26" s="5">
        <v>35</v>
      </c>
      <c r="B26" s="1">
        <f t="shared" si="8"/>
        <v>1.312086657801266</v>
      </c>
      <c r="C26" s="5">
        <f t="shared" si="9"/>
        <v>43428.777926896779</v>
      </c>
      <c r="D26" s="5">
        <f t="shared" si="0"/>
        <v>41953.852696771253</v>
      </c>
      <c r="E26" s="5">
        <f t="shared" si="1"/>
        <v>32453.852696771253</v>
      </c>
      <c r="F26" s="5">
        <f t="shared" si="2"/>
        <v>10897.932905495814</v>
      </c>
      <c r="G26" s="5">
        <f t="shared" si="3"/>
        <v>31055.919791275439</v>
      </c>
      <c r="H26" s="22">
        <f t="shared" si="10"/>
        <v>18541.757215343907</v>
      </c>
      <c r="I26" s="5">
        <f t="shared" si="4"/>
        <v>48614.963874206122</v>
      </c>
      <c r="J26" s="25">
        <f t="shared" si="5"/>
        <v>0.1716102017024784</v>
      </c>
      <c r="L26" s="22">
        <f t="shared" si="11"/>
        <v>33854.071882393298</v>
      </c>
      <c r="M26" s="5">
        <f>scrimecost*Meta!O23</f>
        <v>16303.143</v>
      </c>
      <c r="N26" s="5">
        <f>L26-Grade17!L26</f>
        <v>200.81846642019082</v>
      </c>
      <c r="O26" s="5">
        <f>Grade17!M26-M26</f>
        <v>0</v>
      </c>
      <c r="P26" s="22">
        <f t="shared" si="12"/>
        <v>0</v>
      </c>
      <c r="Q26" s="22"/>
      <c r="R26" s="22"/>
      <c r="S26" s="22">
        <f t="shared" si="6"/>
        <v>24.409886230307031</v>
      </c>
      <c r="T26" s="22">
        <f t="shared" si="7"/>
        <v>83.046559637797728</v>
      </c>
    </row>
    <row r="27" spans="1:20" x14ac:dyDescent="0.2">
      <c r="A27" s="5">
        <v>36</v>
      </c>
      <c r="B27" s="1">
        <f t="shared" si="8"/>
        <v>1.3448888242462975</v>
      </c>
      <c r="C27" s="5">
        <f t="shared" si="9"/>
        <v>44514.497375069193</v>
      </c>
      <c r="D27" s="5">
        <f t="shared" si="0"/>
        <v>42982.029014190528</v>
      </c>
      <c r="E27" s="5">
        <f t="shared" si="1"/>
        <v>33482.029014190528</v>
      </c>
      <c r="F27" s="5">
        <f t="shared" si="2"/>
        <v>11233.632473133208</v>
      </c>
      <c r="G27" s="5">
        <f t="shared" si="3"/>
        <v>31748.396541057322</v>
      </c>
      <c r="H27" s="22">
        <f t="shared" si="10"/>
        <v>19005.301145727502</v>
      </c>
      <c r="I27" s="5">
        <f t="shared" si="4"/>
        <v>49746.416726061267</v>
      </c>
      <c r="J27" s="25">
        <f t="shared" si="5"/>
        <v>0.17300532575840591</v>
      </c>
      <c r="L27" s="22">
        <f t="shared" si="11"/>
        <v>34700.423679453124</v>
      </c>
      <c r="M27" s="5">
        <f>scrimecost*Meta!O24</f>
        <v>16303.143</v>
      </c>
      <c r="N27" s="5">
        <f>L27-Grade17!L27</f>
        <v>205.83892808069504</v>
      </c>
      <c r="O27" s="5">
        <f>Grade17!M27-M27</f>
        <v>0</v>
      </c>
      <c r="P27" s="22">
        <f t="shared" si="12"/>
        <v>0</v>
      </c>
      <c r="Q27" s="22"/>
      <c r="R27" s="22"/>
      <c r="S27" s="22">
        <f t="shared" si="6"/>
        <v>25.020133386064643</v>
      </c>
      <c r="T27" s="22">
        <f t="shared" si="7"/>
        <v>94.266742970381102</v>
      </c>
    </row>
    <row r="28" spans="1:20" x14ac:dyDescent="0.2">
      <c r="A28" s="5">
        <v>37</v>
      </c>
      <c r="B28" s="1">
        <f t="shared" si="8"/>
        <v>1.3785110448524549</v>
      </c>
      <c r="C28" s="5">
        <f t="shared" si="9"/>
        <v>45627.359809445923</v>
      </c>
      <c r="D28" s="5">
        <f t="shared" si="0"/>
        <v>44035.909739545292</v>
      </c>
      <c r="E28" s="5">
        <f t="shared" si="1"/>
        <v>34535.909739545292</v>
      </c>
      <c r="F28" s="5">
        <f t="shared" si="2"/>
        <v>11581.315503916067</v>
      </c>
      <c r="G28" s="5">
        <f t="shared" si="3"/>
        <v>32454.594235629225</v>
      </c>
      <c r="H28" s="22">
        <f t="shared" si="10"/>
        <v>19480.433674370688</v>
      </c>
      <c r="I28" s="5">
        <f t="shared" si="4"/>
        <v>50902.564925258266</v>
      </c>
      <c r="J28" s="25">
        <f t="shared" si="5"/>
        <v>0.17442466346212762</v>
      </c>
      <c r="L28" s="22">
        <f t="shared" si="11"/>
        <v>35567.934271439452</v>
      </c>
      <c r="M28" s="5">
        <f>scrimecost*Meta!O25</f>
        <v>16303.143</v>
      </c>
      <c r="N28" s="5">
        <f>L28-Grade17!L28</f>
        <v>210.98490128271078</v>
      </c>
      <c r="O28" s="5">
        <f>Grade17!M28-M28</f>
        <v>0</v>
      </c>
      <c r="P28" s="22">
        <f t="shared" si="12"/>
        <v>0</v>
      </c>
      <c r="Q28" s="22"/>
      <c r="R28" s="22"/>
      <c r="S28" s="22">
        <f t="shared" si="6"/>
        <v>25.645636720716055</v>
      </c>
      <c r="T28" s="22">
        <f t="shared" si="7"/>
        <v>107.00285320668939</v>
      </c>
    </row>
    <row r="29" spans="1:20" x14ac:dyDescent="0.2">
      <c r="A29" s="5">
        <v>38</v>
      </c>
      <c r="B29" s="1">
        <f t="shared" si="8"/>
        <v>1.4129738209737661</v>
      </c>
      <c r="C29" s="5">
        <f t="shared" si="9"/>
        <v>46768.043804682064</v>
      </c>
      <c r="D29" s="5">
        <f t="shared" si="0"/>
        <v>45116.137483033912</v>
      </c>
      <c r="E29" s="5">
        <f t="shared" si="1"/>
        <v>35616.137483033912</v>
      </c>
      <c r="F29" s="5">
        <f t="shared" si="2"/>
        <v>12042.032636513963</v>
      </c>
      <c r="G29" s="5">
        <f t="shared" si="3"/>
        <v>33074.104846519949</v>
      </c>
      <c r="H29" s="22">
        <f t="shared" si="10"/>
        <v>19967.444516229953</v>
      </c>
      <c r="I29" s="5">
        <f t="shared" si="4"/>
        <v>51983.274803389715</v>
      </c>
      <c r="J29" s="25">
        <f t="shared" si="5"/>
        <v>0.1774604035890987</v>
      </c>
      <c r="L29" s="22">
        <f t="shared" si="11"/>
        <v>36457.13262822543</v>
      </c>
      <c r="M29" s="5">
        <f>scrimecost*Meta!O26</f>
        <v>16303.143</v>
      </c>
      <c r="N29" s="5">
        <f>L29-Grade17!L29</f>
        <v>216.25952381476964</v>
      </c>
      <c r="O29" s="5">
        <f>Grade17!M29-M29</f>
        <v>0</v>
      </c>
      <c r="P29" s="22">
        <f t="shared" si="12"/>
        <v>0</v>
      </c>
      <c r="Q29" s="22"/>
      <c r="R29" s="22"/>
      <c r="S29" s="22">
        <f t="shared" si="6"/>
        <v>26.286777638732879</v>
      </c>
      <c r="T29" s="22">
        <f t="shared" si="7"/>
        <v>121.45970289828983</v>
      </c>
    </row>
    <row r="30" spans="1:20" x14ac:dyDescent="0.2">
      <c r="A30" s="5">
        <v>39</v>
      </c>
      <c r="B30" s="1">
        <f t="shared" si="8"/>
        <v>1.4482981664981105</v>
      </c>
      <c r="C30" s="5">
        <f t="shared" si="9"/>
        <v>47937.244899799123</v>
      </c>
      <c r="D30" s="5">
        <f t="shared" si="0"/>
        <v>46223.370920109774</v>
      </c>
      <c r="E30" s="5">
        <f t="shared" si="1"/>
        <v>36723.370920109774</v>
      </c>
      <c r="F30" s="5">
        <f t="shared" si="2"/>
        <v>12514.267697426818</v>
      </c>
      <c r="G30" s="5">
        <f t="shared" si="3"/>
        <v>33709.103222682956</v>
      </c>
      <c r="H30" s="22">
        <f t="shared" si="10"/>
        <v>20466.630629135707</v>
      </c>
      <c r="I30" s="5">
        <f t="shared" si="4"/>
        <v>53091.002428474472</v>
      </c>
      <c r="J30" s="25">
        <f t="shared" si="5"/>
        <v>0.18042210127394864</v>
      </c>
      <c r="L30" s="22">
        <f t="shared" si="11"/>
        <v>37368.560943931072</v>
      </c>
      <c r="M30" s="5">
        <f>scrimecost*Meta!O27</f>
        <v>16303.143</v>
      </c>
      <c r="N30" s="5">
        <f>L30-Grade17!L30</f>
        <v>221.66601191014342</v>
      </c>
      <c r="O30" s="5">
        <f>Grade17!M30-M30</f>
        <v>0</v>
      </c>
      <c r="P30" s="22">
        <f t="shared" si="12"/>
        <v>0</v>
      </c>
      <c r="Q30" s="22"/>
      <c r="R30" s="22"/>
      <c r="S30" s="22">
        <f t="shared" si="6"/>
        <v>26.943947079701751</v>
      </c>
      <c r="T30" s="22">
        <f t="shared" si="7"/>
        <v>137.86977623527031</v>
      </c>
    </row>
    <row r="31" spans="1:20" x14ac:dyDescent="0.2">
      <c r="A31" s="5">
        <v>40</v>
      </c>
      <c r="B31" s="1">
        <f t="shared" si="8"/>
        <v>1.4845056206605631</v>
      </c>
      <c r="C31" s="5">
        <f t="shared" si="9"/>
        <v>49135.676022294094</v>
      </c>
      <c r="D31" s="5">
        <f t="shared" si="0"/>
        <v>47358.285193112504</v>
      </c>
      <c r="E31" s="5">
        <f t="shared" si="1"/>
        <v>37858.285193112504</v>
      </c>
      <c r="F31" s="5">
        <f t="shared" si="2"/>
        <v>12998.308634862482</v>
      </c>
      <c r="G31" s="5">
        <f t="shared" si="3"/>
        <v>34359.976558250026</v>
      </c>
      <c r="H31" s="22">
        <f t="shared" si="10"/>
        <v>20978.296394864097</v>
      </c>
      <c r="I31" s="5">
        <f t="shared" si="4"/>
        <v>54226.423244186328</v>
      </c>
      <c r="J31" s="25">
        <f t="shared" si="5"/>
        <v>0.18331156242989971</v>
      </c>
      <c r="L31" s="22">
        <f t="shared" si="11"/>
        <v>38302.774967529345</v>
      </c>
      <c r="M31" s="5">
        <f>scrimecost*Meta!O28</f>
        <v>14260.607999999998</v>
      </c>
      <c r="N31" s="5">
        <f>L31-Grade17!L31</f>
        <v>227.20766220790392</v>
      </c>
      <c r="O31" s="5">
        <f>Grade17!M31-M31</f>
        <v>0</v>
      </c>
      <c r="P31" s="22">
        <f t="shared" si="12"/>
        <v>0</v>
      </c>
      <c r="Q31" s="22"/>
      <c r="R31" s="22"/>
      <c r="S31" s="22">
        <f t="shared" si="6"/>
        <v>27.617545756695137</v>
      </c>
      <c r="T31" s="22">
        <f t="shared" si="7"/>
        <v>156.49696768220343</v>
      </c>
    </row>
    <row r="32" spans="1:20" x14ac:dyDescent="0.2">
      <c r="A32" s="5">
        <v>41</v>
      </c>
      <c r="B32" s="1">
        <f t="shared" si="8"/>
        <v>1.521618261177077</v>
      </c>
      <c r="C32" s="5">
        <f t="shared" si="9"/>
        <v>50364.067922851449</v>
      </c>
      <c r="D32" s="5">
        <f t="shared" si="0"/>
        <v>48521.572322940323</v>
      </c>
      <c r="E32" s="5">
        <f t="shared" si="1"/>
        <v>39021.572322940323</v>
      </c>
      <c r="F32" s="5">
        <f t="shared" si="2"/>
        <v>13494.450595734048</v>
      </c>
      <c r="G32" s="5">
        <f t="shared" si="3"/>
        <v>35027.121727206279</v>
      </c>
      <c r="H32" s="22">
        <f t="shared" si="10"/>
        <v>21502.753804735694</v>
      </c>
      <c r="I32" s="5">
        <f t="shared" si="4"/>
        <v>55390.229580290979</v>
      </c>
      <c r="J32" s="25">
        <f t="shared" si="5"/>
        <v>0.18613054892351061</v>
      </c>
      <c r="L32" s="22">
        <f t="shared" si="11"/>
        <v>39260.34434171758</v>
      </c>
      <c r="M32" s="5">
        <f>scrimecost*Meta!O29</f>
        <v>14260.607999999998</v>
      </c>
      <c r="N32" s="5">
        <f>L32-Grade17!L32</f>
        <v>232.88785376309534</v>
      </c>
      <c r="O32" s="5">
        <f>Grade17!M32-M32</f>
        <v>0</v>
      </c>
      <c r="P32" s="22">
        <f t="shared" si="12"/>
        <v>0</v>
      </c>
      <c r="Q32" s="22"/>
      <c r="R32" s="22"/>
      <c r="S32" s="22">
        <f t="shared" si="6"/>
        <v>28.307984400611762</v>
      </c>
      <c r="T32" s="22">
        <f t="shared" si="7"/>
        <v>177.64082573057649</v>
      </c>
    </row>
    <row r="33" spans="1:20" x14ac:dyDescent="0.2">
      <c r="A33" s="5">
        <v>42</v>
      </c>
      <c r="B33" s="1">
        <f t="shared" si="8"/>
        <v>1.559658717706504</v>
      </c>
      <c r="C33" s="5">
        <f t="shared" si="9"/>
        <v>51623.169620922738</v>
      </c>
      <c r="D33" s="5">
        <f t="shared" si="0"/>
        <v>49713.941631013833</v>
      </c>
      <c r="E33" s="5">
        <f t="shared" si="1"/>
        <v>40213.941631013833</v>
      </c>
      <c r="F33" s="5">
        <f t="shared" si="2"/>
        <v>14002.996105627401</v>
      </c>
      <c r="G33" s="5">
        <f t="shared" si="3"/>
        <v>35710.945525386429</v>
      </c>
      <c r="H33" s="22">
        <f t="shared" si="10"/>
        <v>22040.32264985409</v>
      </c>
      <c r="I33" s="5">
        <f t="shared" si="4"/>
        <v>56583.13107479825</v>
      </c>
      <c r="J33" s="25">
        <f t="shared" si="5"/>
        <v>0.18888077964898461</v>
      </c>
      <c r="L33" s="22">
        <f t="shared" si="11"/>
        <v>40241.852950260516</v>
      </c>
      <c r="M33" s="5">
        <f>scrimecost*Meta!O30</f>
        <v>14260.607999999998</v>
      </c>
      <c r="N33" s="5">
        <f>L33-Grade17!L33</f>
        <v>238.71005010716908</v>
      </c>
      <c r="O33" s="5">
        <f>Grade17!M33-M33</f>
        <v>0</v>
      </c>
      <c r="P33" s="22">
        <f t="shared" si="12"/>
        <v>0</v>
      </c>
      <c r="Q33" s="22"/>
      <c r="R33" s="22"/>
      <c r="S33" s="22">
        <f t="shared" si="6"/>
        <v>29.015684010626615</v>
      </c>
      <c r="T33" s="22">
        <f t="shared" si="7"/>
        <v>201.64137001249983</v>
      </c>
    </row>
    <row r="34" spans="1:20" x14ac:dyDescent="0.2">
      <c r="A34" s="5">
        <v>43</v>
      </c>
      <c r="B34" s="1">
        <f t="shared" si="8"/>
        <v>1.5986501856491666</v>
      </c>
      <c r="C34" s="5">
        <f t="shared" si="9"/>
        <v>52913.748861445798</v>
      </c>
      <c r="D34" s="5">
        <f t="shared" si="0"/>
        <v>50936.120171789174</v>
      </c>
      <c r="E34" s="5">
        <f t="shared" si="1"/>
        <v>41436.120171789174</v>
      </c>
      <c r="F34" s="5">
        <f t="shared" si="2"/>
        <v>14524.255253268082</v>
      </c>
      <c r="G34" s="5">
        <f t="shared" si="3"/>
        <v>36411.864918521096</v>
      </c>
      <c r="H34" s="22">
        <f t="shared" si="10"/>
        <v>22591.330716100445</v>
      </c>
      <c r="I34" s="5">
        <f t="shared" si="4"/>
        <v>57805.855106668212</v>
      </c>
      <c r="J34" s="25">
        <f t="shared" si="5"/>
        <v>0.19156393157627627</v>
      </c>
      <c r="L34" s="22">
        <f t="shared" si="11"/>
        <v>41247.899274017029</v>
      </c>
      <c r="M34" s="5">
        <f>scrimecost*Meta!O31</f>
        <v>14260.607999999998</v>
      </c>
      <c r="N34" s="5">
        <f>L34-Grade17!L34</f>
        <v>244.67780135985959</v>
      </c>
      <c r="O34" s="5">
        <f>Grade17!M34-M34</f>
        <v>0</v>
      </c>
      <c r="P34" s="22">
        <f t="shared" si="12"/>
        <v>0</v>
      </c>
      <c r="Q34" s="22"/>
      <c r="R34" s="22"/>
      <c r="S34" s="22">
        <f t="shared" si="6"/>
        <v>29.741076110893648</v>
      </c>
      <c r="T34" s="22">
        <f t="shared" si="7"/>
        <v>228.88455924083146</v>
      </c>
    </row>
    <row r="35" spans="1:20" x14ac:dyDescent="0.2">
      <c r="A35" s="5">
        <v>44</v>
      </c>
      <c r="B35" s="1">
        <f t="shared" si="8"/>
        <v>1.6386164402903955</v>
      </c>
      <c r="C35" s="5">
        <f t="shared" si="9"/>
        <v>54236.592582981939</v>
      </c>
      <c r="D35" s="5">
        <f t="shared" si="0"/>
        <v>52188.853176083896</v>
      </c>
      <c r="E35" s="5">
        <f t="shared" si="1"/>
        <v>42688.853176083896</v>
      </c>
      <c r="F35" s="5">
        <f t="shared" si="2"/>
        <v>15058.545879599782</v>
      </c>
      <c r="G35" s="5">
        <f t="shared" si="3"/>
        <v>37130.307296484112</v>
      </c>
      <c r="H35" s="22">
        <f t="shared" si="10"/>
        <v>23156.11398400295</v>
      </c>
      <c r="I35" s="5">
        <f t="shared" si="4"/>
        <v>59059.147239334903</v>
      </c>
      <c r="J35" s="25">
        <f t="shared" si="5"/>
        <v>0.19418164077363406</v>
      </c>
      <c r="L35" s="22">
        <f t="shared" si="11"/>
        <v>42279.096755867453</v>
      </c>
      <c r="M35" s="5">
        <f>scrimecost*Meta!O32</f>
        <v>14260.607999999998</v>
      </c>
      <c r="N35" s="5">
        <f>L35-Grade17!L35</f>
        <v>250.79474639385444</v>
      </c>
      <c r="O35" s="5">
        <f>Grade17!M35-M35</f>
        <v>0</v>
      </c>
      <c r="P35" s="22">
        <f t="shared" si="12"/>
        <v>0</v>
      </c>
      <c r="Q35" s="22"/>
      <c r="R35" s="22"/>
      <c r="S35" s="22">
        <f t="shared" si="6"/>
        <v>30.484603013665794</v>
      </c>
      <c r="T35" s="22">
        <f t="shared" si="7"/>
        <v>259.80849790704843</v>
      </c>
    </row>
    <row r="36" spans="1:20" x14ac:dyDescent="0.2">
      <c r="A36" s="5">
        <v>45</v>
      </c>
      <c r="B36" s="1">
        <f t="shared" si="8"/>
        <v>1.6795818512976552</v>
      </c>
      <c r="C36" s="5">
        <f t="shared" si="9"/>
        <v>55592.507397556481</v>
      </c>
      <c r="D36" s="5">
        <f t="shared" si="0"/>
        <v>53472.904505485989</v>
      </c>
      <c r="E36" s="5">
        <f t="shared" si="1"/>
        <v>43972.904505485989</v>
      </c>
      <c r="F36" s="5">
        <f t="shared" si="2"/>
        <v>15606.193771589777</v>
      </c>
      <c r="G36" s="5">
        <f t="shared" si="3"/>
        <v>37866.710733896209</v>
      </c>
      <c r="H36" s="22">
        <f t="shared" si="10"/>
        <v>23735.016833603022</v>
      </c>
      <c r="I36" s="5">
        <f t="shared" si="4"/>
        <v>60343.771675318269</v>
      </c>
      <c r="J36" s="25">
        <f t="shared" si="5"/>
        <v>0.1967355034052026</v>
      </c>
      <c r="L36" s="22">
        <f t="shared" si="11"/>
        <v>43336.07417476413</v>
      </c>
      <c r="M36" s="5">
        <f>scrimecost*Meta!O33</f>
        <v>11524.849</v>
      </c>
      <c r="N36" s="5">
        <f>L36-Grade17!L36</f>
        <v>257.06461505369953</v>
      </c>
      <c r="O36" s="5">
        <f>Grade17!M36-M36</f>
        <v>0</v>
      </c>
      <c r="P36" s="22">
        <f t="shared" si="12"/>
        <v>0</v>
      </c>
      <c r="Q36" s="22"/>
      <c r="R36" s="22"/>
      <c r="S36" s="22">
        <f t="shared" si="6"/>
        <v>31.246718089007281</v>
      </c>
      <c r="T36" s="22">
        <f t="shared" si="7"/>
        <v>294.91048154844361</v>
      </c>
    </row>
    <row r="37" spans="1:20" x14ac:dyDescent="0.2">
      <c r="A37" s="5">
        <v>46</v>
      </c>
      <c r="B37" s="1">
        <f t="shared" ref="B37:B56" si="13">(1+experiencepremium)^(A37-startage)</f>
        <v>1.7215713975800966</v>
      </c>
      <c r="C37" s="5">
        <f t="shared" ref="C37:C56" si="14">pretaxincome*B37/expnorm</f>
        <v>56982.320082495389</v>
      </c>
      <c r="D37" s="5">
        <f t="shared" ref="D37:D56" si="15">IF(A37&lt;startage,1,0)*(C37*(1-initialunempprob))+IF(A37=startage,1,0)*(C37*(1-unempprob))+IF(A37&gt;startage,1,0)*(C37*(1-unempprob)+unempprob*300*52)</f>
        <v>54789.057118123135</v>
      </c>
      <c r="E37" s="5">
        <f t="shared" si="1"/>
        <v>45289.057118123135</v>
      </c>
      <c r="F37" s="5">
        <f t="shared" si="2"/>
        <v>16167.532860879517</v>
      </c>
      <c r="G37" s="5">
        <f t="shared" si="3"/>
        <v>38621.524257243618</v>
      </c>
      <c r="H37" s="22">
        <f t="shared" ref="H37:H56" si="16">benefits*B37/expnorm</f>
        <v>24328.392254443097</v>
      </c>
      <c r="I37" s="5">
        <f t="shared" ref="I37:I56" si="17">G37+IF(A37&lt;startage,1,0)*(H37*(1-initialunempprob))+IF(A37&gt;=startage,1,0)*(H37*(1-unempprob))</f>
        <v>61660.511722201234</v>
      </c>
      <c r="J37" s="25">
        <f t="shared" si="5"/>
        <v>0.19922707670429385</v>
      </c>
      <c r="L37" s="22">
        <f t="shared" ref="L37:L56" si="18">(sincome+sbenefits)*(1-sunemp)*B37/expnorm</f>
        <v>44419.476029133235</v>
      </c>
      <c r="M37" s="5">
        <f>scrimecost*Meta!O34</f>
        <v>11524.849</v>
      </c>
      <c r="N37" s="5">
        <f>L37-Grade17!L37</f>
        <v>263.49123043003783</v>
      </c>
      <c r="O37" s="5">
        <f>Grade17!M37-M37</f>
        <v>0</v>
      </c>
      <c r="P37" s="22">
        <f t="shared" si="12"/>
        <v>0</v>
      </c>
      <c r="Q37" s="22"/>
      <c r="R37" s="22"/>
      <c r="S37" s="22">
        <f t="shared" si="6"/>
        <v>32.027886041231952</v>
      </c>
      <c r="T37" s="22">
        <f t="shared" si="7"/>
        <v>334.75499388110831</v>
      </c>
    </row>
    <row r="38" spans="1:20" x14ac:dyDescent="0.2">
      <c r="A38" s="5">
        <v>47</v>
      </c>
      <c r="B38" s="1">
        <f t="shared" si="13"/>
        <v>1.7646106825195991</v>
      </c>
      <c r="C38" s="5">
        <f t="shared" si="14"/>
        <v>58406.878084557778</v>
      </c>
      <c r="D38" s="5">
        <f t="shared" si="15"/>
        <v>56138.113546076216</v>
      </c>
      <c r="E38" s="5">
        <f t="shared" si="1"/>
        <v>46638.113546076216</v>
      </c>
      <c r="F38" s="5">
        <f t="shared" si="2"/>
        <v>16742.905427401507</v>
      </c>
      <c r="G38" s="5">
        <f t="shared" si="3"/>
        <v>39395.208118674709</v>
      </c>
      <c r="H38" s="22">
        <f t="shared" si="16"/>
        <v>24936.602060804176</v>
      </c>
      <c r="I38" s="5">
        <f t="shared" si="17"/>
        <v>63010.170270256262</v>
      </c>
      <c r="J38" s="25">
        <f t="shared" si="5"/>
        <v>0.20165787992291948</v>
      </c>
      <c r="L38" s="22">
        <f t="shared" si="18"/>
        <v>45529.962929861569</v>
      </c>
      <c r="M38" s="5">
        <f>scrimecost*Meta!O35</f>
        <v>11524.849</v>
      </c>
      <c r="N38" s="5">
        <f>L38-Grade17!L38</f>
        <v>270.07851119078987</v>
      </c>
      <c r="O38" s="5">
        <f>Grade17!M38-M38</f>
        <v>0</v>
      </c>
      <c r="P38" s="22">
        <f t="shared" si="12"/>
        <v>0</v>
      </c>
      <c r="Q38" s="22"/>
      <c r="R38" s="22"/>
      <c r="S38" s="22">
        <f t="shared" si="6"/>
        <v>32.828583192262883</v>
      </c>
      <c r="T38" s="22">
        <f t="shared" si="7"/>
        <v>379.98278440278295</v>
      </c>
    </row>
    <row r="39" spans="1:20" x14ac:dyDescent="0.2">
      <c r="A39" s="5">
        <v>48</v>
      </c>
      <c r="B39" s="1">
        <f t="shared" si="13"/>
        <v>1.8087259495825889</v>
      </c>
      <c r="C39" s="5">
        <f t="shared" si="14"/>
        <v>59867.050036671724</v>
      </c>
      <c r="D39" s="5">
        <f t="shared" si="15"/>
        <v>57520.896384728119</v>
      </c>
      <c r="E39" s="5">
        <f t="shared" si="1"/>
        <v>48020.896384728119</v>
      </c>
      <c r="F39" s="5">
        <f t="shared" si="2"/>
        <v>17332.662308086543</v>
      </c>
      <c r="G39" s="5">
        <f t="shared" si="3"/>
        <v>40188.234076641573</v>
      </c>
      <c r="H39" s="22">
        <f t="shared" si="16"/>
        <v>25560.017112324276</v>
      </c>
      <c r="I39" s="5">
        <f t="shared" si="17"/>
        <v>64393.570282012661</v>
      </c>
      <c r="J39" s="25">
        <f t="shared" si="5"/>
        <v>0.20402939525816399</v>
      </c>
      <c r="L39" s="22">
        <f t="shared" si="18"/>
        <v>46668.212003108107</v>
      </c>
      <c r="M39" s="5">
        <f>scrimecost*Meta!O36</f>
        <v>11524.849</v>
      </c>
      <c r="N39" s="5">
        <f>L39-Grade17!L39</f>
        <v>276.83047397057089</v>
      </c>
      <c r="O39" s="5">
        <f>Grade17!M39-M39</f>
        <v>0</v>
      </c>
      <c r="P39" s="22">
        <f t="shared" si="12"/>
        <v>0</v>
      </c>
      <c r="Q39" s="22"/>
      <c r="R39" s="22"/>
      <c r="S39" s="22">
        <f t="shared" si="6"/>
        <v>33.649297772070831</v>
      </c>
      <c r="T39" s="22">
        <f t="shared" si="7"/>
        <v>431.32117244463757</v>
      </c>
    </row>
    <row r="40" spans="1:20" x14ac:dyDescent="0.2">
      <c r="A40" s="5">
        <v>49</v>
      </c>
      <c r="B40" s="1">
        <f t="shared" si="13"/>
        <v>1.8539440983221533</v>
      </c>
      <c r="C40" s="5">
        <f t="shared" si="14"/>
        <v>61363.726287588506</v>
      </c>
      <c r="D40" s="5">
        <f t="shared" si="15"/>
        <v>58938.248794346313</v>
      </c>
      <c r="E40" s="5">
        <f t="shared" si="1"/>
        <v>49438.248794346313</v>
      </c>
      <c r="F40" s="5">
        <f t="shared" si="2"/>
        <v>17937.163110788701</v>
      </c>
      <c r="G40" s="5">
        <f t="shared" si="3"/>
        <v>41001.085683557612</v>
      </c>
      <c r="H40" s="22">
        <f t="shared" si="16"/>
        <v>26199.01754013238</v>
      </c>
      <c r="I40" s="5">
        <f t="shared" si="17"/>
        <v>65811.555294062971</v>
      </c>
      <c r="J40" s="25">
        <f t="shared" si="5"/>
        <v>0.20634306875596345</v>
      </c>
      <c r="L40" s="22">
        <f t="shared" si="18"/>
        <v>47834.917303185801</v>
      </c>
      <c r="M40" s="5">
        <f>scrimecost*Meta!O37</f>
        <v>11524.849</v>
      </c>
      <c r="N40" s="5">
        <f>L40-Grade17!L40</f>
        <v>283.75123581982916</v>
      </c>
      <c r="O40" s="5">
        <f>Grade17!M40-M40</f>
        <v>0</v>
      </c>
      <c r="P40" s="22">
        <f t="shared" si="12"/>
        <v>0</v>
      </c>
      <c r="Q40" s="22"/>
      <c r="R40" s="22"/>
      <c r="S40" s="22">
        <f t="shared" si="6"/>
        <v>34.490530216371873</v>
      </c>
      <c r="T40" s="22">
        <f t="shared" si="7"/>
        <v>489.59574337400619</v>
      </c>
    </row>
    <row r="41" spans="1:20" x14ac:dyDescent="0.2">
      <c r="A41" s="5">
        <v>50</v>
      </c>
      <c r="B41" s="1">
        <f t="shared" si="13"/>
        <v>1.9002927007802071</v>
      </c>
      <c r="C41" s="5">
        <f t="shared" si="14"/>
        <v>62897.819444778215</v>
      </c>
      <c r="D41" s="5">
        <f t="shared" si="15"/>
        <v>60391.035014204972</v>
      </c>
      <c r="E41" s="5">
        <f t="shared" si="1"/>
        <v>50891.035014204972</v>
      </c>
      <c r="F41" s="5">
        <f t="shared" si="2"/>
        <v>18556.776433558422</v>
      </c>
      <c r="G41" s="5">
        <f t="shared" si="3"/>
        <v>41834.25858064655</v>
      </c>
      <c r="H41" s="22">
        <f t="shared" si="16"/>
        <v>26853.992978635688</v>
      </c>
      <c r="I41" s="5">
        <f t="shared" si="17"/>
        <v>67264.989931414544</v>
      </c>
      <c r="J41" s="25">
        <f t="shared" si="5"/>
        <v>0.20860031119284109</v>
      </c>
      <c r="L41" s="22">
        <f t="shared" si="18"/>
        <v>49030.790235765438</v>
      </c>
      <c r="M41" s="5">
        <f>scrimecost*Meta!O38</f>
        <v>7699.7380000000003</v>
      </c>
      <c r="N41" s="5">
        <f>L41-Grade17!L41</f>
        <v>290.84501671532053</v>
      </c>
      <c r="O41" s="5">
        <f>Grade17!M41-M41</f>
        <v>0</v>
      </c>
      <c r="P41" s="22">
        <f t="shared" si="12"/>
        <v>0</v>
      </c>
      <c r="Q41" s="22"/>
      <c r="R41" s="22"/>
      <c r="S41" s="22">
        <f t="shared" si="6"/>
        <v>35.352793471780636</v>
      </c>
      <c r="T41" s="22">
        <f t="shared" si="7"/>
        <v>555.74362503782368</v>
      </c>
    </row>
    <row r="42" spans="1:20" x14ac:dyDescent="0.2">
      <c r="A42" s="5">
        <v>51</v>
      </c>
      <c r="B42" s="1">
        <f t="shared" si="13"/>
        <v>1.9478000182997122</v>
      </c>
      <c r="C42" s="5">
        <f t="shared" si="14"/>
        <v>64470.264930897662</v>
      </c>
      <c r="D42" s="5">
        <f t="shared" si="15"/>
        <v>61880.140889560083</v>
      </c>
      <c r="E42" s="5">
        <f t="shared" si="1"/>
        <v>52380.140889560083</v>
      </c>
      <c r="F42" s="5">
        <f t="shared" si="2"/>
        <v>19191.880089397375</v>
      </c>
      <c r="G42" s="5">
        <f t="shared" si="3"/>
        <v>42688.260800162709</v>
      </c>
      <c r="H42" s="22">
        <f t="shared" si="16"/>
        <v>27525.342803101583</v>
      </c>
      <c r="I42" s="5">
        <f t="shared" si="17"/>
        <v>68754.760434699914</v>
      </c>
      <c r="J42" s="25">
        <f t="shared" si="5"/>
        <v>0.21080249893613623</v>
      </c>
      <c r="L42" s="22">
        <f t="shared" si="18"/>
        <v>50256.559991659575</v>
      </c>
      <c r="M42" s="5">
        <f>scrimecost*Meta!O39</f>
        <v>7699.7380000000003</v>
      </c>
      <c r="N42" s="5">
        <f>L42-Grade17!L42</f>
        <v>298.11614213320718</v>
      </c>
      <c r="O42" s="5">
        <f>Grade17!M42-M42</f>
        <v>0</v>
      </c>
      <c r="P42" s="22">
        <f t="shared" si="12"/>
        <v>0</v>
      </c>
      <c r="Q42" s="22"/>
      <c r="R42" s="22"/>
      <c r="S42" s="22">
        <f t="shared" si="6"/>
        <v>36.236613308575599</v>
      </c>
      <c r="T42" s="22">
        <f t="shared" si="7"/>
        <v>630.82855794817635</v>
      </c>
    </row>
    <row r="43" spans="1:20" x14ac:dyDescent="0.2">
      <c r="A43" s="5">
        <v>52</v>
      </c>
      <c r="B43" s="1">
        <f t="shared" si="13"/>
        <v>1.9964950187572048</v>
      </c>
      <c r="C43" s="5">
        <f t="shared" si="14"/>
        <v>66082.021554170104</v>
      </c>
      <c r="D43" s="5">
        <f t="shared" si="15"/>
        <v>63406.474411799085</v>
      </c>
      <c r="E43" s="5">
        <f t="shared" si="1"/>
        <v>53906.474411799085</v>
      </c>
      <c r="F43" s="5">
        <f t="shared" si="2"/>
        <v>19842.861336632308</v>
      </c>
      <c r="G43" s="5">
        <f t="shared" si="3"/>
        <v>43563.613075166781</v>
      </c>
      <c r="H43" s="22">
        <f t="shared" si="16"/>
        <v>28213.476373179117</v>
      </c>
      <c r="I43" s="5">
        <f t="shared" si="17"/>
        <v>70281.775200567412</v>
      </c>
      <c r="J43" s="25">
        <f t="shared" si="5"/>
        <v>0.2129509747832535</v>
      </c>
      <c r="L43" s="22">
        <f t="shared" si="18"/>
        <v>51512.973991451057</v>
      </c>
      <c r="M43" s="5">
        <f>scrimecost*Meta!O40</f>
        <v>7699.7380000000003</v>
      </c>
      <c r="N43" s="5">
        <f>L43-Grade17!L43</f>
        <v>305.56904568652681</v>
      </c>
      <c r="O43" s="5">
        <f>Grade17!M43-M43</f>
        <v>0</v>
      </c>
      <c r="P43" s="22">
        <f t="shared" si="12"/>
        <v>0</v>
      </c>
      <c r="Q43" s="22"/>
      <c r="R43" s="22"/>
      <c r="S43" s="22">
        <f t="shared" si="6"/>
        <v>37.142528641288706</v>
      </c>
      <c r="T43" s="22">
        <f t="shared" si="7"/>
        <v>716.05800155759414</v>
      </c>
    </row>
    <row r="44" spans="1:20" x14ac:dyDescent="0.2">
      <c r="A44" s="5">
        <v>53</v>
      </c>
      <c r="B44" s="1">
        <f t="shared" si="13"/>
        <v>2.0464073942261352</v>
      </c>
      <c r="C44" s="5">
        <f t="shared" si="14"/>
        <v>67734.072093024355</v>
      </c>
      <c r="D44" s="5">
        <f t="shared" si="15"/>
        <v>64970.966272094061</v>
      </c>
      <c r="E44" s="5">
        <f t="shared" si="1"/>
        <v>55470.966272094061</v>
      </c>
      <c r="F44" s="5">
        <f t="shared" si="2"/>
        <v>20510.117115048117</v>
      </c>
      <c r="G44" s="5">
        <f t="shared" si="3"/>
        <v>44460.849157045945</v>
      </c>
      <c r="H44" s="22">
        <f t="shared" si="16"/>
        <v>28918.8132825086</v>
      </c>
      <c r="I44" s="5">
        <f t="shared" si="17"/>
        <v>71846.965335581583</v>
      </c>
      <c r="J44" s="25">
        <f t="shared" si="5"/>
        <v>0.21504704878044109</v>
      </c>
      <c r="L44" s="22">
        <f t="shared" si="18"/>
        <v>52800.798341237343</v>
      </c>
      <c r="M44" s="5">
        <f>scrimecost*Meta!O41</f>
        <v>7699.7380000000003</v>
      </c>
      <c r="N44" s="5">
        <f>L44-Grade17!L44</f>
        <v>313.20827182870562</v>
      </c>
      <c r="O44" s="5">
        <f>Grade17!M44-M44</f>
        <v>0</v>
      </c>
      <c r="P44" s="22">
        <f t="shared" si="12"/>
        <v>0</v>
      </c>
      <c r="Q44" s="22"/>
      <c r="R44" s="22"/>
      <c r="S44" s="22">
        <f t="shared" si="6"/>
        <v>38.07109185732282</v>
      </c>
      <c r="T44" s="22">
        <f t="shared" si="7"/>
        <v>812.80255171456747</v>
      </c>
    </row>
    <row r="45" spans="1:20" x14ac:dyDescent="0.2">
      <c r="A45" s="5">
        <v>54</v>
      </c>
      <c r="B45" s="1">
        <f t="shared" si="13"/>
        <v>2.097567579081788</v>
      </c>
      <c r="C45" s="5">
        <f t="shared" si="14"/>
        <v>69427.423895349944</v>
      </c>
      <c r="D45" s="5">
        <f t="shared" si="15"/>
        <v>66574.57042889639</v>
      </c>
      <c r="E45" s="5">
        <f t="shared" si="1"/>
        <v>57074.57042889639</v>
      </c>
      <c r="F45" s="5">
        <f t="shared" si="2"/>
        <v>21194.054287924311</v>
      </c>
      <c r="G45" s="5">
        <f t="shared" si="3"/>
        <v>45380.516140972075</v>
      </c>
      <c r="H45" s="22">
        <f t="shared" si="16"/>
        <v>29641.783614571304</v>
      </c>
      <c r="I45" s="5">
        <f t="shared" si="17"/>
        <v>73451.285223971092</v>
      </c>
      <c r="J45" s="25">
        <f t="shared" si="5"/>
        <v>0.2170919990215997</v>
      </c>
      <c r="L45" s="22">
        <f t="shared" si="18"/>
        <v>54120.818299768267</v>
      </c>
      <c r="M45" s="5">
        <f>scrimecost*Meta!O42</f>
        <v>7699.7380000000003</v>
      </c>
      <c r="N45" s="5">
        <f>L45-Grade17!L45</f>
        <v>321.03847862440307</v>
      </c>
      <c r="O45" s="5">
        <f>Grade17!M45-M45</f>
        <v>0</v>
      </c>
      <c r="P45" s="22">
        <f t="shared" si="12"/>
        <v>0</v>
      </c>
      <c r="Q45" s="22"/>
      <c r="R45" s="22"/>
      <c r="S45" s="22">
        <f t="shared" si="6"/>
        <v>39.02286915375344</v>
      </c>
      <c r="T45" s="22">
        <f t="shared" si="7"/>
        <v>922.61798155536769</v>
      </c>
    </row>
    <row r="46" spans="1:20" x14ac:dyDescent="0.2">
      <c r="A46" s="5">
        <v>55</v>
      </c>
      <c r="B46" s="1">
        <f t="shared" si="13"/>
        <v>2.1500067685588333</v>
      </c>
      <c r="C46" s="5">
        <f t="shared" si="14"/>
        <v>71163.109492733725</v>
      </c>
      <c r="D46" s="5">
        <f t="shared" si="15"/>
        <v>68218.264689618838</v>
      </c>
      <c r="E46" s="5">
        <f t="shared" si="1"/>
        <v>58718.264689618838</v>
      </c>
      <c r="F46" s="5">
        <f t="shared" si="2"/>
        <v>21895.089890122435</v>
      </c>
      <c r="G46" s="5">
        <f t="shared" si="3"/>
        <v>46323.174799496403</v>
      </c>
      <c r="H46" s="22">
        <f t="shared" si="16"/>
        <v>30382.828204935595</v>
      </c>
      <c r="I46" s="5">
        <f t="shared" si="17"/>
        <v>75095.71310957041</v>
      </c>
      <c r="J46" s="25">
        <f t="shared" si="5"/>
        <v>0.21908707242760819</v>
      </c>
      <c r="L46" s="22">
        <f t="shared" si="18"/>
        <v>55473.838757262478</v>
      </c>
      <c r="M46" s="5">
        <f>scrimecost*Meta!O43</f>
        <v>4270.7550000000001</v>
      </c>
      <c r="N46" s="5">
        <f>L46-Grade17!L46</f>
        <v>329.06444059002388</v>
      </c>
      <c r="O46" s="5">
        <f>Grade17!M46-M46</f>
        <v>0</v>
      </c>
      <c r="P46" s="22">
        <f t="shared" si="12"/>
        <v>0</v>
      </c>
      <c r="Q46" s="22"/>
      <c r="R46" s="22"/>
      <c r="S46" s="22">
        <f t="shared" ref="S46:S69" si="19">IF(A46&lt;startage,1,0)*(N46-Q46-R46)+IF(A46&gt;=startage,1,0)*completionprob*(N46*spart+O46+P46)</f>
        <v>39.99844088259858</v>
      </c>
      <c r="T46" s="22">
        <f t="shared" ref="T46:T69" si="20">S46/sreturn^(A46-startage+1)</f>
        <v>1047.2702602787929</v>
      </c>
    </row>
    <row r="47" spans="1:20" x14ac:dyDescent="0.2">
      <c r="A47" s="5">
        <v>56</v>
      </c>
      <c r="B47" s="1">
        <f t="shared" si="13"/>
        <v>2.2037569377728037</v>
      </c>
      <c r="C47" s="5">
        <f t="shared" si="14"/>
        <v>72942.187230052048</v>
      </c>
      <c r="D47" s="5">
        <f t="shared" si="15"/>
        <v>69903.051306859285</v>
      </c>
      <c r="E47" s="5">
        <f t="shared" si="1"/>
        <v>60403.051306859285</v>
      </c>
      <c r="F47" s="5">
        <f t="shared" si="2"/>
        <v>22613.651382375487</v>
      </c>
      <c r="G47" s="5">
        <f t="shared" si="3"/>
        <v>47289.399924483798</v>
      </c>
      <c r="H47" s="22">
        <f t="shared" si="16"/>
        <v>31142.398910058982</v>
      </c>
      <c r="I47" s="5">
        <f t="shared" si="17"/>
        <v>76781.251692309655</v>
      </c>
      <c r="J47" s="25">
        <f t="shared" si="5"/>
        <v>0.2210334855066407</v>
      </c>
      <c r="L47" s="22">
        <f t="shared" si="18"/>
        <v>56860.684726194035</v>
      </c>
      <c r="M47" s="5">
        <f>scrimecost*Meta!O44</f>
        <v>4270.7550000000001</v>
      </c>
      <c r="N47" s="5">
        <f>L47-Grade17!L47</f>
        <v>337.29105160477775</v>
      </c>
      <c r="O47" s="5">
        <f>Grade17!M47-M47</f>
        <v>0</v>
      </c>
      <c r="P47" s="22">
        <f t="shared" si="12"/>
        <v>0</v>
      </c>
      <c r="Q47" s="22"/>
      <c r="R47" s="22"/>
      <c r="S47" s="22">
        <f t="shared" si="19"/>
        <v>40.998401904663943</v>
      </c>
      <c r="T47" s="22">
        <f t="shared" si="20"/>
        <v>1188.7639521347942</v>
      </c>
    </row>
    <row r="48" spans="1:20" x14ac:dyDescent="0.2">
      <c r="A48" s="5">
        <v>57</v>
      </c>
      <c r="B48" s="1">
        <f t="shared" si="13"/>
        <v>2.2588508612171236</v>
      </c>
      <c r="C48" s="5">
        <f t="shared" si="14"/>
        <v>74765.741910803335</v>
      </c>
      <c r="D48" s="5">
        <f t="shared" si="15"/>
        <v>71629.957589530764</v>
      </c>
      <c r="E48" s="5">
        <f t="shared" si="1"/>
        <v>62129.957589530764</v>
      </c>
      <c r="F48" s="5">
        <f t="shared" si="2"/>
        <v>23350.176911934868</v>
      </c>
      <c r="G48" s="5">
        <f t="shared" si="3"/>
        <v>48279.780677595896</v>
      </c>
      <c r="H48" s="22">
        <f t="shared" si="16"/>
        <v>31920.958882810453</v>
      </c>
      <c r="I48" s="5">
        <f t="shared" si="17"/>
        <v>78508.92873961739</v>
      </c>
      <c r="J48" s="25">
        <f t="shared" si="5"/>
        <v>0.22293242509594077</v>
      </c>
      <c r="L48" s="22">
        <f t="shared" si="18"/>
        <v>58282.201844348885</v>
      </c>
      <c r="M48" s="5">
        <f>scrimecost*Meta!O45</f>
        <v>4270.7550000000001</v>
      </c>
      <c r="N48" s="5">
        <f>L48-Grade17!L48</f>
        <v>345.72332789489155</v>
      </c>
      <c r="O48" s="5">
        <f>Grade17!M48-M48</f>
        <v>0</v>
      </c>
      <c r="P48" s="22">
        <f t="shared" si="12"/>
        <v>0</v>
      </c>
      <c r="Q48" s="22"/>
      <c r="R48" s="22"/>
      <c r="S48" s="22">
        <f t="shared" si="19"/>
        <v>42.023361952279856</v>
      </c>
      <c r="T48" s="22">
        <f t="shared" si="20"/>
        <v>1349.3744523203611</v>
      </c>
    </row>
    <row r="49" spans="1:20" x14ac:dyDescent="0.2">
      <c r="A49" s="5">
        <v>58</v>
      </c>
      <c r="B49" s="1">
        <f t="shared" si="13"/>
        <v>2.3153221327475517</v>
      </c>
      <c r="C49" s="5">
        <f t="shared" si="14"/>
        <v>76634.885458573423</v>
      </c>
      <c r="D49" s="5">
        <f t="shared" si="15"/>
        <v>73400.036529269026</v>
      </c>
      <c r="E49" s="5">
        <f t="shared" si="1"/>
        <v>63900.036529269026</v>
      </c>
      <c r="F49" s="5">
        <f t="shared" si="2"/>
        <v>24105.115579733239</v>
      </c>
      <c r="G49" s="5">
        <f t="shared" si="3"/>
        <v>49294.920949535786</v>
      </c>
      <c r="H49" s="22">
        <f t="shared" si="16"/>
        <v>32718.982854880713</v>
      </c>
      <c r="I49" s="5">
        <f t="shared" si="17"/>
        <v>80279.797713107822</v>
      </c>
      <c r="J49" s="25">
        <f t="shared" si="5"/>
        <v>0.22478504908550184</v>
      </c>
      <c r="L49" s="22">
        <f t="shared" si="18"/>
        <v>59739.256890457604</v>
      </c>
      <c r="M49" s="5">
        <f>scrimecost*Meta!O46</f>
        <v>4270.7550000000001</v>
      </c>
      <c r="N49" s="5">
        <f>L49-Grade17!L49</f>
        <v>354.36641109227639</v>
      </c>
      <c r="O49" s="5">
        <f>Grade17!M49-M49</f>
        <v>0</v>
      </c>
      <c r="P49" s="22">
        <f t="shared" si="12"/>
        <v>0</v>
      </c>
      <c r="Q49" s="22"/>
      <c r="R49" s="22"/>
      <c r="S49" s="22">
        <f t="shared" si="19"/>
        <v>43.073946001088373</v>
      </c>
      <c r="T49" s="22">
        <f t="shared" si="20"/>
        <v>1531.6845781747816</v>
      </c>
    </row>
    <row r="50" spans="1:20" x14ac:dyDescent="0.2">
      <c r="A50" s="5">
        <v>59</v>
      </c>
      <c r="B50" s="1">
        <f t="shared" si="13"/>
        <v>2.3732051860662402</v>
      </c>
      <c r="C50" s="5">
        <f t="shared" si="14"/>
        <v>78550.75759503775</v>
      </c>
      <c r="D50" s="5">
        <f t="shared" si="15"/>
        <v>75214.367442500748</v>
      </c>
      <c r="E50" s="5">
        <f t="shared" si="1"/>
        <v>65714.367442500748</v>
      </c>
      <c r="F50" s="5">
        <f t="shared" si="2"/>
        <v>24878.927714226567</v>
      </c>
      <c r="G50" s="5">
        <f t="shared" si="3"/>
        <v>50335.439728274185</v>
      </c>
      <c r="H50" s="22">
        <f t="shared" si="16"/>
        <v>33536.957426252731</v>
      </c>
      <c r="I50" s="5">
        <f t="shared" si="17"/>
        <v>82094.938410935516</v>
      </c>
      <c r="J50" s="25">
        <f t="shared" si="5"/>
        <v>0.22659248712409802</v>
      </c>
      <c r="L50" s="22">
        <f t="shared" si="18"/>
        <v>61232.738312719033</v>
      </c>
      <c r="M50" s="5">
        <f>scrimecost*Meta!O47</f>
        <v>4270.7550000000001</v>
      </c>
      <c r="N50" s="5">
        <f>L50-Grade17!L50</f>
        <v>363.22557136956311</v>
      </c>
      <c r="O50" s="5">
        <f>Grade17!M50-M50</f>
        <v>0</v>
      </c>
      <c r="P50" s="22">
        <f t="shared" si="12"/>
        <v>0</v>
      </c>
      <c r="Q50" s="22"/>
      <c r="R50" s="22"/>
      <c r="S50" s="22">
        <f t="shared" si="19"/>
        <v>44.150794651113131</v>
      </c>
      <c r="T50" s="22">
        <f t="shared" si="20"/>
        <v>1738.6261041062439</v>
      </c>
    </row>
    <row r="51" spans="1:20" x14ac:dyDescent="0.2">
      <c r="A51" s="5">
        <v>60</v>
      </c>
      <c r="B51" s="1">
        <f t="shared" si="13"/>
        <v>2.4325353157178964</v>
      </c>
      <c r="C51" s="5">
        <f t="shared" si="14"/>
        <v>80514.526534913704</v>
      </c>
      <c r="D51" s="5">
        <f t="shared" si="15"/>
        <v>77074.056628563281</v>
      </c>
      <c r="E51" s="5">
        <f t="shared" si="1"/>
        <v>67574.056628563281</v>
      </c>
      <c r="F51" s="5">
        <f t="shared" si="2"/>
        <v>25672.08515208224</v>
      </c>
      <c r="G51" s="5">
        <f t="shared" si="3"/>
        <v>51401.971476481041</v>
      </c>
      <c r="H51" s="22">
        <f t="shared" si="16"/>
        <v>34375.381361909051</v>
      </c>
      <c r="I51" s="5">
        <f t="shared" si="17"/>
        <v>83955.45762620891</v>
      </c>
      <c r="J51" s="25">
        <f t="shared" si="5"/>
        <v>0.22835584130809433</v>
      </c>
      <c r="L51" s="22">
        <f t="shared" si="18"/>
        <v>62763.556770537019</v>
      </c>
      <c r="M51" s="5">
        <f>scrimecost*Meta!O48</f>
        <v>2252.9780000000001</v>
      </c>
      <c r="N51" s="5">
        <f>L51-Grade17!L51</f>
        <v>372.30621065382002</v>
      </c>
      <c r="O51" s="5">
        <f>Grade17!M51-M51</f>
        <v>0</v>
      </c>
      <c r="P51" s="22">
        <f t="shared" si="12"/>
        <v>0</v>
      </c>
      <c r="Q51" s="22"/>
      <c r="R51" s="22"/>
      <c r="S51" s="22">
        <f t="shared" si="19"/>
        <v>45.254564517393128</v>
      </c>
      <c r="T51" s="22">
        <f t="shared" si="20"/>
        <v>1973.5269081850297</v>
      </c>
    </row>
    <row r="52" spans="1:20" x14ac:dyDescent="0.2">
      <c r="A52" s="5">
        <v>61</v>
      </c>
      <c r="B52" s="1">
        <f t="shared" si="13"/>
        <v>2.4933486986108435</v>
      </c>
      <c r="C52" s="5">
        <f t="shared" si="14"/>
        <v>82527.389698286541</v>
      </c>
      <c r="D52" s="5">
        <f t="shared" si="15"/>
        <v>78980.238044277357</v>
      </c>
      <c r="E52" s="5">
        <f t="shared" si="1"/>
        <v>69480.238044277357</v>
      </c>
      <c r="F52" s="5">
        <f t="shared" si="2"/>
        <v>26485.071525884294</v>
      </c>
      <c r="G52" s="5">
        <f t="shared" si="3"/>
        <v>52495.16651839306</v>
      </c>
      <c r="H52" s="22">
        <f t="shared" si="16"/>
        <v>35234.765895956771</v>
      </c>
      <c r="I52" s="5">
        <f t="shared" si="17"/>
        <v>85862.489821864117</v>
      </c>
      <c r="J52" s="25">
        <f t="shared" si="5"/>
        <v>0.23007618685345652</v>
      </c>
      <c r="L52" s="22">
        <f t="shared" si="18"/>
        <v>64332.645689800433</v>
      </c>
      <c r="M52" s="5">
        <f>scrimecost*Meta!O49</f>
        <v>2252.9780000000001</v>
      </c>
      <c r="N52" s="5">
        <f>L52-Grade17!L52</f>
        <v>381.61386592016788</v>
      </c>
      <c r="O52" s="5">
        <f>Grade17!M52-M52</f>
        <v>0</v>
      </c>
      <c r="P52" s="22">
        <f t="shared" si="12"/>
        <v>0</v>
      </c>
      <c r="Q52" s="22"/>
      <c r="R52" s="22"/>
      <c r="S52" s="22">
        <f t="shared" si="19"/>
        <v>46.385928630328245</v>
      </c>
      <c r="T52" s="22">
        <f t="shared" si="20"/>
        <v>2240.1644885760879</v>
      </c>
    </row>
    <row r="53" spans="1:20" x14ac:dyDescent="0.2">
      <c r="A53" s="5">
        <v>62</v>
      </c>
      <c r="B53" s="1">
        <f t="shared" si="13"/>
        <v>2.555682416076114</v>
      </c>
      <c r="C53" s="5">
        <f t="shared" si="14"/>
        <v>84590.574440743687</v>
      </c>
      <c r="D53" s="5">
        <f t="shared" si="15"/>
        <v>80934.073995384271</v>
      </c>
      <c r="E53" s="5">
        <f t="shared" si="1"/>
        <v>71434.073995384271</v>
      </c>
      <c r="F53" s="5">
        <f t="shared" si="2"/>
        <v>27318.382559031394</v>
      </c>
      <c r="G53" s="5">
        <f t="shared" si="3"/>
        <v>53615.691436352878</v>
      </c>
      <c r="H53" s="22">
        <f t="shared" si="16"/>
        <v>36115.63504335568</v>
      </c>
      <c r="I53" s="5">
        <f t="shared" si="17"/>
        <v>87817.197822410701</v>
      </c>
      <c r="J53" s="25">
        <f t="shared" si="5"/>
        <v>0.23175457275137085</v>
      </c>
      <c r="L53" s="22">
        <f t="shared" si="18"/>
        <v>65940.961832045432</v>
      </c>
      <c r="M53" s="5">
        <f>scrimecost*Meta!O50</f>
        <v>2252.9780000000001</v>
      </c>
      <c r="N53" s="5">
        <f>L53-Grade17!L53</f>
        <v>391.15421256815898</v>
      </c>
      <c r="O53" s="5">
        <f>Grade17!M53-M53</f>
        <v>0</v>
      </c>
      <c r="P53" s="22">
        <f t="shared" si="12"/>
        <v>0</v>
      </c>
      <c r="Q53" s="22"/>
      <c r="R53" s="22"/>
      <c r="S53" s="22">
        <f t="shared" si="19"/>
        <v>47.545576846084856</v>
      </c>
      <c r="T53" s="22">
        <f t="shared" si="20"/>
        <v>2542.8267104259144</v>
      </c>
    </row>
    <row r="54" spans="1:20" x14ac:dyDescent="0.2">
      <c r="A54" s="5">
        <v>63</v>
      </c>
      <c r="B54" s="1">
        <f t="shared" si="13"/>
        <v>2.6195744764780171</v>
      </c>
      <c r="C54" s="5">
        <f t="shared" si="14"/>
        <v>86705.338801762278</v>
      </c>
      <c r="D54" s="5">
        <f t="shared" si="15"/>
        <v>82936.755845268883</v>
      </c>
      <c r="E54" s="5">
        <f t="shared" si="1"/>
        <v>73436.755845268883</v>
      </c>
      <c r="F54" s="5">
        <f t="shared" si="2"/>
        <v>28172.52636800718</v>
      </c>
      <c r="G54" s="5">
        <f t="shared" si="3"/>
        <v>54764.229477261702</v>
      </c>
      <c r="H54" s="22">
        <f t="shared" si="16"/>
        <v>37018.525919439577</v>
      </c>
      <c r="I54" s="5">
        <f t="shared" si="17"/>
        <v>89820.77352297098</v>
      </c>
      <c r="J54" s="25">
        <f t="shared" si="5"/>
        <v>0.23339202240787263</v>
      </c>
      <c r="L54" s="22">
        <f t="shared" si="18"/>
        <v>67589.485877846571</v>
      </c>
      <c r="M54" s="5">
        <f>scrimecost*Meta!O51</f>
        <v>2252.9780000000001</v>
      </c>
      <c r="N54" s="5">
        <f>L54-Grade17!L54</f>
        <v>400.93306788237533</v>
      </c>
      <c r="O54" s="5">
        <f>Grade17!M54-M54</f>
        <v>0</v>
      </c>
      <c r="P54" s="22">
        <f t="shared" si="12"/>
        <v>0</v>
      </c>
      <c r="Q54" s="22"/>
      <c r="R54" s="22"/>
      <c r="S54" s="22">
        <f t="shared" si="19"/>
        <v>48.73421626723848</v>
      </c>
      <c r="T54" s="22">
        <f t="shared" si="20"/>
        <v>2886.3807600868849</v>
      </c>
    </row>
    <row r="55" spans="1:20" x14ac:dyDescent="0.2">
      <c r="A55" s="5">
        <v>64</v>
      </c>
      <c r="B55" s="1">
        <f t="shared" si="13"/>
        <v>2.6850638383899672</v>
      </c>
      <c r="C55" s="5">
        <f t="shared" si="14"/>
        <v>88872.972271806328</v>
      </c>
      <c r="D55" s="5">
        <f t="shared" si="15"/>
        <v>84989.504741400597</v>
      </c>
      <c r="E55" s="5">
        <f t="shared" si="1"/>
        <v>75489.504741400597</v>
      </c>
      <c r="F55" s="5">
        <f t="shared" si="2"/>
        <v>29048.023772207354</v>
      </c>
      <c r="G55" s="5">
        <f t="shared" si="3"/>
        <v>55941.480969193246</v>
      </c>
      <c r="H55" s="22">
        <f t="shared" si="16"/>
        <v>37943.989067425566</v>
      </c>
      <c r="I55" s="5">
        <f t="shared" si="17"/>
        <v>91874.438616045256</v>
      </c>
      <c r="J55" s="25">
        <f t="shared" si="5"/>
        <v>0.23498953426787436</v>
      </c>
      <c r="L55" s="22">
        <f t="shared" si="18"/>
        <v>69279.223024792722</v>
      </c>
      <c r="M55" s="5">
        <f>scrimecost*Meta!O52</f>
        <v>2252.9780000000001</v>
      </c>
      <c r="N55" s="5">
        <f>L55-Grade17!L55</f>
        <v>410.95639457942161</v>
      </c>
      <c r="O55" s="5">
        <f>Grade17!M55-M55</f>
        <v>0</v>
      </c>
      <c r="P55" s="22">
        <f t="shared" si="12"/>
        <v>0</v>
      </c>
      <c r="Q55" s="22"/>
      <c r="R55" s="22"/>
      <c r="S55" s="22">
        <f t="shared" si="19"/>
        <v>49.952571673917852</v>
      </c>
      <c r="T55" s="22">
        <f t="shared" si="20"/>
        <v>3276.3514155487906</v>
      </c>
    </row>
    <row r="56" spans="1:20" x14ac:dyDescent="0.2">
      <c r="A56" s="5">
        <v>65</v>
      </c>
      <c r="B56" s="1">
        <f t="shared" si="13"/>
        <v>2.7521904343497163</v>
      </c>
      <c r="C56" s="5">
        <f t="shared" si="14"/>
        <v>91094.796578601483</v>
      </c>
      <c r="D56" s="5">
        <f t="shared" si="15"/>
        <v>87093.572359935599</v>
      </c>
      <c r="E56" s="5">
        <f t="shared" si="1"/>
        <v>77593.572359935599</v>
      </c>
      <c r="F56" s="5">
        <f t="shared" si="2"/>
        <v>29945.408611512532</v>
      </c>
      <c r="G56" s="5">
        <f t="shared" si="3"/>
        <v>57148.163748423067</v>
      </c>
      <c r="H56" s="22">
        <f t="shared" si="16"/>
        <v>38892.588794111201</v>
      </c>
      <c r="I56" s="5">
        <f t="shared" si="17"/>
        <v>93979.44533644637</v>
      </c>
      <c r="J56" s="25">
        <f t="shared" si="5"/>
        <v>0.2365480824239736</v>
      </c>
      <c r="L56" s="22">
        <f t="shared" si="18"/>
        <v>71011.20360041254</v>
      </c>
      <c r="M56" s="5">
        <f>scrimecost*Meta!O53</f>
        <v>680.84500000000003</v>
      </c>
      <c r="N56" s="5">
        <f>L56-Grade17!L56</f>
        <v>421.2303044439177</v>
      </c>
      <c r="O56" s="5">
        <f>Grade17!M56-M56</f>
        <v>0</v>
      </c>
      <c r="P56" s="22">
        <f t="shared" si="12"/>
        <v>0</v>
      </c>
      <c r="Q56" s="22"/>
      <c r="R56" s="22"/>
      <c r="S56" s="22">
        <f t="shared" si="19"/>
        <v>51.201385965767081</v>
      </c>
      <c r="T56" s="22">
        <f t="shared" si="20"/>
        <v>3719.0098917670334</v>
      </c>
    </row>
    <row r="57" spans="1:20" x14ac:dyDescent="0.2">
      <c r="A57" s="5">
        <v>66</v>
      </c>
      <c r="C57" s="5"/>
      <c r="H57" s="21"/>
      <c r="I57" s="5"/>
      <c r="M57" s="5">
        <f>scrimecost*Meta!O54</f>
        <v>680.84500000000003</v>
      </c>
      <c r="N57" s="5">
        <f>L57-Grade17!L57</f>
        <v>0</v>
      </c>
      <c r="O57" s="5">
        <f>Grade17!M57-M57</f>
        <v>0</v>
      </c>
      <c r="Q57" s="22"/>
      <c r="R57" s="22"/>
      <c r="S57" s="22">
        <f t="shared" si="19"/>
        <v>0</v>
      </c>
      <c r="T57" s="22">
        <f t="shared" si="20"/>
        <v>0</v>
      </c>
    </row>
    <row r="58" spans="1:20" x14ac:dyDescent="0.2">
      <c r="A58" s="5">
        <v>67</v>
      </c>
      <c r="C58" s="5"/>
      <c r="H58" s="21"/>
      <c r="I58" s="5"/>
      <c r="M58" s="5">
        <f>scrimecost*Meta!O55</f>
        <v>680.84500000000003</v>
      </c>
      <c r="N58" s="5">
        <f>L58-Grade17!L58</f>
        <v>0</v>
      </c>
      <c r="O58" s="5">
        <f>Grade17!M58-M58</f>
        <v>0</v>
      </c>
      <c r="Q58" s="22"/>
      <c r="R58" s="22"/>
      <c r="S58" s="22">
        <f t="shared" si="19"/>
        <v>0</v>
      </c>
      <c r="T58" s="22">
        <f t="shared" si="20"/>
        <v>0</v>
      </c>
    </row>
    <row r="59" spans="1:20" x14ac:dyDescent="0.2">
      <c r="A59" s="5">
        <v>68</v>
      </c>
      <c r="H59" s="21"/>
      <c r="I59" s="5"/>
      <c r="M59" s="5">
        <f>scrimecost*Meta!O56</f>
        <v>680.84500000000003</v>
      </c>
      <c r="N59" s="5">
        <f>L59-Grade17!L59</f>
        <v>0</v>
      </c>
      <c r="O59" s="5">
        <f>Grade17!M59-M59</f>
        <v>0</v>
      </c>
      <c r="Q59" s="22"/>
      <c r="R59" s="22"/>
      <c r="S59" s="22">
        <f t="shared" si="19"/>
        <v>0</v>
      </c>
      <c r="T59" s="22">
        <f t="shared" si="20"/>
        <v>0</v>
      </c>
    </row>
    <row r="60" spans="1:20" x14ac:dyDescent="0.2">
      <c r="A60" s="5">
        <v>69</v>
      </c>
      <c r="H60" s="21"/>
      <c r="I60" s="5"/>
      <c r="M60" s="5">
        <f>scrimecost*Meta!O57</f>
        <v>680.84500000000003</v>
      </c>
      <c r="N60" s="5">
        <f>L60-Grade17!L60</f>
        <v>0</v>
      </c>
      <c r="O60" s="5">
        <f>Grade17!M60-M60</f>
        <v>0</v>
      </c>
      <c r="Q60" s="22"/>
      <c r="R60" s="22"/>
      <c r="S60" s="22">
        <f t="shared" si="19"/>
        <v>0</v>
      </c>
      <c r="T60" s="22">
        <f t="shared" si="20"/>
        <v>0</v>
      </c>
    </row>
    <row r="61" spans="1:20" x14ac:dyDescent="0.2">
      <c r="A61" s="5">
        <v>70</v>
      </c>
      <c r="H61" s="21"/>
      <c r="I61" s="5"/>
      <c r="M61" s="5">
        <f>scrimecost*Meta!O58</f>
        <v>680.84500000000003</v>
      </c>
      <c r="N61" s="5">
        <f>L61-Grade17!L61</f>
        <v>0</v>
      </c>
      <c r="O61" s="5">
        <f>Grade17!M61-M61</f>
        <v>0</v>
      </c>
      <c r="Q61" s="22"/>
      <c r="R61" s="22"/>
      <c r="S61" s="22">
        <f t="shared" si="19"/>
        <v>0</v>
      </c>
      <c r="T61" s="22">
        <f t="shared" si="20"/>
        <v>0</v>
      </c>
    </row>
    <row r="62" spans="1:20" x14ac:dyDescent="0.2">
      <c r="A62" s="5">
        <v>71</v>
      </c>
      <c r="H62" s="21"/>
      <c r="I62" s="5"/>
      <c r="M62" s="5">
        <f>scrimecost*Meta!O59</f>
        <v>680.84500000000003</v>
      </c>
      <c r="N62" s="5">
        <f>L62-Grade17!L62</f>
        <v>0</v>
      </c>
      <c r="O62" s="5">
        <f>Grade17!M62-M62</f>
        <v>0</v>
      </c>
      <c r="Q62" s="22"/>
      <c r="R62" s="22"/>
      <c r="S62" s="22">
        <f t="shared" si="19"/>
        <v>0</v>
      </c>
      <c r="T62" s="22">
        <f t="shared" si="20"/>
        <v>0</v>
      </c>
    </row>
    <row r="63" spans="1:20" x14ac:dyDescent="0.2">
      <c r="A63" s="5">
        <v>72</v>
      </c>
      <c r="H63" s="21"/>
      <c r="M63" s="5">
        <f>scrimecost*Meta!O60</f>
        <v>680.84500000000003</v>
      </c>
      <c r="N63" s="5">
        <f>L63-Grade17!L63</f>
        <v>0</v>
      </c>
      <c r="O63" s="5">
        <f>Grade17!M63-M63</f>
        <v>0</v>
      </c>
      <c r="Q63" s="22"/>
      <c r="R63" s="22"/>
      <c r="S63" s="22">
        <f t="shared" si="19"/>
        <v>0</v>
      </c>
      <c r="T63" s="22">
        <f t="shared" si="20"/>
        <v>0</v>
      </c>
    </row>
    <row r="64" spans="1:20" x14ac:dyDescent="0.2">
      <c r="A64" s="5">
        <v>73</v>
      </c>
      <c r="H64" s="21"/>
      <c r="M64" s="5">
        <f>scrimecost*Meta!O61</f>
        <v>680.84500000000003</v>
      </c>
      <c r="N64" s="5">
        <f>L64-Grade17!L64</f>
        <v>0</v>
      </c>
      <c r="O64" s="5">
        <f>Grade17!M64-M64</f>
        <v>0</v>
      </c>
      <c r="Q64" s="22"/>
      <c r="R64" s="22"/>
      <c r="S64" s="22">
        <f t="shared" si="19"/>
        <v>0</v>
      </c>
      <c r="T64" s="22">
        <f t="shared" si="20"/>
        <v>0</v>
      </c>
    </row>
    <row r="65" spans="1:20" x14ac:dyDescent="0.2">
      <c r="A65" s="5">
        <v>74</v>
      </c>
      <c r="H65" s="21"/>
      <c r="M65" s="5">
        <f>scrimecost*Meta!O62</f>
        <v>680.84500000000003</v>
      </c>
      <c r="N65" s="5">
        <f>L65-Grade17!L65</f>
        <v>0</v>
      </c>
      <c r="O65" s="5">
        <f>Grade17!M65-M65</f>
        <v>0</v>
      </c>
      <c r="Q65" s="22"/>
      <c r="R65" s="22"/>
      <c r="S65" s="22">
        <f t="shared" si="19"/>
        <v>0</v>
      </c>
      <c r="T65" s="22">
        <f t="shared" si="20"/>
        <v>0</v>
      </c>
    </row>
    <row r="66" spans="1:20" x14ac:dyDescent="0.2">
      <c r="A66" s="5">
        <v>75</v>
      </c>
      <c r="H66" s="21"/>
      <c r="M66" s="5">
        <f>scrimecost*Meta!O63</f>
        <v>680.84500000000003</v>
      </c>
      <c r="N66" s="5">
        <f>L66-Grade17!L66</f>
        <v>0</v>
      </c>
      <c r="O66" s="5">
        <f>Grade17!M66-M66</f>
        <v>0</v>
      </c>
      <c r="Q66" s="22"/>
      <c r="R66" s="22"/>
      <c r="S66" s="22">
        <f t="shared" si="19"/>
        <v>0</v>
      </c>
      <c r="T66" s="22">
        <f t="shared" si="20"/>
        <v>0</v>
      </c>
    </row>
    <row r="67" spans="1:20" x14ac:dyDescent="0.2">
      <c r="A67" s="5">
        <v>76</v>
      </c>
      <c r="H67" s="21"/>
      <c r="M67" s="5">
        <f>scrimecost*Meta!O64</f>
        <v>680.84500000000003</v>
      </c>
      <c r="N67" s="5">
        <f>L67-Grade17!L67</f>
        <v>0</v>
      </c>
      <c r="O67" s="5">
        <f>Grade17!M67-M67</f>
        <v>0</v>
      </c>
      <c r="Q67" s="22"/>
      <c r="R67" s="22"/>
      <c r="S67" s="22">
        <f t="shared" si="19"/>
        <v>0</v>
      </c>
      <c r="T67" s="22">
        <f t="shared" si="20"/>
        <v>0</v>
      </c>
    </row>
    <row r="68" spans="1:20" x14ac:dyDescent="0.2">
      <c r="A68" s="5">
        <v>77</v>
      </c>
      <c r="H68" s="21"/>
      <c r="M68" s="5">
        <f>scrimecost*Meta!O65</f>
        <v>680.84500000000003</v>
      </c>
      <c r="N68" s="5">
        <f>L68-Grade17!L68</f>
        <v>0</v>
      </c>
      <c r="O68" s="5">
        <f>Grade17!M68-M68</f>
        <v>0</v>
      </c>
      <c r="Q68" s="22"/>
      <c r="R68" s="22"/>
      <c r="S68" s="22">
        <f t="shared" si="19"/>
        <v>0</v>
      </c>
      <c r="T68" s="22">
        <f t="shared" si="20"/>
        <v>0</v>
      </c>
    </row>
    <row r="69" spans="1:20" x14ac:dyDescent="0.2">
      <c r="A69" s="5">
        <v>78</v>
      </c>
      <c r="H69" s="21"/>
      <c r="M69" s="5">
        <f>scrimecost*Meta!O66</f>
        <v>680.84500000000003</v>
      </c>
      <c r="N69" s="5">
        <f>L69-Grade17!L69</f>
        <v>0</v>
      </c>
      <c r="O69" s="5">
        <f>Grade17!M69-M69</f>
        <v>0</v>
      </c>
      <c r="Q69" s="22"/>
      <c r="R69" s="22"/>
      <c r="S69" s="22">
        <f t="shared" si="19"/>
        <v>0</v>
      </c>
      <c r="T69" s="22">
        <f t="shared" si="20"/>
        <v>0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1.8189894035458565E-11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G1" sqref="G1:G12"/>
    </sheetView>
  </sheetViews>
  <sheetFormatPr defaultRowHeight="12.75" x14ac:dyDescent="0.2"/>
  <cols>
    <col min="1" max="16384" width="9.140625" style="8"/>
  </cols>
  <sheetData>
    <row r="1" spans="1:22" x14ac:dyDescent="0.2">
      <c r="A1" s="18" t="s">
        <v>5</v>
      </c>
      <c r="B1" s="8" t="s">
        <v>8</v>
      </c>
      <c r="D1" s="8" t="s">
        <v>13</v>
      </c>
      <c r="F1" s="8" t="s">
        <v>21</v>
      </c>
      <c r="G1" s="8" t="s">
        <v>34</v>
      </c>
      <c r="K1" s="8" t="s">
        <v>22</v>
      </c>
      <c r="L1" s="8" t="s">
        <v>26</v>
      </c>
      <c r="M1" s="8" t="s">
        <v>30</v>
      </c>
      <c r="N1" s="8" t="s">
        <v>23</v>
      </c>
      <c r="O1" s="8" t="s">
        <v>27</v>
      </c>
      <c r="P1" s="8" t="s">
        <v>31</v>
      </c>
      <c r="Q1" s="8" t="s">
        <v>24</v>
      </c>
      <c r="R1" s="8" t="s">
        <v>28</v>
      </c>
      <c r="S1" s="8" t="s">
        <v>32</v>
      </c>
      <c r="T1" s="8" t="s">
        <v>25</v>
      </c>
      <c r="U1" s="8" t="s">
        <v>29</v>
      </c>
      <c r="V1" s="8" t="s">
        <v>33</v>
      </c>
    </row>
    <row r="2" spans="1:22" x14ac:dyDescent="0.2">
      <c r="A2" s="18">
        <v>8</v>
      </c>
      <c r="B2" s="11">
        <f>Meta!E2</f>
        <v>1</v>
      </c>
    </row>
    <row r="3" spans="1:22" x14ac:dyDescent="0.2">
      <c r="A3" s="18">
        <v>9</v>
      </c>
      <c r="B3" s="11">
        <f>Meta!E3</f>
        <v>0.878</v>
      </c>
      <c r="D3" s="8">
        <f>Grade9!T2</f>
        <v>1.0038312331710337</v>
      </c>
      <c r="F3" s="15">
        <f t="shared" ref="F3:F12" si="0">(D3-1)*100</f>
        <v>0.38312331710337322</v>
      </c>
      <c r="G3" s="15">
        <f>K3*M3+K4*M4+K5*M5+K6*M6</f>
        <v>0.16505249253956153</v>
      </c>
      <c r="H3" s="15"/>
      <c r="I3" s="15"/>
      <c r="K3" s="8">
        <f>1-B3</f>
        <v>0.122</v>
      </c>
      <c r="L3" s="8">
        <f>D3</f>
        <v>1.0038312331710337</v>
      </c>
      <c r="M3" s="8">
        <f t="shared" ref="M3:M12" si="1">(L3-1)*100</f>
        <v>0.38312331710337322</v>
      </c>
    </row>
    <row r="4" spans="1:22" x14ac:dyDescent="0.2">
      <c r="A4" s="18">
        <v>10</v>
      </c>
      <c r="B4" s="11">
        <f>Meta!E4</f>
        <v>0.878</v>
      </c>
      <c r="D4" s="8">
        <f>Grade10!T2</f>
        <v>1.0026956831948541</v>
      </c>
      <c r="F4" s="15">
        <f t="shared" si="0"/>
        <v>0.26956831948541371</v>
      </c>
      <c r="G4" s="15">
        <f>N4*P4+N5*P5+N6*P6</f>
        <v>4.4367806437048588E-2</v>
      </c>
      <c r="H4" s="15"/>
      <c r="I4" s="15"/>
      <c r="K4" s="8">
        <f>B3*(1-B4)</f>
        <v>0.107116</v>
      </c>
      <c r="L4" s="8">
        <f>(D3*D4)^0.5</f>
        <v>1.0032632975230193</v>
      </c>
      <c r="M4" s="8">
        <f t="shared" si="1"/>
        <v>0.32632975230193484</v>
      </c>
      <c r="N4" s="8">
        <f>1-B4</f>
        <v>0.122</v>
      </c>
      <c r="O4" s="8">
        <f>D4</f>
        <v>1.0026956831948541</v>
      </c>
      <c r="P4" s="8">
        <f>(O4-1)*100</f>
        <v>0.26956831948541371</v>
      </c>
    </row>
    <row r="5" spans="1:22" x14ac:dyDescent="0.2">
      <c r="A5" s="18">
        <v>11</v>
      </c>
      <c r="B5" s="11">
        <f>Meta!E5</f>
        <v>0.878</v>
      </c>
      <c r="D5" s="8">
        <f>Grade11!T2</f>
        <v>0.99970821887503014</v>
      </c>
      <c r="F5" s="15">
        <f t="shared" si="0"/>
        <v>-2.9178112496985875E-2</v>
      </c>
      <c r="G5" s="15">
        <f>Q5*S5+Q6*S6</f>
        <v>-0.12402006531492003</v>
      </c>
      <c r="H5" s="15"/>
      <c r="I5" s="15"/>
      <c r="K5" s="8">
        <f>B3*B4*(1-B5)</f>
        <v>9.4047848000000003E-2</v>
      </c>
      <c r="L5" s="8">
        <f>(D3*D4*D5)^(1/3)</f>
        <v>1.0020768688255499</v>
      </c>
      <c r="M5" s="8">
        <f t="shared" si="1"/>
        <v>0.20768688255499157</v>
      </c>
      <c r="N5" s="8">
        <f>B4*(1-B5)</f>
        <v>0.107116</v>
      </c>
      <c r="O5" s="8">
        <f>(D4*D5)^0.5</f>
        <v>1.0012008367557477</v>
      </c>
      <c r="P5" s="8">
        <f>(O5-1)*100</f>
        <v>0.12008367557476696</v>
      </c>
      <c r="Q5" s="8">
        <f>1-B5</f>
        <v>0.122</v>
      </c>
      <c r="R5" s="8">
        <f>D5</f>
        <v>0.99970821887503014</v>
      </c>
      <c r="S5" s="8">
        <f>(R5-1)*100</f>
        <v>-2.9178112496985875E-2</v>
      </c>
    </row>
    <row r="6" spans="1:22" x14ac:dyDescent="0.2">
      <c r="A6" s="18">
        <v>12</v>
      </c>
      <c r="B6" s="11">
        <f>Meta!E6</f>
        <v>0.878</v>
      </c>
      <c r="D6" s="8">
        <f>Grade12!T2</f>
        <v>0.99754897710928081</v>
      </c>
      <c r="F6" s="15">
        <f t="shared" si="0"/>
        <v>-0.245102289071919</v>
      </c>
      <c r="G6" s="15">
        <f>T6*V6</f>
        <v>-0.245102289071919</v>
      </c>
      <c r="H6" s="15"/>
      <c r="I6" s="15"/>
      <c r="K6" s="8">
        <f>B3*B4*B5</f>
        <v>0.67683615200000002</v>
      </c>
      <c r="L6" s="8">
        <f>(D3*D4*D5*D6)^0.25</f>
        <v>1.0009429727645998</v>
      </c>
      <c r="M6" s="8">
        <f t="shared" si="1"/>
        <v>9.4297276459975876E-2</v>
      </c>
      <c r="N6" s="8">
        <f>B4*B5</f>
        <v>0.77088400000000001</v>
      </c>
      <c r="O6" s="8">
        <f>(D4*D5*D6)^(1/3)</f>
        <v>0.99998206719126304</v>
      </c>
      <c r="P6" s="8">
        <f>(O6-1)*100</f>
        <v>-1.7932808736964567E-3</v>
      </c>
      <c r="Q6" s="8">
        <f>B5</f>
        <v>0.878</v>
      </c>
      <c r="R6" s="8">
        <f>(D5*D6)^0.5</f>
        <v>0.99862801440102178</v>
      </c>
      <c r="S6" s="8">
        <f>(R6-1)*100</f>
        <v>-0.13719855989782204</v>
      </c>
      <c r="T6" s="8">
        <v>1</v>
      </c>
      <c r="U6" s="8">
        <f>D6</f>
        <v>0.99754897710928081</v>
      </c>
      <c r="V6" s="8">
        <f>(U6-1)*100</f>
        <v>-0.245102289071919</v>
      </c>
    </row>
    <row r="7" spans="1:22" x14ac:dyDescent="0.2">
      <c r="A7" s="18">
        <v>13</v>
      </c>
      <c r="B7" s="11">
        <f>Meta!E7</f>
        <v>0.497</v>
      </c>
      <c r="D7" s="8">
        <f>Grade13!T2</f>
        <v>0.96258757238223402</v>
      </c>
      <c r="F7" s="15">
        <f t="shared" si="0"/>
        <v>-3.7412427617765975</v>
      </c>
      <c r="G7" s="15">
        <f>K7*M7+K8*M8+K9*M9+K10*M10</f>
        <v>-3.7945403387965158</v>
      </c>
      <c r="H7" s="15"/>
      <c r="I7" s="15"/>
      <c r="K7" s="8">
        <f>1-B7</f>
        <v>0.503</v>
      </c>
      <c r="L7" s="8">
        <f>D7</f>
        <v>0.96258757238223402</v>
      </c>
      <c r="M7" s="8">
        <f t="shared" si="1"/>
        <v>-3.7412427617765975</v>
      </c>
    </row>
    <row r="8" spans="1:22" x14ac:dyDescent="0.2">
      <c r="A8" s="18">
        <v>14</v>
      </c>
      <c r="B8" s="11">
        <f>Meta!E8</f>
        <v>0.497</v>
      </c>
      <c r="D8" s="8">
        <f>Grade14!T2</f>
        <v>0.96273037227222114</v>
      </c>
      <c r="F8" s="15">
        <f t="shared" si="0"/>
        <v>-3.7269627727778865</v>
      </c>
      <c r="G8" s="15">
        <f>N8*P8+N9*P9+N10*P10</f>
        <v>-3.8888276931730732</v>
      </c>
      <c r="H8" s="15"/>
      <c r="I8" s="15"/>
      <c r="K8" s="8">
        <f>B7*(1-B8)</f>
        <v>0.24999099999999999</v>
      </c>
      <c r="L8" s="8">
        <f>(D7*D8)^0.5</f>
        <v>0.96265896967937814</v>
      </c>
      <c r="M8" s="8">
        <f t="shared" si="1"/>
        <v>-3.734103032062186</v>
      </c>
      <c r="N8" s="8">
        <f>1-B8</f>
        <v>0.503</v>
      </c>
      <c r="O8" s="8">
        <f>D8</f>
        <v>0.96273037227222114</v>
      </c>
      <c r="P8" s="8">
        <f>(O8-1)*100</f>
        <v>-3.7269627727778865</v>
      </c>
    </row>
    <row r="9" spans="1:22" x14ac:dyDescent="0.2">
      <c r="A9" s="18">
        <v>15</v>
      </c>
      <c r="B9" s="11">
        <f>Meta!E9</f>
        <v>0.497</v>
      </c>
      <c r="D9" s="8">
        <f>Grade15!T2</f>
        <v>0.95736649872009572</v>
      </c>
      <c r="F9" s="15">
        <f t="shared" si="0"/>
        <v>-4.263350127990428</v>
      </c>
      <c r="G9" s="15">
        <f>Q9*S9+Q10*S10</f>
        <v>-4.2823718687578554</v>
      </c>
      <c r="H9" s="15"/>
      <c r="I9" s="15"/>
      <c r="K9" s="8">
        <f>B7*B8*(1-B9)</f>
        <v>0.12424552700000001</v>
      </c>
      <c r="L9" s="8">
        <f>(D7*D8*D9)^(1/3)</f>
        <v>0.96089156980971036</v>
      </c>
      <c r="M9" s="8">
        <f t="shared" si="1"/>
        <v>-3.9108430190289645</v>
      </c>
      <c r="N9" s="8">
        <f>B8*(1-B9)</f>
        <v>0.24999099999999999</v>
      </c>
      <c r="O9" s="8">
        <f>(D8*D9)^0.5</f>
        <v>0.96004468943573174</v>
      </c>
      <c r="P9" s="8">
        <f>(O9-1)*100</f>
        <v>-3.9955310564268265</v>
      </c>
      <c r="Q9" s="8">
        <f>1-B9</f>
        <v>0.503</v>
      </c>
      <c r="R9" s="8">
        <f>D9</f>
        <v>0.95736649872009572</v>
      </c>
      <c r="S9" s="8">
        <f>(R9-1)*100</f>
        <v>-4.263350127990428</v>
      </c>
    </row>
    <row r="10" spans="1:22" x14ac:dyDescent="0.2">
      <c r="A10" s="18">
        <v>16</v>
      </c>
      <c r="B10" s="11">
        <f>Meta!E10</f>
        <v>0.497</v>
      </c>
      <c r="D10" s="8">
        <f>Grade16!T2</f>
        <v>0.95660118932133853</v>
      </c>
      <c r="F10" s="15">
        <f t="shared" si="0"/>
        <v>-4.3398810678661466</v>
      </c>
      <c r="G10" s="15">
        <f>T10*V10</f>
        <v>-4.3398810678661466</v>
      </c>
      <c r="H10" s="15"/>
      <c r="I10" s="15"/>
      <c r="K10" s="8">
        <f>B7*B8*B9</f>
        <v>0.122763473</v>
      </c>
      <c r="L10" s="8">
        <f>(D7*D8*D9*D10)^0.25</f>
        <v>0.95981717406926859</v>
      </c>
      <c r="M10" s="8">
        <f t="shared" si="1"/>
        <v>-4.0182825930731418</v>
      </c>
      <c r="N10" s="8">
        <f>B8*B9</f>
        <v>0.24700900000000001</v>
      </c>
      <c r="O10" s="8">
        <f>(D8*D9*D10)^(1/3)</f>
        <v>0.95889548096876642</v>
      </c>
      <c r="P10" s="8">
        <f>(O10-1)*100</f>
        <v>-4.1104519031233577</v>
      </c>
      <c r="Q10" s="8">
        <f>B9</f>
        <v>0.497</v>
      </c>
      <c r="R10" s="8">
        <f>(D9*D10)^0.5</f>
        <v>0.95698376751753178</v>
      </c>
      <c r="S10" s="8">
        <f>(R10-1)*100</f>
        <v>-4.3016232482468215</v>
      </c>
      <c r="T10" s="8">
        <v>1</v>
      </c>
      <c r="U10" s="8">
        <f>D10</f>
        <v>0.95660118932133853</v>
      </c>
      <c r="V10" s="8">
        <f>(U10-1)*100</f>
        <v>-4.3398810678661466</v>
      </c>
    </row>
    <row r="11" spans="1:22" x14ac:dyDescent="0.2">
      <c r="A11" s="18">
        <v>17</v>
      </c>
      <c r="B11" s="11">
        <f>Meta!E11</f>
        <v>0.214</v>
      </c>
      <c r="D11" s="8">
        <f>Grade17!T2</f>
        <v>0.90631470271752168</v>
      </c>
      <c r="F11" s="15">
        <f t="shared" si="0"/>
        <v>-9.3685297282478324</v>
      </c>
      <c r="G11" s="15">
        <f>K11*M11+K12*M12</f>
        <v>-9.4040460556956251</v>
      </c>
      <c r="H11" s="15"/>
      <c r="I11" s="15"/>
      <c r="K11" s="8">
        <f>1-B11</f>
        <v>0.78600000000000003</v>
      </c>
      <c r="L11" s="8">
        <f>D11</f>
        <v>0.90631470271752168</v>
      </c>
      <c r="M11" s="8">
        <f t="shared" si="1"/>
        <v>-9.3685297282478324</v>
      </c>
    </row>
    <row r="12" spans="1:22" x14ac:dyDescent="0.2">
      <c r="A12" s="18">
        <v>18</v>
      </c>
      <c r="B12" s="11">
        <f>Meta!E12</f>
        <v>0.214</v>
      </c>
      <c r="D12" s="8">
        <f>Grade18!T2</f>
        <v>0.90299845891024655</v>
      </c>
      <c r="F12" s="15">
        <f t="shared" si="0"/>
        <v>-9.7001541089753456</v>
      </c>
      <c r="G12" s="15">
        <f>N12*P12</f>
        <v>-9.7001541089753456</v>
      </c>
      <c r="H12" s="15"/>
      <c r="I12" s="15"/>
      <c r="K12" s="8">
        <f>B11</f>
        <v>0.214</v>
      </c>
      <c r="L12" s="8">
        <f>(D11*D12)^0.5</f>
        <v>0.90465506124799866</v>
      </c>
      <c r="M12" s="8">
        <f t="shared" si="1"/>
        <v>-9.534493875200134</v>
      </c>
      <c r="N12" s="8">
        <v>1</v>
      </c>
      <c r="O12" s="8">
        <f>D12</f>
        <v>0.90299845891024655</v>
      </c>
      <c r="P12" s="8">
        <f>(O12-1)*100</f>
        <v>-9.7001541089753456</v>
      </c>
    </row>
    <row r="14" spans="1:22" x14ac:dyDescent="0.2">
      <c r="B14" s="16"/>
    </row>
    <row r="15" spans="1:22" x14ac:dyDescent="0.2">
      <c r="B15" s="16"/>
    </row>
    <row r="16" spans="1:22" x14ac:dyDescent="0.2">
      <c r="B16" s="16"/>
    </row>
    <row r="17" spans="2:4" x14ac:dyDescent="0.2">
      <c r="B17" s="16"/>
    </row>
    <row r="18" spans="2:4" x14ac:dyDescent="0.2">
      <c r="B18" s="16"/>
    </row>
    <row r="19" spans="2:4" x14ac:dyDescent="0.2">
      <c r="B19" s="16"/>
      <c r="D19" s="29"/>
    </row>
    <row r="20" spans="2:4" x14ac:dyDescent="0.2">
      <c r="B20" s="16"/>
    </row>
    <row r="21" spans="2:4" x14ac:dyDescent="0.2">
      <c r="B21" s="16"/>
    </row>
    <row r="22" spans="2:4" x14ac:dyDescent="0.2">
      <c r="B22" s="16"/>
    </row>
    <row r="23" spans="2:4" x14ac:dyDescent="0.2">
      <c r="B23" s="16"/>
    </row>
    <row r="24" spans="2:4" x14ac:dyDescent="0.2">
      <c r="B24" s="16"/>
    </row>
    <row r="25" spans="2:4" x14ac:dyDescent="0.2">
      <c r="B25" s="16"/>
    </row>
    <row r="26" spans="2:4" x14ac:dyDescent="0.2">
      <c r="B26" s="16"/>
    </row>
    <row r="27" spans="2:4" x14ac:dyDescent="0.2">
      <c r="B27" s="2"/>
    </row>
    <row r="28" spans="2:4" x14ac:dyDescent="0.2">
      <c r="B28" s="2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R2" sqref="R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6384" width="9.140625" style="1"/>
  </cols>
  <sheetData>
    <row r="1" spans="1:18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</row>
    <row r="2" spans="1:18" x14ac:dyDescent="0.2">
      <c r="B2" s="5">
        <f>Meta!A2+6</f>
        <v>14</v>
      </c>
      <c r="C2" s="7">
        <f>Meta!B2</f>
        <v>26803</v>
      </c>
      <c r="D2" s="7">
        <f>Meta!C2</f>
        <v>12330</v>
      </c>
      <c r="E2" s="1">
        <f>Meta!D2</f>
        <v>0.111</v>
      </c>
      <c r="F2" s="1">
        <f>Meta!F2</f>
        <v>0.51700000000000002</v>
      </c>
      <c r="G2" s="1">
        <f>Meta!I2</f>
        <v>2.0085479604911836</v>
      </c>
      <c r="H2" s="1">
        <f>Meta!E2</f>
        <v>1</v>
      </c>
      <c r="I2" s="13"/>
      <c r="K2" s="1">
        <f>Meta!D2</f>
        <v>0.111</v>
      </c>
      <c r="L2" s="13"/>
      <c r="N2" s="22">
        <f>Meta!T2</f>
        <v>28028</v>
      </c>
      <c r="O2" s="22">
        <f>Meta!U2</f>
        <v>12893</v>
      </c>
      <c r="P2" s="1">
        <f>Meta!V2</f>
        <v>0.104</v>
      </c>
      <c r="Q2" s="1">
        <f>Meta!X2</f>
        <v>0.53200000000000003</v>
      </c>
      <c r="R2" s="22">
        <f>Meta!W2</f>
        <v>13867</v>
      </c>
    </row>
    <row r="3" spans="1:18" ht="14.25" x14ac:dyDescent="0.2">
      <c r="C3" s="3"/>
      <c r="G3" s="4"/>
      <c r="L3" s="1" t="s">
        <v>10</v>
      </c>
    </row>
    <row r="4" spans="1:18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</row>
    <row r="5" spans="1:18" x14ac:dyDescent="0.2">
      <c r="A5" s="5">
        <v>14</v>
      </c>
      <c r="B5" s="1">
        <f t="shared" ref="B5:B36" si="0">(1+experiencepremium)^(A5-startage)</f>
        <v>1</v>
      </c>
      <c r="C5" s="5">
        <f>pretaxincome*B5/expnorm</f>
        <v>13344.466015860242</v>
      </c>
      <c r="D5" s="5">
        <f>IF(A5&lt;startage,1,0)*(C5*(1-initialunempprob))+IF(A5=startage,1,0)*(C5*(1-unempprob))+IF(A5&gt;startage,1,0)*(C5*(1-unempprob)+unempprob*300*52)</f>
        <v>11863.230288099756</v>
      </c>
      <c r="E5" s="5">
        <f>IF(D5-9500&gt;0,1,0)*(D5-9500)</f>
        <v>2363.2302880997559</v>
      </c>
      <c r="F5" s="5">
        <f>IF(E5&lt;=8500,1,0)*(0.1*E5+0.1*E5+0.0765*D5)+IF(AND(E5&gt;8500,E5&lt;=34500),1,0)*(850+0.15*(E5-8500)+0.1*E5+0.0765*D5)+IF(AND(E5&gt;34500,E5&lt;=83600),1,0)*(4750+0.25*(E5-34500)+0.1*E5+0.0765*D5)+IF(AND(E5&gt;83600,E5&lt;=174400,D5&lt;=106800),1,0)*(17025+0.28*(E5-83600)+0.1*E5+0.0765*D5)+IF(AND(E5&gt;83600,E5&lt;=174400,D5&gt;106800),1,0)*(17025+0.28*(E5-83600)+0.1*E5+8170.2+0.0145*(D5-106800))+IF(AND(E5&gt;174400,E5&lt;=379150),1,0)*(42449+0.33*(E5-174400)+0.1*E5+8170.2+0.0145*(D5-106800))+IF(E5&gt;379150,1,0)*(110016.5+0.35*(E5-379150)+0.1*E5+8170.2+0.0145*(D5-106800))</f>
        <v>1380.1831746595826</v>
      </c>
      <c r="G5" s="5">
        <f>D5-F5</f>
        <v>10483.047113440174</v>
      </c>
      <c r="H5" s="22">
        <f t="shared" ref="H5:H36" si="1">benefits*B5/expnorm</f>
        <v>6138.7630480004773</v>
      </c>
      <c r="I5" s="5">
        <f>G5+IF(A5&lt;startage,1,0)*(H5*(1-initialunempprob))+IF(A5&gt;=startage,1,0)*(H5*(1-unempprob))</f>
        <v>15940.407463112599</v>
      </c>
      <c r="J5" s="25">
        <f t="shared" ref="J5:J36" si="2">(F5-(IF(A5&gt;startage,1,0)*(unempprob*300*52)))/(IF(A5&lt;startage,1,0)*((C5+H5)*(1-initialunempprob))+IF(A5&gt;=startage,1,0)*((C5+H5)*(1-unempprob)))</f>
        <v>7.9684532907886185E-2</v>
      </c>
      <c r="L5" s="22">
        <f t="shared" ref="L5:L36" si="3">(sincome+sbenefits)*(1-sunemp)*B5/expnorm</f>
        <v>18254.588250426266</v>
      </c>
      <c r="M5" s="5">
        <f>scrimecost*Meta!O2</f>
        <v>15170.498000000001</v>
      </c>
      <c r="N5" s="22"/>
    </row>
    <row r="6" spans="1:18" x14ac:dyDescent="0.2">
      <c r="A6" s="5">
        <v>15</v>
      </c>
      <c r="B6" s="1">
        <f t="shared" si="0"/>
        <v>1.0249999999999999</v>
      </c>
      <c r="C6" s="5">
        <f t="shared" ref="C6:C36" si="4">pretaxincome*B6/expnorm</f>
        <v>13678.077666256748</v>
      </c>
      <c r="D6" s="5">
        <f t="shared" ref="D6:D36" si="5">IF(A6&lt;startage,1,0)*(C6*(1-initialunempprob))+IF(A6=startage,1,0)*(C6*(1-unempprob))+IF(A6&gt;startage,1,0)*(C6*(1-unempprob)+unempprob*300*52)</f>
        <v>13891.411045302249</v>
      </c>
      <c r="E6" s="5">
        <f t="shared" ref="E6:E56" si="6">IF(D6-9500&gt;0,1,0)*(D6-9500)</f>
        <v>4391.4110453022495</v>
      </c>
      <c r="F6" s="5">
        <f t="shared" ref="F6:F56" si="7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1940.975154026072</v>
      </c>
      <c r="G6" s="5">
        <f t="shared" ref="G6:G56" si="8">D6-F6</f>
        <v>11950.435891276178</v>
      </c>
      <c r="H6" s="22">
        <f t="shared" si="1"/>
        <v>6292.2321242004882</v>
      </c>
      <c r="I6" s="5">
        <f t="shared" ref="I6:I36" si="9">G6+IF(A6&lt;startage,1,0)*(H6*(1-initialunempprob))+IF(A6&gt;=startage,1,0)*(H6*(1-unempprob))</f>
        <v>17544.230249690412</v>
      </c>
      <c r="J6" s="25">
        <f t="shared" si="2"/>
        <v>1.1793387836717503E-2</v>
      </c>
      <c r="L6" s="22">
        <f t="shared" si="3"/>
        <v>18710.952956686921</v>
      </c>
      <c r="M6" s="5">
        <f>scrimecost*Meta!O3</f>
        <v>25737.152000000002</v>
      </c>
      <c r="N6" s="22"/>
    </row>
    <row r="7" spans="1:18" x14ac:dyDescent="0.2">
      <c r="A7" s="5">
        <v>16</v>
      </c>
      <c r="B7" s="1">
        <f t="shared" si="0"/>
        <v>1.0506249999999999</v>
      </c>
      <c r="C7" s="5">
        <f t="shared" si="4"/>
        <v>14020.029607913168</v>
      </c>
      <c r="D7" s="5">
        <f t="shared" si="5"/>
        <v>14195.406321434806</v>
      </c>
      <c r="E7" s="5">
        <f t="shared" si="6"/>
        <v>4695.4063214348062</v>
      </c>
      <c r="F7" s="5">
        <f t="shared" si="7"/>
        <v>2025.029847876724</v>
      </c>
      <c r="G7" s="5">
        <f t="shared" si="8"/>
        <v>12170.376473558083</v>
      </c>
      <c r="H7" s="22">
        <f t="shared" si="1"/>
        <v>6449.5379273055014</v>
      </c>
      <c r="I7" s="5">
        <f t="shared" si="9"/>
        <v>17904.015690932672</v>
      </c>
      <c r="J7" s="25">
        <f t="shared" si="2"/>
        <v>1.6124782308095442E-2</v>
      </c>
      <c r="L7" s="22">
        <f t="shared" si="3"/>
        <v>19178.726780604095</v>
      </c>
      <c r="M7" s="5">
        <f>scrimecost*Meta!O4</f>
        <v>32559.715999999997</v>
      </c>
      <c r="N7" s="22"/>
    </row>
    <row r="8" spans="1:18" x14ac:dyDescent="0.2">
      <c r="A8" s="5">
        <v>17</v>
      </c>
      <c r="B8" s="1">
        <f t="shared" si="0"/>
        <v>1.0768906249999999</v>
      </c>
      <c r="C8" s="5">
        <f t="shared" si="4"/>
        <v>14370.530348110995</v>
      </c>
      <c r="D8" s="5">
        <f t="shared" si="5"/>
        <v>14507.001479470675</v>
      </c>
      <c r="E8" s="5">
        <f t="shared" si="6"/>
        <v>5007.0014794706749</v>
      </c>
      <c r="F8" s="5">
        <f t="shared" si="7"/>
        <v>2111.1859090736416</v>
      </c>
      <c r="G8" s="5">
        <f t="shared" si="8"/>
        <v>12395.815570397033</v>
      </c>
      <c r="H8" s="22">
        <f t="shared" si="1"/>
        <v>6610.776375488138</v>
      </c>
      <c r="I8" s="5">
        <f t="shared" si="9"/>
        <v>18272.795768205986</v>
      </c>
      <c r="J8" s="25">
        <f t="shared" si="2"/>
        <v>2.0350533011878762E-2</v>
      </c>
      <c r="L8" s="22">
        <f t="shared" si="3"/>
        <v>19658.194950119199</v>
      </c>
      <c r="M8" s="5">
        <f>scrimecost*Meta!O5</f>
        <v>37607.304000000004</v>
      </c>
      <c r="N8" s="22"/>
    </row>
    <row r="9" spans="1:18" x14ac:dyDescent="0.2">
      <c r="A9" s="5">
        <v>18</v>
      </c>
      <c r="B9" s="1">
        <f t="shared" si="0"/>
        <v>1.1038128906249998</v>
      </c>
      <c r="C9" s="5">
        <f t="shared" si="4"/>
        <v>14729.793606813768</v>
      </c>
      <c r="D9" s="5">
        <f t="shared" si="5"/>
        <v>14826.38651645744</v>
      </c>
      <c r="E9" s="5">
        <f t="shared" si="6"/>
        <v>5326.3865164574399</v>
      </c>
      <c r="F9" s="5">
        <f t="shared" si="7"/>
        <v>2199.4958718004823</v>
      </c>
      <c r="G9" s="5">
        <f t="shared" si="8"/>
        <v>12626.890644656958</v>
      </c>
      <c r="H9" s="22">
        <f t="shared" si="1"/>
        <v>6776.0457848753404</v>
      </c>
      <c r="I9" s="5">
        <f t="shared" si="9"/>
        <v>18650.795347411135</v>
      </c>
      <c r="J9" s="25">
        <f t="shared" si="2"/>
        <v>2.4473216625325915E-2</v>
      </c>
      <c r="L9" s="22">
        <f t="shared" si="3"/>
        <v>20149.649823872176</v>
      </c>
      <c r="M9" s="5">
        <f>scrimecost*Meta!O6</f>
        <v>45705.631999999998</v>
      </c>
      <c r="N9" s="22"/>
    </row>
    <row r="10" spans="1:18" x14ac:dyDescent="0.2">
      <c r="A10" s="5">
        <v>19</v>
      </c>
      <c r="B10" s="1">
        <f t="shared" si="0"/>
        <v>1.1314082128906247</v>
      </c>
      <c r="C10" s="5">
        <f t="shared" si="4"/>
        <v>15098.03844698411</v>
      </c>
      <c r="D10" s="5">
        <f t="shared" si="5"/>
        <v>15153.756179368875</v>
      </c>
      <c r="E10" s="5">
        <f t="shared" si="6"/>
        <v>5653.7561793688747</v>
      </c>
      <c r="F10" s="5">
        <f t="shared" si="7"/>
        <v>2290.0135835954939</v>
      </c>
      <c r="G10" s="5">
        <f t="shared" si="8"/>
        <v>12863.742595773381</v>
      </c>
      <c r="H10" s="22">
        <f t="shared" si="1"/>
        <v>6945.4469294972241</v>
      </c>
      <c r="I10" s="5">
        <f t="shared" si="9"/>
        <v>19038.244916096413</v>
      </c>
      <c r="J10" s="25">
        <f t="shared" si="2"/>
        <v>2.8495346979908496E-2</v>
      </c>
      <c r="L10" s="22">
        <f t="shared" si="3"/>
        <v>20653.391069468977</v>
      </c>
      <c r="M10" s="5">
        <f>scrimecost*Meta!O7</f>
        <v>48853.440999999999</v>
      </c>
      <c r="N10" s="22"/>
    </row>
    <row r="11" spans="1:18" x14ac:dyDescent="0.2">
      <c r="A11" s="5">
        <v>20</v>
      </c>
      <c r="B11" s="1">
        <f t="shared" si="0"/>
        <v>1.1596934182128902</v>
      </c>
      <c r="C11" s="5">
        <f t="shared" si="4"/>
        <v>15475.489408158714</v>
      </c>
      <c r="D11" s="5">
        <f t="shared" si="5"/>
        <v>15489.310083853097</v>
      </c>
      <c r="E11" s="5">
        <f t="shared" si="6"/>
        <v>5989.3100838530972</v>
      </c>
      <c r="F11" s="5">
        <f t="shared" si="7"/>
        <v>2382.7942381853813</v>
      </c>
      <c r="G11" s="5">
        <f t="shared" si="8"/>
        <v>13106.515845667716</v>
      </c>
      <c r="H11" s="22">
        <f t="shared" si="1"/>
        <v>7119.0831027346539</v>
      </c>
      <c r="I11" s="5">
        <f t="shared" si="9"/>
        <v>19435.380723998824</v>
      </c>
      <c r="J11" s="25">
        <f t="shared" si="2"/>
        <v>3.2419376594135435E-2</v>
      </c>
      <c r="L11" s="22">
        <f t="shared" si="3"/>
        <v>21169.725846205696</v>
      </c>
      <c r="M11" s="5">
        <f>scrimecost*Meta!O8</f>
        <v>46787.258000000002</v>
      </c>
      <c r="N11" s="22"/>
    </row>
    <row r="12" spans="1:18" x14ac:dyDescent="0.2">
      <c r="A12" s="5">
        <v>21</v>
      </c>
      <c r="B12" s="1">
        <f t="shared" si="0"/>
        <v>1.1886857536682125</v>
      </c>
      <c r="C12" s="5">
        <f t="shared" si="4"/>
        <v>15862.376643362681</v>
      </c>
      <c r="D12" s="5">
        <f t="shared" si="5"/>
        <v>15833.252835949424</v>
      </c>
      <c r="E12" s="5">
        <f t="shared" si="6"/>
        <v>6333.2528359494245</v>
      </c>
      <c r="F12" s="5">
        <f t="shared" si="7"/>
        <v>2477.8944091400158</v>
      </c>
      <c r="G12" s="5">
        <f t="shared" si="8"/>
        <v>13355.358426809409</v>
      </c>
      <c r="H12" s="22">
        <f t="shared" si="1"/>
        <v>7297.0601803030204</v>
      </c>
      <c r="I12" s="5">
        <f t="shared" si="9"/>
        <v>19842.444927098793</v>
      </c>
      <c r="J12" s="25">
        <f t="shared" si="2"/>
        <v>3.6247698168990969E-2</v>
      </c>
      <c r="L12" s="22">
        <f t="shared" si="3"/>
        <v>21698.968992360842</v>
      </c>
      <c r="M12" s="5">
        <f>scrimecost*Meta!O9</f>
        <v>42488.487999999998</v>
      </c>
      <c r="N12" s="22"/>
    </row>
    <row r="13" spans="1:18" x14ac:dyDescent="0.2">
      <c r="A13" s="5">
        <v>22</v>
      </c>
      <c r="B13" s="1">
        <f t="shared" si="0"/>
        <v>1.2184028975099177</v>
      </c>
      <c r="C13" s="5">
        <f t="shared" si="4"/>
        <v>16258.936059446747</v>
      </c>
      <c r="D13" s="5">
        <f t="shared" si="5"/>
        <v>16185.794156848158</v>
      </c>
      <c r="E13" s="5">
        <f t="shared" si="6"/>
        <v>6685.7941568481583</v>
      </c>
      <c r="F13" s="5">
        <f t="shared" si="7"/>
        <v>2575.372084368516</v>
      </c>
      <c r="G13" s="5">
        <f t="shared" si="8"/>
        <v>13610.422072479643</v>
      </c>
      <c r="H13" s="22">
        <f t="shared" si="1"/>
        <v>7479.4866848105958</v>
      </c>
      <c r="I13" s="5">
        <f t="shared" si="9"/>
        <v>20259.685735276264</v>
      </c>
      <c r="J13" s="25">
        <f t="shared" si="2"/>
        <v>3.9982646046898815E-2</v>
      </c>
      <c r="L13" s="22">
        <f t="shared" si="3"/>
        <v>22241.443217169861</v>
      </c>
      <c r="M13" s="5">
        <f>scrimecost*Meta!O10</f>
        <v>38938.536</v>
      </c>
      <c r="N13" s="22"/>
    </row>
    <row r="14" spans="1:18" x14ac:dyDescent="0.2">
      <c r="A14" s="5">
        <v>23</v>
      </c>
      <c r="B14" s="1">
        <f t="shared" si="0"/>
        <v>1.2488629699476654</v>
      </c>
      <c r="C14" s="5">
        <f t="shared" si="4"/>
        <v>16665.409460932911</v>
      </c>
      <c r="D14" s="5">
        <f t="shared" si="5"/>
        <v>16547.149010769357</v>
      </c>
      <c r="E14" s="5">
        <f t="shared" si="6"/>
        <v>7047.1490107693571</v>
      </c>
      <c r="F14" s="5">
        <f t="shared" si="7"/>
        <v>2675.2867014777275</v>
      </c>
      <c r="G14" s="5">
        <f t="shared" si="8"/>
        <v>13871.86230929163</v>
      </c>
      <c r="H14" s="22">
        <f t="shared" si="1"/>
        <v>7666.4738519308585</v>
      </c>
      <c r="I14" s="5">
        <f t="shared" si="9"/>
        <v>20687.357563658163</v>
      </c>
      <c r="J14" s="25">
        <f t="shared" si="2"/>
        <v>4.3626497635101534E-2</v>
      </c>
      <c r="L14" s="22">
        <f t="shared" si="3"/>
        <v>22797.479297599104</v>
      </c>
      <c r="M14" s="5">
        <f>scrimecost*Meta!O11</f>
        <v>36387.008000000002</v>
      </c>
      <c r="N14" s="22"/>
    </row>
    <row r="15" spans="1:18" x14ac:dyDescent="0.2">
      <c r="A15" s="5">
        <v>24</v>
      </c>
      <c r="B15" s="1">
        <f t="shared" si="0"/>
        <v>1.2800845441963571</v>
      </c>
      <c r="C15" s="5">
        <f t="shared" si="4"/>
        <v>17082.044697456233</v>
      </c>
      <c r="D15" s="5">
        <f t="shared" si="5"/>
        <v>16917.53773603859</v>
      </c>
      <c r="E15" s="5">
        <f t="shared" si="6"/>
        <v>7417.5377360385901</v>
      </c>
      <c r="F15" s="5">
        <f t="shared" si="7"/>
        <v>2777.6991840146702</v>
      </c>
      <c r="G15" s="5">
        <f t="shared" si="8"/>
        <v>14139.838552023921</v>
      </c>
      <c r="H15" s="22">
        <f t="shared" si="1"/>
        <v>7858.13569822913</v>
      </c>
      <c r="I15" s="5">
        <f t="shared" si="9"/>
        <v>21125.721187749616</v>
      </c>
      <c r="J15" s="25">
        <f t="shared" si="2"/>
        <v>4.718147479432374E-2</v>
      </c>
      <c r="L15" s="22">
        <f t="shared" si="3"/>
        <v>23367.416280039084</v>
      </c>
      <c r="M15" s="5">
        <f>scrimecost*Meta!O12</f>
        <v>34764.569000000003</v>
      </c>
      <c r="N15" s="22"/>
    </row>
    <row r="16" spans="1:18" x14ac:dyDescent="0.2">
      <c r="A16" s="5">
        <v>25</v>
      </c>
      <c r="B16" s="1">
        <f t="shared" si="0"/>
        <v>1.312086657801266</v>
      </c>
      <c r="C16" s="5">
        <f t="shared" si="4"/>
        <v>17509.09581489264</v>
      </c>
      <c r="D16" s="5">
        <f t="shared" si="5"/>
        <v>17297.186179439555</v>
      </c>
      <c r="E16" s="5">
        <f t="shared" si="6"/>
        <v>7797.1861794395554</v>
      </c>
      <c r="F16" s="5">
        <f t="shared" si="7"/>
        <v>2882.671978615037</v>
      </c>
      <c r="G16" s="5">
        <f t="shared" si="8"/>
        <v>14414.514200824518</v>
      </c>
      <c r="H16" s="22">
        <f t="shared" si="1"/>
        <v>8054.589090684859</v>
      </c>
      <c r="I16" s="5">
        <f t="shared" si="9"/>
        <v>21575.043902443358</v>
      </c>
      <c r="J16" s="25">
        <f t="shared" si="2"/>
        <v>5.0649745193564931E-2</v>
      </c>
      <c r="L16" s="22">
        <f t="shared" si="3"/>
        <v>23951.60168704006</v>
      </c>
      <c r="M16" s="5">
        <f>scrimecost*Meta!O13</f>
        <v>29190.035</v>
      </c>
      <c r="N16" s="22"/>
    </row>
    <row r="17" spans="1:14" x14ac:dyDescent="0.2">
      <c r="A17" s="5">
        <v>26</v>
      </c>
      <c r="B17" s="1">
        <f t="shared" si="0"/>
        <v>1.3448888242462975</v>
      </c>
      <c r="C17" s="5">
        <f t="shared" si="4"/>
        <v>17946.823210264956</v>
      </c>
      <c r="D17" s="5">
        <f t="shared" si="5"/>
        <v>17686.325833925544</v>
      </c>
      <c r="E17" s="5">
        <f t="shared" si="6"/>
        <v>8186.3258339255444</v>
      </c>
      <c r="F17" s="5">
        <f t="shared" si="7"/>
        <v>2990.2690930804129</v>
      </c>
      <c r="G17" s="5">
        <f t="shared" si="8"/>
        <v>14696.056740845132</v>
      </c>
      <c r="H17" s="22">
        <f t="shared" si="1"/>
        <v>8255.9538179519805</v>
      </c>
      <c r="I17" s="5">
        <f t="shared" si="9"/>
        <v>22035.599685004443</v>
      </c>
      <c r="J17" s="25">
        <f t="shared" si="2"/>
        <v>5.4033423631849015E-2</v>
      </c>
      <c r="L17" s="22">
        <f t="shared" si="3"/>
        <v>24550.391729216059</v>
      </c>
      <c r="M17" s="5">
        <f>scrimecost*Meta!O14</f>
        <v>29190.035</v>
      </c>
      <c r="N17" s="22"/>
    </row>
    <row r="18" spans="1:14" x14ac:dyDescent="0.2">
      <c r="A18" s="5">
        <v>27</v>
      </c>
      <c r="B18" s="1">
        <f t="shared" si="0"/>
        <v>1.3785110448524549</v>
      </c>
      <c r="C18" s="5">
        <f t="shared" si="4"/>
        <v>18395.493790521577</v>
      </c>
      <c r="D18" s="5">
        <f t="shared" si="5"/>
        <v>18085.193979773681</v>
      </c>
      <c r="E18" s="5">
        <f t="shared" si="6"/>
        <v>8585.1939797736813</v>
      </c>
      <c r="F18" s="5">
        <f t="shared" si="7"/>
        <v>3104.8158343961068</v>
      </c>
      <c r="G18" s="5">
        <f t="shared" si="8"/>
        <v>14980.378145377574</v>
      </c>
      <c r="H18" s="22">
        <f t="shared" si="1"/>
        <v>8462.3526634007776</v>
      </c>
      <c r="I18" s="5">
        <f t="shared" si="9"/>
        <v>22503.409663140865</v>
      </c>
      <c r="J18" s="25">
        <f t="shared" si="2"/>
        <v>5.7512977892866933E-2</v>
      </c>
      <c r="L18" s="22">
        <f t="shared" si="3"/>
        <v>25164.151522446457</v>
      </c>
      <c r="M18" s="5">
        <f>scrimecost*Meta!O15</f>
        <v>29190.035</v>
      </c>
      <c r="N18" s="22"/>
    </row>
    <row r="19" spans="1:14" x14ac:dyDescent="0.2">
      <c r="A19" s="5">
        <v>28</v>
      </c>
      <c r="B19" s="1">
        <f t="shared" si="0"/>
        <v>1.4129738209737661</v>
      </c>
      <c r="C19" s="5">
        <f t="shared" si="4"/>
        <v>18855.381135284617</v>
      </c>
      <c r="D19" s="5">
        <f t="shared" si="5"/>
        <v>18494.033829268024</v>
      </c>
      <c r="E19" s="5">
        <f t="shared" si="6"/>
        <v>8994.0338292680244</v>
      </c>
      <c r="F19" s="5">
        <f t="shared" si="7"/>
        <v>3238.3020452560099</v>
      </c>
      <c r="G19" s="5">
        <f t="shared" si="8"/>
        <v>15255.731784012014</v>
      </c>
      <c r="H19" s="22">
        <f t="shared" si="1"/>
        <v>8673.911479985798</v>
      </c>
      <c r="I19" s="5">
        <f t="shared" si="9"/>
        <v>22966.839089719389</v>
      </c>
      <c r="J19" s="25">
        <f t="shared" si="2"/>
        <v>6.1564529503365002E-2</v>
      </c>
      <c r="L19" s="22">
        <f t="shared" si="3"/>
        <v>25793.255310507619</v>
      </c>
      <c r="M19" s="5">
        <f>scrimecost*Meta!O16</f>
        <v>29190.035</v>
      </c>
      <c r="N19" s="22"/>
    </row>
    <row r="20" spans="1:14" x14ac:dyDescent="0.2">
      <c r="A20" s="5">
        <v>29</v>
      </c>
      <c r="B20" s="1">
        <f t="shared" si="0"/>
        <v>1.4482981664981105</v>
      </c>
      <c r="C20" s="5">
        <f t="shared" si="4"/>
        <v>19326.765663666734</v>
      </c>
      <c r="D20" s="5">
        <f t="shared" si="5"/>
        <v>18913.094674999724</v>
      </c>
      <c r="E20" s="5">
        <f t="shared" si="6"/>
        <v>9413.0946749997238</v>
      </c>
      <c r="F20" s="5">
        <f t="shared" si="7"/>
        <v>3375.1254113874097</v>
      </c>
      <c r="G20" s="5">
        <f t="shared" si="8"/>
        <v>15537.969263612315</v>
      </c>
      <c r="H20" s="22">
        <f t="shared" si="1"/>
        <v>8890.7592669854421</v>
      </c>
      <c r="I20" s="5">
        <f t="shared" si="9"/>
        <v>23441.854251962373</v>
      </c>
      <c r="J20" s="25">
        <f t="shared" si="2"/>
        <v>6.5517262781899677E-2</v>
      </c>
      <c r="L20" s="22">
        <f t="shared" si="3"/>
        <v>26438.08669327031</v>
      </c>
      <c r="M20" s="5">
        <f>scrimecost*Meta!O17</f>
        <v>29190.035</v>
      </c>
      <c r="N20" s="22"/>
    </row>
    <row r="21" spans="1:14" x14ac:dyDescent="0.2">
      <c r="A21" s="5">
        <v>30</v>
      </c>
      <c r="B21" s="1">
        <f t="shared" si="0"/>
        <v>1.4845056206605631</v>
      </c>
      <c r="C21" s="5">
        <f t="shared" si="4"/>
        <v>19809.934805258399</v>
      </c>
      <c r="D21" s="5">
        <f t="shared" si="5"/>
        <v>19342.632041874716</v>
      </c>
      <c r="E21" s="5">
        <f t="shared" si="6"/>
        <v>9842.6320418747164</v>
      </c>
      <c r="F21" s="5">
        <f t="shared" si="7"/>
        <v>3515.3693616720948</v>
      </c>
      <c r="G21" s="5">
        <f t="shared" si="8"/>
        <v>15827.262680202621</v>
      </c>
      <c r="H21" s="22">
        <f t="shared" si="1"/>
        <v>9113.028248660079</v>
      </c>
      <c r="I21" s="5">
        <f t="shared" si="9"/>
        <v>23928.74479326143</v>
      </c>
      <c r="J21" s="25">
        <f t="shared" si="2"/>
        <v>6.9373587931689615E-2</v>
      </c>
      <c r="L21" s="22">
        <f t="shared" si="3"/>
        <v>27099.038860602068</v>
      </c>
      <c r="M21" s="5">
        <f>scrimecost*Meta!O18</f>
        <v>23532.298999999999</v>
      </c>
      <c r="N21" s="22"/>
    </row>
    <row r="22" spans="1:14" x14ac:dyDescent="0.2">
      <c r="A22" s="5">
        <v>31</v>
      </c>
      <c r="B22" s="1">
        <f t="shared" si="0"/>
        <v>1.521618261177077</v>
      </c>
      <c r="C22" s="5">
        <f t="shared" si="4"/>
        <v>20305.183175389859</v>
      </c>
      <c r="D22" s="5">
        <f t="shared" si="5"/>
        <v>19782.907842921584</v>
      </c>
      <c r="E22" s="5">
        <f t="shared" si="6"/>
        <v>10282.907842921584</v>
      </c>
      <c r="F22" s="5">
        <f t="shared" si="7"/>
        <v>3659.1194107138972</v>
      </c>
      <c r="G22" s="5">
        <f t="shared" si="8"/>
        <v>16123.788432207686</v>
      </c>
      <c r="H22" s="22">
        <f t="shared" si="1"/>
        <v>9340.8539548765802</v>
      </c>
      <c r="I22" s="5">
        <f t="shared" si="9"/>
        <v>24427.807598092964</v>
      </c>
      <c r="J22" s="25">
        <f t="shared" si="2"/>
        <v>7.3135856370509067E-2</v>
      </c>
      <c r="L22" s="22">
        <f t="shared" si="3"/>
        <v>27776.514832117115</v>
      </c>
      <c r="M22" s="5">
        <f>scrimecost*Meta!O19</f>
        <v>23532.298999999999</v>
      </c>
      <c r="N22" s="22"/>
    </row>
    <row r="23" spans="1:14" x14ac:dyDescent="0.2">
      <c r="A23" s="5">
        <v>32</v>
      </c>
      <c r="B23" s="1">
        <f t="shared" si="0"/>
        <v>1.559658717706504</v>
      </c>
      <c r="C23" s="5">
        <f t="shared" si="4"/>
        <v>20812.812754774608</v>
      </c>
      <c r="D23" s="5">
        <f t="shared" si="5"/>
        <v>20234.190538994626</v>
      </c>
      <c r="E23" s="5">
        <f t="shared" si="6"/>
        <v>10734.190538994626</v>
      </c>
      <c r="F23" s="5">
        <f t="shared" si="7"/>
        <v>3806.4632109817453</v>
      </c>
      <c r="G23" s="5">
        <f t="shared" si="8"/>
        <v>16427.727328012879</v>
      </c>
      <c r="H23" s="22">
        <f t="shared" si="1"/>
        <v>9574.3753037484948</v>
      </c>
      <c r="I23" s="5">
        <f t="shared" si="9"/>
        <v>24939.346973045293</v>
      </c>
      <c r="J23" s="25">
        <f t="shared" si="2"/>
        <v>7.680636216447928E-2</v>
      </c>
      <c r="L23" s="22">
        <f t="shared" si="3"/>
        <v>28470.927702920046</v>
      </c>
      <c r="M23" s="5">
        <f>scrimecost*Meta!O20</f>
        <v>23532.298999999999</v>
      </c>
      <c r="N23" s="22"/>
    </row>
    <row r="24" spans="1:14" x14ac:dyDescent="0.2">
      <c r="A24" s="5">
        <v>33</v>
      </c>
      <c r="B24" s="1">
        <f t="shared" si="0"/>
        <v>1.5986501856491666</v>
      </c>
      <c r="C24" s="5">
        <f t="shared" si="4"/>
        <v>21333.133073643974</v>
      </c>
      <c r="D24" s="5">
        <f t="shared" si="5"/>
        <v>20696.755302469493</v>
      </c>
      <c r="E24" s="5">
        <f t="shared" si="6"/>
        <v>11196.755302469493</v>
      </c>
      <c r="F24" s="5">
        <f t="shared" si="7"/>
        <v>3957.4906062562895</v>
      </c>
      <c r="G24" s="5">
        <f t="shared" si="8"/>
        <v>16739.264696213206</v>
      </c>
      <c r="H24" s="22">
        <f t="shared" si="1"/>
        <v>9813.7346863422081</v>
      </c>
      <c r="I24" s="5">
        <f t="shared" si="9"/>
        <v>25463.674832371427</v>
      </c>
      <c r="J24" s="25">
        <f t="shared" si="2"/>
        <v>8.038734342688926E-2</v>
      </c>
      <c r="L24" s="22">
        <f t="shared" si="3"/>
        <v>29182.700895493046</v>
      </c>
      <c r="M24" s="5">
        <f>scrimecost*Meta!O21</f>
        <v>23532.298999999999</v>
      </c>
      <c r="N24" s="22"/>
    </row>
    <row r="25" spans="1:14" x14ac:dyDescent="0.2">
      <c r="A25" s="5">
        <v>34</v>
      </c>
      <c r="B25" s="1">
        <f t="shared" si="0"/>
        <v>1.6386164402903955</v>
      </c>
      <c r="C25" s="5">
        <f t="shared" si="4"/>
        <v>21866.46140048507</v>
      </c>
      <c r="D25" s="5">
        <f t="shared" si="5"/>
        <v>21170.884185031227</v>
      </c>
      <c r="E25" s="5">
        <f t="shared" si="6"/>
        <v>11670.884185031227</v>
      </c>
      <c r="F25" s="5">
        <f t="shared" si="7"/>
        <v>4112.2936864126959</v>
      </c>
      <c r="G25" s="5">
        <f t="shared" si="8"/>
        <v>17058.590498618531</v>
      </c>
      <c r="H25" s="22">
        <f t="shared" si="1"/>
        <v>10059.078053500762</v>
      </c>
      <c r="I25" s="5">
        <f t="shared" si="9"/>
        <v>26001.110888180709</v>
      </c>
      <c r="J25" s="25">
        <f t="shared" si="2"/>
        <v>8.3880983682898952E-2</v>
      </c>
      <c r="L25" s="22">
        <f t="shared" si="3"/>
        <v>29912.268417880368</v>
      </c>
      <c r="M25" s="5">
        <f>scrimecost*Meta!O22</f>
        <v>23532.298999999999</v>
      </c>
      <c r="N25" s="22"/>
    </row>
    <row r="26" spans="1:14" x14ac:dyDescent="0.2">
      <c r="A26" s="5">
        <v>35</v>
      </c>
      <c r="B26" s="1">
        <f t="shared" si="0"/>
        <v>1.6795818512976552</v>
      </c>
      <c r="C26" s="5">
        <f t="shared" si="4"/>
        <v>22413.122935497195</v>
      </c>
      <c r="D26" s="5">
        <f t="shared" si="5"/>
        <v>21656.866289657006</v>
      </c>
      <c r="E26" s="5">
        <f t="shared" si="6"/>
        <v>12156.866289657006</v>
      </c>
      <c r="F26" s="5">
        <f t="shared" si="7"/>
        <v>4270.9668435730127</v>
      </c>
      <c r="G26" s="5">
        <f t="shared" si="8"/>
        <v>17385.899446083993</v>
      </c>
      <c r="H26" s="22">
        <f t="shared" si="1"/>
        <v>10310.555004838279</v>
      </c>
      <c r="I26" s="5">
        <f t="shared" si="9"/>
        <v>26551.982845385224</v>
      </c>
      <c r="J26" s="25">
        <f t="shared" si="2"/>
        <v>8.7289413200957178E-2</v>
      </c>
      <c r="L26" s="22">
        <f t="shared" si="3"/>
        <v>30660.075128327371</v>
      </c>
      <c r="M26" s="5">
        <f>scrimecost*Meta!O23</f>
        <v>18262.839</v>
      </c>
      <c r="N26" s="22"/>
    </row>
    <row r="27" spans="1:14" x14ac:dyDescent="0.2">
      <c r="A27" s="5">
        <v>36</v>
      </c>
      <c r="B27" s="1">
        <f t="shared" si="0"/>
        <v>1.7215713975800966</v>
      </c>
      <c r="C27" s="5">
        <f t="shared" si="4"/>
        <v>22973.451008884618</v>
      </c>
      <c r="D27" s="5">
        <f t="shared" si="5"/>
        <v>22154.997946898424</v>
      </c>
      <c r="E27" s="5">
        <f t="shared" si="6"/>
        <v>12654.997946898424</v>
      </c>
      <c r="F27" s="5">
        <f t="shared" si="7"/>
        <v>4433.6068296623353</v>
      </c>
      <c r="G27" s="5">
        <f t="shared" si="8"/>
        <v>17721.391117236089</v>
      </c>
      <c r="H27" s="22">
        <f t="shared" si="1"/>
        <v>10568.318879959235</v>
      </c>
      <c r="I27" s="5">
        <f t="shared" si="9"/>
        <v>27116.626601519849</v>
      </c>
      <c r="J27" s="25">
        <f t="shared" si="2"/>
        <v>9.0614710291745657E-2</v>
      </c>
      <c r="L27" s="22">
        <f t="shared" si="3"/>
        <v>31426.577006535557</v>
      </c>
      <c r="M27" s="5">
        <f>scrimecost*Meta!O24</f>
        <v>18262.839</v>
      </c>
      <c r="N27" s="22"/>
    </row>
    <row r="28" spans="1:14" x14ac:dyDescent="0.2">
      <c r="A28" s="5">
        <v>37</v>
      </c>
      <c r="B28" s="1">
        <f t="shared" si="0"/>
        <v>1.7646106825195991</v>
      </c>
      <c r="C28" s="5">
        <f t="shared" si="4"/>
        <v>23547.787284106736</v>
      </c>
      <c r="D28" s="5">
        <f t="shared" si="5"/>
        <v>22665.582895570889</v>
      </c>
      <c r="E28" s="5">
        <f t="shared" si="6"/>
        <v>13165.582895570889</v>
      </c>
      <c r="F28" s="5">
        <f t="shared" si="7"/>
        <v>4600.312815403895</v>
      </c>
      <c r="G28" s="5">
        <f t="shared" si="8"/>
        <v>18065.270080166993</v>
      </c>
      <c r="H28" s="22">
        <f t="shared" si="1"/>
        <v>10832.526851958217</v>
      </c>
      <c r="I28" s="5">
        <f t="shared" si="9"/>
        <v>27695.386451557846</v>
      </c>
      <c r="J28" s="25">
        <f t="shared" si="2"/>
        <v>9.3858902575441813E-2</v>
      </c>
      <c r="L28" s="22">
        <f t="shared" si="3"/>
        <v>32212.241431698949</v>
      </c>
      <c r="M28" s="5">
        <f>scrimecost*Meta!O25</f>
        <v>18262.839</v>
      </c>
      <c r="N28" s="22"/>
    </row>
    <row r="29" spans="1:14" x14ac:dyDescent="0.2">
      <c r="A29" s="5">
        <v>38</v>
      </c>
      <c r="B29" s="1">
        <f t="shared" si="0"/>
        <v>1.8087259495825889</v>
      </c>
      <c r="C29" s="5">
        <f t="shared" si="4"/>
        <v>24136.481966209405</v>
      </c>
      <c r="D29" s="5">
        <f t="shared" si="5"/>
        <v>23188.93246796016</v>
      </c>
      <c r="E29" s="5">
        <f t="shared" si="6"/>
        <v>13688.93246796016</v>
      </c>
      <c r="F29" s="5">
        <f t="shared" si="7"/>
        <v>4771.1864507889923</v>
      </c>
      <c r="G29" s="5">
        <f t="shared" si="8"/>
        <v>18417.746017171168</v>
      </c>
      <c r="H29" s="22">
        <f t="shared" si="1"/>
        <v>11103.340023257171</v>
      </c>
      <c r="I29" s="5">
        <f t="shared" si="9"/>
        <v>28288.615297846794</v>
      </c>
      <c r="J29" s="25">
        <f t="shared" si="2"/>
        <v>9.7023968218072201E-2</v>
      </c>
      <c r="L29" s="22">
        <f t="shared" si="3"/>
        <v>33017.547467491415</v>
      </c>
      <c r="M29" s="5">
        <f>scrimecost*Meta!O26</f>
        <v>18262.839</v>
      </c>
      <c r="N29" s="22"/>
    </row>
    <row r="30" spans="1:14" x14ac:dyDescent="0.2">
      <c r="A30" s="5">
        <v>39</v>
      </c>
      <c r="B30" s="1">
        <f t="shared" si="0"/>
        <v>1.8539440983221533</v>
      </c>
      <c r="C30" s="5">
        <f t="shared" si="4"/>
        <v>24739.894015364636</v>
      </c>
      <c r="D30" s="5">
        <f t="shared" si="5"/>
        <v>23725.365779659161</v>
      </c>
      <c r="E30" s="5">
        <f t="shared" si="6"/>
        <v>14225.365779659161</v>
      </c>
      <c r="F30" s="5">
        <f t="shared" si="7"/>
        <v>4946.3319270587162</v>
      </c>
      <c r="G30" s="5">
        <f t="shared" si="8"/>
        <v>18779.033852600445</v>
      </c>
      <c r="H30" s="22">
        <f t="shared" si="1"/>
        <v>11380.923523838599</v>
      </c>
      <c r="I30" s="5">
        <f t="shared" si="9"/>
        <v>28896.67486529296</v>
      </c>
      <c r="J30" s="25">
        <f t="shared" si="2"/>
        <v>0.10011183713771157</v>
      </c>
      <c r="L30" s="22">
        <f t="shared" si="3"/>
        <v>33842.986154178696</v>
      </c>
      <c r="M30" s="5">
        <f>scrimecost*Meta!O27</f>
        <v>18262.839</v>
      </c>
      <c r="N30" s="22"/>
    </row>
    <row r="31" spans="1:14" x14ac:dyDescent="0.2">
      <c r="A31" s="5">
        <v>40</v>
      </c>
      <c r="B31" s="1">
        <f t="shared" si="0"/>
        <v>1.9002927007802071</v>
      </c>
      <c r="C31" s="5">
        <f t="shared" si="4"/>
        <v>25358.39136574875</v>
      </c>
      <c r="D31" s="5">
        <f t="shared" si="5"/>
        <v>24275.209924150637</v>
      </c>
      <c r="E31" s="5">
        <f t="shared" si="6"/>
        <v>14775.209924150637</v>
      </c>
      <c r="F31" s="5">
        <f t="shared" si="7"/>
        <v>5125.8560402351832</v>
      </c>
      <c r="G31" s="5">
        <f t="shared" si="8"/>
        <v>19149.353883915453</v>
      </c>
      <c r="H31" s="22">
        <f t="shared" si="1"/>
        <v>11665.446611934562</v>
      </c>
      <c r="I31" s="5">
        <f t="shared" si="9"/>
        <v>29519.93592192528</v>
      </c>
      <c r="J31" s="25">
        <f t="shared" si="2"/>
        <v>0.10312439218126219</v>
      </c>
      <c r="L31" s="22">
        <f t="shared" si="3"/>
        <v>34689.060808033166</v>
      </c>
      <c r="M31" s="5">
        <f>scrimecost*Meta!O28</f>
        <v>15974.784</v>
      </c>
      <c r="N31" s="22"/>
    </row>
    <row r="32" spans="1:14" x14ac:dyDescent="0.2">
      <c r="A32" s="5">
        <v>41</v>
      </c>
      <c r="B32" s="1">
        <f t="shared" si="0"/>
        <v>1.9478000182997122</v>
      </c>
      <c r="C32" s="5">
        <f t="shared" si="4"/>
        <v>25992.351149892467</v>
      </c>
      <c r="D32" s="5">
        <f t="shared" si="5"/>
        <v>24838.800172254403</v>
      </c>
      <c r="E32" s="5">
        <f t="shared" si="6"/>
        <v>15338.800172254403</v>
      </c>
      <c r="F32" s="5">
        <f t="shared" si="7"/>
        <v>5309.8682562410631</v>
      </c>
      <c r="G32" s="5">
        <f t="shared" si="8"/>
        <v>19528.931916013338</v>
      </c>
      <c r="H32" s="22">
        <f t="shared" si="1"/>
        <v>11957.082777232927</v>
      </c>
      <c r="I32" s="5">
        <f t="shared" si="9"/>
        <v>30158.778504973408</v>
      </c>
      <c r="J32" s="25">
        <f t="shared" si="2"/>
        <v>0.10606347027253112</v>
      </c>
      <c r="L32" s="22">
        <f t="shared" si="3"/>
        <v>35556.287328233993</v>
      </c>
      <c r="M32" s="5">
        <f>scrimecost*Meta!O29</f>
        <v>15974.784</v>
      </c>
      <c r="N32" s="22"/>
    </row>
    <row r="33" spans="1:14" x14ac:dyDescent="0.2">
      <c r="A33" s="5">
        <v>42</v>
      </c>
      <c r="B33" s="1">
        <f t="shared" si="0"/>
        <v>1.9964950187572048</v>
      </c>
      <c r="C33" s="5">
        <f t="shared" si="4"/>
        <v>26642.159928639776</v>
      </c>
      <c r="D33" s="5">
        <f t="shared" si="5"/>
        <v>25416.480176560759</v>
      </c>
      <c r="E33" s="5">
        <f t="shared" si="6"/>
        <v>15916.480176560759</v>
      </c>
      <c r="F33" s="5">
        <f t="shared" si="7"/>
        <v>5498.480777647088</v>
      </c>
      <c r="G33" s="5">
        <f t="shared" si="8"/>
        <v>19917.999398913671</v>
      </c>
      <c r="H33" s="22">
        <f t="shared" si="1"/>
        <v>12256.00984666375</v>
      </c>
      <c r="I33" s="5">
        <f t="shared" si="9"/>
        <v>30813.592152597746</v>
      </c>
      <c r="J33" s="25">
        <f t="shared" si="2"/>
        <v>0.10893086353230561</v>
      </c>
      <c r="L33" s="22">
        <f t="shared" si="3"/>
        <v>36445.19451143984</v>
      </c>
      <c r="M33" s="5">
        <f>scrimecost*Meta!O30</f>
        <v>15974.784</v>
      </c>
      <c r="N33" s="22"/>
    </row>
    <row r="34" spans="1:14" x14ac:dyDescent="0.2">
      <c r="A34" s="5">
        <v>43</v>
      </c>
      <c r="B34" s="1">
        <f t="shared" si="0"/>
        <v>2.0464073942261352</v>
      </c>
      <c r="C34" s="5">
        <f t="shared" si="4"/>
        <v>27308.213926855777</v>
      </c>
      <c r="D34" s="5">
        <f t="shared" si="5"/>
        <v>26008.602180974784</v>
      </c>
      <c r="E34" s="5">
        <f t="shared" si="6"/>
        <v>16508.602180974784</v>
      </c>
      <c r="F34" s="5">
        <f t="shared" si="7"/>
        <v>5691.8086120882672</v>
      </c>
      <c r="G34" s="5">
        <f t="shared" si="8"/>
        <v>20316.793568886518</v>
      </c>
      <c r="H34" s="22">
        <f t="shared" si="1"/>
        <v>12562.410092830343</v>
      </c>
      <c r="I34" s="5">
        <f t="shared" si="9"/>
        <v>31484.776141412694</v>
      </c>
      <c r="J34" s="25">
        <f t="shared" si="2"/>
        <v>0.11172832037111007</v>
      </c>
      <c r="L34" s="22">
        <f t="shared" si="3"/>
        <v>37356.324374225835</v>
      </c>
      <c r="M34" s="5">
        <f>scrimecost*Meta!O31</f>
        <v>15974.784</v>
      </c>
      <c r="N34" s="22"/>
    </row>
    <row r="35" spans="1:14" x14ac:dyDescent="0.2">
      <c r="A35" s="5">
        <v>44</v>
      </c>
      <c r="B35" s="1">
        <f t="shared" si="0"/>
        <v>2.097567579081788</v>
      </c>
      <c r="C35" s="5">
        <f t="shared" si="4"/>
        <v>27990.919275027165</v>
      </c>
      <c r="D35" s="5">
        <f t="shared" si="5"/>
        <v>26615.52723549915</v>
      </c>
      <c r="E35" s="5">
        <f t="shared" si="6"/>
        <v>17115.52723549915</v>
      </c>
      <c r="F35" s="5">
        <f t="shared" si="7"/>
        <v>5889.9696423904725</v>
      </c>
      <c r="G35" s="5">
        <f t="shared" si="8"/>
        <v>20725.557593108679</v>
      </c>
      <c r="H35" s="22">
        <f t="shared" si="1"/>
        <v>12876.470345151098</v>
      </c>
      <c r="I35" s="5">
        <f t="shared" si="9"/>
        <v>32172.739729948007</v>
      </c>
      <c r="J35" s="25">
        <f t="shared" si="2"/>
        <v>0.11445754655530951</v>
      </c>
      <c r="L35" s="22">
        <f t="shared" si="3"/>
        <v>38290.232483581472</v>
      </c>
      <c r="M35" s="5">
        <f>scrimecost*Meta!O32</f>
        <v>15974.784</v>
      </c>
      <c r="N35" s="22"/>
    </row>
    <row r="36" spans="1:14" x14ac:dyDescent="0.2">
      <c r="A36" s="5">
        <v>45</v>
      </c>
      <c r="B36" s="1">
        <f t="shared" si="0"/>
        <v>2.1500067685588333</v>
      </c>
      <c r="C36" s="5">
        <f t="shared" si="4"/>
        <v>28690.69225690285</v>
      </c>
      <c r="D36" s="5">
        <f t="shared" si="5"/>
        <v>27237.625416386632</v>
      </c>
      <c r="E36" s="5">
        <f t="shared" si="6"/>
        <v>17737.625416386632</v>
      </c>
      <c r="F36" s="5">
        <f t="shared" si="7"/>
        <v>6093.084698450235</v>
      </c>
      <c r="G36" s="5">
        <f t="shared" si="8"/>
        <v>21144.540717936397</v>
      </c>
      <c r="H36" s="22">
        <f t="shared" si="1"/>
        <v>13198.382103779881</v>
      </c>
      <c r="I36" s="5">
        <f t="shared" si="9"/>
        <v>32877.902408196707</v>
      </c>
      <c r="J36" s="25">
        <f t="shared" si="2"/>
        <v>0.11712020624721137</v>
      </c>
      <c r="L36" s="22">
        <f t="shared" si="3"/>
        <v>39247.488295671021</v>
      </c>
      <c r="M36" s="5">
        <f>scrimecost*Meta!O33</f>
        <v>12910.177000000001</v>
      </c>
      <c r="N36" s="22"/>
    </row>
    <row r="37" spans="1:14" x14ac:dyDescent="0.2">
      <c r="A37" s="5">
        <v>46</v>
      </c>
      <c r="B37" s="1">
        <f t="shared" ref="B37:B56" si="10">(1+experiencepremium)^(A37-startage)</f>
        <v>2.2037569377728037</v>
      </c>
      <c r="C37" s="5">
        <f t="shared" ref="C37:C56" si="11">pretaxincome*B37/expnorm</f>
        <v>29407.959563325414</v>
      </c>
      <c r="D37" s="5">
        <f t="shared" ref="D37:D56" si="12">IF(A37&lt;startage,1,0)*(C37*(1-initialunempprob))+IF(A37=startage,1,0)*(C37*(1-unempprob))+IF(A37&gt;startage,1,0)*(C37*(1-unempprob)+unempprob*300*52)</f>
        <v>27875.276051796292</v>
      </c>
      <c r="E37" s="5">
        <f t="shared" si="6"/>
        <v>18375.276051796292</v>
      </c>
      <c r="F37" s="5">
        <f t="shared" si="7"/>
        <v>6301.2776309114888</v>
      </c>
      <c r="G37" s="5">
        <f t="shared" si="8"/>
        <v>21573.998420884804</v>
      </c>
      <c r="H37" s="22">
        <f t="shared" ref="H37:H56" si="13">benefits*B37/expnorm</f>
        <v>13528.341656374374</v>
      </c>
      <c r="I37" s="5">
        <f t="shared" ref="I37:I56" si="14">G37+IF(A37&lt;startage,1,0)*(H37*(1-initialunempprob))+IF(A37&gt;=startage,1,0)*(H37*(1-unempprob))</f>
        <v>33600.694153401622</v>
      </c>
      <c r="J37" s="25">
        <f t="shared" ref="J37:J56" si="15">(F37-(IF(A37&gt;startage,1,0)*(unempprob*300*52)))/(IF(A37&lt;startage,1,0)*((C37+H37)*(1-initialunempprob))+IF(A37&gt;=startage,1,0)*((C37+H37)*(1-unempprob)))</f>
        <v>0.11971792301979858</v>
      </c>
      <c r="L37" s="22">
        <f t="shared" ref="L37:L56" si="16">(sincome+sbenefits)*(1-sunemp)*B37/expnorm</f>
        <v>40228.675503062797</v>
      </c>
      <c r="M37" s="5">
        <f>scrimecost*Meta!O34</f>
        <v>12910.177000000001</v>
      </c>
      <c r="N37" s="22"/>
    </row>
    <row r="38" spans="1:14" x14ac:dyDescent="0.2">
      <c r="A38" s="5">
        <v>47</v>
      </c>
      <c r="B38" s="1">
        <f t="shared" si="10"/>
        <v>2.2588508612171236</v>
      </c>
      <c r="C38" s="5">
        <f t="shared" si="11"/>
        <v>30143.158552408546</v>
      </c>
      <c r="D38" s="5">
        <f t="shared" si="12"/>
        <v>28528.867953091198</v>
      </c>
      <c r="E38" s="5">
        <f t="shared" si="6"/>
        <v>19028.867953091198</v>
      </c>
      <c r="F38" s="5">
        <f t="shared" si="7"/>
        <v>6514.6753866842755</v>
      </c>
      <c r="G38" s="5">
        <f t="shared" si="8"/>
        <v>22014.19256640692</v>
      </c>
      <c r="H38" s="22">
        <f t="shared" si="13"/>
        <v>13866.550197783732</v>
      </c>
      <c r="I38" s="5">
        <f t="shared" si="14"/>
        <v>34341.55569223666</v>
      </c>
      <c r="J38" s="25">
        <f t="shared" si="15"/>
        <v>0.12225228084671291</v>
      </c>
      <c r="L38" s="22">
        <f t="shared" si="16"/>
        <v>41234.392390639361</v>
      </c>
      <c r="M38" s="5">
        <f>scrimecost*Meta!O35</f>
        <v>12910.177000000001</v>
      </c>
      <c r="N38" s="22"/>
    </row>
    <row r="39" spans="1:14" x14ac:dyDescent="0.2">
      <c r="A39" s="5">
        <v>48</v>
      </c>
      <c r="B39" s="1">
        <f t="shared" si="10"/>
        <v>2.3153221327475517</v>
      </c>
      <c r="C39" s="5">
        <f t="shared" si="11"/>
        <v>30896.73751621876</v>
      </c>
      <c r="D39" s="5">
        <f t="shared" si="12"/>
        <v>29198.799651918478</v>
      </c>
      <c r="E39" s="5">
        <f t="shared" si="6"/>
        <v>19698.799651918478</v>
      </c>
      <c r="F39" s="5">
        <f t="shared" si="7"/>
        <v>6733.4080863513827</v>
      </c>
      <c r="G39" s="5">
        <f t="shared" si="8"/>
        <v>22465.391565567093</v>
      </c>
      <c r="H39" s="22">
        <f t="shared" si="13"/>
        <v>14213.213952728325</v>
      </c>
      <c r="I39" s="5">
        <f t="shared" si="14"/>
        <v>35100.938769542576</v>
      </c>
      <c r="J39" s="25">
        <f t="shared" si="15"/>
        <v>0.12472482506809279</v>
      </c>
      <c r="L39" s="22">
        <f t="shared" si="16"/>
        <v>42265.252200405346</v>
      </c>
      <c r="M39" s="5">
        <f>scrimecost*Meta!O36</f>
        <v>12910.177000000001</v>
      </c>
      <c r="N39" s="22"/>
    </row>
    <row r="40" spans="1:14" x14ac:dyDescent="0.2">
      <c r="A40" s="5">
        <v>49</v>
      </c>
      <c r="B40" s="1">
        <f t="shared" si="10"/>
        <v>2.3732051860662402</v>
      </c>
      <c r="C40" s="5">
        <f t="shared" si="11"/>
        <v>31669.155954124228</v>
      </c>
      <c r="D40" s="5">
        <f t="shared" si="12"/>
        <v>29885.479643216437</v>
      </c>
      <c r="E40" s="5">
        <f t="shared" si="6"/>
        <v>20385.479643216437</v>
      </c>
      <c r="F40" s="5">
        <f t="shared" si="7"/>
        <v>6957.6091035101672</v>
      </c>
      <c r="G40" s="5">
        <f t="shared" si="8"/>
        <v>22927.870539706269</v>
      </c>
      <c r="H40" s="22">
        <f t="shared" si="13"/>
        <v>14568.544301546532</v>
      </c>
      <c r="I40" s="5">
        <f t="shared" si="14"/>
        <v>35879.306423781134</v>
      </c>
      <c r="J40" s="25">
        <f t="shared" si="15"/>
        <v>0.12713706333285363</v>
      </c>
      <c r="L40" s="22">
        <f t="shared" si="16"/>
        <v>43321.88350541547</v>
      </c>
      <c r="M40" s="5">
        <f>scrimecost*Meta!O37</f>
        <v>12910.177000000001</v>
      </c>
      <c r="N40" s="22"/>
    </row>
    <row r="41" spans="1:14" x14ac:dyDescent="0.2">
      <c r="A41" s="5">
        <v>50</v>
      </c>
      <c r="B41" s="1">
        <f t="shared" si="10"/>
        <v>2.4325353157178964</v>
      </c>
      <c r="C41" s="5">
        <f t="shared" si="11"/>
        <v>32460.884852977331</v>
      </c>
      <c r="D41" s="5">
        <f t="shared" si="12"/>
        <v>30589.326634296845</v>
      </c>
      <c r="E41" s="5">
        <f t="shared" si="6"/>
        <v>21089.326634296845</v>
      </c>
      <c r="F41" s="5">
        <f t="shared" si="7"/>
        <v>7187.4151460979192</v>
      </c>
      <c r="G41" s="5">
        <f t="shared" si="8"/>
        <v>23401.911488198926</v>
      </c>
      <c r="H41" s="22">
        <f t="shared" si="13"/>
        <v>14932.757909085196</v>
      </c>
      <c r="I41" s="5">
        <f t="shared" si="14"/>
        <v>36677.133269375663</v>
      </c>
      <c r="J41" s="25">
        <f t="shared" si="15"/>
        <v>0.12949046651798612</v>
      </c>
      <c r="L41" s="22">
        <f t="shared" si="16"/>
        <v>44404.930593050856</v>
      </c>
      <c r="M41" s="5">
        <f>scrimecost*Meta!O38</f>
        <v>8625.2739999999994</v>
      </c>
      <c r="N41" s="22"/>
    </row>
    <row r="42" spans="1:14" x14ac:dyDescent="0.2">
      <c r="A42" s="5">
        <v>51</v>
      </c>
      <c r="B42" s="1">
        <f t="shared" si="10"/>
        <v>2.4933486986108435</v>
      </c>
      <c r="C42" s="5">
        <f t="shared" si="11"/>
        <v>33272.406974301761</v>
      </c>
      <c r="D42" s="5">
        <f t="shared" si="12"/>
        <v>31310.769800154263</v>
      </c>
      <c r="E42" s="5">
        <f t="shared" si="6"/>
        <v>21810.769800154263</v>
      </c>
      <c r="F42" s="5">
        <f t="shared" si="7"/>
        <v>7422.9663397503664</v>
      </c>
      <c r="G42" s="5">
        <f t="shared" si="8"/>
        <v>23887.803460403898</v>
      </c>
      <c r="H42" s="22">
        <f t="shared" si="13"/>
        <v>15306.076856812326</v>
      </c>
      <c r="I42" s="5">
        <f t="shared" si="14"/>
        <v>37494.905786110059</v>
      </c>
      <c r="J42" s="25">
        <f t="shared" si="15"/>
        <v>0.13178646962543247</v>
      </c>
      <c r="L42" s="22">
        <f t="shared" si="16"/>
        <v>45515.05385787713</v>
      </c>
      <c r="M42" s="5">
        <f>scrimecost*Meta!O39</f>
        <v>8625.2739999999994</v>
      </c>
      <c r="N42" s="22"/>
    </row>
    <row r="43" spans="1:14" x14ac:dyDescent="0.2">
      <c r="A43" s="5">
        <v>52</v>
      </c>
      <c r="B43" s="1">
        <f t="shared" si="10"/>
        <v>2.555682416076114</v>
      </c>
      <c r="C43" s="5">
        <f t="shared" si="11"/>
        <v>34104.2171486593</v>
      </c>
      <c r="D43" s="5">
        <f t="shared" si="12"/>
        <v>32050.249045158118</v>
      </c>
      <c r="E43" s="5">
        <f t="shared" si="6"/>
        <v>22550.249045158118</v>
      </c>
      <c r="F43" s="5">
        <f t="shared" si="7"/>
        <v>7664.4063132441261</v>
      </c>
      <c r="G43" s="5">
        <f t="shared" si="8"/>
        <v>24385.842731913992</v>
      </c>
      <c r="H43" s="22">
        <f t="shared" si="13"/>
        <v>15688.728778232629</v>
      </c>
      <c r="I43" s="5">
        <f t="shared" si="14"/>
        <v>38333.122615762797</v>
      </c>
      <c r="J43" s="25">
        <f t="shared" si="15"/>
        <v>0.1340264726570875</v>
      </c>
      <c r="L43" s="22">
        <f t="shared" si="16"/>
        <v>46652.930204324046</v>
      </c>
      <c r="M43" s="5">
        <f>scrimecost*Meta!O40</f>
        <v>8625.2739999999994</v>
      </c>
      <c r="N43" s="22"/>
    </row>
    <row r="44" spans="1:14" x14ac:dyDescent="0.2">
      <c r="A44" s="5">
        <v>53</v>
      </c>
      <c r="B44" s="1">
        <f t="shared" si="10"/>
        <v>2.6195744764780171</v>
      </c>
      <c r="C44" s="5">
        <f t="shared" si="11"/>
        <v>34956.82257737578</v>
      </c>
      <c r="D44" s="5">
        <f t="shared" si="12"/>
        <v>32808.215271287067</v>
      </c>
      <c r="E44" s="5">
        <f t="shared" si="6"/>
        <v>23308.215271287067</v>
      </c>
      <c r="F44" s="5">
        <f t="shared" si="7"/>
        <v>7911.8822860752271</v>
      </c>
      <c r="G44" s="5">
        <f t="shared" si="8"/>
        <v>24896.33298521184</v>
      </c>
      <c r="H44" s="22">
        <f t="shared" si="13"/>
        <v>16080.946997688447</v>
      </c>
      <c r="I44" s="5">
        <f t="shared" si="14"/>
        <v>39192.294866156866</v>
      </c>
      <c r="J44" s="25">
        <f t="shared" si="15"/>
        <v>0.13621184146845819</v>
      </c>
      <c r="L44" s="22">
        <f t="shared" si="16"/>
        <v>47819.253459432148</v>
      </c>
      <c r="M44" s="5">
        <f>scrimecost*Meta!O41</f>
        <v>8625.2739999999994</v>
      </c>
      <c r="N44" s="22"/>
    </row>
    <row r="45" spans="1:14" x14ac:dyDescent="0.2">
      <c r="A45" s="5">
        <v>54</v>
      </c>
      <c r="B45" s="1">
        <f t="shared" si="10"/>
        <v>2.6850638383899672</v>
      </c>
      <c r="C45" s="5">
        <f t="shared" si="11"/>
        <v>35830.743141810177</v>
      </c>
      <c r="D45" s="5">
        <f t="shared" si="12"/>
        <v>33585.130653069245</v>
      </c>
      <c r="E45" s="5">
        <f t="shared" si="6"/>
        <v>24085.130653069245</v>
      </c>
      <c r="F45" s="5">
        <f t="shared" si="7"/>
        <v>8165.5451582271089</v>
      </c>
      <c r="G45" s="5">
        <f t="shared" si="8"/>
        <v>25419.585494842137</v>
      </c>
      <c r="H45" s="22">
        <f t="shared" si="13"/>
        <v>16482.970672630658</v>
      </c>
      <c r="I45" s="5">
        <f t="shared" si="14"/>
        <v>40072.94642281079</v>
      </c>
      <c r="J45" s="25">
        <f t="shared" si="15"/>
        <v>0.13834390860150281</v>
      </c>
      <c r="L45" s="22">
        <f t="shared" si="16"/>
        <v>49014.734795917946</v>
      </c>
      <c r="M45" s="5">
        <f>scrimecost*Meta!O42</f>
        <v>8625.2739999999994</v>
      </c>
      <c r="N45" s="22"/>
    </row>
    <row r="46" spans="1:14" x14ac:dyDescent="0.2">
      <c r="A46" s="5">
        <v>55</v>
      </c>
      <c r="B46" s="1">
        <f t="shared" si="10"/>
        <v>2.7521904343497163</v>
      </c>
      <c r="C46" s="5">
        <f t="shared" si="11"/>
        <v>36726.511720355425</v>
      </c>
      <c r="D46" s="5">
        <f t="shared" si="12"/>
        <v>34381.468919395971</v>
      </c>
      <c r="E46" s="5">
        <f t="shared" si="6"/>
        <v>24881.468919395971</v>
      </c>
      <c r="F46" s="5">
        <f t="shared" si="7"/>
        <v>8425.5496021827839</v>
      </c>
      <c r="G46" s="5">
        <f t="shared" si="8"/>
        <v>25955.919317213185</v>
      </c>
      <c r="H46" s="22">
        <f t="shared" si="13"/>
        <v>16895.044939446423</v>
      </c>
      <c r="I46" s="5">
        <f t="shared" si="14"/>
        <v>40975.614268381054</v>
      </c>
      <c r="J46" s="25">
        <f t="shared" si="15"/>
        <v>0.14042397409715607</v>
      </c>
      <c r="L46" s="22">
        <f t="shared" si="16"/>
        <v>50240.10316581589</v>
      </c>
      <c r="M46" s="5">
        <f>scrimecost*Meta!O43</f>
        <v>4784.1149999999998</v>
      </c>
      <c r="N46" s="22"/>
    </row>
    <row r="47" spans="1:14" x14ac:dyDescent="0.2">
      <c r="A47" s="5">
        <v>56</v>
      </c>
      <c r="B47" s="1">
        <f t="shared" si="10"/>
        <v>2.8209951952084591</v>
      </c>
      <c r="C47" s="5">
        <f t="shared" si="11"/>
        <v>37644.674513364313</v>
      </c>
      <c r="D47" s="5">
        <f t="shared" si="12"/>
        <v>35197.71564238087</v>
      </c>
      <c r="E47" s="5">
        <f t="shared" si="6"/>
        <v>25697.71564238087</v>
      </c>
      <c r="F47" s="5">
        <f t="shared" si="7"/>
        <v>8692.054157237355</v>
      </c>
      <c r="G47" s="5">
        <f t="shared" si="8"/>
        <v>26505.661485143515</v>
      </c>
      <c r="H47" s="22">
        <f t="shared" si="13"/>
        <v>17317.421062932583</v>
      </c>
      <c r="I47" s="5">
        <f t="shared" si="14"/>
        <v>41900.848810090582</v>
      </c>
      <c r="J47" s="25">
        <f t="shared" si="15"/>
        <v>0.14245330628803735</v>
      </c>
      <c r="L47" s="22">
        <f t="shared" si="16"/>
        <v>51496.105744961293</v>
      </c>
      <c r="M47" s="5">
        <f>scrimecost*Meta!O44</f>
        <v>4784.1149999999998</v>
      </c>
      <c r="N47" s="22"/>
    </row>
    <row r="48" spans="1:14" x14ac:dyDescent="0.2">
      <c r="A48" s="5">
        <v>57</v>
      </c>
      <c r="B48" s="1">
        <f t="shared" si="10"/>
        <v>2.8915200750886707</v>
      </c>
      <c r="C48" s="5">
        <f t="shared" si="11"/>
        <v>38585.791376198424</v>
      </c>
      <c r="D48" s="5">
        <f t="shared" si="12"/>
        <v>36034.3685334404</v>
      </c>
      <c r="E48" s="5">
        <f t="shared" si="6"/>
        <v>26534.3685334404</v>
      </c>
      <c r="F48" s="5">
        <f t="shared" si="7"/>
        <v>8965.22132616829</v>
      </c>
      <c r="G48" s="5">
        <f t="shared" si="8"/>
        <v>27069.147207272108</v>
      </c>
      <c r="H48" s="22">
        <f t="shared" si="13"/>
        <v>17750.356589505896</v>
      </c>
      <c r="I48" s="5">
        <f t="shared" si="14"/>
        <v>42849.21421534285</v>
      </c>
      <c r="J48" s="25">
        <f t="shared" si="15"/>
        <v>0.14443314257182394</v>
      </c>
      <c r="L48" s="22">
        <f t="shared" si="16"/>
        <v>52783.508388585324</v>
      </c>
      <c r="M48" s="5">
        <f>scrimecost*Meta!O45</f>
        <v>4784.1149999999998</v>
      </c>
      <c r="N48" s="22"/>
    </row>
    <row r="49" spans="1:14" x14ac:dyDescent="0.2">
      <c r="A49" s="5">
        <v>58</v>
      </c>
      <c r="B49" s="1">
        <f t="shared" si="10"/>
        <v>2.9638080769658868</v>
      </c>
      <c r="C49" s="5">
        <f t="shared" si="11"/>
        <v>39550.436160603371</v>
      </c>
      <c r="D49" s="5">
        <f t="shared" si="12"/>
        <v>36891.937746776399</v>
      </c>
      <c r="E49" s="5">
        <f t="shared" si="6"/>
        <v>27391.937746776399</v>
      </c>
      <c r="F49" s="5">
        <f t="shared" si="7"/>
        <v>9245.2176743224936</v>
      </c>
      <c r="G49" s="5">
        <f t="shared" si="8"/>
        <v>27646.720072453907</v>
      </c>
      <c r="H49" s="22">
        <f t="shared" si="13"/>
        <v>18194.115504243538</v>
      </c>
      <c r="I49" s="5">
        <f t="shared" si="14"/>
        <v>43821.288755726411</v>
      </c>
      <c r="J49" s="25">
        <f t="shared" si="15"/>
        <v>0.14636469016576206</v>
      </c>
      <c r="L49" s="22">
        <f t="shared" si="16"/>
        <v>54103.096098299946</v>
      </c>
      <c r="M49" s="5">
        <f>scrimecost*Meta!O46</f>
        <v>4784.1149999999998</v>
      </c>
      <c r="N49" s="22"/>
    </row>
    <row r="50" spans="1:14" x14ac:dyDescent="0.2">
      <c r="A50" s="5">
        <v>59</v>
      </c>
      <c r="B50" s="1">
        <f t="shared" si="10"/>
        <v>3.0379032788900342</v>
      </c>
      <c r="C50" s="5">
        <f t="shared" si="11"/>
        <v>40539.197064618464</v>
      </c>
      <c r="D50" s="5">
        <f t="shared" si="12"/>
        <v>37770.946190445815</v>
      </c>
      <c r="E50" s="5">
        <f t="shared" si="6"/>
        <v>28270.946190445815</v>
      </c>
      <c r="F50" s="5">
        <f t="shared" si="7"/>
        <v>9532.2139311805586</v>
      </c>
      <c r="G50" s="5">
        <f t="shared" si="8"/>
        <v>28238.732259265256</v>
      </c>
      <c r="H50" s="22">
        <f t="shared" si="13"/>
        <v>18648.96839184963</v>
      </c>
      <c r="I50" s="5">
        <f t="shared" si="14"/>
        <v>44817.665159619573</v>
      </c>
      <c r="J50" s="25">
        <f t="shared" si="15"/>
        <v>0.14824912684277489</v>
      </c>
      <c r="L50" s="22">
        <f t="shared" si="16"/>
        <v>55455.673500757453</v>
      </c>
      <c r="M50" s="5">
        <f>scrimecost*Meta!O47</f>
        <v>4784.1149999999998</v>
      </c>
      <c r="N50" s="22"/>
    </row>
    <row r="51" spans="1:14" x14ac:dyDescent="0.2">
      <c r="A51" s="5">
        <v>60</v>
      </c>
      <c r="B51" s="1">
        <f t="shared" si="10"/>
        <v>3.1138508608622844</v>
      </c>
      <c r="C51" s="5">
        <f t="shared" si="11"/>
        <v>41552.676991233915</v>
      </c>
      <c r="D51" s="5">
        <f t="shared" si="12"/>
        <v>38671.929845206949</v>
      </c>
      <c r="E51" s="5">
        <f t="shared" si="6"/>
        <v>29171.929845206949</v>
      </c>
      <c r="F51" s="5">
        <f t="shared" si="7"/>
        <v>9826.385094460069</v>
      </c>
      <c r="G51" s="5">
        <f t="shared" si="8"/>
        <v>28845.544750746878</v>
      </c>
      <c r="H51" s="22">
        <f t="shared" si="13"/>
        <v>19115.192601645864</v>
      </c>
      <c r="I51" s="5">
        <f t="shared" si="14"/>
        <v>45838.950973610052</v>
      </c>
      <c r="J51" s="25">
        <f t="shared" si="15"/>
        <v>0.15008760164961663</v>
      </c>
      <c r="L51" s="22">
        <f t="shared" si="16"/>
        <v>56842.06533827637</v>
      </c>
      <c r="M51" s="5">
        <f>scrimecost*Meta!O48</f>
        <v>2523.7939999999999</v>
      </c>
      <c r="N51" s="22"/>
    </row>
    <row r="52" spans="1:14" x14ac:dyDescent="0.2">
      <c r="A52" s="5">
        <v>61</v>
      </c>
      <c r="B52" s="1">
        <f t="shared" si="10"/>
        <v>3.1916971323838421</v>
      </c>
      <c r="C52" s="5">
        <f t="shared" si="11"/>
        <v>42591.49391601477</v>
      </c>
      <c r="D52" s="5">
        <f t="shared" si="12"/>
        <v>39595.438091337128</v>
      </c>
      <c r="E52" s="5">
        <f t="shared" si="6"/>
        <v>30095.438091337128</v>
      </c>
      <c r="F52" s="5">
        <f t="shared" si="7"/>
        <v>10127.910536821571</v>
      </c>
      <c r="G52" s="5">
        <f t="shared" si="8"/>
        <v>29467.527554515556</v>
      </c>
      <c r="H52" s="22">
        <f t="shared" si="13"/>
        <v>19593.07241668702</v>
      </c>
      <c r="I52" s="5">
        <f t="shared" si="14"/>
        <v>46885.768932950319</v>
      </c>
      <c r="J52" s="25">
        <f t="shared" si="15"/>
        <v>0.15188123560751099</v>
      </c>
      <c r="L52" s="22">
        <f t="shared" si="16"/>
        <v>58263.116971733296</v>
      </c>
      <c r="M52" s="5">
        <f>scrimecost*Meta!O49</f>
        <v>2523.7939999999999</v>
      </c>
      <c r="N52" s="22"/>
    </row>
    <row r="53" spans="1:14" x14ac:dyDescent="0.2">
      <c r="A53" s="5">
        <v>62</v>
      </c>
      <c r="B53" s="1">
        <f t="shared" si="10"/>
        <v>3.2714895606934378</v>
      </c>
      <c r="C53" s="5">
        <f t="shared" si="11"/>
        <v>43656.281263915138</v>
      </c>
      <c r="D53" s="5">
        <f t="shared" si="12"/>
        <v>40542.034043620559</v>
      </c>
      <c r="E53" s="5">
        <f t="shared" si="6"/>
        <v>31042.034043620559</v>
      </c>
      <c r="F53" s="5">
        <f t="shared" si="7"/>
        <v>10436.974115242112</v>
      </c>
      <c r="G53" s="5">
        <f t="shared" si="8"/>
        <v>30105.059928378447</v>
      </c>
      <c r="H53" s="22">
        <f t="shared" si="13"/>
        <v>20082.89922710419</v>
      </c>
      <c r="I53" s="5">
        <f t="shared" si="14"/>
        <v>47958.757341274075</v>
      </c>
      <c r="J53" s="25">
        <f t="shared" si="15"/>
        <v>0.15363112239570068</v>
      </c>
      <c r="L53" s="22">
        <f t="shared" si="16"/>
        <v>59719.694896026616</v>
      </c>
      <c r="M53" s="5">
        <f>scrimecost*Meta!O50</f>
        <v>2523.7939999999999</v>
      </c>
      <c r="N53" s="22"/>
    </row>
    <row r="54" spans="1:14" x14ac:dyDescent="0.2">
      <c r="A54" s="5">
        <v>63</v>
      </c>
      <c r="B54" s="1">
        <f t="shared" si="10"/>
        <v>3.3532767997107733</v>
      </c>
      <c r="C54" s="5">
        <f t="shared" si="11"/>
        <v>44747.688295513006</v>
      </c>
      <c r="D54" s="5">
        <f t="shared" si="12"/>
        <v>41512.294894711064</v>
      </c>
      <c r="E54" s="5">
        <f t="shared" si="6"/>
        <v>32012.294894711064</v>
      </c>
      <c r="F54" s="5">
        <f t="shared" si="7"/>
        <v>10753.764283123162</v>
      </c>
      <c r="G54" s="5">
        <f t="shared" si="8"/>
        <v>30758.530611587899</v>
      </c>
      <c r="H54" s="22">
        <f t="shared" si="13"/>
        <v>20584.971707781791</v>
      </c>
      <c r="I54" s="5">
        <f t="shared" si="14"/>
        <v>49058.570459805909</v>
      </c>
      <c r="J54" s="25">
        <f t="shared" si="15"/>
        <v>0.15533832901832476</v>
      </c>
      <c r="L54" s="22">
        <f t="shared" si="16"/>
        <v>61212.687268427275</v>
      </c>
      <c r="M54" s="5">
        <f>scrimecost*Meta!O51</f>
        <v>2523.7939999999999</v>
      </c>
      <c r="N54" s="22"/>
    </row>
    <row r="55" spans="1:14" x14ac:dyDescent="0.2">
      <c r="A55" s="5">
        <v>64</v>
      </c>
      <c r="B55" s="1">
        <f t="shared" si="10"/>
        <v>3.4371087197035428</v>
      </c>
      <c r="C55" s="5">
        <f t="shared" si="11"/>
        <v>45866.380502900836</v>
      </c>
      <c r="D55" s="5">
        <f t="shared" si="12"/>
        <v>42506.812267078843</v>
      </c>
      <c r="E55" s="5">
        <f t="shared" si="6"/>
        <v>33006.812267078843</v>
      </c>
      <c r="F55" s="5">
        <f t="shared" si="7"/>
        <v>11078.474205201243</v>
      </c>
      <c r="G55" s="5">
        <f t="shared" si="8"/>
        <v>31428.338061877599</v>
      </c>
      <c r="H55" s="22">
        <f t="shared" si="13"/>
        <v>21099.59600047634</v>
      </c>
      <c r="I55" s="5">
        <f t="shared" si="14"/>
        <v>50185.878906301063</v>
      </c>
      <c r="J55" s="25">
        <f t="shared" si="15"/>
        <v>0.15700389645503118</v>
      </c>
      <c r="L55" s="22">
        <f t="shared" si="16"/>
        <v>62743.00445013796</v>
      </c>
      <c r="M55" s="5">
        <f>scrimecost*Meta!O52</f>
        <v>2523.7939999999999</v>
      </c>
      <c r="N55" s="22"/>
    </row>
    <row r="56" spans="1:14" x14ac:dyDescent="0.2">
      <c r="A56" s="5">
        <v>65</v>
      </c>
      <c r="B56" s="1">
        <f t="shared" si="10"/>
        <v>3.5230364376961316</v>
      </c>
      <c r="C56" s="5">
        <f t="shared" si="11"/>
        <v>47013.040015473358</v>
      </c>
      <c r="D56" s="5">
        <f t="shared" si="12"/>
        <v>43526.192573755812</v>
      </c>
      <c r="E56" s="5">
        <f t="shared" si="6"/>
        <v>34026.192573755812</v>
      </c>
      <c r="F56" s="5">
        <f t="shared" si="7"/>
        <v>11411.301875331272</v>
      </c>
      <c r="G56" s="5">
        <f t="shared" si="8"/>
        <v>32114.89069842454</v>
      </c>
      <c r="H56" s="22">
        <f t="shared" si="13"/>
        <v>21627.085900488248</v>
      </c>
      <c r="I56" s="5">
        <f t="shared" si="14"/>
        <v>51341.370063958588</v>
      </c>
      <c r="J56" s="25">
        <f t="shared" si="15"/>
        <v>0.1586288402957203</v>
      </c>
      <c r="L56" s="22">
        <f t="shared" si="16"/>
        <v>64311.579561391416</v>
      </c>
      <c r="M56" s="5">
        <f>scrimecost*Meta!O53</f>
        <v>762.68500000000006</v>
      </c>
      <c r="N56" s="22"/>
    </row>
    <row r="57" spans="1:14" x14ac:dyDescent="0.2">
      <c r="A57" s="5">
        <v>66</v>
      </c>
      <c r="C57" s="5"/>
      <c r="H57" s="21"/>
      <c r="I57" s="5"/>
      <c r="M57" s="5">
        <f>scrimecost*Meta!O54</f>
        <v>762.68500000000006</v>
      </c>
      <c r="N57" s="5"/>
    </row>
    <row r="58" spans="1:14" x14ac:dyDescent="0.2">
      <c r="A58" s="5">
        <v>67</v>
      </c>
      <c r="C58" s="5"/>
      <c r="H58" s="21"/>
      <c r="I58" s="5"/>
      <c r="M58" s="5">
        <f>scrimecost*Meta!O55</f>
        <v>762.68500000000006</v>
      </c>
      <c r="N58" s="5"/>
    </row>
    <row r="59" spans="1:14" x14ac:dyDescent="0.2">
      <c r="A59" s="5">
        <v>68</v>
      </c>
      <c r="H59" s="21"/>
      <c r="I59" s="5"/>
      <c r="M59" s="5">
        <f>scrimecost*Meta!O56</f>
        <v>762.68500000000006</v>
      </c>
      <c r="N59" s="5"/>
    </row>
    <row r="60" spans="1:14" x14ac:dyDescent="0.2">
      <c r="A60" s="5">
        <v>69</v>
      </c>
      <c r="H60" s="21"/>
      <c r="I60" s="5"/>
      <c r="M60" s="5">
        <f>scrimecost*Meta!O57</f>
        <v>762.68500000000006</v>
      </c>
      <c r="N60" s="5"/>
    </row>
    <row r="61" spans="1:14" x14ac:dyDescent="0.2">
      <c r="A61" s="5">
        <v>70</v>
      </c>
      <c r="H61" s="21"/>
      <c r="I61" s="5"/>
      <c r="M61" s="5">
        <f>scrimecost*Meta!O58</f>
        <v>762.68500000000006</v>
      </c>
      <c r="N61" s="5"/>
    </row>
    <row r="62" spans="1:14" x14ac:dyDescent="0.2">
      <c r="A62" s="5">
        <v>71</v>
      </c>
      <c r="H62" s="21"/>
      <c r="I62" s="5"/>
      <c r="M62" s="5">
        <f>scrimecost*Meta!O59</f>
        <v>762.68500000000006</v>
      </c>
      <c r="N62" s="5"/>
    </row>
    <row r="63" spans="1:14" x14ac:dyDescent="0.2">
      <c r="A63" s="5">
        <v>72</v>
      </c>
      <c r="H63" s="21"/>
      <c r="M63" s="5">
        <f>scrimecost*Meta!O60</f>
        <v>762.68500000000006</v>
      </c>
      <c r="N63" s="5"/>
    </row>
    <row r="64" spans="1:14" x14ac:dyDescent="0.2">
      <c r="A64" s="5">
        <v>73</v>
      </c>
      <c r="H64" s="21"/>
      <c r="M64" s="5">
        <f>scrimecost*Meta!O61</f>
        <v>762.68500000000006</v>
      </c>
      <c r="N64" s="5"/>
    </row>
    <row r="65" spans="1:14" x14ac:dyDescent="0.2">
      <c r="A65" s="5">
        <v>74</v>
      </c>
      <c r="H65" s="21"/>
      <c r="M65" s="5">
        <f>scrimecost*Meta!O62</f>
        <v>762.68500000000006</v>
      </c>
      <c r="N65" s="5"/>
    </row>
    <row r="66" spans="1:14" x14ac:dyDescent="0.2">
      <c r="A66" s="5">
        <v>75</v>
      </c>
      <c r="H66" s="21"/>
      <c r="M66" s="5">
        <f>scrimecost*Meta!O63</f>
        <v>762.68500000000006</v>
      </c>
      <c r="N66" s="5"/>
    </row>
    <row r="67" spans="1:14" x14ac:dyDescent="0.2">
      <c r="A67" s="5">
        <v>76</v>
      </c>
      <c r="H67" s="21"/>
      <c r="M67" s="5">
        <f>scrimecost*Meta!O64</f>
        <v>762.68500000000006</v>
      </c>
      <c r="N67" s="5"/>
    </row>
    <row r="68" spans="1:14" x14ac:dyDescent="0.2">
      <c r="A68" s="5">
        <v>77</v>
      </c>
      <c r="H68" s="21"/>
      <c r="M68" s="5">
        <f>scrimecost*Meta!O65</f>
        <v>762.68500000000006</v>
      </c>
      <c r="N68" s="5"/>
    </row>
    <row r="69" spans="1:14" x14ac:dyDescent="0.2">
      <c r="A69" s="5">
        <v>78</v>
      </c>
      <c r="H69" s="21"/>
      <c r="M69" s="5">
        <f>scrimecost*Meta!O66</f>
        <v>762.68500000000006</v>
      </c>
      <c r="N69" s="5"/>
    </row>
    <row r="70" spans="1:14" x14ac:dyDescent="0.2">
      <c r="A70" s="5">
        <v>79</v>
      </c>
      <c r="H70" s="21"/>
      <c r="M70" s="5"/>
    </row>
    <row r="71" spans="1:14" x14ac:dyDescent="0.2">
      <c r="A71" s="5">
        <v>80</v>
      </c>
      <c r="H71" s="21"/>
      <c r="M71" s="5"/>
    </row>
    <row r="72" spans="1:14" x14ac:dyDescent="0.2">
      <c r="A72" s="5">
        <v>81</v>
      </c>
      <c r="H72" s="21"/>
      <c r="M72" s="5"/>
    </row>
    <row r="73" spans="1:14" x14ac:dyDescent="0.2">
      <c r="A73" s="5">
        <v>82</v>
      </c>
      <c r="H73" s="21"/>
      <c r="M73" s="5"/>
    </row>
    <row r="74" spans="1:14" x14ac:dyDescent="0.2">
      <c r="A74" s="5">
        <v>83</v>
      </c>
      <c r="H74" s="21"/>
      <c r="M74" s="5"/>
    </row>
    <row r="75" spans="1:14" x14ac:dyDescent="0.2">
      <c r="A75" s="5">
        <v>84</v>
      </c>
      <c r="H75" s="21"/>
      <c r="M75" s="5"/>
    </row>
    <row r="76" spans="1:14" x14ac:dyDescent="0.2">
      <c r="A76" s="5">
        <v>85</v>
      </c>
      <c r="H76" s="21"/>
    </row>
    <row r="77" spans="1:14" x14ac:dyDescent="0.2">
      <c r="A77" s="5">
        <v>86</v>
      </c>
      <c r="H77" s="21"/>
    </row>
    <row r="78" spans="1:14" x14ac:dyDescent="0.2">
      <c r="A78" s="5">
        <v>87</v>
      </c>
      <c r="H78" s="21"/>
    </row>
    <row r="79" spans="1:14" x14ac:dyDescent="0.2">
      <c r="A79" s="5">
        <v>88</v>
      </c>
      <c r="H79" s="21"/>
    </row>
    <row r="80" spans="1:14" x14ac:dyDescent="0.2">
      <c r="A80" s="5">
        <v>89</v>
      </c>
      <c r="H80" s="21"/>
    </row>
    <row r="81" spans="1:8" x14ac:dyDescent="0.2">
      <c r="A81" s="5">
        <v>90</v>
      </c>
      <c r="H81" s="2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A5" sqref="A5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Meta!A3+6</f>
        <v>15</v>
      </c>
      <c r="C2" s="7">
        <f>Meta!B3</f>
        <v>27925</v>
      </c>
      <c r="D2" s="7">
        <f>Meta!C3</f>
        <v>12845</v>
      </c>
      <c r="E2" s="1">
        <f>Meta!D3</f>
        <v>0.105</v>
      </c>
      <c r="F2" s="1">
        <f>Meta!F3</f>
        <v>0.53100000000000003</v>
      </c>
      <c r="G2" s="1">
        <f>Meta!I3</f>
        <v>1.978852107996969</v>
      </c>
      <c r="H2" s="1">
        <f>Meta!E3</f>
        <v>0.878</v>
      </c>
      <c r="I2" s="13"/>
      <c r="J2" s="1">
        <f>Meta!X2</f>
        <v>0.53200000000000003</v>
      </c>
      <c r="K2" s="1">
        <f>Meta!D2</f>
        <v>0.111</v>
      </c>
      <c r="L2" s="28"/>
      <c r="N2" s="22">
        <f>Meta!T3</f>
        <v>28555</v>
      </c>
      <c r="O2" s="22">
        <f>Meta!U3</f>
        <v>13136</v>
      </c>
      <c r="P2" s="1">
        <f>Meta!V3</f>
        <v>0.10199999999999999</v>
      </c>
      <c r="Q2" s="1">
        <f>Meta!X3</f>
        <v>0.53800000000000003</v>
      </c>
      <c r="R2" s="22">
        <f>Meta!W3</f>
        <v>13585</v>
      </c>
      <c r="T2" s="12">
        <f>IRR(S5:S69)+1</f>
        <v>1.0038312331710337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B5" s="1">
        <v>1</v>
      </c>
      <c r="C5" s="5">
        <f>0.1*Grade8!C5</f>
        <v>1334.4466015860244</v>
      </c>
      <c r="D5" s="5">
        <f>IF(A5&lt;startage,1,0)*(C5*(1-initialunempprob))+IF(A5=startage,1,0)*(C5*(1-unempprob))+IF(A5&gt;startage,1,0)*(C5*(1-unempprob)+unempprob*300*52)</f>
        <v>1186.3230288099758</v>
      </c>
      <c r="E5" s="5">
        <f>IF(D5-9500&gt;0,1,0)*(D5-9500)</f>
        <v>0</v>
      </c>
      <c r="F5" s="5">
        <f>IF(E5&lt;=8500,1,0)*(0.1*E5+0.1*E5+0.0765*D5)+IF(AND(E5&gt;8500,E5&lt;=34500),1,0)*(850+0.15*(E5-8500)+0.1*E5+0.0765*D5)+IF(AND(E5&gt;34500,E5&lt;=83600),1,0)*(4750+0.25*(E5-34500)+0.1*E5+0.0765*D5)+IF(AND(E5&gt;83600,E5&lt;=174400,D5&lt;=106800),1,0)*(17025+0.28*(E5-83600)+0.1*E5+0.0765*D5)+IF(AND(E5&gt;83600,E5&lt;=174400,D5&gt;106800),1,0)*(17025+0.28*(E5-83600)+0.1*E5+8170.2+0.0145*(D5-106800))+IF(AND(E5&gt;174400,E5&lt;=379150),1,0)*(42449+0.33*(E5-174400)+0.1*E5+8170.2+0.0145*(D5-106800))+IF(E5&gt;379150,1,0)*(110016.5+0.35*(E5-379150)+0.1*E5+8170.2+0.0145*(D5-106800))</f>
        <v>90.753711703963148</v>
      </c>
      <c r="G5" s="5">
        <f>D5-F5</f>
        <v>1095.5693171060127</v>
      </c>
      <c r="H5" s="22">
        <f>0.1*Grade8!H5</f>
        <v>613.87630480004771</v>
      </c>
      <c r="I5" s="5">
        <f>G5+IF(A5&lt;startage,1,0)*(H5*(1-initialunempprob))+IF(A5&gt;=startage,1,0)*(H5*(1-unempprob))</f>
        <v>1641.3053520732551</v>
      </c>
      <c r="J5" s="25">
        <f t="shared" ref="J5:J36" si="0">(F5-(IF(A5&gt;startage,1,0)*(unempprob*300*52)))/(IF(A5&lt;startage,1,0)*((C5+H5)*(1-initialunempprob))+IF(A5&gt;=startage,1,0)*((C5+H5)*(1-unempprob)))</f>
        <v>5.2396430122914166E-2</v>
      </c>
      <c r="L5" s="22">
        <f>0.1*Grade8!L5</f>
        <v>1825.4588250426268</v>
      </c>
      <c r="M5" s="5"/>
      <c r="N5" s="5">
        <f>L5-Grade8!L5</f>
        <v>-16429.129425383639</v>
      </c>
      <c r="O5" s="5"/>
      <c r="P5" s="22"/>
      <c r="Q5" s="22">
        <f>0.05*feel*Grade8!G5</f>
        <v>146.76265958816245</v>
      </c>
      <c r="R5" s="22">
        <f>hstuition</f>
        <v>11298</v>
      </c>
      <c r="S5" s="22">
        <f t="shared" ref="S5:S36" si="1">IF(A5&lt;startage,1,0)*(N5-Q5-R5)+IF(A5&gt;=startage,1,0)*completionprob*(N5*spart+O5+P5)</f>
        <v>-27873.892084971802</v>
      </c>
      <c r="T5" s="22">
        <f t="shared" ref="T5:T36" si="2">S5/sreturn^(A5-startage+1)</f>
        <v>-27873.892084971802</v>
      </c>
    </row>
    <row r="6" spans="1:20" x14ac:dyDescent="0.2">
      <c r="A6" s="5">
        <v>15</v>
      </c>
      <c r="B6" s="1">
        <f t="shared" ref="B6:B36" si="3">(1+experiencepremium)^(A6-startage)</f>
        <v>1</v>
      </c>
      <c r="C6" s="5">
        <f t="shared" ref="C6:C36" si="4">pretaxincome*B6/expnorm</f>
        <v>14111.716528561705</v>
      </c>
      <c r="D6" s="5">
        <f t="shared" ref="D6:D36" si="5">IF(A6&lt;startage,1,0)*(C6*(1-initialunempprob))+IF(A6=startage,1,0)*(C6*(1-unempprob))+IF(A6&gt;startage,1,0)*(C6*(1-unempprob)+unempprob*300*52)</f>
        <v>12629.986293062726</v>
      </c>
      <c r="E6" s="5">
        <f t="shared" ref="E6:E56" si="6">IF(D6-9500&gt;0,1,0)*(D6-9500)</f>
        <v>3129.986293062726</v>
      </c>
      <c r="F6" s="5">
        <f t="shared" ref="F6:F56" si="7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1592.1912100318436</v>
      </c>
      <c r="G6" s="5">
        <f t="shared" ref="G6:G56" si="8">D6-F6</f>
        <v>11037.795083030882</v>
      </c>
      <c r="H6" s="22">
        <f t="shared" ref="H6:H36" si="9">benefits*B6/expnorm</f>
        <v>6491.1369314010781</v>
      </c>
      <c r="I6" s="5">
        <f t="shared" ref="I6:I36" si="10">G6+IF(A6&lt;startage,1,0)*(H6*(1-initialunempprob))+IF(A6&gt;=startage,1,0)*(H6*(1-unempprob))</f>
        <v>16847.362636634847</v>
      </c>
      <c r="J6" s="25">
        <f t="shared" si="0"/>
        <v>8.6346514849092365E-2</v>
      </c>
      <c r="L6" s="22">
        <f t="shared" ref="L6:L36" si="11">(sincome+sbenefits)*(1-sunemp)*B6/expnorm</f>
        <v>18919.310770472872</v>
      </c>
      <c r="M6" s="5">
        <f>scrimecost*Meta!O3</f>
        <v>25213.760000000002</v>
      </c>
      <c r="N6" s="5">
        <f>L6-Grade8!L6</f>
        <v>208.35781378595129</v>
      </c>
      <c r="O6" s="5">
        <f>Grade8!M6-M6</f>
        <v>523.39199999999983</v>
      </c>
      <c r="P6" s="22">
        <f t="shared" ref="P6:P37" si="12">(spart-initialspart)*(L6*J6+nptrans)</f>
        <v>49.12569929026342</v>
      </c>
      <c r="S6" s="22">
        <f t="shared" si="1"/>
        <v>601.09127032803826</v>
      </c>
      <c r="T6" s="22">
        <f t="shared" si="2"/>
        <v>598.79713886689137</v>
      </c>
    </row>
    <row r="7" spans="1:20" x14ac:dyDescent="0.2">
      <c r="A7" s="5">
        <v>16</v>
      </c>
      <c r="B7" s="1">
        <f t="shared" si="3"/>
        <v>1.0249999999999999</v>
      </c>
      <c r="C7" s="5">
        <f t="shared" si="4"/>
        <v>14464.509441775746</v>
      </c>
      <c r="D7" s="5">
        <f t="shared" si="5"/>
        <v>14583.735950389293</v>
      </c>
      <c r="E7" s="5">
        <f t="shared" si="6"/>
        <v>5083.7359503892931</v>
      </c>
      <c r="F7" s="5">
        <f t="shared" si="7"/>
        <v>2132.4029902826396</v>
      </c>
      <c r="G7" s="5">
        <f t="shared" si="8"/>
        <v>12451.332960106654</v>
      </c>
      <c r="H7" s="22">
        <f t="shared" si="9"/>
        <v>6653.4153546861044</v>
      </c>
      <c r="I7" s="5">
        <f t="shared" si="10"/>
        <v>18406.139702550718</v>
      </c>
      <c r="J7" s="25">
        <f t="shared" si="0"/>
        <v>2.6158137272434278E-2</v>
      </c>
      <c r="L7" s="22">
        <f t="shared" si="11"/>
        <v>19392.293539734692</v>
      </c>
      <c r="M7" s="5">
        <f>scrimecost*Meta!O4</f>
        <v>31897.579999999998</v>
      </c>
      <c r="N7" s="5">
        <f>L7-Grade8!L7</f>
        <v>213.56675913059735</v>
      </c>
      <c r="O7" s="5">
        <f>Grade8!M7-M7</f>
        <v>662.1359999999986</v>
      </c>
      <c r="P7" s="22">
        <f t="shared" si="12"/>
        <v>42.367597658638367</v>
      </c>
      <c r="S7" s="22">
        <f t="shared" si="1"/>
        <v>719.43540735424881</v>
      </c>
      <c r="T7" s="22">
        <f t="shared" si="2"/>
        <v>713.95427706738769</v>
      </c>
    </row>
    <row r="8" spans="1:20" x14ac:dyDescent="0.2">
      <c r="A8" s="5">
        <v>17</v>
      </c>
      <c r="B8" s="1">
        <f t="shared" si="3"/>
        <v>1.0506249999999999</v>
      </c>
      <c r="C8" s="5">
        <f t="shared" si="4"/>
        <v>14826.12217782014</v>
      </c>
      <c r="D8" s="5">
        <f t="shared" si="5"/>
        <v>14907.379349149025</v>
      </c>
      <c r="E8" s="5">
        <f t="shared" si="6"/>
        <v>5407.3793491490251</v>
      </c>
      <c r="F8" s="5">
        <f t="shared" si="7"/>
        <v>2221.8903900397054</v>
      </c>
      <c r="G8" s="5">
        <f t="shared" si="8"/>
        <v>12685.48895910932</v>
      </c>
      <c r="H8" s="22">
        <f t="shared" si="9"/>
        <v>6819.7507385532572</v>
      </c>
      <c r="I8" s="5">
        <f t="shared" si="10"/>
        <v>18789.165870114484</v>
      </c>
      <c r="J8" s="25">
        <f t="shared" si="0"/>
        <v>3.0139301832340738E-2</v>
      </c>
      <c r="L8" s="22">
        <f t="shared" si="11"/>
        <v>19877.100878228059</v>
      </c>
      <c r="M8" s="5">
        <f>scrimecost*Meta!O5</f>
        <v>36842.520000000004</v>
      </c>
      <c r="N8" s="5">
        <f>L8-Grade8!L8</f>
        <v>218.90592810885937</v>
      </c>
      <c r="O8" s="5">
        <f>Grade8!M8-M8</f>
        <v>764.78399999999965</v>
      </c>
      <c r="P8" s="22">
        <f t="shared" si="12"/>
        <v>42.918491657524839</v>
      </c>
      <c r="S8" s="22">
        <f t="shared" si="1"/>
        <v>812.56606750051969</v>
      </c>
      <c r="T8" s="22">
        <f t="shared" si="2"/>
        <v>803.29778570528993</v>
      </c>
    </row>
    <row r="9" spans="1:20" x14ac:dyDescent="0.2">
      <c r="A9" s="5">
        <v>18</v>
      </c>
      <c r="B9" s="1">
        <f t="shared" si="3"/>
        <v>1.0768906249999999</v>
      </c>
      <c r="C9" s="5">
        <f t="shared" si="4"/>
        <v>15196.775232265643</v>
      </c>
      <c r="D9" s="5">
        <f t="shared" si="5"/>
        <v>15239.113832877751</v>
      </c>
      <c r="E9" s="5">
        <f t="shared" si="6"/>
        <v>5739.1138328777506</v>
      </c>
      <c r="F9" s="5">
        <f t="shared" si="7"/>
        <v>2313.6149747906979</v>
      </c>
      <c r="G9" s="5">
        <f t="shared" si="8"/>
        <v>12925.498858087052</v>
      </c>
      <c r="H9" s="22">
        <f t="shared" si="9"/>
        <v>6990.2445070170879</v>
      </c>
      <c r="I9" s="5">
        <f t="shared" si="10"/>
        <v>19181.767691867346</v>
      </c>
      <c r="J9" s="25">
        <f t="shared" si="0"/>
        <v>3.4023364817615337E-2</v>
      </c>
      <c r="L9" s="22">
        <f t="shared" si="11"/>
        <v>20374.028400183761</v>
      </c>
      <c r="M9" s="5">
        <f>scrimecost*Meta!O6</f>
        <v>44776.159999999996</v>
      </c>
      <c r="N9" s="5">
        <f>L9-Grade8!L9</f>
        <v>224.37857631158477</v>
      </c>
      <c r="O9" s="5">
        <f>Grade8!M9-M9</f>
        <v>929.47200000000157</v>
      </c>
      <c r="P9" s="22">
        <f t="shared" si="12"/>
        <v>43.483158006383483</v>
      </c>
      <c r="S9" s="22">
        <f t="shared" si="1"/>
        <v>960.24299055045162</v>
      </c>
      <c r="T9" s="22">
        <f t="shared" si="2"/>
        <v>945.66720635305944</v>
      </c>
    </row>
    <row r="10" spans="1:20" x14ac:dyDescent="0.2">
      <c r="A10" s="5">
        <v>19</v>
      </c>
      <c r="B10" s="1">
        <f t="shared" si="3"/>
        <v>1.1038128906249998</v>
      </c>
      <c r="C10" s="5">
        <f t="shared" si="4"/>
        <v>15576.694613072283</v>
      </c>
      <c r="D10" s="5">
        <f t="shared" si="5"/>
        <v>15579.141678699692</v>
      </c>
      <c r="E10" s="5">
        <f t="shared" si="6"/>
        <v>6079.1416786996924</v>
      </c>
      <c r="F10" s="5">
        <f t="shared" si="7"/>
        <v>2407.6326741604648</v>
      </c>
      <c r="G10" s="5">
        <f t="shared" si="8"/>
        <v>13171.509004539228</v>
      </c>
      <c r="H10" s="22">
        <f t="shared" si="9"/>
        <v>7165.0006196925151</v>
      </c>
      <c r="I10" s="5">
        <f t="shared" si="10"/>
        <v>19584.18455916403</v>
      </c>
      <c r="J10" s="25">
        <f t="shared" si="0"/>
        <v>3.7812694559346639E-2</v>
      </c>
      <c r="L10" s="22">
        <f t="shared" si="11"/>
        <v>20883.379110188354</v>
      </c>
      <c r="M10" s="5">
        <f>scrimecost*Meta!O7</f>
        <v>47859.955000000002</v>
      </c>
      <c r="N10" s="5">
        <f>L10-Grade8!L10</f>
        <v>229.98804071937775</v>
      </c>
      <c r="O10" s="5">
        <f>Grade8!M10-M10</f>
        <v>993.48599999999715</v>
      </c>
      <c r="P10" s="22">
        <f t="shared" si="12"/>
        <v>44.06194101396359</v>
      </c>
      <c r="S10" s="22">
        <f t="shared" si="1"/>
        <v>1019.6051630766257</v>
      </c>
      <c r="T10" s="22">
        <f t="shared" si="2"/>
        <v>1000.2959376689587</v>
      </c>
    </row>
    <row r="11" spans="1:20" x14ac:dyDescent="0.2">
      <c r="A11" s="5">
        <v>20</v>
      </c>
      <c r="B11" s="1">
        <f t="shared" si="3"/>
        <v>1.1314082128906247</v>
      </c>
      <c r="C11" s="5">
        <f t="shared" si="4"/>
        <v>15966.111978399089</v>
      </c>
      <c r="D11" s="5">
        <f t="shared" si="5"/>
        <v>15927.670220667185</v>
      </c>
      <c r="E11" s="5">
        <f t="shared" si="6"/>
        <v>6427.6702206671853</v>
      </c>
      <c r="F11" s="5">
        <f t="shared" si="7"/>
        <v>2504.0008160144771</v>
      </c>
      <c r="G11" s="5">
        <f t="shared" si="8"/>
        <v>13423.669404652708</v>
      </c>
      <c r="H11" s="22">
        <f t="shared" si="9"/>
        <v>7344.1256351848269</v>
      </c>
      <c r="I11" s="5">
        <f t="shared" si="10"/>
        <v>19996.661848143129</v>
      </c>
      <c r="J11" s="25">
        <f t="shared" si="0"/>
        <v>4.1509601624450394E-2</v>
      </c>
      <c r="L11" s="22">
        <f t="shared" si="11"/>
        <v>21405.463587943061</v>
      </c>
      <c r="M11" s="5">
        <f>scrimecost*Meta!O8</f>
        <v>45835.79</v>
      </c>
      <c r="N11" s="5">
        <f>L11-Grade8!L11</f>
        <v>235.73774173736456</v>
      </c>
      <c r="O11" s="5">
        <f>Grade8!M11-M11</f>
        <v>951.46800000000076</v>
      </c>
      <c r="P11" s="22">
        <f t="shared" si="12"/>
        <v>44.655193596733213</v>
      </c>
      <c r="S11" s="22">
        <f t="shared" si="1"/>
        <v>985.95018661596089</v>
      </c>
      <c r="T11" s="22">
        <f t="shared" si="2"/>
        <v>963.58659234965126</v>
      </c>
    </row>
    <row r="12" spans="1:20" x14ac:dyDescent="0.2">
      <c r="A12" s="5">
        <v>21</v>
      </c>
      <c r="B12" s="1">
        <f t="shared" si="3"/>
        <v>1.1596934182128902</v>
      </c>
      <c r="C12" s="5">
        <f t="shared" si="4"/>
        <v>16365.264777859065</v>
      </c>
      <c r="D12" s="5">
        <f t="shared" si="5"/>
        <v>16284.911976183865</v>
      </c>
      <c r="E12" s="5">
        <f t="shared" si="6"/>
        <v>6784.9119761838647</v>
      </c>
      <c r="F12" s="5">
        <f t="shared" si="7"/>
        <v>2602.7781614148389</v>
      </c>
      <c r="G12" s="5">
        <f t="shared" si="8"/>
        <v>13682.133814769026</v>
      </c>
      <c r="H12" s="22">
        <f t="shared" si="9"/>
        <v>7527.7287760644467</v>
      </c>
      <c r="I12" s="5">
        <f t="shared" si="10"/>
        <v>20419.451069346705</v>
      </c>
      <c r="J12" s="25">
        <f t="shared" si="0"/>
        <v>4.511634022455159E-2</v>
      </c>
      <c r="L12" s="22">
        <f t="shared" si="11"/>
        <v>21940.600177641634</v>
      </c>
      <c r="M12" s="5">
        <f>scrimecost*Meta!O9</f>
        <v>41624.44</v>
      </c>
      <c r="N12" s="5">
        <f>L12-Grade8!L12</f>
        <v>241.63118528079212</v>
      </c>
      <c r="O12" s="5">
        <f>Grade8!M12-M12</f>
        <v>864.04799999999523</v>
      </c>
      <c r="P12" s="22">
        <f t="shared" si="12"/>
        <v>45.263277494072057</v>
      </c>
      <c r="S12" s="22">
        <f t="shared" si="1"/>
        <v>912.51317484376716</v>
      </c>
      <c r="T12" s="22">
        <f t="shared" si="2"/>
        <v>888.41158720549413</v>
      </c>
    </row>
    <row r="13" spans="1:20" x14ac:dyDescent="0.2">
      <c r="A13" s="5">
        <v>22</v>
      </c>
      <c r="B13" s="1">
        <f t="shared" si="3"/>
        <v>1.1886857536682125</v>
      </c>
      <c r="C13" s="5">
        <f t="shared" si="4"/>
        <v>16774.39639730554</v>
      </c>
      <c r="D13" s="5">
        <f t="shared" si="5"/>
        <v>16651.084775588461</v>
      </c>
      <c r="E13" s="5">
        <f t="shared" si="6"/>
        <v>7151.0847755884606</v>
      </c>
      <c r="F13" s="5">
        <f t="shared" si="7"/>
        <v>2704.0249404502092</v>
      </c>
      <c r="G13" s="5">
        <f t="shared" si="8"/>
        <v>13947.05983513825</v>
      </c>
      <c r="H13" s="22">
        <f t="shared" si="9"/>
        <v>7715.9219954660584</v>
      </c>
      <c r="I13" s="5">
        <f t="shared" si="10"/>
        <v>20852.810021080375</v>
      </c>
      <c r="J13" s="25">
        <f t="shared" si="0"/>
        <v>4.8635109590503947E-2</v>
      </c>
      <c r="L13" s="22">
        <f t="shared" si="11"/>
        <v>22489.115182082678</v>
      </c>
      <c r="M13" s="5">
        <f>scrimecost*Meta!O10</f>
        <v>38146.68</v>
      </c>
      <c r="N13" s="5">
        <f>L13-Grade8!L13</f>
        <v>247.6719649128172</v>
      </c>
      <c r="O13" s="5">
        <f>Grade8!M13-M13</f>
        <v>791.85599999999977</v>
      </c>
      <c r="P13" s="22">
        <f t="shared" si="12"/>
        <v>45.886563488844388</v>
      </c>
      <c r="S13" s="22">
        <f t="shared" si="1"/>
        <v>852.52929077728322</v>
      </c>
      <c r="T13" s="22">
        <f t="shared" si="2"/>
        <v>826.84418366227976</v>
      </c>
    </row>
    <row r="14" spans="1:20" x14ac:dyDescent="0.2">
      <c r="A14" s="5">
        <v>23</v>
      </c>
      <c r="B14" s="1">
        <f t="shared" si="3"/>
        <v>1.2184028975099177</v>
      </c>
      <c r="C14" s="5">
        <f t="shared" si="4"/>
        <v>17193.756307238182</v>
      </c>
      <c r="D14" s="5">
        <f t="shared" si="5"/>
        <v>17026.411894978173</v>
      </c>
      <c r="E14" s="5">
        <f t="shared" si="6"/>
        <v>7526.4118949781732</v>
      </c>
      <c r="F14" s="5">
        <f t="shared" si="7"/>
        <v>2807.8028889614648</v>
      </c>
      <c r="G14" s="5">
        <f t="shared" si="8"/>
        <v>14218.609006016708</v>
      </c>
      <c r="H14" s="22">
        <f t="shared" si="9"/>
        <v>7908.8200453527097</v>
      </c>
      <c r="I14" s="5">
        <f t="shared" si="10"/>
        <v>21297.002946607383</v>
      </c>
      <c r="J14" s="25">
        <f t="shared" si="0"/>
        <v>5.2068055313384334E-2</v>
      </c>
      <c r="L14" s="22">
        <f t="shared" si="11"/>
        <v>23051.34306163474</v>
      </c>
      <c r="M14" s="5">
        <f>scrimecost*Meta!O11</f>
        <v>35647.040000000001</v>
      </c>
      <c r="N14" s="5">
        <f>L14-Grade8!L14</f>
        <v>253.86376403563554</v>
      </c>
      <c r="O14" s="5">
        <f>Grade8!M14-M14</f>
        <v>739.96800000000076</v>
      </c>
      <c r="P14" s="22">
        <f t="shared" si="12"/>
        <v>46.525431633486015</v>
      </c>
      <c r="S14" s="22">
        <f t="shared" si="1"/>
        <v>810.45733600913036</v>
      </c>
      <c r="T14" s="22">
        <f t="shared" si="2"/>
        <v>783.03976997049301</v>
      </c>
    </row>
    <row r="15" spans="1:20" x14ac:dyDescent="0.2">
      <c r="A15" s="5">
        <v>24</v>
      </c>
      <c r="B15" s="1">
        <f t="shared" si="3"/>
        <v>1.2488629699476654</v>
      </c>
      <c r="C15" s="5">
        <f t="shared" si="4"/>
        <v>17623.60021491913</v>
      </c>
      <c r="D15" s="5">
        <f t="shared" si="5"/>
        <v>17411.122192352621</v>
      </c>
      <c r="E15" s="5">
        <f t="shared" si="6"/>
        <v>7911.1221923526209</v>
      </c>
      <c r="F15" s="5">
        <f t="shared" si="7"/>
        <v>2914.1752861854998</v>
      </c>
      <c r="G15" s="5">
        <f t="shared" si="8"/>
        <v>14496.946906167121</v>
      </c>
      <c r="H15" s="22">
        <f t="shared" si="9"/>
        <v>8106.5405464865262</v>
      </c>
      <c r="I15" s="5">
        <f t="shared" si="10"/>
        <v>21752.300695272563</v>
      </c>
      <c r="J15" s="25">
        <f t="shared" si="0"/>
        <v>5.5417270652779779E-2</v>
      </c>
      <c r="L15" s="22">
        <f t="shared" si="11"/>
        <v>23627.626638175607</v>
      </c>
      <c r="M15" s="5">
        <f>scrimecost*Meta!O12</f>
        <v>34057.595000000001</v>
      </c>
      <c r="N15" s="5">
        <f>L15-Grade8!L15</f>
        <v>260.2103581365227</v>
      </c>
      <c r="O15" s="5">
        <f>Grade8!M15-M15</f>
        <v>706.97400000000198</v>
      </c>
      <c r="P15" s="22">
        <f t="shared" si="12"/>
        <v>47.180271481743681</v>
      </c>
      <c r="S15" s="22">
        <f t="shared" si="1"/>
        <v>785.06145597177317</v>
      </c>
      <c r="T15" s="22">
        <f t="shared" si="2"/>
        <v>755.60811523567168</v>
      </c>
    </row>
    <row r="16" spans="1:20" x14ac:dyDescent="0.2">
      <c r="A16" s="5">
        <v>25</v>
      </c>
      <c r="B16" s="1">
        <f t="shared" si="3"/>
        <v>1.2800845441963571</v>
      </c>
      <c r="C16" s="5">
        <f t="shared" si="4"/>
        <v>18064.190220292108</v>
      </c>
      <c r="D16" s="5">
        <f t="shared" si="5"/>
        <v>17805.45024716144</v>
      </c>
      <c r="E16" s="5">
        <f t="shared" si="6"/>
        <v>8305.4502471614396</v>
      </c>
      <c r="F16" s="5">
        <f t="shared" si="7"/>
        <v>3023.2069933401381</v>
      </c>
      <c r="G16" s="5">
        <f t="shared" si="8"/>
        <v>14782.243253821302</v>
      </c>
      <c r="H16" s="22">
        <f t="shared" si="9"/>
        <v>8309.2040601486897</v>
      </c>
      <c r="I16" s="5">
        <f t="shared" si="10"/>
        <v>22218.980887654379</v>
      </c>
      <c r="J16" s="25">
        <f t="shared" si="0"/>
        <v>5.868479781316565E-2</v>
      </c>
      <c r="L16" s="22">
        <f t="shared" si="11"/>
        <v>24218.317304129996</v>
      </c>
      <c r="M16" s="5">
        <f>scrimecost*Meta!O13</f>
        <v>28596.424999999999</v>
      </c>
      <c r="N16" s="5">
        <f>L16-Grade8!L16</f>
        <v>266.71561708993613</v>
      </c>
      <c r="O16" s="5">
        <f>Grade8!M16-M16</f>
        <v>593.61000000000058</v>
      </c>
      <c r="P16" s="22">
        <f t="shared" si="12"/>
        <v>47.851482326207801</v>
      </c>
      <c r="S16" s="22">
        <f t="shared" si="1"/>
        <v>689.19003723348158</v>
      </c>
      <c r="T16" s="22">
        <f t="shared" si="2"/>
        <v>660.80184179244475</v>
      </c>
    </row>
    <row r="17" spans="1:20" x14ac:dyDescent="0.2">
      <c r="A17" s="5">
        <v>26</v>
      </c>
      <c r="B17" s="1">
        <f t="shared" si="3"/>
        <v>1.312086657801266</v>
      </c>
      <c r="C17" s="5">
        <f t="shared" si="4"/>
        <v>18515.794975799414</v>
      </c>
      <c r="D17" s="5">
        <f t="shared" si="5"/>
        <v>18209.636503340476</v>
      </c>
      <c r="E17" s="5">
        <f t="shared" si="6"/>
        <v>8709.6365033404763</v>
      </c>
      <c r="F17" s="5">
        <f t="shared" si="7"/>
        <v>3145.4463183406656</v>
      </c>
      <c r="G17" s="5">
        <f t="shared" si="8"/>
        <v>15064.19018499981</v>
      </c>
      <c r="H17" s="22">
        <f t="shared" si="9"/>
        <v>8516.9341616524071</v>
      </c>
      <c r="I17" s="5">
        <f t="shared" si="10"/>
        <v>22686.846259678714</v>
      </c>
      <c r="J17" s="25">
        <f t="shared" si="0"/>
        <v>6.2305864636446828E-2</v>
      </c>
      <c r="L17" s="22">
        <f t="shared" si="11"/>
        <v>24823.775236733247</v>
      </c>
      <c r="M17" s="5">
        <f>scrimecost*Meta!O14</f>
        <v>28596.424999999999</v>
      </c>
      <c r="N17" s="5">
        <f>L17-Grade8!L17</f>
        <v>273.38350751718826</v>
      </c>
      <c r="O17" s="5">
        <f>Grade8!M17-M17</f>
        <v>593.61000000000058</v>
      </c>
      <c r="P17" s="22">
        <f t="shared" si="12"/>
        <v>48.604000677992936</v>
      </c>
      <c r="S17" s="22">
        <f t="shared" si="1"/>
        <v>693.00041974012743</v>
      </c>
      <c r="T17" s="22">
        <f t="shared" si="2"/>
        <v>661.91930491498613</v>
      </c>
    </row>
    <row r="18" spans="1:20" x14ac:dyDescent="0.2">
      <c r="A18" s="5">
        <v>27</v>
      </c>
      <c r="B18" s="1">
        <f t="shared" si="3"/>
        <v>1.3448888242462975</v>
      </c>
      <c r="C18" s="5">
        <f t="shared" si="4"/>
        <v>18978.689850194394</v>
      </c>
      <c r="D18" s="5">
        <f t="shared" si="5"/>
        <v>18623.927415923983</v>
      </c>
      <c r="E18" s="5">
        <f t="shared" si="6"/>
        <v>9123.9274159239831</v>
      </c>
      <c r="F18" s="5">
        <f t="shared" si="7"/>
        <v>3280.7123012991806</v>
      </c>
      <c r="G18" s="5">
        <f t="shared" si="8"/>
        <v>15343.215114624803</v>
      </c>
      <c r="H18" s="22">
        <f t="shared" si="9"/>
        <v>8729.8575156937168</v>
      </c>
      <c r="I18" s="5">
        <f t="shared" si="10"/>
        <v>23156.437591170681</v>
      </c>
      <c r="J18" s="25">
        <f t="shared" si="0"/>
        <v>6.6240669878687347E-2</v>
      </c>
      <c r="L18" s="22">
        <f t="shared" si="11"/>
        <v>25444.369617651573</v>
      </c>
      <c r="M18" s="5">
        <f>scrimecost*Meta!O15</f>
        <v>28596.424999999999</v>
      </c>
      <c r="N18" s="5">
        <f>L18-Grade8!L18</f>
        <v>280.2180952051167</v>
      </c>
      <c r="O18" s="5">
        <f>Grade8!M18-M18</f>
        <v>593.61000000000058</v>
      </c>
      <c r="P18" s="22">
        <f t="shared" si="12"/>
        <v>49.436712528685</v>
      </c>
      <c r="S18" s="22">
        <f t="shared" si="1"/>
        <v>696.95995392365569</v>
      </c>
      <c r="T18" s="22">
        <f t="shared" si="2"/>
        <v>663.16053110307564</v>
      </c>
    </row>
    <row r="19" spans="1:20" x14ac:dyDescent="0.2">
      <c r="A19" s="5">
        <v>28</v>
      </c>
      <c r="B19" s="1">
        <f t="shared" si="3"/>
        <v>1.3785110448524549</v>
      </c>
      <c r="C19" s="5">
        <f t="shared" si="4"/>
        <v>19453.157096449257</v>
      </c>
      <c r="D19" s="5">
        <f t="shared" si="5"/>
        <v>19048.575601322085</v>
      </c>
      <c r="E19" s="5">
        <f t="shared" si="6"/>
        <v>9548.5756013220853</v>
      </c>
      <c r="F19" s="5">
        <f t="shared" si="7"/>
        <v>3419.3599338316608</v>
      </c>
      <c r="G19" s="5">
        <f t="shared" si="8"/>
        <v>15629.215667490425</v>
      </c>
      <c r="H19" s="22">
        <f t="shared" si="9"/>
        <v>8948.1039535860564</v>
      </c>
      <c r="I19" s="5">
        <f t="shared" si="10"/>
        <v>23637.768705949944</v>
      </c>
      <c r="J19" s="25">
        <f t="shared" si="0"/>
        <v>7.00795042613611E-2</v>
      </c>
      <c r="L19" s="22">
        <f t="shared" si="11"/>
        <v>26080.478858092865</v>
      </c>
      <c r="M19" s="5">
        <f>scrimecost*Meta!O16</f>
        <v>28596.424999999999</v>
      </c>
      <c r="N19" s="5">
        <f>L19-Grade8!L19</f>
        <v>287.22354758524671</v>
      </c>
      <c r="O19" s="5">
        <f>Grade8!M19-M19</f>
        <v>593.61000000000058</v>
      </c>
      <c r="P19" s="22">
        <f t="shared" si="12"/>
        <v>50.290242175644387</v>
      </c>
      <c r="S19" s="22">
        <f t="shared" si="1"/>
        <v>701.01847646177373</v>
      </c>
      <c r="T19" s="22">
        <f t="shared" si="2"/>
        <v>664.47646926302718</v>
      </c>
    </row>
    <row r="20" spans="1:20" x14ac:dyDescent="0.2">
      <c r="A20" s="5">
        <v>29</v>
      </c>
      <c r="B20" s="1">
        <f t="shared" si="3"/>
        <v>1.4129738209737661</v>
      </c>
      <c r="C20" s="5">
        <f t="shared" si="4"/>
        <v>19939.486023860482</v>
      </c>
      <c r="D20" s="5">
        <f t="shared" si="5"/>
        <v>19483.839991355133</v>
      </c>
      <c r="E20" s="5">
        <f t="shared" si="6"/>
        <v>9983.839991355133</v>
      </c>
      <c r="F20" s="5">
        <f t="shared" si="7"/>
        <v>3561.4737571774508</v>
      </c>
      <c r="G20" s="5">
        <f t="shared" si="8"/>
        <v>15922.366234177682</v>
      </c>
      <c r="H20" s="22">
        <f t="shared" si="9"/>
        <v>9171.806552425709</v>
      </c>
      <c r="I20" s="5">
        <f t="shared" si="10"/>
        <v>24131.133098598693</v>
      </c>
      <c r="J20" s="25">
        <f t="shared" si="0"/>
        <v>7.3824708537140279E-2</v>
      </c>
      <c r="L20" s="22">
        <f t="shared" si="11"/>
        <v>26732.490829545182</v>
      </c>
      <c r="M20" s="5">
        <f>scrimecost*Meta!O17</f>
        <v>28596.424999999999</v>
      </c>
      <c r="N20" s="5">
        <f>L20-Grade8!L20</f>
        <v>294.40413627487214</v>
      </c>
      <c r="O20" s="5">
        <f>Grade8!M20-M20</f>
        <v>593.61000000000058</v>
      </c>
      <c r="P20" s="22">
        <f t="shared" si="12"/>
        <v>51.165110063777739</v>
      </c>
      <c r="S20" s="22">
        <f t="shared" si="1"/>
        <v>705.17846206334116</v>
      </c>
      <c r="T20" s="22">
        <f t="shared" si="2"/>
        <v>665.86850967200576</v>
      </c>
    </row>
    <row r="21" spans="1:20" x14ac:dyDescent="0.2">
      <c r="A21" s="5">
        <v>30</v>
      </c>
      <c r="B21" s="1">
        <f t="shared" si="3"/>
        <v>1.4482981664981105</v>
      </c>
      <c r="C21" s="5">
        <f t="shared" si="4"/>
        <v>20437.973174456998</v>
      </c>
      <c r="D21" s="5">
        <f t="shared" si="5"/>
        <v>19929.985991139012</v>
      </c>
      <c r="E21" s="5">
        <f t="shared" si="6"/>
        <v>10429.985991139012</v>
      </c>
      <c r="F21" s="5">
        <f t="shared" si="7"/>
        <v>3707.1404261068874</v>
      </c>
      <c r="G21" s="5">
        <f t="shared" si="8"/>
        <v>16222.845565032125</v>
      </c>
      <c r="H21" s="22">
        <f t="shared" si="9"/>
        <v>9401.1017162363514</v>
      </c>
      <c r="I21" s="5">
        <f t="shared" si="10"/>
        <v>24636.831601063659</v>
      </c>
      <c r="J21" s="25">
        <f t="shared" si="0"/>
        <v>7.7478566367168822E-2</v>
      </c>
      <c r="L21" s="22">
        <f t="shared" si="11"/>
        <v>27400.803100283814</v>
      </c>
      <c r="M21" s="5">
        <f>scrimecost*Meta!O18</f>
        <v>23053.745000000003</v>
      </c>
      <c r="N21" s="5">
        <f>L21-Grade8!L21</f>
        <v>301.7642396817464</v>
      </c>
      <c r="O21" s="5">
        <f>Grade8!M21-M21</f>
        <v>478.55399999999645</v>
      </c>
      <c r="P21" s="22">
        <f t="shared" si="12"/>
        <v>52.061849649114436</v>
      </c>
      <c r="S21" s="22">
        <f t="shared" si="1"/>
        <v>608.42327930494787</v>
      </c>
      <c r="T21" s="22">
        <f t="shared" si="2"/>
        <v>572.31424493758686</v>
      </c>
    </row>
    <row r="22" spans="1:20" x14ac:dyDescent="0.2">
      <c r="A22" s="5">
        <v>31</v>
      </c>
      <c r="B22" s="1">
        <f t="shared" si="3"/>
        <v>1.4845056206605631</v>
      </c>
      <c r="C22" s="5">
        <f t="shared" si="4"/>
        <v>20948.922503818423</v>
      </c>
      <c r="D22" s="5">
        <f t="shared" si="5"/>
        <v>20387.285640917489</v>
      </c>
      <c r="E22" s="5">
        <f t="shared" si="6"/>
        <v>10887.285640917489</v>
      </c>
      <c r="F22" s="5">
        <f t="shared" si="7"/>
        <v>3856.4487617595605</v>
      </c>
      <c r="G22" s="5">
        <f t="shared" si="8"/>
        <v>16530.836879157927</v>
      </c>
      <c r="H22" s="22">
        <f t="shared" si="9"/>
        <v>9636.1292591422607</v>
      </c>
      <c r="I22" s="5">
        <f t="shared" si="10"/>
        <v>25155.172566090252</v>
      </c>
      <c r="J22" s="25">
        <f t="shared" si="0"/>
        <v>8.1043305713538155E-2</v>
      </c>
      <c r="L22" s="22">
        <f t="shared" si="11"/>
        <v>28085.823177790906</v>
      </c>
      <c r="M22" s="5">
        <f>scrimecost*Meta!O19</f>
        <v>23053.745000000003</v>
      </c>
      <c r="N22" s="5">
        <f>L22-Grade8!L22</f>
        <v>309.30834567379134</v>
      </c>
      <c r="O22" s="5">
        <f>Grade8!M22-M22</f>
        <v>478.55399999999645</v>
      </c>
      <c r="P22" s="22">
        <f t="shared" si="12"/>
        <v>52.981007724084549</v>
      </c>
      <c r="S22" s="22">
        <f t="shared" si="1"/>
        <v>612.79386417759792</v>
      </c>
      <c r="T22" s="22">
        <f t="shared" si="2"/>
        <v>574.22545037849636</v>
      </c>
    </row>
    <row r="23" spans="1:20" x14ac:dyDescent="0.2">
      <c r="A23" s="5">
        <v>32</v>
      </c>
      <c r="B23" s="1">
        <f t="shared" si="3"/>
        <v>1.521618261177077</v>
      </c>
      <c r="C23" s="5">
        <f t="shared" si="4"/>
        <v>21472.645566413881</v>
      </c>
      <c r="D23" s="5">
        <f t="shared" si="5"/>
        <v>20856.017781940423</v>
      </c>
      <c r="E23" s="5">
        <f t="shared" si="6"/>
        <v>11356.017781940423</v>
      </c>
      <c r="F23" s="5">
        <f t="shared" si="7"/>
        <v>4009.4898058035483</v>
      </c>
      <c r="G23" s="5">
        <f t="shared" si="8"/>
        <v>16846.527976136877</v>
      </c>
      <c r="H23" s="22">
        <f t="shared" si="9"/>
        <v>9877.0324906208152</v>
      </c>
      <c r="I23" s="5">
        <f t="shared" si="10"/>
        <v>25686.472055242506</v>
      </c>
      <c r="J23" s="25">
        <f t="shared" si="0"/>
        <v>8.4521100197800847E-2</v>
      </c>
      <c r="L23" s="22">
        <f t="shared" si="11"/>
        <v>28787.968757235678</v>
      </c>
      <c r="M23" s="5">
        <f>scrimecost*Meta!O20</f>
        <v>23053.745000000003</v>
      </c>
      <c r="N23" s="5">
        <f>L23-Grade8!L23</f>
        <v>317.04105431563221</v>
      </c>
      <c r="O23" s="5">
        <f>Grade8!M23-M23</f>
        <v>478.55399999999645</v>
      </c>
      <c r="P23" s="22">
        <f t="shared" si="12"/>
        <v>53.923144750928905</v>
      </c>
      <c r="S23" s="22">
        <f t="shared" si="1"/>
        <v>617.27371367206183</v>
      </c>
      <c r="T23" s="22">
        <f t="shared" si="2"/>
        <v>576.21572741966963</v>
      </c>
    </row>
    <row r="24" spans="1:20" x14ac:dyDescent="0.2">
      <c r="A24" s="5">
        <v>33</v>
      </c>
      <c r="B24" s="1">
        <f t="shared" si="3"/>
        <v>1.559658717706504</v>
      </c>
      <c r="C24" s="5">
        <f t="shared" si="4"/>
        <v>22009.461705574227</v>
      </c>
      <c r="D24" s="5">
        <f t="shared" si="5"/>
        <v>21336.468226488934</v>
      </c>
      <c r="E24" s="5">
        <f t="shared" si="6"/>
        <v>11836.468226488934</v>
      </c>
      <c r="F24" s="5">
        <f t="shared" si="7"/>
        <v>4166.356875948637</v>
      </c>
      <c r="G24" s="5">
        <f t="shared" si="8"/>
        <v>17170.111350540297</v>
      </c>
      <c r="H24" s="22">
        <f t="shared" si="9"/>
        <v>10123.958302886336</v>
      </c>
      <c r="I24" s="5">
        <f t="shared" si="10"/>
        <v>26231.054031623571</v>
      </c>
      <c r="J24" s="25">
        <f t="shared" si="0"/>
        <v>8.7914070426349855E-2</v>
      </c>
      <c r="L24" s="22">
        <f t="shared" si="11"/>
        <v>29507.667976166569</v>
      </c>
      <c r="M24" s="5">
        <f>scrimecost*Meta!O21</f>
        <v>23053.745000000003</v>
      </c>
      <c r="N24" s="5">
        <f>L24-Grade8!L24</f>
        <v>324.96708067352301</v>
      </c>
      <c r="O24" s="5">
        <f>Grade8!M24-M24</f>
        <v>478.55399999999645</v>
      </c>
      <c r="P24" s="22">
        <f t="shared" si="12"/>
        <v>54.888835203444387</v>
      </c>
      <c r="S24" s="22">
        <f t="shared" si="1"/>
        <v>621.86555940388905</v>
      </c>
      <c r="T24" s="22">
        <f t="shared" si="2"/>
        <v>578.28659555801073</v>
      </c>
    </row>
    <row r="25" spans="1:20" x14ac:dyDescent="0.2">
      <c r="A25" s="5">
        <v>34</v>
      </c>
      <c r="B25" s="1">
        <f t="shared" si="3"/>
        <v>1.5986501856491666</v>
      </c>
      <c r="C25" s="5">
        <f t="shared" si="4"/>
        <v>22559.698248213583</v>
      </c>
      <c r="D25" s="5">
        <f t="shared" si="5"/>
        <v>21828.929932151157</v>
      </c>
      <c r="E25" s="5">
        <f t="shared" si="6"/>
        <v>12328.929932151157</v>
      </c>
      <c r="F25" s="5">
        <f t="shared" si="7"/>
        <v>4327.1456228473526</v>
      </c>
      <c r="G25" s="5">
        <f t="shared" si="8"/>
        <v>17501.784309303803</v>
      </c>
      <c r="H25" s="22">
        <f t="shared" si="9"/>
        <v>10377.057260458496</v>
      </c>
      <c r="I25" s="5">
        <f t="shared" si="10"/>
        <v>26789.250557414154</v>
      </c>
      <c r="J25" s="25">
        <f t="shared" si="0"/>
        <v>9.1224285283470805E-2</v>
      </c>
      <c r="L25" s="22">
        <f t="shared" si="11"/>
        <v>30245.359675570737</v>
      </c>
      <c r="M25" s="5">
        <f>scrimecost*Meta!O22</f>
        <v>23053.745000000003</v>
      </c>
      <c r="N25" s="5">
        <f>L25-Grade8!L25</f>
        <v>333.09125769036837</v>
      </c>
      <c r="O25" s="5">
        <f>Grade8!M25-M25</f>
        <v>478.55399999999645</v>
      </c>
      <c r="P25" s="22">
        <f t="shared" si="12"/>
        <v>55.878667917272743</v>
      </c>
      <c r="S25" s="22">
        <f t="shared" si="1"/>
        <v>626.57220127901553</v>
      </c>
      <c r="T25" s="22">
        <f t="shared" si="2"/>
        <v>580.43960689824962</v>
      </c>
    </row>
    <row r="26" spans="1:20" x14ac:dyDescent="0.2">
      <c r="A26" s="5">
        <v>35</v>
      </c>
      <c r="B26" s="1">
        <f t="shared" si="3"/>
        <v>1.6386164402903955</v>
      </c>
      <c r="C26" s="5">
        <f t="shared" si="4"/>
        <v>23123.690704418921</v>
      </c>
      <c r="D26" s="5">
        <f t="shared" si="5"/>
        <v>22333.703180454933</v>
      </c>
      <c r="E26" s="5">
        <f t="shared" si="6"/>
        <v>12833.703180454933</v>
      </c>
      <c r="F26" s="5">
        <f t="shared" si="7"/>
        <v>4491.9540884185353</v>
      </c>
      <c r="G26" s="5">
        <f t="shared" si="8"/>
        <v>17841.7490920364</v>
      </c>
      <c r="H26" s="22">
        <f t="shared" si="9"/>
        <v>10636.483691969956</v>
      </c>
      <c r="I26" s="5">
        <f t="shared" si="10"/>
        <v>27361.401996349508</v>
      </c>
      <c r="J26" s="25">
        <f t="shared" si="0"/>
        <v>9.4453763192857129E-2</v>
      </c>
      <c r="L26" s="22">
        <f t="shared" si="11"/>
        <v>31001.493667459999</v>
      </c>
      <c r="M26" s="5">
        <f>scrimecost*Meta!O23</f>
        <v>17891.445</v>
      </c>
      <c r="N26" s="5">
        <f>L26-Grade8!L26</f>
        <v>341.41853913262821</v>
      </c>
      <c r="O26" s="5">
        <f>Grade8!M26-M26</f>
        <v>371.39400000000023</v>
      </c>
      <c r="P26" s="22">
        <f t="shared" si="12"/>
        <v>56.893246448946812</v>
      </c>
      <c r="S26" s="22">
        <f t="shared" si="1"/>
        <v>537.31002920102026</v>
      </c>
      <c r="T26" s="22">
        <f t="shared" si="2"/>
        <v>495.84981920579111</v>
      </c>
    </row>
    <row r="27" spans="1:20" x14ac:dyDescent="0.2">
      <c r="A27" s="5">
        <v>36</v>
      </c>
      <c r="B27" s="1">
        <f t="shared" si="3"/>
        <v>1.6795818512976552</v>
      </c>
      <c r="C27" s="5">
        <f t="shared" si="4"/>
        <v>23701.782972029388</v>
      </c>
      <c r="D27" s="5">
        <f t="shared" si="5"/>
        <v>22851.095759966302</v>
      </c>
      <c r="E27" s="5">
        <f t="shared" si="6"/>
        <v>13351.095759966302</v>
      </c>
      <c r="F27" s="5">
        <f t="shared" si="7"/>
        <v>4660.8827656289977</v>
      </c>
      <c r="G27" s="5">
        <f t="shared" si="8"/>
        <v>18190.212994337304</v>
      </c>
      <c r="H27" s="22">
        <f t="shared" si="9"/>
        <v>10902.395784269203</v>
      </c>
      <c r="I27" s="5">
        <f t="shared" si="10"/>
        <v>27947.85722125824</v>
      </c>
      <c r="J27" s="25">
        <f t="shared" si="0"/>
        <v>9.7604473348355952E-2</v>
      </c>
      <c r="L27" s="22">
        <f t="shared" si="11"/>
        <v>31776.531009146496</v>
      </c>
      <c r="M27" s="5">
        <f>scrimecost*Meta!O24</f>
        <v>17891.445</v>
      </c>
      <c r="N27" s="5">
        <f>L27-Grade8!L27</f>
        <v>349.95400261093891</v>
      </c>
      <c r="O27" s="5">
        <f>Grade8!M27-M27</f>
        <v>371.39400000000023</v>
      </c>
      <c r="P27" s="22">
        <f t="shared" si="12"/>
        <v>57.933189443912724</v>
      </c>
      <c r="S27" s="22">
        <f t="shared" si="1"/>
        <v>542.2549448210691</v>
      </c>
      <c r="T27" s="22">
        <f t="shared" si="2"/>
        <v>498.50329020415472</v>
      </c>
    </row>
    <row r="28" spans="1:20" x14ac:dyDescent="0.2">
      <c r="A28" s="5">
        <v>37</v>
      </c>
      <c r="B28" s="1">
        <f t="shared" si="3"/>
        <v>1.7215713975800966</v>
      </c>
      <c r="C28" s="5">
        <f t="shared" si="4"/>
        <v>24294.327546330125</v>
      </c>
      <c r="D28" s="5">
        <f t="shared" si="5"/>
        <v>23381.423153965461</v>
      </c>
      <c r="E28" s="5">
        <f t="shared" si="6"/>
        <v>13881.423153965461</v>
      </c>
      <c r="F28" s="5">
        <f t="shared" si="7"/>
        <v>4834.0346597697226</v>
      </c>
      <c r="G28" s="5">
        <f t="shared" si="8"/>
        <v>18547.388494195737</v>
      </c>
      <c r="H28" s="22">
        <f t="shared" si="9"/>
        <v>11174.955678875933</v>
      </c>
      <c r="I28" s="5">
        <f t="shared" si="10"/>
        <v>28548.973826789697</v>
      </c>
      <c r="J28" s="25">
        <f t="shared" si="0"/>
        <v>0.10067833691469628</v>
      </c>
      <c r="L28" s="22">
        <f t="shared" si="11"/>
        <v>32570.944284375157</v>
      </c>
      <c r="M28" s="5">
        <f>scrimecost*Meta!O25</f>
        <v>17891.445</v>
      </c>
      <c r="N28" s="5">
        <f>L28-Grade8!L28</f>
        <v>358.70285267620784</v>
      </c>
      <c r="O28" s="5">
        <f>Grade8!M28-M28</f>
        <v>371.39400000000023</v>
      </c>
      <c r="P28" s="22">
        <f t="shared" si="12"/>
        <v>58.999131013752795</v>
      </c>
      <c r="S28" s="22">
        <f t="shared" si="1"/>
        <v>547.3234833316194</v>
      </c>
      <c r="T28" s="22">
        <f t="shared" si="2"/>
        <v>501.24249853275779</v>
      </c>
    </row>
    <row r="29" spans="1:20" x14ac:dyDescent="0.2">
      <c r="A29" s="5">
        <v>38</v>
      </c>
      <c r="B29" s="1">
        <f t="shared" si="3"/>
        <v>1.7646106825195991</v>
      </c>
      <c r="C29" s="5">
        <f t="shared" si="4"/>
        <v>24901.685734988379</v>
      </c>
      <c r="D29" s="5">
        <f t="shared" si="5"/>
        <v>23925.0087328146</v>
      </c>
      <c r="E29" s="5">
        <f t="shared" si="6"/>
        <v>14425.0087328146</v>
      </c>
      <c r="F29" s="5">
        <f t="shared" si="7"/>
        <v>5011.5153512639672</v>
      </c>
      <c r="G29" s="5">
        <f t="shared" si="8"/>
        <v>18913.493381550634</v>
      </c>
      <c r="H29" s="22">
        <f t="shared" si="9"/>
        <v>11454.329570847833</v>
      </c>
      <c r="I29" s="5">
        <f t="shared" si="10"/>
        <v>29165.118347459444</v>
      </c>
      <c r="J29" s="25">
        <f t="shared" si="0"/>
        <v>0.10367722819893081</v>
      </c>
      <c r="L29" s="22">
        <f t="shared" si="11"/>
        <v>33385.217891484543</v>
      </c>
      <c r="M29" s="5">
        <f>scrimecost*Meta!O26</f>
        <v>17891.445</v>
      </c>
      <c r="N29" s="5">
        <f>L29-Grade8!L29</f>
        <v>367.67042399312777</v>
      </c>
      <c r="O29" s="5">
        <f>Grade8!M29-M29</f>
        <v>371.39400000000023</v>
      </c>
      <c r="P29" s="22">
        <f t="shared" si="12"/>
        <v>60.091721122838877</v>
      </c>
      <c r="S29" s="22">
        <f t="shared" si="1"/>
        <v>552.51873530494254</v>
      </c>
      <c r="T29" s="22">
        <f t="shared" si="2"/>
        <v>504.06913855568939</v>
      </c>
    </row>
    <row r="30" spans="1:20" x14ac:dyDescent="0.2">
      <c r="A30" s="5">
        <v>39</v>
      </c>
      <c r="B30" s="1">
        <f t="shared" si="3"/>
        <v>1.8087259495825889</v>
      </c>
      <c r="C30" s="5">
        <f t="shared" si="4"/>
        <v>25524.227878363086</v>
      </c>
      <c r="D30" s="5">
        <f t="shared" si="5"/>
        <v>24482.183951134964</v>
      </c>
      <c r="E30" s="5">
        <f t="shared" si="6"/>
        <v>14982.183951134964</v>
      </c>
      <c r="F30" s="5">
        <f t="shared" si="7"/>
        <v>5193.433060045566</v>
      </c>
      <c r="G30" s="5">
        <f t="shared" si="8"/>
        <v>19288.750891089399</v>
      </c>
      <c r="H30" s="22">
        <f t="shared" si="9"/>
        <v>11740.687810119027</v>
      </c>
      <c r="I30" s="5">
        <f t="shared" si="10"/>
        <v>29796.666481145927</v>
      </c>
      <c r="J30" s="25">
        <f t="shared" si="0"/>
        <v>0.10660297579330592</v>
      </c>
      <c r="L30" s="22">
        <f t="shared" si="11"/>
        <v>34219.848338771648</v>
      </c>
      <c r="M30" s="5">
        <f>scrimecost*Meta!O27</f>
        <v>17891.445</v>
      </c>
      <c r="N30" s="5">
        <f>L30-Grade8!L30</f>
        <v>376.86218459295196</v>
      </c>
      <c r="O30" s="5">
        <f>Grade8!M30-M30</f>
        <v>371.39400000000023</v>
      </c>
      <c r="P30" s="22">
        <f t="shared" si="12"/>
        <v>61.211625984652102</v>
      </c>
      <c r="S30" s="22">
        <f t="shared" si="1"/>
        <v>557.84386857758989</v>
      </c>
      <c r="T30" s="22">
        <f t="shared" si="2"/>
        <v>506.98494080152614</v>
      </c>
    </row>
    <row r="31" spans="1:20" x14ac:dyDescent="0.2">
      <c r="A31" s="5">
        <v>40</v>
      </c>
      <c r="B31" s="1">
        <f t="shared" si="3"/>
        <v>1.8539440983221533</v>
      </c>
      <c r="C31" s="5">
        <f t="shared" si="4"/>
        <v>26162.333575322158</v>
      </c>
      <c r="D31" s="5">
        <f t="shared" si="5"/>
        <v>25053.288549913334</v>
      </c>
      <c r="E31" s="5">
        <f t="shared" si="6"/>
        <v>15553.288549913334</v>
      </c>
      <c r="F31" s="5">
        <f t="shared" si="7"/>
        <v>5379.8987115467035</v>
      </c>
      <c r="G31" s="5">
        <f t="shared" si="8"/>
        <v>19673.389838366631</v>
      </c>
      <c r="H31" s="22">
        <f t="shared" si="9"/>
        <v>12034.205005372001</v>
      </c>
      <c r="I31" s="5">
        <f t="shared" si="10"/>
        <v>30444.003318174575</v>
      </c>
      <c r="J31" s="25">
        <f t="shared" si="0"/>
        <v>0.1094573636902572</v>
      </c>
      <c r="L31" s="22">
        <f t="shared" si="11"/>
        <v>35075.344547240929</v>
      </c>
      <c r="M31" s="5">
        <f>scrimecost*Meta!O28</f>
        <v>15649.919999999998</v>
      </c>
      <c r="N31" s="5">
        <f>L31-Grade8!L31</f>
        <v>386.28373920776357</v>
      </c>
      <c r="O31" s="5">
        <f>Grade8!M31-M31</f>
        <v>324.8640000000014</v>
      </c>
      <c r="P31" s="22">
        <f t="shared" si="12"/>
        <v>62.35952846801063</v>
      </c>
      <c r="S31" s="22">
        <f t="shared" si="1"/>
        <v>522.44879018205063</v>
      </c>
      <c r="T31" s="22">
        <f t="shared" si="2"/>
        <v>473.00465974032431</v>
      </c>
    </row>
    <row r="32" spans="1:20" x14ac:dyDescent="0.2">
      <c r="A32" s="5">
        <v>41</v>
      </c>
      <c r="B32" s="1">
        <f t="shared" si="3"/>
        <v>1.9002927007802071</v>
      </c>
      <c r="C32" s="5">
        <f t="shared" si="4"/>
        <v>26816.391914705211</v>
      </c>
      <c r="D32" s="5">
        <f t="shared" si="5"/>
        <v>25638.670763661165</v>
      </c>
      <c r="E32" s="5">
        <f t="shared" si="6"/>
        <v>16138.670763661165</v>
      </c>
      <c r="F32" s="5">
        <f t="shared" si="7"/>
        <v>5571.0260043353701</v>
      </c>
      <c r="G32" s="5">
        <f t="shared" si="8"/>
        <v>20067.644759325794</v>
      </c>
      <c r="H32" s="22">
        <f t="shared" si="9"/>
        <v>12335.060130506301</v>
      </c>
      <c r="I32" s="5">
        <f t="shared" si="10"/>
        <v>31107.523576128933</v>
      </c>
      <c r="J32" s="25">
        <f t="shared" si="0"/>
        <v>0.1122421323702097</v>
      </c>
      <c r="L32" s="22">
        <f t="shared" si="11"/>
        <v>35952.22816092195</v>
      </c>
      <c r="M32" s="5">
        <f>scrimecost*Meta!O29</f>
        <v>15649.919999999998</v>
      </c>
      <c r="N32" s="5">
        <f>L32-Grade8!L32</f>
        <v>395.94083268795657</v>
      </c>
      <c r="O32" s="5">
        <f>Grade8!M32-M32</f>
        <v>324.8640000000014</v>
      </c>
      <c r="P32" s="22">
        <f t="shared" si="12"/>
        <v>63.536128513453157</v>
      </c>
      <c r="S32" s="22">
        <f t="shared" si="1"/>
        <v>528.04350832662703</v>
      </c>
      <c r="T32" s="22">
        <f t="shared" si="2"/>
        <v>476.24529153164411</v>
      </c>
    </row>
    <row r="33" spans="1:20" x14ac:dyDescent="0.2">
      <c r="A33" s="5">
        <v>42</v>
      </c>
      <c r="B33" s="1">
        <f t="shared" si="3"/>
        <v>1.9478000182997122</v>
      </c>
      <c r="C33" s="5">
        <f t="shared" si="4"/>
        <v>27486.80171257284</v>
      </c>
      <c r="D33" s="5">
        <f t="shared" si="5"/>
        <v>26238.687532752694</v>
      </c>
      <c r="E33" s="5">
        <f t="shared" si="6"/>
        <v>16738.687532752694</v>
      </c>
      <c r="F33" s="5">
        <f t="shared" si="7"/>
        <v>5766.9314794437541</v>
      </c>
      <c r="G33" s="5">
        <f t="shared" si="8"/>
        <v>20471.756053308942</v>
      </c>
      <c r="H33" s="22">
        <f t="shared" si="9"/>
        <v>12643.436633768957</v>
      </c>
      <c r="I33" s="5">
        <f t="shared" si="10"/>
        <v>31787.631840532158</v>
      </c>
      <c r="J33" s="25">
        <f t="shared" si="0"/>
        <v>0.11495897986284631</v>
      </c>
      <c r="L33" s="22">
        <f t="shared" si="11"/>
        <v>36851.033864945006</v>
      </c>
      <c r="M33" s="5">
        <f>scrimecost*Meta!O30</f>
        <v>15649.919999999998</v>
      </c>
      <c r="N33" s="5">
        <f>L33-Grade8!L33</f>
        <v>405.83935350516549</v>
      </c>
      <c r="O33" s="5">
        <f>Grade8!M33-M33</f>
        <v>324.8640000000014</v>
      </c>
      <c r="P33" s="22">
        <f t="shared" si="12"/>
        <v>64.742143560031735</v>
      </c>
      <c r="S33" s="22">
        <f t="shared" si="1"/>
        <v>533.77809442482317</v>
      </c>
      <c r="T33" s="22">
        <f t="shared" si="2"/>
        <v>479.579963037136</v>
      </c>
    </row>
    <row r="34" spans="1:20" x14ac:dyDescent="0.2">
      <c r="A34" s="5">
        <v>43</v>
      </c>
      <c r="B34" s="1">
        <f t="shared" si="3"/>
        <v>1.9964950187572048</v>
      </c>
      <c r="C34" s="5">
        <f t="shared" si="4"/>
        <v>28173.97175538716</v>
      </c>
      <c r="D34" s="5">
        <f t="shared" si="5"/>
        <v>26853.70472107151</v>
      </c>
      <c r="E34" s="5">
        <f t="shared" si="6"/>
        <v>17353.70472107151</v>
      </c>
      <c r="F34" s="5">
        <f t="shared" si="7"/>
        <v>5967.7345914298476</v>
      </c>
      <c r="G34" s="5">
        <f t="shared" si="8"/>
        <v>20885.970129641661</v>
      </c>
      <c r="H34" s="22">
        <f t="shared" si="9"/>
        <v>12959.522549613179</v>
      </c>
      <c r="I34" s="5">
        <f t="shared" si="10"/>
        <v>32484.742811545457</v>
      </c>
      <c r="J34" s="25">
        <f t="shared" si="0"/>
        <v>0.11760956278249175</v>
      </c>
      <c r="L34" s="22">
        <f t="shared" si="11"/>
        <v>37772.309711568625</v>
      </c>
      <c r="M34" s="5">
        <f>scrimecost*Meta!O31</f>
        <v>15649.919999999998</v>
      </c>
      <c r="N34" s="5">
        <f>L34-Grade8!L34</f>
        <v>415.98533734279044</v>
      </c>
      <c r="O34" s="5">
        <f>Grade8!M34-M34</f>
        <v>324.8640000000014</v>
      </c>
      <c r="P34" s="22">
        <f t="shared" si="12"/>
        <v>65.978308982774777</v>
      </c>
      <c r="S34" s="22">
        <f t="shared" si="1"/>
        <v>539.6560451754674</v>
      </c>
      <c r="T34" s="22">
        <f t="shared" si="2"/>
        <v>483.01055927175315</v>
      </c>
    </row>
    <row r="35" spans="1:20" x14ac:dyDescent="0.2">
      <c r="A35" s="5">
        <v>44</v>
      </c>
      <c r="B35" s="1">
        <f t="shared" si="3"/>
        <v>2.0464073942261352</v>
      </c>
      <c r="C35" s="5">
        <f t="shared" si="4"/>
        <v>28878.321049271839</v>
      </c>
      <c r="D35" s="5">
        <f t="shared" si="5"/>
        <v>27484.097339098298</v>
      </c>
      <c r="E35" s="5">
        <f t="shared" si="6"/>
        <v>17984.097339098298</v>
      </c>
      <c r="F35" s="5">
        <f t="shared" si="7"/>
        <v>6173.5577812155943</v>
      </c>
      <c r="G35" s="5">
        <f t="shared" si="8"/>
        <v>21310.539557882705</v>
      </c>
      <c r="H35" s="22">
        <f t="shared" si="9"/>
        <v>13283.510613353512</v>
      </c>
      <c r="I35" s="5">
        <f t="shared" si="10"/>
        <v>33199.281556834096</v>
      </c>
      <c r="J35" s="25">
        <f t="shared" si="0"/>
        <v>0.1201954973382434</v>
      </c>
      <c r="L35" s="22">
        <f t="shared" si="11"/>
        <v>38716.617454357845</v>
      </c>
      <c r="M35" s="5">
        <f>scrimecost*Meta!O32</f>
        <v>15649.919999999998</v>
      </c>
      <c r="N35" s="5">
        <f>L35-Grade8!L35</f>
        <v>426.38497077637294</v>
      </c>
      <c r="O35" s="5">
        <f>Grade8!M35-M35</f>
        <v>324.8640000000014</v>
      </c>
      <c r="P35" s="22">
        <f t="shared" si="12"/>
        <v>67.245378541086396</v>
      </c>
      <c r="S35" s="22">
        <f t="shared" si="1"/>
        <v>545.68094469488574</v>
      </c>
      <c r="T35" s="22">
        <f t="shared" si="2"/>
        <v>486.53900537599827</v>
      </c>
    </row>
    <row r="36" spans="1:20" x14ac:dyDescent="0.2">
      <c r="A36" s="5">
        <v>45</v>
      </c>
      <c r="B36" s="1">
        <f t="shared" si="3"/>
        <v>2.097567579081788</v>
      </c>
      <c r="C36" s="5">
        <f t="shared" si="4"/>
        <v>29600.279075503629</v>
      </c>
      <c r="D36" s="5">
        <f t="shared" si="5"/>
        <v>28130.249772575749</v>
      </c>
      <c r="E36" s="5">
        <f t="shared" si="6"/>
        <v>18630.249772575749</v>
      </c>
      <c r="F36" s="5">
        <f t="shared" si="7"/>
        <v>6384.5265507459826</v>
      </c>
      <c r="G36" s="5">
        <f t="shared" si="8"/>
        <v>21745.723221829765</v>
      </c>
      <c r="H36" s="22">
        <f t="shared" si="9"/>
        <v>13615.598378687346</v>
      </c>
      <c r="I36" s="5">
        <f t="shared" si="10"/>
        <v>33931.683770754942</v>
      </c>
      <c r="J36" s="25">
        <f t="shared" si="0"/>
        <v>0.12271836031946455</v>
      </c>
      <c r="L36" s="22">
        <f t="shared" si="11"/>
        <v>39684.532890716779</v>
      </c>
      <c r="M36" s="5">
        <f>scrimecost*Meta!O33</f>
        <v>12647.635</v>
      </c>
      <c r="N36" s="5">
        <f>L36-Grade8!L36</f>
        <v>437.04459504575789</v>
      </c>
      <c r="O36" s="5">
        <f>Grade8!M36-M36</f>
        <v>262.54200000000128</v>
      </c>
      <c r="P36" s="22">
        <f t="shared" si="12"/>
        <v>68.544124838355799</v>
      </c>
      <c r="S36" s="22">
        <f t="shared" si="1"/>
        <v>497.13775070227183</v>
      </c>
      <c r="T36" s="22">
        <f t="shared" si="2"/>
        <v>441.56527560400673</v>
      </c>
    </row>
    <row r="37" spans="1:20" x14ac:dyDescent="0.2">
      <c r="A37" s="5">
        <v>46</v>
      </c>
      <c r="B37" s="1">
        <f t="shared" ref="B37:B56" si="13">(1+experiencepremium)^(A37-startage)</f>
        <v>2.1500067685588333</v>
      </c>
      <c r="C37" s="5">
        <f t="shared" ref="C37:C56" si="14">pretaxincome*B37/expnorm</f>
        <v>30340.286052391231</v>
      </c>
      <c r="D37" s="5">
        <f t="shared" ref="D37:D56" si="15">IF(A37&lt;startage,1,0)*(C37*(1-initialunempprob))+IF(A37=startage,1,0)*(C37*(1-unempprob))+IF(A37&gt;startage,1,0)*(C37*(1-unempprob)+unempprob*300*52)</f>
        <v>28792.556016890154</v>
      </c>
      <c r="E37" s="5">
        <f t="shared" si="6"/>
        <v>19292.556016890154</v>
      </c>
      <c r="F37" s="5">
        <f t="shared" si="7"/>
        <v>6600.7695395146347</v>
      </c>
      <c r="G37" s="5">
        <f t="shared" si="8"/>
        <v>22191.786477375521</v>
      </c>
      <c r="H37" s="22">
        <f t="shared" ref="H37:H56" si="16">benefits*B37/expnorm</f>
        <v>13955.988338154533</v>
      </c>
      <c r="I37" s="5">
        <f t="shared" ref="I37:I56" si="17">G37+IF(A37&lt;startage,1,0)*(H37*(1-initialunempprob))+IF(A37&gt;=startage,1,0)*(H37*(1-unempprob))</f>
        <v>34682.396040023828</v>
      </c>
      <c r="J37" s="25">
        <f t="shared" ref="J37:J56" si="18">(F37-(IF(A37&gt;startage,1,0)*(unempprob*300*52)))/(IF(A37&lt;startage,1,0)*((C37+H37)*(1-initialunempprob))+IF(A37&gt;=startage,1,0)*((C37+H37)*(1-unempprob)))</f>
        <v>0.12517969005724128</v>
      </c>
      <c r="L37" s="22">
        <f t="shared" ref="L37:L56" si="19">(sincome+sbenefits)*(1-sunemp)*B37/expnorm</f>
        <v>40676.646212984713</v>
      </c>
      <c r="M37" s="5">
        <f>scrimecost*Meta!O34</f>
        <v>12647.635</v>
      </c>
      <c r="N37" s="5">
        <f>L37-Grade8!L37</f>
        <v>447.97070992191584</v>
      </c>
      <c r="O37" s="5">
        <f>Grade8!M37-M37</f>
        <v>262.54200000000128</v>
      </c>
      <c r="P37" s="22">
        <f t="shared" si="12"/>
        <v>69.875339793056966</v>
      </c>
      <c r="S37" s="22">
        <f t="shared" ref="S37:S68" si="20">IF(A37&lt;startage,1,0)*(N37-Q37-R37)+IF(A37&gt;=startage,1,0)*completionprob*(N37*spart+O37+P37)</f>
        <v>503.46766075986102</v>
      </c>
      <c r="T37" s="22">
        <f t="shared" ref="T37:T68" si="21">S37/sreturn^(A37-startage+1)</f>
        <v>445.48085650177683</v>
      </c>
    </row>
    <row r="38" spans="1:20" x14ac:dyDescent="0.2">
      <c r="A38" s="5">
        <v>47</v>
      </c>
      <c r="B38" s="1">
        <f t="shared" si="13"/>
        <v>2.2037569377728037</v>
      </c>
      <c r="C38" s="5">
        <f t="shared" si="14"/>
        <v>31098.793203701003</v>
      </c>
      <c r="D38" s="5">
        <f t="shared" si="15"/>
        <v>29471.4199173124</v>
      </c>
      <c r="E38" s="5">
        <f t="shared" si="6"/>
        <v>19971.4199173124</v>
      </c>
      <c r="F38" s="5">
        <f t="shared" si="7"/>
        <v>6822.4186030024985</v>
      </c>
      <c r="G38" s="5">
        <f t="shared" si="8"/>
        <v>22649.001314309902</v>
      </c>
      <c r="H38" s="22">
        <f t="shared" si="16"/>
        <v>14304.888046608394</v>
      </c>
      <c r="I38" s="5">
        <f t="shared" si="17"/>
        <v>35451.876116024418</v>
      </c>
      <c r="J38" s="25">
        <f t="shared" si="18"/>
        <v>0.12758098736238926</v>
      </c>
      <c r="L38" s="22">
        <f t="shared" si="19"/>
        <v>41693.562368309322</v>
      </c>
      <c r="M38" s="5">
        <f>scrimecost*Meta!O35</f>
        <v>12647.635</v>
      </c>
      <c r="N38" s="5">
        <f>L38-Grade8!L38</f>
        <v>459.16997766996064</v>
      </c>
      <c r="O38" s="5">
        <f>Grade8!M38-M38</f>
        <v>262.54200000000128</v>
      </c>
      <c r="P38" s="22">
        <f t="shared" ref="P38:P56" si="22">(spart-initialspart)*(L38*J38+nptrans)</f>
        <v>71.239835121625617</v>
      </c>
      <c r="S38" s="22">
        <f t="shared" si="20"/>
        <v>509.95581856888174</v>
      </c>
      <c r="T38" s="22">
        <f t="shared" si="21"/>
        <v>449.49960401882089</v>
      </c>
    </row>
    <row r="39" spans="1:20" x14ac:dyDescent="0.2">
      <c r="A39" s="5">
        <v>48</v>
      </c>
      <c r="B39" s="1">
        <f t="shared" si="13"/>
        <v>2.2588508612171236</v>
      </c>
      <c r="C39" s="5">
        <f t="shared" si="14"/>
        <v>31876.263033793526</v>
      </c>
      <c r="D39" s="5">
        <f t="shared" si="15"/>
        <v>30167.255415245207</v>
      </c>
      <c r="E39" s="5">
        <f t="shared" si="6"/>
        <v>20667.255415245207</v>
      </c>
      <c r="F39" s="5">
        <f t="shared" si="7"/>
        <v>7049.6088930775604</v>
      </c>
      <c r="G39" s="5">
        <f t="shared" si="8"/>
        <v>23117.646522167648</v>
      </c>
      <c r="H39" s="22">
        <f t="shared" si="16"/>
        <v>14662.510247773604</v>
      </c>
      <c r="I39" s="5">
        <f t="shared" si="17"/>
        <v>36240.593193925022</v>
      </c>
      <c r="J39" s="25">
        <f t="shared" si="18"/>
        <v>0.12992371644058245</v>
      </c>
      <c r="L39" s="22">
        <f t="shared" si="19"/>
        <v>42735.901427517048</v>
      </c>
      <c r="M39" s="5">
        <f>scrimecost*Meta!O36</f>
        <v>12647.635</v>
      </c>
      <c r="N39" s="5">
        <f>L39-Grade8!L39</f>
        <v>470.6492271117022</v>
      </c>
      <c r="O39" s="5">
        <f>Grade8!M39-M39</f>
        <v>262.54200000000128</v>
      </c>
      <c r="P39" s="22">
        <f t="shared" si="22"/>
        <v>72.638442833408519</v>
      </c>
      <c r="S39" s="22">
        <f t="shared" si="20"/>
        <v>516.60618032312595</v>
      </c>
      <c r="T39" s="22">
        <f t="shared" si="21"/>
        <v>453.62361512720173</v>
      </c>
    </row>
    <row r="40" spans="1:20" x14ac:dyDescent="0.2">
      <c r="A40" s="5">
        <v>49</v>
      </c>
      <c r="B40" s="1">
        <f t="shared" si="13"/>
        <v>2.3153221327475517</v>
      </c>
      <c r="C40" s="5">
        <f t="shared" si="14"/>
        <v>32673.169609638364</v>
      </c>
      <c r="D40" s="5">
        <f t="shared" si="15"/>
        <v>30880.486800626335</v>
      </c>
      <c r="E40" s="5">
        <f t="shared" si="6"/>
        <v>21380.486800626335</v>
      </c>
      <c r="F40" s="5">
        <f t="shared" si="7"/>
        <v>7282.4789404044986</v>
      </c>
      <c r="G40" s="5">
        <f t="shared" si="8"/>
        <v>23598.007860221835</v>
      </c>
      <c r="H40" s="22">
        <f t="shared" si="16"/>
        <v>15029.073003967942</v>
      </c>
      <c r="I40" s="5">
        <f t="shared" si="17"/>
        <v>37049.028198773143</v>
      </c>
      <c r="J40" s="25">
        <f t="shared" si="18"/>
        <v>0.13220930578516119</v>
      </c>
      <c r="L40" s="22">
        <f t="shared" si="19"/>
        <v>43804.298963204979</v>
      </c>
      <c r="M40" s="5">
        <f>scrimecost*Meta!O37</f>
        <v>12647.635</v>
      </c>
      <c r="N40" s="5">
        <f>L40-Grade8!L40</f>
        <v>482.41545778950967</v>
      </c>
      <c r="O40" s="5">
        <f>Grade8!M40-M40</f>
        <v>262.54200000000128</v>
      </c>
      <c r="P40" s="22">
        <f t="shared" si="22"/>
        <v>74.072015737985978</v>
      </c>
      <c r="S40" s="22">
        <f t="shared" si="20"/>
        <v>523.42280112123683</v>
      </c>
      <c r="T40" s="22">
        <f t="shared" si="21"/>
        <v>457.85503131987662</v>
      </c>
    </row>
    <row r="41" spans="1:20" x14ac:dyDescent="0.2">
      <c r="A41" s="5">
        <v>50</v>
      </c>
      <c r="B41" s="1">
        <f t="shared" si="13"/>
        <v>2.3732051860662402</v>
      </c>
      <c r="C41" s="5">
        <f t="shared" si="14"/>
        <v>33489.998849879325</v>
      </c>
      <c r="D41" s="5">
        <f t="shared" si="15"/>
        <v>31611.548970641998</v>
      </c>
      <c r="E41" s="5">
        <f t="shared" si="6"/>
        <v>22111.548970641998</v>
      </c>
      <c r="F41" s="5">
        <f t="shared" si="7"/>
        <v>7521.1707389146122</v>
      </c>
      <c r="G41" s="5">
        <f t="shared" si="8"/>
        <v>24090.378231727387</v>
      </c>
      <c r="H41" s="22">
        <f t="shared" si="16"/>
        <v>15404.79982906714</v>
      </c>
      <c r="I41" s="5">
        <f t="shared" si="17"/>
        <v>37877.674078742479</v>
      </c>
      <c r="J41" s="25">
        <f t="shared" si="18"/>
        <v>0.13443914904816484</v>
      </c>
      <c r="L41" s="22">
        <f t="shared" si="19"/>
        <v>44899.406437285092</v>
      </c>
      <c r="M41" s="5">
        <f>scrimecost*Meta!O38</f>
        <v>8449.8700000000008</v>
      </c>
      <c r="N41" s="5">
        <f>L41-Grade8!L41</f>
        <v>494.47584423423541</v>
      </c>
      <c r="O41" s="5">
        <f>Grade8!M41-M41</f>
        <v>175.40399999999863</v>
      </c>
      <c r="P41" s="22">
        <f t="shared" si="22"/>
        <v>75.541427965177888</v>
      </c>
      <c r="S41" s="22">
        <f t="shared" si="20"/>
        <v>453.90267343928537</v>
      </c>
      <c r="T41" s="22">
        <f t="shared" si="21"/>
        <v>395.52814294864703</v>
      </c>
    </row>
    <row r="42" spans="1:20" x14ac:dyDescent="0.2">
      <c r="A42" s="5">
        <v>51</v>
      </c>
      <c r="B42" s="1">
        <f t="shared" si="13"/>
        <v>2.4325353157178964</v>
      </c>
      <c r="C42" s="5">
        <f t="shared" si="14"/>
        <v>34327.248821126304</v>
      </c>
      <c r="D42" s="5">
        <f t="shared" si="15"/>
        <v>32360.887694908044</v>
      </c>
      <c r="E42" s="5">
        <f t="shared" si="6"/>
        <v>22860.887694908044</v>
      </c>
      <c r="F42" s="5">
        <f t="shared" si="7"/>
        <v>7765.8298323874769</v>
      </c>
      <c r="G42" s="5">
        <f t="shared" si="8"/>
        <v>24595.057862520567</v>
      </c>
      <c r="H42" s="22">
        <f t="shared" si="16"/>
        <v>15789.919824793818</v>
      </c>
      <c r="I42" s="5">
        <f t="shared" si="17"/>
        <v>38727.036105711035</v>
      </c>
      <c r="J42" s="25">
        <f t="shared" si="18"/>
        <v>0.13661460589011959</v>
      </c>
      <c r="L42" s="22">
        <f t="shared" si="19"/>
        <v>46021.891598217226</v>
      </c>
      <c r="M42" s="5">
        <f>scrimecost*Meta!O39</f>
        <v>8449.8700000000008</v>
      </c>
      <c r="N42" s="5">
        <f>L42-Grade8!L42</f>
        <v>506.83774034009548</v>
      </c>
      <c r="O42" s="5">
        <f>Grade8!M42-M42</f>
        <v>175.40399999999863</v>
      </c>
      <c r="P42" s="22">
        <f t="shared" si="22"/>
        <v>77.047575498049582</v>
      </c>
      <c r="S42" s="22">
        <f t="shared" si="20"/>
        <v>461.06438566529522</v>
      </c>
      <c r="T42" s="22">
        <f t="shared" si="21"/>
        <v>400.23542199778518</v>
      </c>
    </row>
    <row r="43" spans="1:20" x14ac:dyDescent="0.2">
      <c r="A43" s="5">
        <v>52</v>
      </c>
      <c r="B43" s="1">
        <f t="shared" si="13"/>
        <v>2.4933486986108435</v>
      </c>
      <c r="C43" s="5">
        <f t="shared" si="14"/>
        <v>35185.430041654457</v>
      </c>
      <c r="D43" s="5">
        <f t="shared" si="15"/>
        <v>33128.95988728074</v>
      </c>
      <c r="E43" s="5">
        <f t="shared" si="6"/>
        <v>23628.95988728074</v>
      </c>
      <c r="F43" s="5">
        <f t="shared" si="7"/>
        <v>8016.6054031971616</v>
      </c>
      <c r="G43" s="5">
        <f t="shared" si="8"/>
        <v>25112.354484083578</v>
      </c>
      <c r="H43" s="22">
        <f t="shared" si="16"/>
        <v>16184.667820413662</v>
      </c>
      <c r="I43" s="5">
        <f t="shared" si="17"/>
        <v>39597.63218335381</v>
      </c>
      <c r="J43" s="25">
        <f t="shared" si="18"/>
        <v>0.13873700280909981</v>
      </c>
      <c r="L43" s="22">
        <f t="shared" si="19"/>
        <v>47172.438888172655</v>
      </c>
      <c r="M43" s="5">
        <f>scrimecost*Meta!O40</f>
        <v>8449.8700000000008</v>
      </c>
      <c r="N43" s="5">
        <f>L43-Grade8!L43</f>
        <v>519.50868384860951</v>
      </c>
      <c r="O43" s="5">
        <f>Grade8!M43-M43</f>
        <v>175.40399999999863</v>
      </c>
      <c r="P43" s="22">
        <f t="shared" si="22"/>
        <v>78.591376719243058</v>
      </c>
      <c r="S43" s="22">
        <f t="shared" si="20"/>
        <v>468.40514069695888</v>
      </c>
      <c r="T43" s="22">
        <f t="shared" si="21"/>
        <v>405.05583609265869</v>
      </c>
    </row>
    <row r="44" spans="1:20" x14ac:dyDescent="0.2">
      <c r="A44" s="5">
        <v>53</v>
      </c>
      <c r="B44" s="1">
        <f t="shared" si="13"/>
        <v>2.555682416076114</v>
      </c>
      <c r="C44" s="5">
        <f t="shared" si="14"/>
        <v>36065.065792695808</v>
      </c>
      <c r="D44" s="5">
        <f t="shared" si="15"/>
        <v>33916.233884462752</v>
      </c>
      <c r="E44" s="5">
        <f t="shared" si="6"/>
        <v>24416.233884462752</v>
      </c>
      <c r="F44" s="5">
        <f t="shared" si="7"/>
        <v>8273.6503632770891</v>
      </c>
      <c r="G44" s="5">
        <f t="shared" si="8"/>
        <v>25642.583521185661</v>
      </c>
      <c r="H44" s="22">
        <f t="shared" si="16"/>
        <v>16589.284515923999</v>
      </c>
      <c r="I44" s="5">
        <f t="shared" si="17"/>
        <v>40489.993162937637</v>
      </c>
      <c r="J44" s="25">
        <f t="shared" si="18"/>
        <v>0.14080763394956836</v>
      </c>
      <c r="L44" s="22">
        <f t="shared" si="19"/>
        <v>48351.749860376956</v>
      </c>
      <c r="M44" s="5">
        <f>scrimecost*Meta!O41</f>
        <v>8449.8700000000008</v>
      </c>
      <c r="N44" s="5">
        <f>L44-Grade8!L44</f>
        <v>532.49640094480856</v>
      </c>
      <c r="O44" s="5">
        <f>Grade8!M44-M44</f>
        <v>175.40399999999863</v>
      </c>
      <c r="P44" s="22">
        <f t="shared" si="22"/>
        <v>80.173772970966382</v>
      </c>
      <c r="S44" s="22">
        <f t="shared" si="20"/>
        <v>475.92941460440085</v>
      </c>
      <c r="T44" s="22">
        <f t="shared" si="21"/>
        <v>409.99171809312384</v>
      </c>
    </row>
    <row r="45" spans="1:20" x14ac:dyDescent="0.2">
      <c r="A45" s="5">
        <v>54</v>
      </c>
      <c r="B45" s="1">
        <f t="shared" si="13"/>
        <v>2.6195744764780171</v>
      </c>
      <c r="C45" s="5">
        <f t="shared" si="14"/>
        <v>36966.692437513208</v>
      </c>
      <c r="D45" s="5">
        <f t="shared" si="15"/>
        <v>34723.189731574319</v>
      </c>
      <c r="E45" s="5">
        <f t="shared" si="6"/>
        <v>25223.189731574319</v>
      </c>
      <c r="F45" s="5">
        <f t="shared" si="7"/>
        <v>8537.1214473590153</v>
      </c>
      <c r="G45" s="5">
        <f t="shared" si="8"/>
        <v>26186.068284215304</v>
      </c>
      <c r="H45" s="22">
        <f t="shared" si="16"/>
        <v>17004.016628822104</v>
      </c>
      <c r="I45" s="5">
        <f t="shared" si="17"/>
        <v>41404.663167011087</v>
      </c>
      <c r="J45" s="25">
        <f t="shared" si="18"/>
        <v>0.14282776189148882</v>
      </c>
      <c r="L45" s="22">
        <f t="shared" si="19"/>
        <v>49560.543606886386</v>
      </c>
      <c r="M45" s="5">
        <f>scrimecost*Meta!O42</f>
        <v>8449.8700000000008</v>
      </c>
      <c r="N45" s="5">
        <f>L45-Grade8!L45</f>
        <v>545.8088109684395</v>
      </c>
      <c r="O45" s="5">
        <f>Grade8!M45-M45</f>
        <v>175.40399999999863</v>
      </c>
      <c r="P45" s="22">
        <f t="shared" si="22"/>
        <v>81.795729128982771</v>
      </c>
      <c r="S45" s="22">
        <f t="shared" si="20"/>
        <v>483.64179535954162</v>
      </c>
      <c r="T45" s="22">
        <f t="shared" si="21"/>
        <v>415.04545025637083</v>
      </c>
    </row>
    <row r="46" spans="1:20" x14ac:dyDescent="0.2">
      <c r="A46" s="5">
        <v>55</v>
      </c>
      <c r="B46" s="1">
        <f t="shared" si="13"/>
        <v>2.6850638383899672</v>
      </c>
      <c r="C46" s="5">
        <f t="shared" si="14"/>
        <v>37890.859748451032</v>
      </c>
      <c r="D46" s="5">
        <f t="shared" si="15"/>
        <v>35550.319474863674</v>
      </c>
      <c r="E46" s="5">
        <f t="shared" si="6"/>
        <v>26050.319474863674</v>
      </c>
      <c r="F46" s="5">
        <f t="shared" si="7"/>
        <v>8807.179308542989</v>
      </c>
      <c r="G46" s="5">
        <f t="shared" si="8"/>
        <v>26743.140166320685</v>
      </c>
      <c r="H46" s="22">
        <f t="shared" si="16"/>
        <v>17429.117044542651</v>
      </c>
      <c r="I46" s="5">
        <f t="shared" si="17"/>
        <v>42342.199921186359</v>
      </c>
      <c r="J46" s="25">
        <f t="shared" si="18"/>
        <v>0.14479861842019182</v>
      </c>
      <c r="L46" s="22">
        <f t="shared" si="19"/>
        <v>50799.557197058537</v>
      </c>
      <c r="M46" s="5">
        <f>scrimecost*Meta!O43</f>
        <v>4686.8249999999998</v>
      </c>
      <c r="N46" s="5">
        <f>L46-Grade8!L46</f>
        <v>559.45403124264703</v>
      </c>
      <c r="O46" s="5">
        <f>Grade8!M46-M46</f>
        <v>97.289999999999964</v>
      </c>
      <c r="P46" s="22">
        <f t="shared" si="22"/>
        <v>83.458234190949597</v>
      </c>
      <c r="S46" s="22">
        <f t="shared" si="20"/>
        <v>422.9628936335555</v>
      </c>
      <c r="T46" s="22">
        <f t="shared" si="21"/>
        <v>361.58749049380191</v>
      </c>
    </row>
    <row r="47" spans="1:20" x14ac:dyDescent="0.2">
      <c r="A47" s="5">
        <v>56</v>
      </c>
      <c r="B47" s="1">
        <f t="shared" si="13"/>
        <v>2.7521904343497163</v>
      </c>
      <c r="C47" s="5">
        <f t="shared" si="14"/>
        <v>38838.131242162315</v>
      </c>
      <c r="D47" s="5">
        <f t="shared" si="15"/>
        <v>36398.127461735276</v>
      </c>
      <c r="E47" s="5">
        <f t="shared" si="6"/>
        <v>26898.127461735276</v>
      </c>
      <c r="F47" s="5">
        <f t="shared" si="7"/>
        <v>9083.9886162565672</v>
      </c>
      <c r="G47" s="5">
        <f t="shared" si="8"/>
        <v>27314.138845478708</v>
      </c>
      <c r="H47" s="22">
        <f t="shared" si="16"/>
        <v>17864.844970656217</v>
      </c>
      <c r="I47" s="5">
        <f t="shared" si="17"/>
        <v>43303.175094216022</v>
      </c>
      <c r="J47" s="25">
        <f t="shared" si="18"/>
        <v>0.14672140527746302</v>
      </c>
      <c r="L47" s="22">
        <f t="shared" si="19"/>
        <v>52069.546126984998</v>
      </c>
      <c r="M47" s="5">
        <f>scrimecost*Meta!O44</f>
        <v>4686.8249999999998</v>
      </c>
      <c r="N47" s="5">
        <f>L47-Grade8!L47</f>
        <v>573.44038202370575</v>
      </c>
      <c r="O47" s="5">
        <f>Grade8!M47-M47</f>
        <v>97.289999999999964</v>
      </c>
      <c r="P47" s="22">
        <f t="shared" si="22"/>
        <v>85.162301879465602</v>
      </c>
      <c r="S47" s="22">
        <f t="shared" si="20"/>
        <v>431.06571366441653</v>
      </c>
      <c r="T47" s="22">
        <f t="shared" si="21"/>
        <v>367.10804800064415</v>
      </c>
    </row>
    <row r="48" spans="1:20" x14ac:dyDescent="0.2">
      <c r="A48" s="5">
        <v>57</v>
      </c>
      <c r="B48" s="1">
        <f t="shared" si="13"/>
        <v>2.8209951952084591</v>
      </c>
      <c r="C48" s="5">
        <f t="shared" si="14"/>
        <v>39809.084523216363</v>
      </c>
      <c r="D48" s="5">
        <f t="shared" si="15"/>
        <v>37267.130648278646</v>
      </c>
      <c r="E48" s="5">
        <f t="shared" si="6"/>
        <v>27767.130648278646</v>
      </c>
      <c r="F48" s="5">
        <f t="shared" si="7"/>
        <v>9367.718156662977</v>
      </c>
      <c r="G48" s="5">
        <f t="shared" si="8"/>
        <v>27899.412491615669</v>
      </c>
      <c r="H48" s="22">
        <f t="shared" si="16"/>
        <v>18311.466094922624</v>
      </c>
      <c r="I48" s="5">
        <f t="shared" si="17"/>
        <v>44288.174646571417</v>
      </c>
      <c r="J48" s="25">
        <f t="shared" si="18"/>
        <v>0.14859729489431286</v>
      </c>
      <c r="L48" s="22">
        <f t="shared" si="19"/>
        <v>53371.284780159629</v>
      </c>
      <c r="M48" s="5">
        <f>scrimecost*Meta!O45</f>
        <v>4686.8249999999998</v>
      </c>
      <c r="N48" s="5">
        <f>L48-Grade8!L48</f>
        <v>587.77639157430531</v>
      </c>
      <c r="O48" s="5">
        <f>Grade8!M48-M48</f>
        <v>97.289999999999964</v>
      </c>
      <c r="P48" s="22">
        <f t="shared" si="22"/>
        <v>86.908971260194477</v>
      </c>
      <c r="S48" s="22">
        <f t="shared" si="20"/>
        <v>439.37110419605585</v>
      </c>
      <c r="T48" s="22">
        <f t="shared" si="21"/>
        <v>372.75305528122794</v>
      </c>
    </row>
    <row r="49" spans="1:20" x14ac:dyDescent="0.2">
      <c r="A49" s="5">
        <v>58</v>
      </c>
      <c r="B49" s="1">
        <f t="shared" si="13"/>
        <v>2.8915200750886707</v>
      </c>
      <c r="C49" s="5">
        <f t="shared" si="14"/>
        <v>40804.311636296778</v>
      </c>
      <c r="D49" s="5">
        <f t="shared" si="15"/>
        <v>38157.858914485616</v>
      </c>
      <c r="E49" s="5">
        <f t="shared" si="6"/>
        <v>28657.858914485616</v>
      </c>
      <c r="F49" s="5">
        <f t="shared" si="7"/>
        <v>9658.5409355795528</v>
      </c>
      <c r="G49" s="5">
        <f t="shared" si="8"/>
        <v>28499.317978906063</v>
      </c>
      <c r="H49" s="22">
        <f t="shared" si="16"/>
        <v>18769.25274729569</v>
      </c>
      <c r="I49" s="5">
        <f t="shared" si="17"/>
        <v>45297.799187735705</v>
      </c>
      <c r="J49" s="25">
        <f t="shared" si="18"/>
        <v>0.15042743110587378</v>
      </c>
      <c r="L49" s="22">
        <f t="shared" si="19"/>
        <v>54705.566899663623</v>
      </c>
      <c r="M49" s="5">
        <f>scrimecost*Meta!O46</f>
        <v>4686.8249999999998</v>
      </c>
      <c r="N49" s="5">
        <f>L49-Grade8!L49</f>
        <v>602.47080136367731</v>
      </c>
      <c r="O49" s="5">
        <f>Grade8!M49-M49</f>
        <v>97.289999999999964</v>
      </c>
      <c r="P49" s="22">
        <f t="shared" si="22"/>
        <v>88.699307375441592</v>
      </c>
      <c r="S49" s="22">
        <f t="shared" si="20"/>
        <v>447.88412949098978</v>
      </c>
      <c r="T49" s="22">
        <f t="shared" si="21"/>
        <v>378.52510607257966</v>
      </c>
    </row>
    <row r="50" spans="1:20" x14ac:dyDescent="0.2">
      <c r="A50" s="5">
        <v>59</v>
      </c>
      <c r="B50" s="1">
        <f t="shared" si="13"/>
        <v>2.9638080769658868</v>
      </c>
      <c r="C50" s="5">
        <f t="shared" si="14"/>
        <v>41824.419427204186</v>
      </c>
      <c r="D50" s="5">
        <f t="shared" si="15"/>
        <v>39070.85538734775</v>
      </c>
      <c r="E50" s="5">
        <f t="shared" si="6"/>
        <v>29570.85538734775</v>
      </c>
      <c r="F50" s="5">
        <f t="shared" si="7"/>
        <v>9956.6342839690406</v>
      </c>
      <c r="G50" s="5">
        <f t="shared" si="8"/>
        <v>29114.22110337871</v>
      </c>
      <c r="H50" s="22">
        <f t="shared" si="16"/>
        <v>19238.484065978078</v>
      </c>
      <c r="I50" s="5">
        <f t="shared" si="17"/>
        <v>46332.664342429089</v>
      </c>
      <c r="J50" s="25">
        <f t="shared" si="18"/>
        <v>0.15221292984886006</v>
      </c>
      <c r="L50" s="22">
        <f t="shared" si="19"/>
        <v>56073.206072155197</v>
      </c>
      <c r="M50" s="5">
        <f>scrimecost*Meta!O47</f>
        <v>4686.8249999999998</v>
      </c>
      <c r="N50" s="5">
        <f>L50-Grade8!L50</f>
        <v>617.5325713977436</v>
      </c>
      <c r="O50" s="5">
        <f>Grade8!M50-M50</f>
        <v>97.289999999999964</v>
      </c>
      <c r="P50" s="22">
        <f t="shared" si="22"/>
        <v>90.534401893569878</v>
      </c>
      <c r="S50" s="22">
        <f t="shared" si="20"/>
        <v>456.60998041827804</v>
      </c>
      <c r="T50" s="22">
        <f t="shared" si="21"/>
        <v>384.42684892537181</v>
      </c>
    </row>
    <row r="51" spans="1:20" x14ac:dyDescent="0.2">
      <c r="A51" s="5">
        <v>60</v>
      </c>
      <c r="B51" s="1">
        <f t="shared" si="13"/>
        <v>3.0379032788900342</v>
      </c>
      <c r="C51" s="5">
        <f t="shared" si="14"/>
        <v>42870.029912884289</v>
      </c>
      <c r="D51" s="5">
        <f t="shared" si="15"/>
        <v>40006.676772031438</v>
      </c>
      <c r="E51" s="5">
        <f t="shared" si="6"/>
        <v>30506.676772031438</v>
      </c>
      <c r="F51" s="5">
        <f t="shared" si="7"/>
        <v>10262.179966068265</v>
      </c>
      <c r="G51" s="5">
        <f t="shared" si="8"/>
        <v>29744.496805963172</v>
      </c>
      <c r="H51" s="22">
        <f t="shared" si="16"/>
        <v>19719.446167627531</v>
      </c>
      <c r="I51" s="5">
        <f t="shared" si="17"/>
        <v>47393.401125989811</v>
      </c>
      <c r="J51" s="25">
        <f t="shared" si="18"/>
        <v>0.15395487984201736</v>
      </c>
      <c r="L51" s="22">
        <f t="shared" si="19"/>
        <v>57475.036223959083</v>
      </c>
      <c r="M51" s="5">
        <f>scrimecost*Meta!O48</f>
        <v>2472.4699999999998</v>
      </c>
      <c r="N51" s="5">
        <f>L51-Grade8!L51</f>
        <v>632.97088568271283</v>
      </c>
      <c r="O51" s="5">
        <f>Grade8!M51-M51</f>
        <v>51.324000000000069</v>
      </c>
      <c r="P51" s="22">
        <f t="shared" si="22"/>
        <v>92.415373774651385</v>
      </c>
      <c r="S51" s="22">
        <f t="shared" si="20"/>
        <v>425.19582961877302</v>
      </c>
      <c r="T51" s="22">
        <f t="shared" si="21"/>
        <v>356.61253444432191</v>
      </c>
    </row>
    <row r="52" spans="1:20" x14ac:dyDescent="0.2">
      <c r="A52" s="5">
        <v>61</v>
      </c>
      <c r="B52" s="1">
        <f t="shared" si="13"/>
        <v>3.1138508608622844</v>
      </c>
      <c r="C52" s="5">
        <f t="shared" si="14"/>
        <v>43941.78066070639</v>
      </c>
      <c r="D52" s="5">
        <f t="shared" si="15"/>
        <v>40965.893691332218</v>
      </c>
      <c r="E52" s="5">
        <f t="shared" si="6"/>
        <v>31465.893691332218</v>
      </c>
      <c r="F52" s="5">
        <f t="shared" si="7"/>
        <v>10575.364290219968</v>
      </c>
      <c r="G52" s="5">
        <f t="shared" si="8"/>
        <v>30390.52940111225</v>
      </c>
      <c r="H52" s="22">
        <f t="shared" si="16"/>
        <v>20212.432321818214</v>
      </c>
      <c r="I52" s="5">
        <f t="shared" si="17"/>
        <v>48480.656329139551</v>
      </c>
      <c r="J52" s="25">
        <f t="shared" si="18"/>
        <v>0.15565434324997568</v>
      </c>
      <c r="L52" s="22">
        <f t="shared" si="19"/>
        <v>58911.912129558041</v>
      </c>
      <c r="M52" s="5">
        <f>scrimecost*Meta!O49</f>
        <v>2472.4699999999998</v>
      </c>
      <c r="N52" s="5">
        <f>L52-Grade8!L52</f>
        <v>648.79515782474482</v>
      </c>
      <c r="O52" s="5">
        <f>Grade8!M52-M52</f>
        <v>51.324000000000069</v>
      </c>
      <c r="P52" s="22">
        <f t="shared" si="22"/>
        <v>94.343369952759872</v>
      </c>
      <c r="S52" s="22">
        <f t="shared" si="20"/>
        <v>434.363426749251</v>
      </c>
      <c r="T52" s="22">
        <f t="shared" si="21"/>
        <v>362.91101850472779</v>
      </c>
    </row>
    <row r="53" spans="1:20" x14ac:dyDescent="0.2">
      <c r="A53" s="5">
        <v>62</v>
      </c>
      <c r="B53" s="1">
        <f t="shared" si="13"/>
        <v>3.1916971323838421</v>
      </c>
      <c r="C53" s="5">
        <f t="shared" si="14"/>
        <v>45040.325177224062</v>
      </c>
      <c r="D53" s="5">
        <f t="shared" si="15"/>
        <v>41949.091033615536</v>
      </c>
      <c r="E53" s="5">
        <f t="shared" si="6"/>
        <v>32449.091033615536</v>
      </c>
      <c r="F53" s="5">
        <f t="shared" si="7"/>
        <v>10896.378222475472</v>
      </c>
      <c r="G53" s="5">
        <f t="shared" si="8"/>
        <v>31052.712811140063</v>
      </c>
      <c r="H53" s="22">
        <f t="shared" si="16"/>
        <v>20717.743129863673</v>
      </c>
      <c r="I53" s="5">
        <f t="shared" si="17"/>
        <v>49595.092912368054</v>
      </c>
      <c r="J53" s="25">
        <f t="shared" si="18"/>
        <v>0.15731235633091073</v>
      </c>
      <c r="L53" s="22">
        <f t="shared" si="19"/>
        <v>60384.709932797006</v>
      </c>
      <c r="M53" s="5">
        <f>scrimecost*Meta!O50</f>
        <v>2472.4699999999998</v>
      </c>
      <c r="N53" s="5">
        <f>L53-Grade8!L53</f>
        <v>665.01503677039</v>
      </c>
      <c r="O53" s="5">
        <f>Grade8!M53-M53</f>
        <v>51.324000000000069</v>
      </c>
      <c r="P53" s="22">
        <f t="shared" si="22"/>
        <v>96.319566035321159</v>
      </c>
      <c r="S53" s="22">
        <f t="shared" si="20"/>
        <v>443.76021380802058</v>
      </c>
      <c r="T53" s="22">
        <f t="shared" si="21"/>
        <v>369.34698778352151</v>
      </c>
    </row>
    <row r="54" spans="1:20" x14ac:dyDescent="0.2">
      <c r="A54" s="5">
        <v>63</v>
      </c>
      <c r="B54" s="1">
        <f t="shared" si="13"/>
        <v>3.2714895606934378</v>
      </c>
      <c r="C54" s="5">
        <f t="shared" si="14"/>
        <v>46166.333306654655</v>
      </c>
      <c r="D54" s="5">
        <f t="shared" si="15"/>
        <v>42956.868309455916</v>
      </c>
      <c r="E54" s="5">
        <f t="shared" si="6"/>
        <v>33456.868309455916</v>
      </c>
      <c r="F54" s="5">
        <f t="shared" si="7"/>
        <v>11225.417503037357</v>
      </c>
      <c r="G54" s="5">
        <f t="shared" si="8"/>
        <v>31731.450806418557</v>
      </c>
      <c r="H54" s="22">
        <f t="shared" si="16"/>
        <v>21235.686708110261</v>
      </c>
      <c r="I54" s="5">
        <f t="shared" si="17"/>
        <v>50737.390410177242</v>
      </c>
      <c r="J54" s="25">
        <f t="shared" si="18"/>
        <v>0.15892993006840825</v>
      </c>
      <c r="L54" s="22">
        <f t="shared" si="19"/>
        <v>61894.32768111692</v>
      </c>
      <c r="M54" s="5">
        <f>scrimecost*Meta!O51</f>
        <v>2472.4699999999998</v>
      </c>
      <c r="N54" s="5">
        <f>L54-Grade8!L54</f>
        <v>681.64041268964502</v>
      </c>
      <c r="O54" s="5">
        <f>Grade8!M54-M54</f>
        <v>51.324000000000069</v>
      </c>
      <c r="P54" s="22">
        <f t="shared" si="22"/>
        <v>98.345167019946416</v>
      </c>
      <c r="S54" s="22">
        <f t="shared" si="20"/>
        <v>453.39192054324451</v>
      </c>
      <c r="T54" s="22">
        <f t="shared" si="21"/>
        <v>375.92332376869115</v>
      </c>
    </row>
    <row r="55" spans="1:20" x14ac:dyDescent="0.2">
      <c r="A55" s="5">
        <v>64</v>
      </c>
      <c r="B55" s="1">
        <f t="shared" si="13"/>
        <v>3.3532767997107733</v>
      </c>
      <c r="C55" s="5">
        <f t="shared" si="14"/>
        <v>47320.491639321022</v>
      </c>
      <c r="D55" s="5">
        <f t="shared" si="15"/>
        <v>43989.840017192313</v>
      </c>
      <c r="E55" s="5">
        <f t="shared" si="6"/>
        <v>34489.840017192313</v>
      </c>
      <c r="F55" s="5">
        <f t="shared" si="7"/>
        <v>11562.68276561329</v>
      </c>
      <c r="G55" s="5">
        <f t="shared" si="8"/>
        <v>32427.157251579025</v>
      </c>
      <c r="H55" s="22">
        <f t="shared" si="16"/>
        <v>21766.578875813018</v>
      </c>
      <c r="I55" s="5">
        <f t="shared" si="17"/>
        <v>51908.245345431678</v>
      </c>
      <c r="J55" s="25">
        <f t="shared" si="18"/>
        <v>0.16050805078791802</v>
      </c>
      <c r="L55" s="22">
        <f t="shared" si="19"/>
        <v>63441.685873144837</v>
      </c>
      <c r="M55" s="5">
        <f>scrimecost*Meta!O52</f>
        <v>2472.4699999999998</v>
      </c>
      <c r="N55" s="5">
        <f>L55-Grade8!L55</f>
        <v>698.68142300687759</v>
      </c>
      <c r="O55" s="5">
        <f>Grade8!M55-M55</f>
        <v>51.324000000000069</v>
      </c>
      <c r="P55" s="22">
        <f t="shared" si="22"/>
        <v>100.42140802918733</v>
      </c>
      <c r="S55" s="22">
        <f t="shared" si="20"/>
        <v>463.26441994684728</v>
      </c>
      <c r="T55" s="22">
        <f t="shared" si="21"/>
        <v>382.64296878093973</v>
      </c>
    </row>
    <row r="56" spans="1:20" x14ac:dyDescent="0.2">
      <c r="A56" s="5">
        <v>65</v>
      </c>
      <c r="B56" s="1">
        <f t="shared" si="13"/>
        <v>3.4371087197035428</v>
      </c>
      <c r="C56" s="5">
        <f t="shared" si="14"/>
        <v>48503.503930304047</v>
      </c>
      <c r="D56" s="5">
        <f t="shared" si="15"/>
        <v>45048.636017622121</v>
      </c>
      <c r="E56" s="5">
        <f t="shared" si="6"/>
        <v>35548.636017622121</v>
      </c>
      <c r="F56" s="5">
        <f t="shared" si="7"/>
        <v>12013.243261515834</v>
      </c>
      <c r="G56" s="5">
        <f t="shared" si="8"/>
        <v>33035.392756106288</v>
      </c>
      <c r="H56" s="22">
        <f t="shared" si="16"/>
        <v>22310.743347708343</v>
      </c>
      <c r="I56" s="5">
        <f t="shared" si="17"/>
        <v>53003.50805230526</v>
      </c>
      <c r="J56" s="25">
        <f t="shared" si="18"/>
        <v>0.16370223531452394</v>
      </c>
      <c r="L56" s="22">
        <f t="shared" si="19"/>
        <v>65027.72801997346</v>
      </c>
      <c r="M56" s="5">
        <f>scrimecost*Meta!O53</f>
        <v>747.17499999999995</v>
      </c>
      <c r="N56" s="5">
        <f>L56-Grade8!L56</f>
        <v>716.14845858204353</v>
      </c>
      <c r="O56" s="5">
        <f>Grade8!M56-M56</f>
        <v>15.510000000000105</v>
      </c>
      <c r="P56" s="22">
        <f t="shared" si="22"/>
        <v>103.19510660576742</v>
      </c>
      <c r="S56" s="22">
        <f t="shared" si="20"/>
        <v>442.50583408951235</v>
      </c>
      <c r="T56" s="22">
        <f t="shared" si="21"/>
        <v>364.10201945997363</v>
      </c>
    </row>
    <row r="57" spans="1:20" x14ac:dyDescent="0.2">
      <c r="A57" s="5">
        <v>66</v>
      </c>
      <c r="C57" s="5"/>
      <c r="H57" s="21"/>
      <c r="I57" s="5"/>
      <c r="M57" s="5">
        <f>scrimecost*Meta!O54</f>
        <v>747.17499999999995</v>
      </c>
      <c r="N57" s="5">
        <f>L57-Grade8!L57</f>
        <v>0</v>
      </c>
      <c r="O57" s="5">
        <f>Grade8!M57-M57</f>
        <v>15.510000000000105</v>
      </c>
      <c r="S57" s="22">
        <f t="shared" si="20"/>
        <v>13.617780000000092</v>
      </c>
      <c r="T57" s="22">
        <f t="shared" si="21"/>
        <v>11.162197342012732</v>
      </c>
    </row>
    <row r="58" spans="1:20" x14ac:dyDescent="0.2">
      <c r="A58" s="5">
        <v>67</v>
      </c>
      <c r="C58" s="5"/>
      <c r="H58" s="21"/>
      <c r="I58" s="5"/>
      <c r="M58" s="5">
        <f>scrimecost*Meta!O55</f>
        <v>747.17499999999995</v>
      </c>
      <c r="N58" s="5">
        <f>L58-Grade8!L58</f>
        <v>0</v>
      </c>
      <c r="O58" s="5">
        <f>Grade8!M58-M58</f>
        <v>15.510000000000105</v>
      </c>
      <c r="S58" s="22">
        <f t="shared" si="20"/>
        <v>13.617780000000092</v>
      </c>
      <c r="T58" s="22">
        <f t="shared" si="21"/>
        <v>11.11959557858358</v>
      </c>
    </row>
    <row r="59" spans="1:20" x14ac:dyDescent="0.2">
      <c r="A59" s="5">
        <v>68</v>
      </c>
      <c r="H59" s="21"/>
      <c r="I59" s="5"/>
      <c r="M59" s="5">
        <f>scrimecost*Meta!O56</f>
        <v>747.17499999999995</v>
      </c>
      <c r="N59" s="5">
        <f>L59-Grade8!L59</f>
        <v>0</v>
      </c>
      <c r="O59" s="5">
        <f>Grade8!M59-M59</f>
        <v>15.510000000000105</v>
      </c>
      <c r="S59" s="22">
        <f t="shared" si="20"/>
        <v>13.617780000000092</v>
      </c>
      <c r="T59" s="22">
        <f t="shared" si="21"/>
        <v>11.077156409506745</v>
      </c>
    </row>
    <row r="60" spans="1:20" x14ac:dyDescent="0.2">
      <c r="A60" s="5">
        <v>69</v>
      </c>
      <c r="H60" s="21"/>
      <c r="I60" s="5"/>
      <c r="M60" s="5">
        <f>scrimecost*Meta!O57</f>
        <v>747.17499999999995</v>
      </c>
      <c r="N60" s="5">
        <f>L60-Grade8!L60</f>
        <v>0</v>
      </c>
      <c r="O60" s="5">
        <f>Grade8!M60-M60</f>
        <v>15.510000000000105</v>
      </c>
      <c r="S60" s="22">
        <f t="shared" si="20"/>
        <v>13.617780000000092</v>
      </c>
      <c r="T60" s="22">
        <f t="shared" si="21"/>
        <v>11.034879214222867</v>
      </c>
    </row>
    <row r="61" spans="1:20" x14ac:dyDescent="0.2">
      <c r="A61" s="5">
        <v>70</v>
      </c>
      <c r="H61" s="21"/>
      <c r="I61" s="5"/>
      <c r="M61" s="5">
        <f>scrimecost*Meta!O58</f>
        <v>747.17499999999995</v>
      </c>
      <c r="N61" s="5">
        <f>L61-Grade8!L61</f>
        <v>0</v>
      </c>
      <c r="O61" s="5">
        <f>Grade8!M61-M61</f>
        <v>15.510000000000105</v>
      </c>
      <c r="S61" s="22">
        <f t="shared" si="20"/>
        <v>13.617780000000092</v>
      </c>
      <c r="T61" s="22">
        <f t="shared" si="21"/>
        <v>10.992763374540999</v>
      </c>
    </row>
    <row r="62" spans="1:20" x14ac:dyDescent="0.2">
      <c r="A62" s="5">
        <v>71</v>
      </c>
      <c r="H62" s="21"/>
      <c r="I62" s="5"/>
      <c r="M62" s="5">
        <f>scrimecost*Meta!O59</f>
        <v>747.17499999999995</v>
      </c>
      <c r="N62" s="5">
        <f>L62-Grade8!L62</f>
        <v>0</v>
      </c>
      <c r="O62" s="5">
        <f>Grade8!M62-M62</f>
        <v>15.510000000000105</v>
      </c>
      <c r="S62" s="22">
        <f t="shared" si="20"/>
        <v>13.617780000000092</v>
      </c>
      <c r="T62" s="22">
        <f t="shared" si="21"/>
        <v>10.950808274629608</v>
      </c>
    </row>
    <row r="63" spans="1:20" x14ac:dyDescent="0.2">
      <c r="A63" s="5">
        <v>72</v>
      </c>
      <c r="H63" s="21"/>
      <c r="M63" s="5">
        <f>scrimecost*Meta!O60</f>
        <v>747.17499999999995</v>
      </c>
      <c r="N63" s="5">
        <f>L63-Grade8!L63</f>
        <v>0</v>
      </c>
      <c r="O63" s="5">
        <f>Grade8!M63-M63</f>
        <v>15.510000000000105</v>
      </c>
      <c r="S63" s="22">
        <f t="shared" si="20"/>
        <v>13.617780000000092</v>
      </c>
      <c r="T63" s="22">
        <f t="shared" si="21"/>
        <v>10.909013301007539</v>
      </c>
    </row>
    <row r="64" spans="1:20" x14ac:dyDescent="0.2">
      <c r="A64" s="5">
        <v>73</v>
      </c>
      <c r="H64" s="21"/>
      <c r="M64" s="5">
        <f>scrimecost*Meta!O61</f>
        <v>747.17499999999995</v>
      </c>
      <c r="N64" s="5">
        <f>L64-Grade8!L64</f>
        <v>0</v>
      </c>
      <c r="O64" s="5">
        <f>Grade8!M64-M64</f>
        <v>15.510000000000105</v>
      </c>
      <c r="S64" s="22">
        <f t="shared" si="20"/>
        <v>13.617780000000092</v>
      </c>
      <c r="T64" s="22">
        <f t="shared" si="21"/>
        <v>10.86737784253506</v>
      </c>
    </row>
    <row r="65" spans="1:20" x14ac:dyDescent="0.2">
      <c r="A65" s="5">
        <v>74</v>
      </c>
      <c r="H65" s="21"/>
      <c r="M65" s="5">
        <f>scrimecost*Meta!O62</f>
        <v>747.17499999999995</v>
      </c>
      <c r="N65" s="5">
        <f>L65-Grade8!L65</f>
        <v>0</v>
      </c>
      <c r="O65" s="5">
        <f>Grade8!M65-M65</f>
        <v>15.510000000000105</v>
      </c>
      <c r="S65" s="22">
        <f t="shared" si="20"/>
        <v>13.617780000000092</v>
      </c>
      <c r="T65" s="22">
        <f t="shared" si="21"/>
        <v>10.825901290404923</v>
      </c>
    </row>
    <row r="66" spans="1:20" x14ac:dyDescent="0.2">
      <c r="A66" s="5">
        <v>75</v>
      </c>
      <c r="H66" s="21"/>
      <c r="M66" s="5">
        <f>scrimecost*Meta!O63</f>
        <v>747.17499999999995</v>
      </c>
      <c r="N66" s="5">
        <f>L66-Grade8!L66</f>
        <v>0</v>
      </c>
      <c r="O66" s="5">
        <f>Grade8!M66-M66</f>
        <v>15.510000000000105</v>
      </c>
      <c r="S66" s="22">
        <f t="shared" si="20"/>
        <v>13.617780000000092</v>
      </c>
      <c r="T66" s="22">
        <f t="shared" si="21"/>
        <v>10.784583038133459</v>
      </c>
    </row>
    <row r="67" spans="1:20" x14ac:dyDescent="0.2">
      <c r="A67" s="5">
        <v>76</v>
      </c>
      <c r="H67" s="21"/>
      <c r="M67" s="5">
        <f>scrimecost*Meta!O64</f>
        <v>747.17499999999995</v>
      </c>
      <c r="N67" s="5">
        <f>L67-Grade8!L67</f>
        <v>0</v>
      </c>
      <c r="O67" s="5">
        <f>Grade8!M67-M67</f>
        <v>15.510000000000105</v>
      </c>
      <c r="S67" s="22">
        <f t="shared" si="20"/>
        <v>13.617780000000092</v>
      </c>
      <c r="T67" s="22">
        <f t="shared" si="21"/>
        <v>10.743422481551708</v>
      </c>
    </row>
    <row r="68" spans="1:20" x14ac:dyDescent="0.2">
      <c r="A68" s="5">
        <v>77</v>
      </c>
      <c r="H68" s="21"/>
      <c r="M68" s="5">
        <f>scrimecost*Meta!O65</f>
        <v>747.17499999999995</v>
      </c>
      <c r="N68" s="5">
        <f>L68-Grade8!L68</f>
        <v>0</v>
      </c>
      <c r="O68" s="5">
        <f>Grade8!M68-M68</f>
        <v>15.510000000000105</v>
      </c>
      <c r="S68" s="22">
        <f t="shared" si="20"/>
        <v>13.617780000000092</v>
      </c>
      <c r="T68" s="22">
        <f t="shared" si="21"/>
        <v>10.702419018796592</v>
      </c>
    </row>
    <row r="69" spans="1:20" x14ac:dyDescent="0.2">
      <c r="A69" s="5">
        <v>78</v>
      </c>
      <c r="H69" s="21"/>
      <c r="M69" s="5">
        <f>scrimecost*Meta!O66</f>
        <v>747.17499999999995</v>
      </c>
      <c r="N69" s="5">
        <f>L69-Grade8!L69</f>
        <v>0</v>
      </c>
      <c r="O69" s="5">
        <f>Grade8!M69-M69</f>
        <v>15.510000000000105</v>
      </c>
      <c r="S69" s="22">
        <f>IF(A69&lt;startage,1,0)*(N69-Q69-R69)+IF(A69&gt;=startage,1,0)*completionprob*(N69*spart+O69+P69)</f>
        <v>13.617780000000092</v>
      </c>
      <c r="T69" s="22">
        <f>S69/sreturn^(A69-startage+1)</f>
        <v>10.661572050302107</v>
      </c>
    </row>
    <row r="70" spans="1:20" x14ac:dyDescent="0.2">
      <c r="A70" s="5">
        <v>79</v>
      </c>
      <c r="H70" s="21"/>
      <c r="M70" s="5"/>
      <c r="S70" s="22">
        <f>SUM(T5:T69)</f>
        <v>-1.3500311979441904E-12</v>
      </c>
    </row>
    <row r="71" spans="1:20" x14ac:dyDescent="0.2">
      <c r="A71" s="5">
        <v>80</v>
      </c>
      <c r="H71" s="21"/>
      <c r="M71" s="5"/>
    </row>
    <row r="72" spans="1:20" x14ac:dyDescent="0.2">
      <c r="A72" s="5">
        <v>81</v>
      </c>
      <c r="H72" s="21"/>
      <c r="M72" s="5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S6" sqref="S6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Meta!A4+6</f>
        <v>16</v>
      </c>
      <c r="C2" s="7">
        <f>Meta!B4</f>
        <v>29093</v>
      </c>
      <c r="D2" s="7">
        <f>Meta!C4</f>
        <v>13383</v>
      </c>
      <c r="E2" s="1">
        <f>Meta!D4</f>
        <v>0.1</v>
      </c>
      <c r="F2" s="1">
        <f>Meta!F4</f>
        <v>0.54500000000000004</v>
      </c>
      <c r="G2" s="1">
        <f>Meta!I4</f>
        <v>1.9496869757628374</v>
      </c>
      <c r="H2" s="1">
        <f>Meta!E4</f>
        <v>0.878</v>
      </c>
      <c r="I2" s="13"/>
      <c r="J2" s="1">
        <f>Meta!X3</f>
        <v>0.53800000000000003</v>
      </c>
      <c r="K2" s="1">
        <f>Meta!D3</f>
        <v>0.105</v>
      </c>
      <c r="L2" s="28"/>
      <c r="N2" s="22">
        <f>Meta!T4</f>
        <v>29093</v>
      </c>
      <c r="O2" s="22">
        <f>Meta!U4</f>
        <v>13383</v>
      </c>
      <c r="P2" s="1">
        <f>Meta!V4</f>
        <v>0.1</v>
      </c>
      <c r="Q2" s="1">
        <f>Meta!X4</f>
        <v>0.54500000000000004</v>
      </c>
      <c r="R2" s="22">
        <f>Meta!W4</f>
        <v>13308</v>
      </c>
      <c r="T2" s="12">
        <f>IRR(S5:S69)+1</f>
        <v>1.0026956831948541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B6" s="1">
        <v>1</v>
      </c>
      <c r="C6" s="5">
        <f>0.1*Grade9!C6</f>
        <v>1411.1716528561706</v>
      </c>
      <c r="D6" s="5">
        <f t="shared" ref="D6:D36" si="0">IF(A6&lt;startage,1,0)*(C6*(1-initialunempprob))+IF(A6=startage,1,0)*(C6*(1-unempprob))+IF(A6&gt;startage,1,0)*(C6*(1-unempprob)+unempprob*300*52)</f>
        <v>1262.9986293062727</v>
      </c>
      <c r="E6" s="5">
        <f t="shared" ref="E6:E56" si="1">IF(D6-9500&gt;0,1,0)*(D6-9500)</f>
        <v>0</v>
      </c>
      <c r="F6" s="5">
        <f t="shared" ref="F6:F56" si="2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96.619395141929857</v>
      </c>
      <c r="G6" s="5">
        <f t="shared" ref="G6:G56" si="3">D6-F6</f>
        <v>1166.379234164343</v>
      </c>
      <c r="H6" s="22">
        <f>0.1*Grade9!H6</f>
        <v>649.1136931401079</v>
      </c>
      <c r="I6" s="5">
        <f t="shared" ref="I6:I36" si="4">G6+IF(A6&lt;startage,1,0)*(H6*(1-initialunempprob))+IF(A6&gt;=startage,1,0)*(H6*(1-unempprob))</f>
        <v>1747.3359895247395</v>
      </c>
      <c r="J6" s="25">
        <f t="shared" ref="J6:J37" si="5">(F6-(IF(A6&gt;startage,1,0)*(unempprob*300*52)))/(IF(A6&lt;startage,1,0)*((C6+H6)*(1-initialunempprob))+IF(A6&gt;=startage,1,0)*((C6+H6)*(1-unempprob)))</f>
        <v>5.2397902869757172E-2</v>
      </c>
      <c r="L6" s="22">
        <f>0.1*Grade9!L6</f>
        <v>1891.9310770472873</v>
      </c>
      <c r="M6" s="5">
        <f>scrimecost*Meta!O3</f>
        <v>24699.648000000001</v>
      </c>
      <c r="N6" s="5">
        <f>L6-Grade9!L6</f>
        <v>-17027.379693425584</v>
      </c>
      <c r="O6" s="5"/>
      <c r="P6" s="22"/>
      <c r="Q6" s="22">
        <f>0.05*feel*Grade9!G6</f>
        <v>154.52913116243238</v>
      </c>
      <c r="R6" s="22">
        <f>hstuition</f>
        <v>11298</v>
      </c>
      <c r="S6" s="22">
        <f t="shared" ref="S6:S37" si="6">IF(A6&lt;startage,1,0)*(N6-Q6-R6)+IF(A6&gt;=startage,1,0)*completionprob*(N6*spart+O6+P6)</f>
        <v>-28479.908824588016</v>
      </c>
      <c r="T6" s="22">
        <f t="shared" ref="T6:T37" si="7">S6/sreturn^(A6-startage+1)</f>
        <v>-28479.908824588016</v>
      </c>
    </row>
    <row r="7" spans="1:20" x14ac:dyDescent="0.2">
      <c r="A7" s="5">
        <v>16</v>
      </c>
      <c r="B7" s="1">
        <f t="shared" ref="B7:B36" si="8">(1+experiencepremium)^(A7-startage)</f>
        <v>1</v>
      </c>
      <c r="C7" s="5">
        <f t="shared" ref="C7:C36" si="9">pretaxincome*B7/expnorm</f>
        <v>14921.882518406335</v>
      </c>
      <c r="D7" s="5">
        <f t="shared" si="0"/>
        <v>13429.694266565702</v>
      </c>
      <c r="E7" s="5">
        <f t="shared" si="1"/>
        <v>3929.6942665657025</v>
      </c>
      <c r="F7" s="5">
        <f t="shared" si="2"/>
        <v>1813.3104647054167</v>
      </c>
      <c r="G7" s="5">
        <f t="shared" si="3"/>
        <v>11616.383801860286</v>
      </c>
      <c r="H7" s="22">
        <f t="shared" ref="H7:H36" si="10">benefits*B7/expnorm</f>
        <v>6864.1787970931837</v>
      </c>
      <c r="I7" s="5">
        <f t="shared" si="4"/>
        <v>17794.144719244152</v>
      </c>
      <c r="J7" s="25">
        <f t="shared" si="5"/>
        <v>9.2480663487109288E-2</v>
      </c>
      <c r="L7" s="22">
        <f t="shared" ref="L7:L36" si="11">(sincome+sbenefits)*(1-sunemp)*B7/expnorm</f>
        <v>19607.455183949569</v>
      </c>
      <c r="M7" s="5">
        <f>scrimecost*Meta!O4</f>
        <v>31247.183999999997</v>
      </c>
      <c r="N7" s="5">
        <f>L7-Grade9!L7</f>
        <v>215.16164421487701</v>
      </c>
      <c r="O7" s="5">
        <f>Grade9!M7-M7</f>
        <v>650.39600000000064</v>
      </c>
      <c r="P7" s="22">
        <f t="shared" ref="P7:P38" si="12">(spart-initialspart)*(L7*J7+nptrans)</f>
        <v>58.571173252937967</v>
      </c>
      <c r="Q7" s="22"/>
      <c r="R7" s="22"/>
      <c r="S7" s="22">
        <f t="shared" si="6"/>
        <v>725.43017648934097</v>
      </c>
      <c r="T7" s="22">
        <f t="shared" si="7"/>
        <v>723.47990387066216</v>
      </c>
    </row>
    <row r="8" spans="1:20" x14ac:dyDescent="0.2">
      <c r="A8" s="5">
        <v>17</v>
      </c>
      <c r="B8" s="1">
        <f t="shared" si="8"/>
        <v>1.0249999999999999</v>
      </c>
      <c r="C8" s="5">
        <f t="shared" si="9"/>
        <v>15294.929581366492</v>
      </c>
      <c r="D8" s="5">
        <f t="shared" si="0"/>
        <v>15325.436623229843</v>
      </c>
      <c r="E8" s="5">
        <f t="shared" si="1"/>
        <v>5825.4366232298435</v>
      </c>
      <c r="F8" s="5">
        <f t="shared" si="2"/>
        <v>2337.4832263230519</v>
      </c>
      <c r="G8" s="5">
        <f t="shared" si="3"/>
        <v>12987.953396906792</v>
      </c>
      <c r="H8" s="22">
        <f t="shared" si="10"/>
        <v>7035.7832670205125</v>
      </c>
      <c r="I8" s="5">
        <f t="shared" si="4"/>
        <v>19320.158337225253</v>
      </c>
      <c r="J8" s="25">
        <f t="shared" si="5"/>
        <v>3.8685296673476186E-2</v>
      </c>
      <c r="L8" s="22">
        <f t="shared" si="11"/>
        <v>20097.641563548306</v>
      </c>
      <c r="M8" s="5">
        <f>scrimecost*Meta!O5</f>
        <v>36091.296000000002</v>
      </c>
      <c r="N8" s="5">
        <f>L8-Grade9!L8</f>
        <v>220.54068532024758</v>
      </c>
      <c r="O8" s="5">
        <f>Grade9!M8-M8</f>
        <v>751.22400000000198</v>
      </c>
      <c r="P8" s="22">
        <f t="shared" si="12"/>
        <v>51.320382584261409</v>
      </c>
      <c r="Q8" s="22"/>
      <c r="R8" s="22"/>
      <c r="S8" s="22">
        <f t="shared" si="6"/>
        <v>810.16489124157499</v>
      </c>
      <c r="T8" s="22">
        <f t="shared" si="7"/>
        <v>805.81459390439738</v>
      </c>
    </row>
    <row r="9" spans="1:20" x14ac:dyDescent="0.2">
      <c r="A9" s="5">
        <v>18</v>
      </c>
      <c r="B9" s="1">
        <f t="shared" si="8"/>
        <v>1.0506249999999999</v>
      </c>
      <c r="C9" s="5">
        <f t="shared" si="9"/>
        <v>15677.302820900655</v>
      </c>
      <c r="D9" s="5">
        <f t="shared" si="0"/>
        <v>15669.572538810589</v>
      </c>
      <c r="E9" s="5">
        <f t="shared" si="1"/>
        <v>6169.5725388105893</v>
      </c>
      <c r="F9" s="5">
        <f t="shared" si="2"/>
        <v>2432.6368069811278</v>
      </c>
      <c r="G9" s="5">
        <f t="shared" si="3"/>
        <v>13236.935731829461</v>
      </c>
      <c r="H9" s="22">
        <f t="shared" si="10"/>
        <v>7211.6778486960247</v>
      </c>
      <c r="I9" s="5">
        <f t="shared" si="4"/>
        <v>19727.445795655884</v>
      </c>
      <c r="J9" s="25">
        <f t="shared" si="5"/>
        <v>4.2360840187573898E-2</v>
      </c>
      <c r="L9" s="22">
        <f t="shared" si="11"/>
        <v>20600.082602637012</v>
      </c>
      <c r="M9" s="5">
        <f>scrimecost*Meta!O6</f>
        <v>43863.167999999998</v>
      </c>
      <c r="N9" s="5">
        <f>L9-Grade9!L9</f>
        <v>226.05420245325149</v>
      </c>
      <c r="O9" s="5">
        <f>Grade9!M9-M9</f>
        <v>912.99199999999837</v>
      </c>
      <c r="P9" s="22">
        <f t="shared" si="12"/>
        <v>51.98645764886794</v>
      </c>
      <c r="Q9" s="22"/>
      <c r="R9" s="22"/>
      <c r="S9" s="22">
        <f t="shared" si="6"/>
        <v>955.42028223161003</v>
      </c>
      <c r="T9" s="22">
        <f t="shared" si="7"/>
        <v>947.73522119481038</v>
      </c>
    </row>
    <row r="10" spans="1:20" x14ac:dyDescent="0.2">
      <c r="A10" s="5">
        <v>19</v>
      </c>
      <c r="B10" s="1">
        <f t="shared" si="8"/>
        <v>1.0768906249999999</v>
      </c>
      <c r="C10" s="5">
        <f t="shared" si="9"/>
        <v>16069.23539142317</v>
      </c>
      <c r="D10" s="5">
        <f t="shared" si="0"/>
        <v>16022.311852280853</v>
      </c>
      <c r="E10" s="5">
        <f t="shared" si="1"/>
        <v>6522.3118522808527</v>
      </c>
      <c r="F10" s="5">
        <f t="shared" si="2"/>
        <v>2530.1692271556558</v>
      </c>
      <c r="G10" s="5">
        <f t="shared" si="3"/>
        <v>13492.142625125198</v>
      </c>
      <c r="H10" s="22">
        <f t="shared" si="10"/>
        <v>7391.9697949134252</v>
      </c>
      <c r="I10" s="5">
        <f t="shared" si="4"/>
        <v>20144.91544054728</v>
      </c>
      <c r="J10" s="25">
        <f t="shared" si="5"/>
        <v>4.5946736298888749E-2</v>
      </c>
      <c r="L10" s="22">
        <f t="shared" si="11"/>
        <v>21115.084667702937</v>
      </c>
      <c r="M10" s="5">
        <f>scrimecost*Meta!O7</f>
        <v>46884.084000000003</v>
      </c>
      <c r="N10" s="5">
        <f>L10-Grade9!L10</f>
        <v>231.70555751458232</v>
      </c>
      <c r="O10" s="5">
        <f>Grade9!M10-M10</f>
        <v>975.87099999999919</v>
      </c>
      <c r="P10" s="22">
        <f t="shared" si="12"/>
        <v>52.669184590089635</v>
      </c>
      <c r="Q10" s="22"/>
      <c r="R10" s="22"/>
      <c r="S10" s="22">
        <f t="shared" si="6"/>
        <v>1013.9317083964007</v>
      </c>
      <c r="T10" s="22">
        <f t="shared" si="7"/>
        <v>1003.0720378165436</v>
      </c>
    </row>
    <row r="11" spans="1:20" x14ac:dyDescent="0.2">
      <c r="A11" s="5">
        <v>20</v>
      </c>
      <c r="B11" s="1">
        <f t="shared" si="8"/>
        <v>1.1038128906249998</v>
      </c>
      <c r="C11" s="5">
        <f t="shared" si="9"/>
        <v>16470.96627620875</v>
      </c>
      <c r="D11" s="5">
        <f t="shared" si="0"/>
        <v>16383.869648587875</v>
      </c>
      <c r="E11" s="5">
        <f t="shared" si="1"/>
        <v>6883.8696485878754</v>
      </c>
      <c r="F11" s="5">
        <f t="shared" si="2"/>
        <v>2630.1399578345477</v>
      </c>
      <c r="G11" s="5">
        <f t="shared" si="3"/>
        <v>13753.729690753327</v>
      </c>
      <c r="H11" s="22">
        <f t="shared" si="10"/>
        <v>7576.7690397862598</v>
      </c>
      <c r="I11" s="5">
        <f t="shared" si="4"/>
        <v>20572.821826560961</v>
      </c>
      <c r="J11" s="25">
        <f t="shared" si="5"/>
        <v>4.9445171529439856E-2</v>
      </c>
      <c r="L11" s="22">
        <f t="shared" si="11"/>
        <v>21642.961784395509</v>
      </c>
      <c r="M11" s="5">
        <f>scrimecost*Meta!O8</f>
        <v>44901.192000000003</v>
      </c>
      <c r="N11" s="5">
        <f>L11-Grade9!L11</f>
        <v>237.49819645244861</v>
      </c>
      <c r="O11" s="5">
        <f>Grade9!M11-M11</f>
        <v>934.59799999999814</v>
      </c>
      <c r="P11" s="22">
        <f t="shared" si="12"/>
        <v>53.368979704841884</v>
      </c>
      <c r="Q11" s="22"/>
      <c r="R11" s="22"/>
      <c r="S11" s="22">
        <f t="shared" si="6"/>
        <v>981.08027016531071</v>
      </c>
      <c r="T11" s="22">
        <f t="shared" si="7"/>
        <v>967.96313151032791</v>
      </c>
    </row>
    <row r="12" spans="1:20" x14ac:dyDescent="0.2">
      <c r="A12" s="5">
        <v>21</v>
      </c>
      <c r="B12" s="1">
        <f t="shared" si="8"/>
        <v>1.1314082128906247</v>
      </c>
      <c r="C12" s="5">
        <f t="shared" si="9"/>
        <v>16882.740433113966</v>
      </c>
      <c r="D12" s="5">
        <f t="shared" si="0"/>
        <v>16754.466389802568</v>
      </c>
      <c r="E12" s="5">
        <f t="shared" si="1"/>
        <v>7254.4663898025683</v>
      </c>
      <c r="F12" s="5">
        <f t="shared" si="2"/>
        <v>2732.6099567804104</v>
      </c>
      <c r="G12" s="5">
        <f t="shared" si="3"/>
        <v>14021.856433022158</v>
      </c>
      <c r="H12" s="22">
        <f t="shared" si="10"/>
        <v>7766.1882657809165</v>
      </c>
      <c r="I12" s="5">
        <f t="shared" si="4"/>
        <v>21011.425872224983</v>
      </c>
      <c r="J12" s="25">
        <f t="shared" si="5"/>
        <v>5.2858279071440882E-2</v>
      </c>
      <c r="L12" s="22">
        <f t="shared" si="11"/>
        <v>22184.035829005392</v>
      </c>
      <c r="M12" s="5">
        <f>scrimecost*Meta!O9</f>
        <v>40775.712</v>
      </c>
      <c r="N12" s="5">
        <f>L12-Grade9!L12</f>
        <v>243.43565136375764</v>
      </c>
      <c r="O12" s="5">
        <f>Grade9!M12-M12</f>
        <v>848.72800000000279</v>
      </c>
      <c r="P12" s="22">
        <f t="shared" si="12"/>
        <v>54.086269697462917</v>
      </c>
      <c r="Q12" s="22"/>
      <c r="R12" s="22"/>
      <c r="S12" s="22">
        <f t="shared" si="6"/>
        <v>909.15732232844664</v>
      </c>
      <c r="T12" s="22">
        <f t="shared" si="7"/>
        <v>894.59026852979935</v>
      </c>
    </row>
    <row r="13" spans="1:20" x14ac:dyDescent="0.2">
      <c r="A13" s="5">
        <v>22</v>
      </c>
      <c r="B13" s="1">
        <f t="shared" si="8"/>
        <v>1.1596934182128902</v>
      </c>
      <c r="C13" s="5">
        <f t="shared" si="9"/>
        <v>17304.808943941811</v>
      </c>
      <c r="D13" s="5">
        <f t="shared" si="0"/>
        <v>17134.328049547628</v>
      </c>
      <c r="E13" s="5">
        <f t="shared" si="1"/>
        <v>7634.3280495476283</v>
      </c>
      <c r="F13" s="5">
        <f t="shared" si="2"/>
        <v>2837.6417056999194</v>
      </c>
      <c r="G13" s="5">
        <f t="shared" si="3"/>
        <v>14296.686343847708</v>
      </c>
      <c r="H13" s="22">
        <f t="shared" si="10"/>
        <v>7960.3429724254383</v>
      </c>
      <c r="I13" s="5">
        <f t="shared" si="4"/>
        <v>21460.995019030604</v>
      </c>
      <c r="J13" s="25">
        <f t="shared" si="5"/>
        <v>5.6188140088027229E-2</v>
      </c>
      <c r="L13" s="22">
        <f t="shared" si="11"/>
        <v>22738.636724730528</v>
      </c>
      <c r="M13" s="5">
        <f>scrimecost*Meta!O10</f>
        <v>37368.863999999994</v>
      </c>
      <c r="N13" s="5">
        <f>L13-Grade9!L13</f>
        <v>249.52154264784986</v>
      </c>
      <c r="O13" s="5">
        <f>Grade9!M13-M13</f>
        <v>777.81600000000617</v>
      </c>
      <c r="P13" s="22">
        <f t="shared" si="12"/>
        <v>54.821491939899488</v>
      </c>
      <c r="Q13" s="22"/>
      <c r="R13" s="22"/>
      <c r="S13" s="22">
        <f t="shared" si="6"/>
        <v>850.45427129565985</v>
      </c>
      <c r="T13" s="22">
        <f t="shared" si="7"/>
        <v>834.57803435451979</v>
      </c>
    </row>
    <row r="14" spans="1:20" x14ac:dyDescent="0.2">
      <c r="A14" s="5">
        <v>23</v>
      </c>
      <c r="B14" s="1">
        <f t="shared" si="8"/>
        <v>1.1886857536682125</v>
      </c>
      <c r="C14" s="5">
        <f t="shared" si="9"/>
        <v>17737.429167540358</v>
      </c>
      <c r="D14" s="5">
        <f t="shared" si="0"/>
        <v>17523.686250786322</v>
      </c>
      <c r="E14" s="5">
        <f t="shared" si="1"/>
        <v>8023.6862507863225</v>
      </c>
      <c r="F14" s="5">
        <f t="shared" si="2"/>
        <v>2945.2992483424182</v>
      </c>
      <c r="G14" s="5">
        <f t="shared" si="3"/>
        <v>14578.387002443904</v>
      </c>
      <c r="H14" s="22">
        <f t="shared" si="10"/>
        <v>8159.3515467360749</v>
      </c>
      <c r="I14" s="5">
        <f t="shared" si="4"/>
        <v>21921.803394506373</v>
      </c>
      <c r="J14" s="25">
        <f t="shared" si="5"/>
        <v>5.9436784982257893E-2</v>
      </c>
      <c r="L14" s="22">
        <f t="shared" si="11"/>
        <v>23307.102642848789</v>
      </c>
      <c r="M14" s="5">
        <f>scrimecost*Meta!O11</f>
        <v>34920.192000000003</v>
      </c>
      <c r="N14" s="5">
        <f>L14-Grade9!L14</f>
        <v>255.75958121404983</v>
      </c>
      <c r="O14" s="5">
        <f>Grade9!M14-M14</f>
        <v>726.84799999999814</v>
      </c>
      <c r="P14" s="22">
        <f t="shared" si="12"/>
        <v>55.575094738396977</v>
      </c>
      <c r="Q14" s="22"/>
      <c r="R14" s="22"/>
      <c r="S14" s="22">
        <f t="shared" si="6"/>
        <v>809.35099438704583</v>
      </c>
      <c r="T14" s="22">
        <f t="shared" si="7"/>
        <v>792.10680232633308</v>
      </c>
    </row>
    <row r="15" spans="1:20" x14ac:dyDescent="0.2">
      <c r="A15" s="5">
        <v>24</v>
      </c>
      <c r="B15" s="1">
        <f t="shared" si="8"/>
        <v>1.2184028975099177</v>
      </c>
      <c r="C15" s="5">
        <f t="shared" si="9"/>
        <v>18180.864896728868</v>
      </c>
      <c r="D15" s="5">
        <f t="shared" si="0"/>
        <v>17922.778407055979</v>
      </c>
      <c r="E15" s="5">
        <f t="shared" si="1"/>
        <v>8422.7784070559792</v>
      </c>
      <c r="F15" s="5">
        <f t="shared" si="2"/>
        <v>3055.6482295509786</v>
      </c>
      <c r="G15" s="5">
        <f t="shared" si="3"/>
        <v>14867.130177505001</v>
      </c>
      <c r="H15" s="22">
        <f t="shared" si="10"/>
        <v>8363.3353354044757</v>
      </c>
      <c r="I15" s="5">
        <f t="shared" si="4"/>
        <v>22394.131979369031</v>
      </c>
      <c r="J15" s="25">
        <f t="shared" si="5"/>
        <v>6.2606194635165827E-2</v>
      </c>
      <c r="L15" s="22">
        <f t="shared" si="11"/>
        <v>23889.780208920012</v>
      </c>
      <c r="M15" s="5">
        <f>scrimecost*Meta!O12</f>
        <v>33363.156000000003</v>
      </c>
      <c r="N15" s="5">
        <f>L15-Grade9!L15</f>
        <v>262.15357074440544</v>
      </c>
      <c r="O15" s="5">
        <f>Grade9!M15-M15</f>
        <v>694.43899999999849</v>
      </c>
      <c r="P15" s="22">
        <f t="shared" si="12"/>
        <v>56.347537606856903</v>
      </c>
      <c r="Q15" s="22"/>
      <c r="R15" s="22"/>
      <c r="S15" s="22">
        <f t="shared" si="6"/>
        <v>784.63368515572449</v>
      </c>
      <c r="T15" s="22">
        <f t="shared" si="7"/>
        <v>765.85163159191427</v>
      </c>
    </row>
    <row r="16" spans="1:20" x14ac:dyDescent="0.2">
      <c r="A16" s="5">
        <v>25</v>
      </c>
      <c r="B16" s="1">
        <f t="shared" si="8"/>
        <v>1.2488629699476654</v>
      </c>
      <c r="C16" s="5">
        <f t="shared" si="9"/>
        <v>18635.386519147083</v>
      </c>
      <c r="D16" s="5">
        <f t="shared" si="0"/>
        <v>18331.847867232376</v>
      </c>
      <c r="E16" s="5">
        <f t="shared" si="1"/>
        <v>8831.8478672323763</v>
      </c>
      <c r="F16" s="5">
        <f t="shared" si="2"/>
        <v>3185.348328651371</v>
      </c>
      <c r="G16" s="5">
        <f t="shared" si="3"/>
        <v>15146.499538581005</v>
      </c>
      <c r="H16" s="22">
        <f t="shared" si="10"/>
        <v>8572.4187187895859</v>
      </c>
      <c r="I16" s="5">
        <f t="shared" si="4"/>
        <v>22861.676385491632</v>
      </c>
      <c r="J16" s="25">
        <f t="shared" si="5"/>
        <v>6.6375901018003891E-2</v>
      </c>
      <c r="L16" s="22">
        <f t="shared" si="11"/>
        <v>24487.024714143008</v>
      </c>
      <c r="M16" s="5">
        <f>scrimecost*Meta!O13</f>
        <v>28013.34</v>
      </c>
      <c r="N16" s="5">
        <f>L16-Grade9!L16</f>
        <v>268.70741001301212</v>
      </c>
      <c r="O16" s="5">
        <f>Grade9!M16-M16</f>
        <v>583.08499999999913</v>
      </c>
      <c r="P16" s="22">
        <f t="shared" si="12"/>
        <v>57.255438300559646</v>
      </c>
      <c r="Q16" s="22"/>
      <c r="R16" s="22"/>
      <c r="S16" s="22">
        <f t="shared" si="6"/>
        <v>690.79808759321702</v>
      </c>
      <c r="T16" s="22">
        <f t="shared" si="7"/>
        <v>672.44949904621785</v>
      </c>
    </row>
    <row r="17" spans="1:20" x14ac:dyDescent="0.2">
      <c r="A17" s="5">
        <v>26</v>
      </c>
      <c r="B17" s="1">
        <f t="shared" si="8"/>
        <v>1.2800845441963571</v>
      </c>
      <c r="C17" s="5">
        <f t="shared" si="9"/>
        <v>19101.271182125762</v>
      </c>
      <c r="D17" s="5">
        <f t="shared" si="0"/>
        <v>18751.144063913187</v>
      </c>
      <c r="E17" s="5">
        <f t="shared" si="1"/>
        <v>9251.144063913187</v>
      </c>
      <c r="F17" s="5">
        <f t="shared" si="2"/>
        <v>3322.2485368676553</v>
      </c>
      <c r="G17" s="5">
        <f t="shared" si="3"/>
        <v>15428.895527045532</v>
      </c>
      <c r="H17" s="22">
        <f t="shared" si="10"/>
        <v>8786.7291867593267</v>
      </c>
      <c r="I17" s="5">
        <f t="shared" si="4"/>
        <v>23336.951795128927</v>
      </c>
      <c r="J17" s="25">
        <f t="shared" si="5"/>
        <v>7.0211341937501184E-2</v>
      </c>
      <c r="L17" s="22">
        <f t="shared" si="11"/>
        <v>25099.200331996581</v>
      </c>
      <c r="M17" s="5">
        <f>scrimecost*Meta!O14</f>
        <v>28013.34</v>
      </c>
      <c r="N17" s="5">
        <f>L17-Grade9!L17</f>
        <v>275.42509526333379</v>
      </c>
      <c r="O17" s="5">
        <f>Grade9!M17-M17</f>
        <v>583.08499999999913</v>
      </c>
      <c r="P17" s="22">
        <f t="shared" si="12"/>
        <v>58.213739758073636</v>
      </c>
      <c r="Q17" s="22"/>
      <c r="R17" s="22"/>
      <c r="S17" s="22">
        <f t="shared" si="6"/>
        <v>694.85395584204582</v>
      </c>
      <c r="T17" s="22">
        <f t="shared" si="7"/>
        <v>674.57918583905644</v>
      </c>
    </row>
    <row r="18" spans="1:20" x14ac:dyDescent="0.2">
      <c r="A18" s="5">
        <v>27</v>
      </c>
      <c r="B18" s="1">
        <f t="shared" si="8"/>
        <v>1.312086657801266</v>
      </c>
      <c r="C18" s="5">
        <f t="shared" si="9"/>
        <v>19578.802961678906</v>
      </c>
      <c r="D18" s="5">
        <f t="shared" si="0"/>
        <v>19180.922665511018</v>
      </c>
      <c r="E18" s="5">
        <f t="shared" si="1"/>
        <v>9680.9226655110178</v>
      </c>
      <c r="F18" s="5">
        <f t="shared" si="2"/>
        <v>3462.5712502893475</v>
      </c>
      <c r="G18" s="5">
        <f t="shared" si="3"/>
        <v>15718.35141522167</v>
      </c>
      <c r="H18" s="22">
        <f t="shared" si="10"/>
        <v>9006.3974164283081</v>
      </c>
      <c r="I18" s="5">
        <f t="shared" si="4"/>
        <v>23824.109090007147</v>
      </c>
      <c r="J18" s="25">
        <f t="shared" si="5"/>
        <v>7.3953235517498606E-2</v>
      </c>
      <c r="L18" s="22">
        <f t="shared" si="11"/>
        <v>25726.680340296494</v>
      </c>
      <c r="M18" s="5">
        <f>scrimecost*Meta!O15</f>
        <v>28013.34</v>
      </c>
      <c r="N18" s="5">
        <f>L18-Grade9!L18</f>
        <v>282.31072264492104</v>
      </c>
      <c r="O18" s="5">
        <f>Grade9!M18-M18</f>
        <v>583.08499999999913</v>
      </c>
      <c r="P18" s="22">
        <f t="shared" si="12"/>
        <v>59.195998752025488</v>
      </c>
      <c r="Q18" s="22"/>
      <c r="R18" s="22"/>
      <c r="S18" s="22">
        <f t="shared" si="6"/>
        <v>699.01122079709876</v>
      </c>
      <c r="T18" s="22">
        <f t="shared" si="7"/>
        <v>676.79073478486475</v>
      </c>
    </row>
    <row r="19" spans="1:20" x14ac:dyDescent="0.2">
      <c r="A19" s="5">
        <v>28</v>
      </c>
      <c r="B19" s="1">
        <f t="shared" si="8"/>
        <v>1.3448888242462975</v>
      </c>
      <c r="C19" s="5">
        <f t="shared" si="9"/>
        <v>20068.273035720875</v>
      </c>
      <c r="D19" s="5">
        <f t="shared" si="0"/>
        <v>19621.445732148786</v>
      </c>
      <c r="E19" s="5">
        <f t="shared" si="1"/>
        <v>10121.445732148786</v>
      </c>
      <c r="F19" s="5">
        <f t="shared" si="2"/>
        <v>3606.4020315465787</v>
      </c>
      <c r="G19" s="5">
        <f t="shared" si="3"/>
        <v>16015.043700602208</v>
      </c>
      <c r="H19" s="22">
        <f t="shared" si="10"/>
        <v>9231.5573518390174</v>
      </c>
      <c r="I19" s="5">
        <f t="shared" si="4"/>
        <v>24323.445317257323</v>
      </c>
      <c r="J19" s="25">
        <f t="shared" si="5"/>
        <v>7.760386340042276E-2</v>
      </c>
      <c r="L19" s="22">
        <f t="shared" si="11"/>
        <v>26369.847348803905</v>
      </c>
      <c r="M19" s="5">
        <f>scrimecost*Meta!O16</f>
        <v>28013.34</v>
      </c>
      <c r="N19" s="5">
        <f>L19-Grade9!L19</f>
        <v>289.36849071104007</v>
      </c>
      <c r="O19" s="5">
        <f>Grade9!M19-M19</f>
        <v>583.08499999999913</v>
      </c>
      <c r="P19" s="22">
        <f t="shared" si="12"/>
        <v>60.202814220826106</v>
      </c>
      <c r="Q19" s="22"/>
      <c r="R19" s="22"/>
      <c r="S19" s="22">
        <f t="shared" si="6"/>
        <v>703.27241737602435</v>
      </c>
      <c r="T19" s="22">
        <f t="shared" si="7"/>
        <v>679.08587413374698</v>
      </c>
    </row>
    <row r="20" spans="1:20" x14ac:dyDescent="0.2">
      <c r="A20" s="5">
        <v>29</v>
      </c>
      <c r="B20" s="1">
        <f t="shared" si="8"/>
        <v>1.3785110448524549</v>
      </c>
      <c r="C20" s="5">
        <f t="shared" si="9"/>
        <v>20569.979861613898</v>
      </c>
      <c r="D20" s="5">
        <f t="shared" si="0"/>
        <v>20072.981875452508</v>
      </c>
      <c r="E20" s="5">
        <f t="shared" si="1"/>
        <v>10572.981875452508</v>
      </c>
      <c r="F20" s="5">
        <f t="shared" si="2"/>
        <v>3753.8285823352435</v>
      </c>
      <c r="G20" s="5">
        <f t="shared" si="3"/>
        <v>16319.153293117264</v>
      </c>
      <c r="H20" s="22">
        <f t="shared" si="10"/>
        <v>9462.3462856349906</v>
      </c>
      <c r="I20" s="5">
        <f t="shared" si="4"/>
        <v>24835.264950188757</v>
      </c>
      <c r="J20" s="25">
        <f t="shared" si="5"/>
        <v>8.1165451578885481E-2</v>
      </c>
      <c r="L20" s="22">
        <f t="shared" si="11"/>
        <v>27029.093532524003</v>
      </c>
      <c r="M20" s="5">
        <f>scrimecost*Meta!O17</f>
        <v>28013.34</v>
      </c>
      <c r="N20" s="5">
        <f>L20-Grade9!L20</f>
        <v>296.60270297882016</v>
      </c>
      <c r="O20" s="5">
        <f>Grade9!M20-M20</f>
        <v>583.08499999999913</v>
      </c>
      <c r="P20" s="22">
        <f t="shared" si="12"/>
        <v>61.234800076346758</v>
      </c>
      <c r="Q20" s="22"/>
      <c r="R20" s="22"/>
      <c r="S20" s="22">
        <f t="shared" si="6"/>
        <v>707.64014386942699</v>
      </c>
      <c r="T20" s="22">
        <f t="shared" si="7"/>
        <v>681.46637082889924</v>
      </c>
    </row>
    <row r="21" spans="1:20" x14ac:dyDescent="0.2">
      <c r="A21" s="5">
        <v>30</v>
      </c>
      <c r="B21" s="1">
        <f t="shared" si="8"/>
        <v>1.4129738209737661</v>
      </c>
      <c r="C21" s="5">
        <f t="shared" si="9"/>
        <v>21084.22935815424</v>
      </c>
      <c r="D21" s="5">
        <f t="shared" si="0"/>
        <v>20535.806422338817</v>
      </c>
      <c r="E21" s="5">
        <f t="shared" si="1"/>
        <v>11035.806422338817</v>
      </c>
      <c r="F21" s="5">
        <f t="shared" si="2"/>
        <v>3904.9407968936239</v>
      </c>
      <c r="G21" s="5">
        <f t="shared" si="3"/>
        <v>16630.865625445193</v>
      </c>
      <c r="H21" s="22">
        <f t="shared" si="10"/>
        <v>9698.9049427758655</v>
      </c>
      <c r="I21" s="5">
        <f t="shared" si="4"/>
        <v>25359.880073943474</v>
      </c>
      <c r="J21" s="25">
        <f t="shared" si="5"/>
        <v>8.4640171752995416E-2</v>
      </c>
      <c r="L21" s="22">
        <f t="shared" si="11"/>
        <v>27704.820870837098</v>
      </c>
      <c r="M21" s="5">
        <f>scrimecost*Meta!O18</f>
        <v>22583.675999999999</v>
      </c>
      <c r="N21" s="5">
        <f>L21-Grade9!L21</f>
        <v>304.01777055328421</v>
      </c>
      <c r="O21" s="5">
        <f>Grade9!M21-M21</f>
        <v>470.06900000000314</v>
      </c>
      <c r="P21" s="22">
        <f t="shared" si="12"/>
        <v>62.292585578255427</v>
      </c>
      <c r="Q21" s="22"/>
      <c r="R21" s="22"/>
      <c r="S21" s="22">
        <f t="shared" si="6"/>
        <v>612.88901552516302</v>
      </c>
      <c r="T21" s="22">
        <f t="shared" si="7"/>
        <v>588.63307262069304</v>
      </c>
    </row>
    <row r="22" spans="1:20" x14ac:dyDescent="0.2">
      <c r="A22" s="5">
        <v>31</v>
      </c>
      <c r="B22" s="1">
        <f t="shared" si="8"/>
        <v>1.4482981664981105</v>
      </c>
      <c r="C22" s="5">
        <f t="shared" si="9"/>
        <v>21611.335092108104</v>
      </c>
      <c r="D22" s="5">
        <f t="shared" si="0"/>
        <v>21010.201582897294</v>
      </c>
      <c r="E22" s="5">
        <f t="shared" si="1"/>
        <v>11510.201582897294</v>
      </c>
      <c r="F22" s="5">
        <f t="shared" si="2"/>
        <v>4059.8308168159665</v>
      </c>
      <c r="G22" s="5">
        <f t="shared" si="3"/>
        <v>16950.370766081327</v>
      </c>
      <c r="H22" s="22">
        <f t="shared" si="10"/>
        <v>9941.3775663452634</v>
      </c>
      <c r="I22" s="5">
        <f t="shared" si="4"/>
        <v>25897.610575792067</v>
      </c>
      <c r="J22" s="25">
        <f t="shared" si="5"/>
        <v>8.8030142654566143E-2</v>
      </c>
      <c r="L22" s="22">
        <f t="shared" si="11"/>
        <v>28397.441392608031</v>
      </c>
      <c r="M22" s="5">
        <f>scrimecost*Meta!O19</f>
        <v>22583.675999999999</v>
      </c>
      <c r="N22" s="5">
        <f>L22-Grade9!L22</f>
        <v>311.61821481712468</v>
      </c>
      <c r="O22" s="5">
        <f>Grade9!M22-M22</f>
        <v>470.06900000000314</v>
      </c>
      <c r="P22" s="22">
        <f t="shared" si="12"/>
        <v>63.376815717711828</v>
      </c>
      <c r="Q22" s="22"/>
      <c r="R22" s="22"/>
      <c r="S22" s="22">
        <f t="shared" si="6"/>
        <v>617.47785817229601</v>
      </c>
      <c r="T22" s="22">
        <f t="shared" si="7"/>
        <v>591.44595446008179</v>
      </c>
    </row>
    <row r="23" spans="1:20" x14ac:dyDescent="0.2">
      <c r="A23" s="5">
        <v>32</v>
      </c>
      <c r="B23" s="1">
        <f t="shared" si="8"/>
        <v>1.4845056206605631</v>
      </c>
      <c r="C23" s="5">
        <f t="shared" si="9"/>
        <v>22151.618469410805</v>
      </c>
      <c r="D23" s="5">
        <f t="shared" si="0"/>
        <v>21496.456622469726</v>
      </c>
      <c r="E23" s="5">
        <f t="shared" si="1"/>
        <v>11996.456622469726</v>
      </c>
      <c r="F23" s="5">
        <f t="shared" si="2"/>
        <v>4218.593087236366</v>
      </c>
      <c r="G23" s="5">
        <f t="shared" si="3"/>
        <v>17277.863535233359</v>
      </c>
      <c r="H23" s="22">
        <f t="shared" si="10"/>
        <v>10189.912005503895</v>
      </c>
      <c r="I23" s="5">
        <f t="shared" si="4"/>
        <v>26448.784340186867</v>
      </c>
      <c r="J23" s="25">
        <f t="shared" si="5"/>
        <v>9.133743133902536E-2</v>
      </c>
      <c r="L23" s="22">
        <f t="shared" si="11"/>
        <v>29107.377427423227</v>
      </c>
      <c r="M23" s="5">
        <f>scrimecost*Meta!O20</f>
        <v>22583.675999999999</v>
      </c>
      <c r="N23" s="5">
        <f>L23-Grade9!L23</f>
        <v>319.40867018754943</v>
      </c>
      <c r="O23" s="5">
        <f>Grade9!M23-M23</f>
        <v>470.06900000000314</v>
      </c>
      <c r="P23" s="22">
        <f t="shared" si="12"/>
        <v>64.488151610654626</v>
      </c>
      <c r="Q23" s="22"/>
      <c r="R23" s="22"/>
      <c r="S23" s="22">
        <f t="shared" si="6"/>
        <v>622.18142188560182</v>
      </c>
      <c r="T23" s="22">
        <f t="shared" si="7"/>
        <v>594.34904652456555</v>
      </c>
    </row>
    <row r="24" spans="1:20" x14ac:dyDescent="0.2">
      <c r="A24" s="5">
        <v>33</v>
      </c>
      <c r="B24" s="1">
        <f t="shared" si="8"/>
        <v>1.521618261177077</v>
      </c>
      <c r="C24" s="5">
        <f t="shared" si="9"/>
        <v>22705.40893114607</v>
      </c>
      <c r="D24" s="5">
        <f t="shared" si="0"/>
        <v>21994.868038031465</v>
      </c>
      <c r="E24" s="5">
        <f t="shared" si="1"/>
        <v>12494.868038031465</v>
      </c>
      <c r="F24" s="5">
        <f t="shared" si="2"/>
        <v>4381.3244144172731</v>
      </c>
      <c r="G24" s="5">
        <f t="shared" si="3"/>
        <v>17613.54362361419</v>
      </c>
      <c r="H24" s="22">
        <f t="shared" si="10"/>
        <v>10444.65980564149</v>
      </c>
      <c r="I24" s="5">
        <f t="shared" si="4"/>
        <v>27013.737448691529</v>
      </c>
      <c r="J24" s="25">
        <f t="shared" si="5"/>
        <v>9.4564054445814782E-2</v>
      </c>
      <c r="L24" s="22">
        <f t="shared" si="11"/>
        <v>29835.061863108804</v>
      </c>
      <c r="M24" s="5">
        <f>scrimecost*Meta!O21</f>
        <v>22583.675999999999</v>
      </c>
      <c r="N24" s="5">
        <f>L24-Grade9!L24</f>
        <v>327.39388694223453</v>
      </c>
      <c r="O24" s="5">
        <f>Grade9!M24-M24</f>
        <v>470.06900000000314</v>
      </c>
      <c r="P24" s="22">
        <f t="shared" si="12"/>
        <v>65.627270900920976</v>
      </c>
      <c r="Q24" s="22"/>
      <c r="R24" s="22"/>
      <c r="S24" s="22">
        <f t="shared" si="6"/>
        <v>627.00257469173994</v>
      </c>
      <c r="T24" s="22">
        <f t="shared" si="7"/>
        <v>597.34428117525181</v>
      </c>
    </row>
    <row r="25" spans="1:20" x14ac:dyDescent="0.2">
      <c r="A25" s="5">
        <v>34</v>
      </c>
      <c r="B25" s="1">
        <f t="shared" si="8"/>
        <v>1.559658717706504</v>
      </c>
      <c r="C25" s="5">
        <f t="shared" si="9"/>
        <v>23273.044154424722</v>
      </c>
      <c r="D25" s="5">
        <f t="shared" si="0"/>
        <v>22505.739738982251</v>
      </c>
      <c r="E25" s="5">
        <f t="shared" si="1"/>
        <v>13005.739738982251</v>
      </c>
      <c r="F25" s="5">
        <f t="shared" si="2"/>
        <v>4548.124024777705</v>
      </c>
      <c r="G25" s="5">
        <f t="shared" si="3"/>
        <v>17957.615714204545</v>
      </c>
      <c r="H25" s="22">
        <f t="shared" si="10"/>
        <v>10705.776300782529</v>
      </c>
      <c r="I25" s="5">
        <f t="shared" si="4"/>
        <v>27592.814384908823</v>
      </c>
      <c r="J25" s="25">
        <f t="shared" si="5"/>
        <v>9.7711979428048407E-2</v>
      </c>
      <c r="L25" s="22">
        <f t="shared" si="11"/>
        <v>30580.938409686525</v>
      </c>
      <c r="M25" s="5">
        <f>scrimecost*Meta!O22</f>
        <v>22583.675999999999</v>
      </c>
      <c r="N25" s="5">
        <f>L25-Grade9!L25</f>
        <v>335.57873411578839</v>
      </c>
      <c r="O25" s="5">
        <f>Grade9!M25-M25</f>
        <v>470.06900000000314</v>
      </c>
      <c r="P25" s="22">
        <f t="shared" si="12"/>
        <v>66.794868173444002</v>
      </c>
      <c r="Q25" s="22"/>
      <c r="R25" s="22"/>
      <c r="S25" s="22">
        <f t="shared" si="6"/>
        <v>631.94425631803256</v>
      </c>
      <c r="T25" s="22">
        <f t="shared" si="7"/>
        <v>600.43363395713618</v>
      </c>
    </row>
    <row r="26" spans="1:20" x14ac:dyDescent="0.2">
      <c r="A26" s="5">
        <v>35</v>
      </c>
      <c r="B26" s="1">
        <f t="shared" si="8"/>
        <v>1.5986501856491666</v>
      </c>
      <c r="C26" s="5">
        <f t="shared" si="9"/>
        <v>23854.87025828534</v>
      </c>
      <c r="D26" s="5">
        <f t="shared" si="0"/>
        <v>23029.383232456807</v>
      </c>
      <c r="E26" s="5">
        <f t="shared" si="1"/>
        <v>13529.383232456807</v>
      </c>
      <c r="F26" s="5">
        <f t="shared" si="2"/>
        <v>4719.0936253971468</v>
      </c>
      <c r="G26" s="5">
        <f t="shared" si="3"/>
        <v>18310.289607059662</v>
      </c>
      <c r="H26" s="22">
        <f t="shared" si="10"/>
        <v>10973.42070830209</v>
      </c>
      <c r="I26" s="5">
        <f t="shared" si="4"/>
        <v>28186.368244531543</v>
      </c>
      <c r="J26" s="25">
        <f t="shared" si="5"/>
        <v>0.10078312575217874</v>
      </c>
      <c r="L26" s="22">
        <f t="shared" si="11"/>
        <v>31345.461869928691</v>
      </c>
      <c r="M26" s="5">
        <f>scrimecost*Meta!O23</f>
        <v>17526.635999999999</v>
      </c>
      <c r="N26" s="5">
        <f>L26-Grade9!L26</f>
        <v>343.96820246869174</v>
      </c>
      <c r="O26" s="5">
        <f>Grade9!M26-M26</f>
        <v>364.80900000000111</v>
      </c>
      <c r="P26" s="22">
        <f t="shared" si="12"/>
        <v>67.991655377780091</v>
      </c>
      <c r="Q26" s="22"/>
      <c r="R26" s="22"/>
      <c r="S26" s="22">
        <f t="shared" si="6"/>
        <v>544.59119998498568</v>
      </c>
      <c r="T26" s="22">
        <f t="shared" si="7"/>
        <v>516.04516684007899</v>
      </c>
    </row>
    <row r="27" spans="1:20" x14ac:dyDescent="0.2">
      <c r="A27" s="5">
        <v>36</v>
      </c>
      <c r="B27" s="1">
        <f t="shared" si="8"/>
        <v>1.6386164402903955</v>
      </c>
      <c r="C27" s="5">
        <f t="shared" si="9"/>
        <v>24451.242014742471</v>
      </c>
      <c r="D27" s="5">
        <f t="shared" si="0"/>
        <v>23566.117813268225</v>
      </c>
      <c r="E27" s="5">
        <f t="shared" si="1"/>
        <v>14066.117813268225</v>
      </c>
      <c r="F27" s="5">
        <f t="shared" si="2"/>
        <v>4894.3374660320751</v>
      </c>
      <c r="G27" s="5">
        <f t="shared" si="3"/>
        <v>18671.780347236148</v>
      </c>
      <c r="H27" s="22">
        <f t="shared" si="10"/>
        <v>11247.75622600964</v>
      </c>
      <c r="I27" s="5">
        <f t="shared" si="4"/>
        <v>28794.760950644824</v>
      </c>
      <c r="J27" s="25">
        <f t="shared" si="5"/>
        <v>0.1037793660684035</v>
      </c>
      <c r="L27" s="22">
        <f t="shared" si="11"/>
        <v>32129.098416676901</v>
      </c>
      <c r="M27" s="5">
        <f>scrimecost*Meta!O24</f>
        <v>17526.635999999999</v>
      </c>
      <c r="N27" s="5">
        <f>L27-Grade9!L27</f>
        <v>352.56740753040503</v>
      </c>
      <c r="O27" s="5">
        <f>Grade9!M27-M27</f>
        <v>364.80900000000111</v>
      </c>
      <c r="P27" s="22">
        <f t="shared" si="12"/>
        <v>69.218362262224588</v>
      </c>
      <c r="Q27" s="22"/>
      <c r="R27" s="22"/>
      <c r="S27" s="22">
        <f t="shared" si="6"/>
        <v>549.78305424360826</v>
      </c>
      <c r="T27" s="22">
        <f t="shared" si="7"/>
        <v>519.56429705918242</v>
      </c>
    </row>
    <row r="28" spans="1:20" x14ac:dyDescent="0.2">
      <c r="A28" s="5">
        <v>37</v>
      </c>
      <c r="B28" s="1">
        <f t="shared" si="8"/>
        <v>1.6795818512976552</v>
      </c>
      <c r="C28" s="5">
        <f t="shared" si="9"/>
        <v>25062.523065111032</v>
      </c>
      <c r="D28" s="5">
        <f t="shared" si="0"/>
        <v>24116.270758599931</v>
      </c>
      <c r="E28" s="5">
        <f t="shared" si="1"/>
        <v>14616.270758599931</v>
      </c>
      <c r="F28" s="5">
        <f t="shared" si="2"/>
        <v>5073.9624026828769</v>
      </c>
      <c r="G28" s="5">
        <f t="shared" si="3"/>
        <v>19042.308355917055</v>
      </c>
      <c r="H28" s="22">
        <f t="shared" si="10"/>
        <v>11528.950131659882</v>
      </c>
      <c r="I28" s="5">
        <f t="shared" si="4"/>
        <v>29418.363474410951</v>
      </c>
      <c r="J28" s="25">
        <f t="shared" si="5"/>
        <v>0.10670252735252518</v>
      </c>
      <c r="L28" s="22">
        <f t="shared" si="11"/>
        <v>32932.325877093819</v>
      </c>
      <c r="M28" s="5">
        <f>scrimecost*Meta!O25</f>
        <v>17526.635999999999</v>
      </c>
      <c r="N28" s="5">
        <f>L28-Grade9!L28</f>
        <v>361.38159271866243</v>
      </c>
      <c r="O28" s="5">
        <f>Grade9!M28-M28</f>
        <v>364.80900000000111</v>
      </c>
      <c r="P28" s="22">
        <f t="shared" si="12"/>
        <v>70.475736818780192</v>
      </c>
      <c r="Q28" s="22"/>
      <c r="R28" s="22"/>
      <c r="S28" s="22">
        <f t="shared" si="6"/>
        <v>555.10470485869712</v>
      </c>
      <c r="T28" s="22">
        <f t="shared" si="7"/>
        <v>523.18310789842394</v>
      </c>
    </row>
    <row r="29" spans="1:20" x14ac:dyDescent="0.2">
      <c r="A29" s="5">
        <v>38</v>
      </c>
      <c r="B29" s="1">
        <f t="shared" si="8"/>
        <v>1.7215713975800966</v>
      </c>
      <c r="C29" s="5">
        <f t="shared" si="9"/>
        <v>25689.086141738808</v>
      </c>
      <c r="D29" s="5">
        <f t="shared" si="0"/>
        <v>24680.177527564927</v>
      </c>
      <c r="E29" s="5">
        <f t="shared" si="1"/>
        <v>15180.177527564927</v>
      </c>
      <c r="F29" s="5">
        <f t="shared" si="2"/>
        <v>5258.0779627499487</v>
      </c>
      <c r="G29" s="5">
        <f t="shared" si="3"/>
        <v>19422.099564814976</v>
      </c>
      <c r="H29" s="22">
        <f t="shared" si="10"/>
        <v>11817.173884951379</v>
      </c>
      <c r="I29" s="5">
        <f t="shared" si="4"/>
        <v>30057.556061271218</v>
      </c>
      <c r="J29" s="25">
        <f t="shared" si="5"/>
        <v>0.10955439201996099</v>
      </c>
      <c r="L29" s="22">
        <f t="shared" si="11"/>
        <v>33755.634024021172</v>
      </c>
      <c r="M29" s="5">
        <f>scrimecost*Meta!O26</f>
        <v>17526.635999999999</v>
      </c>
      <c r="N29" s="5">
        <f>L29-Grade9!L29</f>
        <v>370.41613253662945</v>
      </c>
      <c r="O29" s="5">
        <f>Grade9!M29-M29</f>
        <v>364.80900000000111</v>
      </c>
      <c r="P29" s="22">
        <f t="shared" si="12"/>
        <v>71.764545739249698</v>
      </c>
      <c r="Q29" s="22"/>
      <c r="R29" s="22"/>
      <c r="S29" s="22">
        <f t="shared" si="6"/>
        <v>560.55939673916475</v>
      </c>
      <c r="T29" s="22">
        <f t="shared" si="7"/>
        <v>526.90375915659922</v>
      </c>
    </row>
    <row r="30" spans="1:20" x14ac:dyDescent="0.2">
      <c r="A30" s="5">
        <v>39</v>
      </c>
      <c r="B30" s="1">
        <f t="shared" si="8"/>
        <v>1.7646106825195991</v>
      </c>
      <c r="C30" s="5">
        <f t="shared" si="9"/>
        <v>26331.313295282274</v>
      </c>
      <c r="D30" s="5">
        <f t="shared" si="0"/>
        <v>25258.181965754047</v>
      </c>
      <c r="E30" s="5">
        <f t="shared" si="1"/>
        <v>15758.181965754047</v>
      </c>
      <c r="F30" s="5">
        <f t="shared" si="2"/>
        <v>5446.7964118186965</v>
      </c>
      <c r="G30" s="5">
        <f t="shared" si="3"/>
        <v>19811.38555393535</v>
      </c>
      <c r="H30" s="22">
        <f t="shared" si="10"/>
        <v>12112.603232075164</v>
      </c>
      <c r="I30" s="5">
        <f t="shared" si="4"/>
        <v>30712.728462802996</v>
      </c>
      <c r="J30" s="25">
        <f t="shared" si="5"/>
        <v>0.11233669901258128</v>
      </c>
      <c r="L30" s="22">
        <f t="shared" si="11"/>
        <v>34599.524874621697</v>
      </c>
      <c r="M30" s="5">
        <f>scrimecost*Meta!O27</f>
        <v>17526.635999999999</v>
      </c>
      <c r="N30" s="5">
        <f>L30-Grade9!L30</f>
        <v>379.67653585004882</v>
      </c>
      <c r="O30" s="5">
        <f>Grade9!M30-M30</f>
        <v>364.80900000000111</v>
      </c>
      <c r="P30" s="22">
        <f t="shared" si="12"/>
        <v>73.085574882730953</v>
      </c>
      <c r="Q30" s="22"/>
      <c r="R30" s="22"/>
      <c r="S30" s="22">
        <f t="shared" si="6"/>
        <v>566.15045591664557</v>
      </c>
      <c r="T30" s="22">
        <f t="shared" si="7"/>
        <v>530.72845883050149</v>
      </c>
    </row>
    <row r="31" spans="1:20" x14ac:dyDescent="0.2">
      <c r="A31" s="5">
        <v>40</v>
      </c>
      <c r="B31" s="1">
        <f t="shared" si="8"/>
        <v>1.8087259495825889</v>
      </c>
      <c r="C31" s="5">
        <f t="shared" si="9"/>
        <v>26989.596127664332</v>
      </c>
      <c r="D31" s="5">
        <f t="shared" si="0"/>
        <v>25850.636514897898</v>
      </c>
      <c r="E31" s="5">
        <f t="shared" si="1"/>
        <v>16350.636514897898</v>
      </c>
      <c r="F31" s="5">
        <f t="shared" si="2"/>
        <v>5640.2328221141634</v>
      </c>
      <c r="G31" s="5">
        <f t="shared" si="3"/>
        <v>20210.403692783737</v>
      </c>
      <c r="H31" s="22">
        <f t="shared" si="10"/>
        <v>12415.418312877042</v>
      </c>
      <c r="I31" s="5">
        <f t="shared" si="4"/>
        <v>31384.280174373074</v>
      </c>
      <c r="J31" s="25">
        <f t="shared" si="5"/>
        <v>0.1150511448590401</v>
      </c>
      <c r="L31" s="22">
        <f t="shared" si="11"/>
        <v>35464.512996487232</v>
      </c>
      <c r="M31" s="5">
        <f>scrimecost*Meta!O28</f>
        <v>15330.815999999999</v>
      </c>
      <c r="N31" s="5">
        <f>L31-Grade9!L31</f>
        <v>389.16844924630277</v>
      </c>
      <c r="O31" s="5">
        <f>Grade9!M31-M31</f>
        <v>319.10399999999936</v>
      </c>
      <c r="P31" s="22">
        <f t="shared" si="12"/>
        <v>74.439629754799213</v>
      </c>
      <c r="Q31" s="22"/>
      <c r="R31" s="22"/>
      <c r="S31" s="22">
        <f t="shared" si="6"/>
        <v>531.75230157356145</v>
      </c>
      <c r="T31" s="22">
        <f t="shared" si="7"/>
        <v>497.14233500635669</v>
      </c>
    </row>
    <row r="32" spans="1:20" x14ac:dyDescent="0.2">
      <c r="A32" s="5">
        <v>41</v>
      </c>
      <c r="B32" s="1">
        <f t="shared" si="8"/>
        <v>1.8539440983221533</v>
      </c>
      <c r="C32" s="5">
        <f t="shared" si="9"/>
        <v>27664.336030855935</v>
      </c>
      <c r="D32" s="5">
        <f t="shared" si="0"/>
        <v>26457.902427770343</v>
      </c>
      <c r="E32" s="5">
        <f t="shared" si="1"/>
        <v>16957.902427770343</v>
      </c>
      <c r="F32" s="5">
        <f t="shared" si="2"/>
        <v>5838.505142667017</v>
      </c>
      <c r="G32" s="5">
        <f t="shared" si="3"/>
        <v>20619.397285103325</v>
      </c>
      <c r="H32" s="22">
        <f t="shared" si="10"/>
        <v>12725.803770698963</v>
      </c>
      <c r="I32" s="5">
        <f t="shared" si="4"/>
        <v>32072.62067873239</v>
      </c>
      <c r="J32" s="25">
        <f t="shared" si="5"/>
        <v>0.11769938470924386</v>
      </c>
      <c r="L32" s="22">
        <f t="shared" si="11"/>
        <v>36351.125821399415</v>
      </c>
      <c r="M32" s="5">
        <f>scrimecost*Meta!O29</f>
        <v>15330.815999999999</v>
      </c>
      <c r="N32" s="5">
        <f>L32-Grade9!L32</f>
        <v>398.89766047746525</v>
      </c>
      <c r="O32" s="5">
        <f>Grade9!M32-M32</f>
        <v>319.10399999999936</v>
      </c>
      <c r="P32" s="22">
        <f t="shared" si="12"/>
        <v>75.827535998669191</v>
      </c>
      <c r="Q32" s="22"/>
      <c r="R32" s="22"/>
      <c r="S32" s="22">
        <f t="shared" si="6"/>
        <v>537.62640812190295</v>
      </c>
      <c r="T32" s="22">
        <f t="shared" si="7"/>
        <v>501.28281607808242</v>
      </c>
    </row>
    <row r="33" spans="1:20" x14ac:dyDescent="0.2">
      <c r="A33" s="5">
        <v>42</v>
      </c>
      <c r="B33" s="1">
        <f t="shared" si="8"/>
        <v>1.9002927007802071</v>
      </c>
      <c r="C33" s="5">
        <f t="shared" si="9"/>
        <v>28355.944431627333</v>
      </c>
      <c r="D33" s="5">
        <f t="shared" si="0"/>
        <v>27080.349988464601</v>
      </c>
      <c r="E33" s="5">
        <f t="shared" si="1"/>
        <v>17580.349988464601</v>
      </c>
      <c r="F33" s="5">
        <f t="shared" si="2"/>
        <v>6041.7342712336922</v>
      </c>
      <c r="G33" s="5">
        <f t="shared" si="3"/>
        <v>21038.61571723091</v>
      </c>
      <c r="H33" s="22">
        <f t="shared" si="10"/>
        <v>13043.948864966438</v>
      </c>
      <c r="I33" s="5">
        <f t="shared" si="4"/>
        <v>32778.169695700708</v>
      </c>
      <c r="J33" s="25">
        <f t="shared" si="5"/>
        <v>0.12028303334358895</v>
      </c>
      <c r="L33" s="22">
        <f t="shared" si="11"/>
        <v>37259.903966934391</v>
      </c>
      <c r="M33" s="5">
        <f>scrimecost*Meta!O30</f>
        <v>15330.815999999999</v>
      </c>
      <c r="N33" s="5">
        <f>L33-Grade9!L33</f>
        <v>408.87010198938515</v>
      </c>
      <c r="O33" s="5">
        <f>Grade9!M33-M33</f>
        <v>319.10399999999936</v>
      </c>
      <c r="P33" s="22">
        <f t="shared" si="12"/>
        <v>77.250139898635908</v>
      </c>
      <c r="Q33" s="22"/>
      <c r="R33" s="22"/>
      <c r="S33" s="22">
        <f t="shared" si="6"/>
        <v>543.6473673339425</v>
      </c>
      <c r="T33" s="22">
        <f t="shared" si="7"/>
        <v>505.53399841868975</v>
      </c>
    </row>
    <row r="34" spans="1:20" x14ac:dyDescent="0.2">
      <c r="A34" s="5">
        <v>43</v>
      </c>
      <c r="B34" s="1">
        <f t="shared" si="8"/>
        <v>1.9478000182997122</v>
      </c>
      <c r="C34" s="5">
        <f t="shared" si="9"/>
        <v>29064.843042418015</v>
      </c>
      <c r="D34" s="5">
        <f t="shared" si="0"/>
        <v>27718.358738176215</v>
      </c>
      <c r="E34" s="5">
        <f t="shared" si="1"/>
        <v>18218.358738176215</v>
      </c>
      <c r="F34" s="5">
        <f t="shared" si="2"/>
        <v>6250.0441280145342</v>
      </c>
      <c r="G34" s="5">
        <f t="shared" si="3"/>
        <v>21468.31461016168</v>
      </c>
      <c r="H34" s="22">
        <f t="shared" si="10"/>
        <v>13370.047586590599</v>
      </c>
      <c r="I34" s="5">
        <f t="shared" si="4"/>
        <v>33501.357438093219</v>
      </c>
      <c r="J34" s="25">
        <f t="shared" si="5"/>
        <v>0.12280366615758417</v>
      </c>
      <c r="L34" s="22">
        <f t="shared" si="11"/>
        <v>38191.40156610775</v>
      </c>
      <c r="M34" s="5">
        <f>scrimecost*Meta!O31</f>
        <v>15330.815999999999</v>
      </c>
      <c r="N34" s="5">
        <f>L34-Grade9!L34</f>
        <v>419.09185453912505</v>
      </c>
      <c r="O34" s="5">
        <f>Grade9!M34-M34</f>
        <v>319.10399999999936</v>
      </c>
      <c r="P34" s="22">
        <f t="shared" si="12"/>
        <v>78.708308896101798</v>
      </c>
      <c r="Q34" s="22"/>
      <c r="R34" s="22"/>
      <c r="S34" s="22">
        <f t="shared" si="6"/>
        <v>549.81885052629366</v>
      </c>
      <c r="T34" s="22">
        <f t="shared" si="7"/>
        <v>509.89829450423252</v>
      </c>
    </row>
    <row r="35" spans="1:20" x14ac:dyDescent="0.2">
      <c r="A35" s="5">
        <v>44</v>
      </c>
      <c r="B35" s="1">
        <f t="shared" si="8"/>
        <v>1.9964950187572048</v>
      </c>
      <c r="C35" s="5">
        <f t="shared" si="9"/>
        <v>29791.464118478463</v>
      </c>
      <c r="D35" s="5">
        <f t="shared" si="0"/>
        <v>28372.317706630616</v>
      </c>
      <c r="E35" s="5">
        <f t="shared" si="1"/>
        <v>18872.317706630616</v>
      </c>
      <c r="F35" s="5">
        <f t="shared" si="2"/>
        <v>6463.5617312148961</v>
      </c>
      <c r="G35" s="5">
        <f t="shared" si="3"/>
        <v>21908.755975415719</v>
      </c>
      <c r="H35" s="22">
        <f t="shared" si="10"/>
        <v>13704.298776255362</v>
      </c>
      <c r="I35" s="5">
        <f t="shared" si="4"/>
        <v>34242.624874045548</v>
      </c>
      <c r="J35" s="25">
        <f t="shared" si="5"/>
        <v>0.12526282012245754</v>
      </c>
      <c r="L35" s="22">
        <f t="shared" si="11"/>
        <v>39146.186605260446</v>
      </c>
      <c r="M35" s="5">
        <f>scrimecost*Meta!O32</f>
        <v>15330.815999999999</v>
      </c>
      <c r="N35" s="5">
        <f>L35-Grade9!L35</f>
        <v>429.56915090260009</v>
      </c>
      <c r="O35" s="5">
        <f>Grade9!M35-M35</f>
        <v>319.10399999999936</v>
      </c>
      <c r="P35" s="22">
        <f t="shared" si="12"/>
        <v>80.20293211850435</v>
      </c>
      <c r="Q35" s="22"/>
      <c r="R35" s="22"/>
      <c r="S35" s="22">
        <f t="shared" si="6"/>
        <v>556.14462079844941</v>
      </c>
      <c r="T35" s="22">
        <f t="shared" si="7"/>
        <v>514.37817060912846</v>
      </c>
    </row>
    <row r="36" spans="1:20" x14ac:dyDescent="0.2">
      <c r="A36" s="5">
        <v>45</v>
      </c>
      <c r="B36" s="1">
        <f t="shared" si="8"/>
        <v>2.0464073942261352</v>
      </c>
      <c r="C36" s="5">
        <f t="shared" si="9"/>
        <v>30536.250721440429</v>
      </c>
      <c r="D36" s="5">
        <f t="shared" si="0"/>
        <v>29042.625649296388</v>
      </c>
      <c r="E36" s="5">
        <f t="shared" si="1"/>
        <v>19542.625649296388</v>
      </c>
      <c r="F36" s="5">
        <f t="shared" si="2"/>
        <v>6682.4172744952702</v>
      </c>
      <c r="G36" s="5">
        <f t="shared" si="3"/>
        <v>22360.208374801117</v>
      </c>
      <c r="H36" s="22">
        <f t="shared" si="10"/>
        <v>14046.906245661748</v>
      </c>
      <c r="I36" s="5">
        <f t="shared" si="4"/>
        <v>35002.423995896694</v>
      </c>
      <c r="J36" s="25">
        <f t="shared" si="5"/>
        <v>0.12766199472233405</v>
      </c>
      <c r="L36" s="22">
        <f t="shared" si="11"/>
        <v>40124.84127039196</v>
      </c>
      <c r="M36" s="5">
        <f>scrimecost*Meta!O33</f>
        <v>12389.748000000001</v>
      </c>
      <c r="N36" s="5">
        <f>L36-Grade9!L36</f>
        <v>440.30837967518164</v>
      </c>
      <c r="O36" s="5">
        <f>Grade9!M36-M36</f>
        <v>257.88699999999881</v>
      </c>
      <c r="P36" s="22">
        <f t="shared" si="12"/>
        <v>81.734920921466966</v>
      </c>
      <c r="Q36" s="22"/>
      <c r="R36" s="22"/>
      <c r="S36" s="22">
        <f t="shared" si="6"/>
        <v>508.88000932741812</v>
      </c>
      <c r="T36" s="22">
        <f t="shared" si="7"/>
        <v>469.39778282408588</v>
      </c>
    </row>
    <row r="37" spans="1:20" x14ac:dyDescent="0.2">
      <c r="A37" s="5">
        <v>46</v>
      </c>
      <c r="B37" s="1">
        <f t="shared" ref="B37:B56" si="13">(1+experiencepremium)^(A37-startage)</f>
        <v>2.097567579081788</v>
      </c>
      <c r="C37" s="5">
        <f t="shared" ref="C37:C56" si="14">pretaxincome*B37/expnorm</f>
        <v>31299.656989476429</v>
      </c>
      <c r="D37" s="5">
        <f t="shared" ref="D37:D56" si="15">IF(A37&lt;startage,1,0)*(C37*(1-initialunempprob))+IF(A37=startage,1,0)*(C37*(1-unempprob))+IF(A37&gt;startage,1,0)*(C37*(1-unempprob)+unempprob*300*52)</f>
        <v>29729.691290528786</v>
      </c>
      <c r="E37" s="5">
        <f t="shared" si="1"/>
        <v>20229.691290528786</v>
      </c>
      <c r="F37" s="5">
        <f t="shared" si="2"/>
        <v>6906.7442063576491</v>
      </c>
      <c r="G37" s="5">
        <f t="shared" si="3"/>
        <v>22822.947084171137</v>
      </c>
      <c r="H37" s="22">
        <f t="shared" ref="H37:H56" si="16">benefits*B37/expnorm</f>
        <v>14398.078901803288</v>
      </c>
      <c r="I37" s="5">
        <f t="shared" ref="I37:I56" si="17">G37+IF(A37&lt;startage,1,0)*(H37*(1-initialunempprob))+IF(A37&gt;=startage,1,0)*(H37*(1-unempprob))</f>
        <v>35781.218095794095</v>
      </c>
      <c r="J37" s="25">
        <f t="shared" si="5"/>
        <v>0.13000265286855497</v>
      </c>
      <c r="L37" s="22">
        <f t="shared" ref="L37:L56" si="18">(sincome+sbenefits)*(1-sunemp)*B37/expnorm</f>
        <v>41127.962302151755</v>
      </c>
      <c r="M37" s="5">
        <f>scrimecost*Meta!O34</f>
        <v>12389.748000000001</v>
      </c>
      <c r="N37" s="5">
        <f>L37-Grade9!L37</f>
        <v>451.31608916704135</v>
      </c>
      <c r="O37" s="5">
        <f>Grade9!M37-M37</f>
        <v>257.88699999999881</v>
      </c>
      <c r="P37" s="22">
        <f t="shared" si="12"/>
        <v>83.305209444503618</v>
      </c>
      <c r="Q37" s="22"/>
      <c r="R37" s="22"/>
      <c r="S37" s="22">
        <f t="shared" si="6"/>
        <v>515.52602171959404</v>
      </c>
      <c r="T37" s="22">
        <f t="shared" si="7"/>
        <v>474.24972725583291</v>
      </c>
    </row>
    <row r="38" spans="1:20" x14ac:dyDescent="0.2">
      <c r="A38" s="5">
        <v>47</v>
      </c>
      <c r="B38" s="1">
        <f t="shared" si="13"/>
        <v>2.1500067685588333</v>
      </c>
      <c r="C38" s="5">
        <f t="shared" si="14"/>
        <v>32082.148414213352</v>
      </c>
      <c r="D38" s="5">
        <f t="shared" si="15"/>
        <v>30433.933572792019</v>
      </c>
      <c r="E38" s="5">
        <f t="shared" si="1"/>
        <v>20933.933572792019</v>
      </c>
      <c r="F38" s="5">
        <f t="shared" si="2"/>
        <v>7136.6793115165947</v>
      </c>
      <c r="G38" s="5">
        <f t="shared" si="3"/>
        <v>23297.254261275426</v>
      </c>
      <c r="H38" s="22">
        <f t="shared" si="16"/>
        <v>14758.030874348375</v>
      </c>
      <c r="I38" s="5">
        <f t="shared" si="17"/>
        <v>36579.482048188962</v>
      </c>
      <c r="J38" s="25">
        <f t="shared" ref="J38:J56" si="19">(F38-(IF(A38&gt;startage,1,0)*(unempprob*300*52)))/(IF(A38&lt;startage,1,0)*((C38+H38)*(1-initialunempprob))+IF(A38&gt;=startage,1,0)*((C38+H38)*(1-unempprob)))</f>
        <v>0.13228622179169744</v>
      </c>
      <c r="L38" s="22">
        <f t="shared" si="18"/>
        <v>42156.161359705555</v>
      </c>
      <c r="M38" s="5">
        <f>scrimecost*Meta!O35</f>
        <v>12389.748000000001</v>
      </c>
      <c r="N38" s="5">
        <f>L38-Grade9!L38</f>
        <v>462.59899139623303</v>
      </c>
      <c r="O38" s="5">
        <f>Grade9!M38-M38</f>
        <v>257.88699999999881</v>
      </c>
      <c r="P38" s="22">
        <f t="shared" si="12"/>
        <v>84.91475518061624</v>
      </c>
      <c r="Q38" s="22"/>
      <c r="R38" s="22"/>
      <c r="S38" s="22">
        <f t="shared" ref="S38:S69" si="20">IF(A38&lt;startage,1,0)*(N38-Q38-R38)+IF(A38&gt;=startage,1,0)*completionprob*(N38*spart+O38+P38)</f>
        <v>522.33818442159145</v>
      </c>
      <c r="T38" s="22">
        <f t="shared" ref="T38:T69" si="21">S38/sreturn^(A38-startage+1)</f>
        <v>479.22462708080178</v>
      </c>
    </row>
    <row r="39" spans="1:20" x14ac:dyDescent="0.2">
      <c r="A39" s="5">
        <v>48</v>
      </c>
      <c r="B39" s="1">
        <f t="shared" si="13"/>
        <v>2.2037569377728037</v>
      </c>
      <c r="C39" s="5">
        <f t="shared" si="14"/>
        <v>32884.202124568677</v>
      </c>
      <c r="D39" s="5">
        <f t="shared" si="15"/>
        <v>31155.781912111812</v>
      </c>
      <c r="E39" s="5">
        <f t="shared" si="1"/>
        <v>21655.781912111812</v>
      </c>
      <c r="F39" s="5">
        <f t="shared" si="2"/>
        <v>7372.3627943045058</v>
      </c>
      <c r="G39" s="5">
        <f t="shared" si="3"/>
        <v>23783.419117807305</v>
      </c>
      <c r="H39" s="22">
        <f t="shared" si="16"/>
        <v>15126.981646207079</v>
      </c>
      <c r="I39" s="5">
        <f t="shared" si="17"/>
        <v>37397.702599393677</v>
      </c>
      <c r="J39" s="25">
        <f t="shared" si="19"/>
        <v>0.1345140939118363</v>
      </c>
      <c r="L39" s="22">
        <f t="shared" si="18"/>
        <v>43210.065393698183</v>
      </c>
      <c r="M39" s="5">
        <f>scrimecost*Meta!O36</f>
        <v>12389.748000000001</v>
      </c>
      <c r="N39" s="5">
        <f>L39-Grade9!L39</f>
        <v>474.16396618113504</v>
      </c>
      <c r="O39" s="5">
        <f>Grade9!M39-M39</f>
        <v>257.88699999999881</v>
      </c>
      <c r="P39" s="22">
        <f t="shared" ref="P39:P56" si="22">(spart-initialspart)*(L39*J39+nptrans)</f>
        <v>86.564539560131607</v>
      </c>
      <c r="Q39" s="22"/>
      <c r="R39" s="22"/>
      <c r="S39" s="22">
        <f t="shared" si="20"/>
        <v>529.3206511911294</v>
      </c>
      <c r="T39" s="22">
        <f t="shared" si="21"/>
        <v>484.32517696294394</v>
      </c>
    </row>
    <row r="40" spans="1:20" x14ac:dyDescent="0.2">
      <c r="A40" s="5">
        <v>49</v>
      </c>
      <c r="B40" s="1">
        <f t="shared" si="13"/>
        <v>2.2588508612171236</v>
      </c>
      <c r="C40" s="5">
        <f t="shared" si="14"/>
        <v>33706.307177682895</v>
      </c>
      <c r="D40" s="5">
        <f t="shared" si="15"/>
        <v>31895.676459914604</v>
      </c>
      <c r="E40" s="5">
        <f t="shared" si="1"/>
        <v>22395.676459914604</v>
      </c>
      <c r="F40" s="5">
        <f t="shared" si="2"/>
        <v>7613.9383641621189</v>
      </c>
      <c r="G40" s="5">
        <f t="shared" si="3"/>
        <v>24281.738095752487</v>
      </c>
      <c r="H40" s="22">
        <f t="shared" si="16"/>
        <v>15505.156187362258</v>
      </c>
      <c r="I40" s="5">
        <f t="shared" si="17"/>
        <v>38236.378664378521</v>
      </c>
      <c r="J40" s="25">
        <f t="shared" si="19"/>
        <v>0.13668762768758161</v>
      </c>
      <c r="L40" s="22">
        <f t="shared" si="18"/>
        <v>44290.31702854063</v>
      </c>
      <c r="M40" s="5">
        <f>scrimecost*Meta!O37</f>
        <v>12389.748000000001</v>
      </c>
      <c r="N40" s="5">
        <f>L40-Grade9!L40</f>
        <v>486.01806533565104</v>
      </c>
      <c r="O40" s="5">
        <f>Grade9!M40-M40</f>
        <v>257.88699999999881</v>
      </c>
      <c r="P40" s="22">
        <f t="shared" si="22"/>
        <v>88.255568549134892</v>
      </c>
      <c r="Q40" s="22"/>
      <c r="R40" s="22"/>
      <c r="S40" s="22">
        <f t="shared" si="20"/>
        <v>536.47767962990179</v>
      </c>
      <c r="T40" s="22">
        <f t="shared" si="21"/>
        <v>489.55413161590684</v>
      </c>
    </row>
    <row r="41" spans="1:20" x14ac:dyDescent="0.2">
      <c r="A41" s="5">
        <v>50</v>
      </c>
      <c r="B41" s="1">
        <f t="shared" si="13"/>
        <v>2.3153221327475517</v>
      </c>
      <c r="C41" s="5">
        <f t="shared" si="14"/>
        <v>34548.964857124971</v>
      </c>
      <c r="D41" s="5">
        <f t="shared" si="15"/>
        <v>32654.068371412475</v>
      </c>
      <c r="E41" s="5">
        <f t="shared" si="1"/>
        <v>23154.068371412475</v>
      </c>
      <c r="F41" s="5">
        <f t="shared" si="2"/>
        <v>7861.5533232661728</v>
      </c>
      <c r="G41" s="5">
        <f t="shared" si="3"/>
        <v>24792.515048146302</v>
      </c>
      <c r="H41" s="22">
        <f t="shared" si="16"/>
        <v>15892.785092046313</v>
      </c>
      <c r="I41" s="5">
        <f t="shared" si="17"/>
        <v>39096.021630987983</v>
      </c>
      <c r="J41" s="25">
        <f t="shared" si="19"/>
        <v>0.13880814844440631</v>
      </c>
      <c r="L41" s="22">
        <f t="shared" si="18"/>
        <v>45397.574954254153</v>
      </c>
      <c r="M41" s="5">
        <f>scrimecost*Meta!O38</f>
        <v>8277.5759999999991</v>
      </c>
      <c r="N41" s="5">
        <f>L41-Grade9!L41</f>
        <v>498.16851696906087</v>
      </c>
      <c r="O41" s="5">
        <f>Grade9!M41-M41</f>
        <v>172.29400000000169</v>
      </c>
      <c r="P41" s="22">
        <f t="shared" si="22"/>
        <v>89.988873262863294</v>
      </c>
      <c r="Q41" s="22"/>
      <c r="R41" s="22"/>
      <c r="S41" s="22">
        <f t="shared" si="20"/>
        <v>468.66297977966082</v>
      </c>
      <c r="T41" s="22">
        <f t="shared" si="21"/>
        <v>426.52114531775857</v>
      </c>
    </row>
    <row r="42" spans="1:20" x14ac:dyDescent="0.2">
      <c r="A42" s="5">
        <v>51</v>
      </c>
      <c r="B42" s="1">
        <f t="shared" si="13"/>
        <v>2.3732051860662402</v>
      </c>
      <c r="C42" s="5">
        <f t="shared" si="14"/>
        <v>35412.688978553088</v>
      </c>
      <c r="D42" s="5">
        <f t="shared" si="15"/>
        <v>33431.420080697775</v>
      </c>
      <c r="E42" s="5">
        <f t="shared" si="1"/>
        <v>23931.420080697775</v>
      </c>
      <c r="F42" s="5">
        <f t="shared" si="2"/>
        <v>8115.3586563478239</v>
      </c>
      <c r="G42" s="5">
        <f t="shared" si="3"/>
        <v>25316.061424349951</v>
      </c>
      <c r="H42" s="22">
        <f t="shared" si="16"/>
        <v>16290.10471934747</v>
      </c>
      <c r="I42" s="5">
        <f t="shared" si="17"/>
        <v>39977.155671762674</v>
      </c>
      <c r="J42" s="25">
        <f t="shared" si="19"/>
        <v>0.1408769491827718</v>
      </c>
      <c r="L42" s="22">
        <f t="shared" si="18"/>
        <v>46532.514328110497</v>
      </c>
      <c r="M42" s="5">
        <f>scrimecost*Meta!O39</f>
        <v>8277.5759999999991</v>
      </c>
      <c r="N42" s="5">
        <f>L42-Grade9!L42</f>
        <v>510.62272989327175</v>
      </c>
      <c r="O42" s="5">
        <f>Grade9!M42-M42</f>
        <v>172.29400000000169</v>
      </c>
      <c r="P42" s="22">
        <f t="shared" si="22"/>
        <v>91.765510594434843</v>
      </c>
      <c r="Q42" s="22"/>
      <c r="R42" s="22"/>
      <c r="S42" s="22">
        <f t="shared" si="20"/>
        <v>476.18233278314472</v>
      </c>
      <c r="T42" s="22">
        <f t="shared" si="21"/>
        <v>432.19929119901451</v>
      </c>
    </row>
    <row r="43" spans="1:20" x14ac:dyDescent="0.2">
      <c r="A43" s="5">
        <v>52</v>
      </c>
      <c r="B43" s="1">
        <f t="shared" si="13"/>
        <v>2.4325353157178964</v>
      </c>
      <c r="C43" s="5">
        <f t="shared" si="14"/>
        <v>36298.006203016914</v>
      </c>
      <c r="D43" s="5">
        <f t="shared" si="15"/>
        <v>34228.205582715222</v>
      </c>
      <c r="E43" s="5">
        <f t="shared" si="1"/>
        <v>24728.205582715222</v>
      </c>
      <c r="F43" s="5">
        <f t="shared" si="2"/>
        <v>8375.5091227565208</v>
      </c>
      <c r="G43" s="5">
        <f t="shared" si="3"/>
        <v>25852.696459958701</v>
      </c>
      <c r="H43" s="22">
        <f t="shared" si="16"/>
        <v>16697.357337331156</v>
      </c>
      <c r="I43" s="5">
        <f t="shared" si="17"/>
        <v>40880.318063556741</v>
      </c>
      <c r="J43" s="25">
        <f t="shared" si="19"/>
        <v>0.14289529136654308</v>
      </c>
      <c r="L43" s="22">
        <f t="shared" si="18"/>
        <v>47695.827186313269</v>
      </c>
      <c r="M43" s="5">
        <f>scrimecost*Meta!O40</f>
        <v>8277.5759999999991</v>
      </c>
      <c r="N43" s="5">
        <f>L43-Grade9!L43</f>
        <v>523.38829814061319</v>
      </c>
      <c r="O43" s="5">
        <f>Grade9!M43-M43</f>
        <v>172.29400000000169</v>
      </c>
      <c r="P43" s="22">
        <f t="shared" si="22"/>
        <v>93.586563859295723</v>
      </c>
      <c r="Q43" s="22"/>
      <c r="R43" s="22"/>
      <c r="S43" s="22">
        <f t="shared" si="20"/>
        <v>483.88966961172792</v>
      </c>
      <c r="T43" s="22">
        <f t="shared" si="21"/>
        <v>438.01398546952646</v>
      </c>
    </row>
    <row r="44" spans="1:20" x14ac:dyDescent="0.2">
      <c r="A44" s="5">
        <v>53</v>
      </c>
      <c r="B44" s="1">
        <f t="shared" si="13"/>
        <v>2.4933486986108435</v>
      </c>
      <c r="C44" s="5">
        <f t="shared" si="14"/>
        <v>37205.456358092328</v>
      </c>
      <c r="D44" s="5">
        <f t="shared" si="15"/>
        <v>35044.910722283093</v>
      </c>
      <c r="E44" s="5">
        <f t="shared" si="1"/>
        <v>25544.910722283093</v>
      </c>
      <c r="F44" s="5">
        <f t="shared" si="2"/>
        <v>8642.1633508254308</v>
      </c>
      <c r="G44" s="5">
        <f t="shared" si="3"/>
        <v>26402.747371457663</v>
      </c>
      <c r="H44" s="22">
        <f t="shared" si="16"/>
        <v>17114.791270764435</v>
      </c>
      <c r="I44" s="5">
        <f t="shared" si="17"/>
        <v>41806.059515145651</v>
      </c>
      <c r="J44" s="25">
        <f t="shared" si="19"/>
        <v>0.14486440569217354</v>
      </c>
      <c r="L44" s="22">
        <f t="shared" si="18"/>
        <v>48888.222865971089</v>
      </c>
      <c r="M44" s="5">
        <f>scrimecost*Meta!O41</f>
        <v>8277.5759999999991</v>
      </c>
      <c r="N44" s="5">
        <f>L44-Grade9!L44</f>
        <v>536.4730055941327</v>
      </c>
      <c r="O44" s="5">
        <f>Grade9!M44-M44</f>
        <v>172.29400000000169</v>
      </c>
      <c r="P44" s="22">
        <f t="shared" si="22"/>
        <v>95.453143455778104</v>
      </c>
      <c r="Q44" s="22"/>
      <c r="R44" s="22"/>
      <c r="S44" s="22">
        <f t="shared" si="20"/>
        <v>491.78968986102313</v>
      </c>
      <c r="T44" s="22">
        <f t="shared" si="21"/>
        <v>443.96823802568844</v>
      </c>
    </row>
    <row r="45" spans="1:20" x14ac:dyDescent="0.2">
      <c r="A45" s="5">
        <v>54</v>
      </c>
      <c r="B45" s="1">
        <f t="shared" si="13"/>
        <v>2.555682416076114</v>
      </c>
      <c r="C45" s="5">
        <f t="shared" si="14"/>
        <v>38135.592767044633</v>
      </c>
      <c r="D45" s="5">
        <f t="shared" si="15"/>
        <v>35882.033490340167</v>
      </c>
      <c r="E45" s="5">
        <f t="shared" si="1"/>
        <v>26382.033490340167</v>
      </c>
      <c r="F45" s="5">
        <f t="shared" si="2"/>
        <v>8915.4839345960645</v>
      </c>
      <c r="G45" s="5">
        <f t="shared" si="3"/>
        <v>26966.549555744103</v>
      </c>
      <c r="H45" s="22">
        <f t="shared" si="16"/>
        <v>17542.661052533542</v>
      </c>
      <c r="I45" s="5">
        <f t="shared" si="17"/>
        <v>42754.944503024293</v>
      </c>
      <c r="J45" s="25">
        <f t="shared" si="19"/>
        <v>0.14678549283913012</v>
      </c>
      <c r="L45" s="22">
        <f t="shared" si="18"/>
        <v>50110.428437620358</v>
      </c>
      <c r="M45" s="5">
        <f>scrimecost*Meta!O42</f>
        <v>8277.5759999999991</v>
      </c>
      <c r="N45" s="5">
        <f>L45-Grade9!L45</f>
        <v>549.88483073397219</v>
      </c>
      <c r="O45" s="5">
        <f>Grade9!M45-M45</f>
        <v>172.29400000000169</v>
      </c>
      <c r="P45" s="22">
        <f t="shared" si="22"/>
        <v>97.366387542172532</v>
      </c>
      <c r="Q45" s="22"/>
      <c r="R45" s="22"/>
      <c r="S45" s="22">
        <f t="shared" si="20"/>
        <v>499.88721061654201</v>
      </c>
      <c r="T45" s="22">
        <f t="shared" si="21"/>
        <v>450.06512579112427</v>
      </c>
    </row>
    <row r="46" spans="1:20" x14ac:dyDescent="0.2">
      <c r="A46" s="5">
        <v>55</v>
      </c>
      <c r="B46" s="1">
        <f t="shared" si="13"/>
        <v>2.6195744764780171</v>
      </c>
      <c r="C46" s="5">
        <f t="shared" si="14"/>
        <v>39088.982586220751</v>
      </c>
      <c r="D46" s="5">
        <f t="shared" si="15"/>
        <v>36740.084327598677</v>
      </c>
      <c r="E46" s="5">
        <f t="shared" si="1"/>
        <v>27240.084327598677</v>
      </c>
      <c r="F46" s="5">
        <f t="shared" si="2"/>
        <v>9195.6375329609691</v>
      </c>
      <c r="G46" s="5">
        <f t="shared" si="3"/>
        <v>27544.446794637708</v>
      </c>
      <c r="H46" s="22">
        <f t="shared" si="16"/>
        <v>17981.22757884688</v>
      </c>
      <c r="I46" s="5">
        <f t="shared" si="17"/>
        <v>43727.551615599899</v>
      </c>
      <c r="J46" s="25">
        <f t="shared" si="19"/>
        <v>0.14865972420201462</v>
      </c>
      <c r="L46" s="22">
        <f t="shared" si="18"/>
        <v>51363.189148560872</v>
      </c>
      <c r="M46" s="5">
        <f>scrimecost*Meta!O43</f>
        <v>4591.2599999999993</v>
      </c>
      <c r="N46" s="5">
        <f>L46-Grade9!L46</f>
        <v>563.63195150233514</v>
      </c>
      <c r="O46" s="5">
        <f>Grade9!M46-M46</f>
        <v>95.565000000000509</v>
      </c>
      <c r="P46" s="22">
        <f t="shared" si="22"/>
        <v>99.327462730726879</v>
      </c>
      <c r="Q46" s="22"/>
      <c r="R46" s="22"/>
      <c r="S46" s="22">
        <f t="shared" si="20"/>
        <v>440.81910739096111</v>
      </c>
      <c r="T46" s="22">
        <f t="shared" si="21"/>
        <v>395.81714504746128</v>
      </c>
    </row>
    <row r="47" spans="1:20" x14ac:dyDescent="0.2">
      <c r="A47" s="5">
        <v>56</v>
      </c>
      <c r="B47" s="1">
        <f t="shared" si="13"/>
        <v>2.6850638383899672</v>
      </c>
      <c r="C47" s="5">
        <f t="shared" si="14"/>
        <v>40066.20715087626</v>
      </c>
      <c r="D47" s="5">
        <f t="shared" si="15"/>
        <v>37619.586435788638</v>
      </c>
      <c r="E47" s="5">
        <f t="shared" si="1"/>
        <v>28119.586435788638</v>
      </c>
      <c r="F47" s="5">
        <f t="shared" si="2"/>
        <v>9482.7949712849913</v>
      </c>
      <c r="G47" s="5">
        <f t="shared" si="3"/>
        <v>28136.791464503647</v>
      </c>
      <c r="H47" s="22">
        <f t="shared" si="16"/>
        <v>18430.758268318052</v>
      </c>
      <c r="I47" s="5">
        <f t="shared" si="17"/>
        <v>44724.473905989893</v>
      </c>
      <c r="J47" s="25">
        <f t="shared" si="19"/>
        <v>0.15048824260482874</v>
      </c>
      <c r="L47" s="22">
        <f t="shared" si="18"/>
        <v>52647.268877274888</v>
      </c>
      <c r="M47" s="5">
        <f>scrimecost*Meta!O44</f>
        <v>4591.2599999999993</v>
      </c>
      <c r="N47" s="5">
        <f>L47-Grade9!L47</f>
        <v>577.72275028988952</v>
      </c>
      <c r="O47" s="5">
        <f>Grade9!M47-M47</f>
        <v>95.565000000000509</v>
      </c>
      <c r="P47" s="22">
        <f t="shared" si="22"/>
        <v>101.33756479899505</v>
      </c>
      <c r="Q47" s="22"/>
      <c r="R47" s="22"/>
      <c r="S47" s="22">
        <f t="shared" si="20"/>
        <v>449.32656513473313</v>
      </c>
      <c r="T47" s="22">
        <f t="shared" si="21"/>
        <v>402.37143483855425</v>
      </c>
    </row>
    <row r="48" spans="1:20" x14ac:dyDescent="0.2">
      <c r="A48" s="5">
        <v>57</v>
      </c>
      <c r="B48" s="1">
        <f t="shared" si="13"/>
        <v>2.7521904343497163</v>
      </c>
      <c r="C48" s="5">
        <f t="shared" si="14"/>
        <v>41067.862329648167</v>
      </c>
      <c r="D48" s="5">
        <f t="shared" si="15"/>
        <v>38521.076096683355</v>
      </c>
      <c r="E48" s="5">
        <f t="shared" si="1"/>
        <v>29021.076096683355</v>
      </c>
      <c r="F48" s="5">
        <f t="shared" si="2"/>
        <v>9777.1313455671152</v>
      </c>
      <c r="G48" s="5">
        <f t="shared" si="3"/>
        <v>28743.94475111624</v>
      </c>
      <c r="H48" s="22">
        <f t="shared" si="16"/>
        <v>18891.527225026002</v>
      </c>
      <c r="I48" s="5">
        <f t="shared" si="17"/>
        <v>45746.319253639638</v>
      </c>
      <c r="J48" s="25">
        <f t="shared" si="19"/>
        <v>0.15227216299781809</v>
      </c>
      <c r="L48" s="22">
        <f t="shared" si="18"/>
        <v>53963.450599206757</v>
      </c>
      <c r="M48" s="5">
        <f>scrimecost*Meta!O45</f>
        <v>4591.2599999999993</v>
      </c>
      <c r="N48" s="5">
        <f>L48-Grade9!L48</f>
        <v>592.16581904712802</v>
      </c>
      <c r="O48" s="5">
        <f>Grade9!M48-M48</f>
        <v>95.565000000000509</v>
      </c>
      <c r="P48" s="22">
        <f t="shared" si="22"/>
        <v>103.39791941896989</v>
      </c>
      <c r="Q48" s="22"/>
      <c r="R48" s="22"/>
      <c r="S48" s="22">
        <f t="shared" si="20"/>
        <v>458.04670932209723</v>
      </c>
      <c r="T48" s="22">
        <f t="shared" si="21"/>
        <v>409.07757063992381</v>
      </c>
    </row>
    <row r="49" spans="1:20" x14ac:dyDescent="0.2">
      <c r="A49" s="5">
        <v>58</v>
      </c>
      <c r="B49" s="1">
        <f t="shared" si="13"/>
        <v>2.8209951952084591</v>
      </c>
      <c r="C49" s="5">
        <f t="shared" si="14"/>
        <v>42094.558887889369</v>
      </c>
      <c r="D49" s="5">
        <f t="shared" si="15"/>
        <v>39445.102999100432</v>
      </c>
      <c r="E49" s="5">
        <f t="shared" si="1"/>
        <v>29945.102999100432</v>
      </c>
      <c r="F49" s="5">
        <f t="shared" si="2"/>
        <v>10078.826129206291</v>
      </c>
      <c r="G49" s="5">
        <f t="shared" si="3"/>
        <v>29366.276869894144</v>
      </c>
      <c r="H49" s="22">
        <f t="shared" si="16"/>
        <v>19363.815405651651</v>
      </c>
      <c r="I49" s="5">
        <f t="shared" si="17"/>
        <v>46793.710734980632</v>
      </c>
      <c r="J49" s="25">
        <f t="shared" si="19"/>
        <v>0.15401257313731989</v>
      </c>
      <c r="L49" s="22">
        <f t="shared" si="18"/>
        <v>55312.536864186921</v>
      </c>
      <c r="M49" s="5">
        <f>scrimecost*Meta!O46</f>
        <v>4591.2599999999993</v>
      </c>
      <c r="N49" s="5">
        <f>L49-Grade9!L49</f>
        <v>606.96996452329768</v>
      </c>
      <c r="O49" s="5">
        <f>Grade9!M49-M49</f>
        <v>95.565000000000509</v>
      </c>
      <c r="P49" s="22">
        <f t="shared" si="22"/>
        <v>105.50978290444412</v>
      </c>
      <c r="Q49" s="22"/>
      <c r="R49" s="22"/>
      <c r="S49" s="22">
        <f t="shared" si="20"/>
        <v>466.9848571141456</v>
      </c>
      <c r="T49" s="22">
        <f t="shared" si="21"/>
        <v>415.93891390260114</v>
      </c>
    </row>
    <row r="50" spans="1:20" x14ac:dyDescent="0.2">
      <c r="A50" s="5">
        <v>59</v>
      </c>
      <c r="B50" s="1">
        <f t="shared" si="13"/>
        <v>2.8915200750886707</v>
      </c>
      <c r="C50" s="5">
        <f t="shared" si="14"/>
        <v>43146.922860086612</v>
      </c>
      <c r="D50" s="5">
        <f t="shared" si="15"/>
        <v>40392.230574077948</v>
      </c>
      <c r="E50" s="5">
        <f t="shared" si="1"/>
        <v>30892.230574077948</v>
      </c>
      <c r="F50" s="5">
        <f t="shared" si="2"/>
        <v>10388.063282436451</v>
      </c>
      <c r="G50" s="5">
        <f t="shared" si="3"/>
        <v>30004.167291641497</v>
      </c>
      <c r="H50" s="22">
        <f t="shared" si="16"/>
        <v>19847.910790792943</v>
      </c>
      <c r="I50" s="5">
        <f t="shared" si="17"/>
        <v>47867.287003355144</v>
      </c>
      <c r="J50" s="25">
        <f t="shared" si="19"/>
        <v>0.15571053424902903</v>
      </c>
      <c r="L50" s="22">
        <f t="shared" si="18"/>
        <v>56695.350285791603</v>
      </c>
      <c r="M50" s="5">
        <f>scrimecost*Meta!O47</f>
        <v>4591.2599999999993</v>
      </c>
      <c r="N50" s="5">
        <f>L50-Grade9!L50</f>
        <v>622.14421363640577</v>
      </c>
      <c r="O50" s="5">
        <f>Grade9!M50-M50</f>
        <v>95.565000000000509</v>
      </c>
      <c r="P50" s="22">
        <f t="shared" si="22"/>
        <v>107.67444297705525</v>
      </c>
      <c r="Q50" s="22"/>
      <c r="R50" s="22"/>
      <c r="S50" s="22">
        <f t="shared" si="20"/>
        <v>476.14645860101149</v>
      </c>
      <c r="T50" s="22">
        <f t="shared" si="21"/>
        <v>422.95890089466093</v>
      </c>
    </row>
    <row r="51" spans="1:20" x14ac:dyDescent="0.2">
      <c r="A51" s="5">
        <v>60</v>
      </c>
      <c r="B51" s="1">
        <f t="shared" si="13"/>
        <v>2.9638080769658868</v>
      </c>
      <c r="C51" s="5">
        <f t="shared" si="14"/>
        <v>44225.595931588767</v>
      </c>
      <c r="D51" s="5">
        <f t="shared" si="15"/>
        <v>41363.036338429891</v>
      </c>
      <c r="E51" s="5">
        <f t="shared" si="1"/>
        <v>31863.036338429891</v>
      </c>
      <c r="F51" s="5">
        <f t="shared" si="2"/>
        <v>10705.031364497359</v>
      </c>
      <c r="G51" s="5">
        <f t="shared" si="3"/>
        <v>30658.004973932533</v>
      </c>
      <c r="H51" s="22">
        <f t="shared" si="16"/>
        <v>20344.108560562763</v>
      </c>
      <c r="I51" s="5">
        <f t="shared" si="17"/>
        <v>48967.702678439018</v>
      </c>
      <c r="J51" s="25">
        <f t="shared" si="19"/>
        <v>0.15736708167508667</v>
      </c>
      <c r="L51" s="22">
        <f t="shared" si="18"/>
        <v>58112.734042936376</v>
      </c>
      <c r="M51" s="5">
        <f>scrimecost*Meta!O48</f>
        <v>2422.056</v>
      </c>
      <c r="N51" s="5">
        <f>L51-Grade9!L51</f>
        <v>637.69781897729263</v>
      </c>
      <c r="O51" s="5">
        <f>Grade9!M51-M51</f>
        <v>50.41399999999976</v>
      </c>
      <c r="P51" s="22">
        <f t="shared" si="22"/>
        <v>109.89321955148161</v>
      </c>
      <c r="Q51" s="22"/>
      <c r="R51" s="22"/>
      <c r="S51" s="22">
        <f t="shared" si="20"/>
        <v>445.89452212502499</v>
      </c>
      <c r="T51" s="22">
        <f t="shared" si="21"/>
        <v>395.02138018750094</v>
      </c>
    </row>
    <row r="52" spans="1:20" x14ac:dyDescent="0.2">
      <c r="A52" s="5">
        <v>61</v>
      </c>
      <c r="B52" s="1">
        <f t="shared" si="13"/>
        <v>3.0379032788900342</v>
      </c>
      <c r="C52" s="5">
        <f t="shared" si="14"/>
        <v>45331.235829878489</v>
      </c>
      <c r="D52" s="5">
        <f t="shared" si="15"/>
        <v>42358.11224689064</v>
      </c>
      <c r="E52" s="5">
        <f t="shared" si="1"/>
        <v>32858.11224689064</v>
      </c>
      <c r="F52" s="5">
        <f t="shared" si="2"/>
        <v>11029.923648609794</v>
      </c>
      <c r="G52" s="5">
        <f t="shared" si="3"/>
        <v>31328.188598280845</v>
      </c>
      <c r="H52" s="22">
        <f t="shared" si="16"/>
        <v>20852.711274576832</v>
      </c>
      <c r="I52" s="5">
        <f t="shared" si="17"/>
        <v>50095.628745399998</v>
      </c>
      <c r="J52" s="25">
        <f t="shared" si="19"/>
        <v>0.15898322550538685</v>
      </c>
      <c r="L52" s="22">
        <f t="shared" si="18"/>
        <v>59565.552394009785</v>
      </c>
      <c r="M52" s="5">
        <f>scrimecost*Meta!O49</f>
        <v>2422.056</v>
      </c>
      <c r="N52" s="5">
        <f>L52-Grade9!L52</f>
        <v>653.64026445174386</v>
      </c>
      <c r="O52" s="5">
        <f>Grade9!M52-M52</f>
        <v>50.41399999999976</v>
      </c>
      <c r="P52" s="22">
        <f t="shared" si="22"/>
        <v>112.16746554026865</v>
      </c>
      <c r="Q52" s="22"/>
      <c r="R52" s="22"/>
      <c r="S52" s="22">
        <f t="shared" si="20"/>
        <v>455.51992968715962</v>
      </c>
      <c r="T52" s="22">
        <f t="shared" si="21"/>
        <v>402.46368803860781</v>
      </c>
    </row>
    <row r="53" spans="1:20" x14ac:dyDescent="0.2">
      <c r="A53" s="5">
        <v>62</v>
      </c>
      <c r="B53" s="1">
        <f t="shared" si="13"/>
        <v>3.1138508608622844</v>
      </c>
      <c r="C53" s="5">
        <f t="shared" si="14"/>
        <v>46464.516725625435</v>
      </c>
      <c r="D53" s="5">
        <f t="shared" si="15"/>
        <v>43378.065053062892</v>
      </c>
      <c r="E53" s="5">
        <f t="shared" si="1"/>
        <v>33878.065053062892</v>
      </c>
      <c r="F53" s="5">
        <f t="shared" si="2"/>
        <v>11362.938239825035</v>
      </c>
      <c r="G53" s="5">
        <f t="shared" si="3"/>
        <v>32015.126813237857</v>
      </c>
      <c r="H53" s="22">
        <f t="shared" si="16"/>
        <v>21374.029056441246</v>
      </c>
      <c r="I53" s="5">
        <f t="shared" si="17"/>
        <v>51251.752964034982</v>
      </c>
      <c r="J53" s="25">
        <f t="shared" si="19"/>
        <v>0.16055995119348457</v>
      </c>
      <c r="L53" s="22">
        <f t="shared" si="18"/>
        <v>61054.69120386002</v>
      </c>
      <c r="M53" s="5">
        <f>scrimecost*Meta!O50</f>
        <v>2422.056</v>
      </c>
      <c r="N53" s="5">
        <f>L53-Grade9!L53</f>
        <v>669.98127106301399</v>
      </c>
      <c r="O53" s="5">
        <f>Grade9!M53-M53</f>
        <v>50.41399999999976</v>
      </c>
      <c r="P53" s="22">
        <f t="shared" si="22"/>
        <v>114.49856767877536</v>
      </c>
      <c r="Q53" s="22"/>
      <c r="R53" s="22"/>
      <c r="S53" s="22">
        <f t="shared" si="20"/>
        <v>465.38597243832743</v>
      </c>
      <c r="T53" s="22">
        <f t="shared" si="21"/>
        <v>410.07516031875502</v>
      </c>
    </row>
    <row r="54" spans="1:20" x14ac:dyDescent="0.2">
      <c r="A54" s="5">
        <v>63</v>
      </c>
      <c r="B54" s="1">
        <f t="shared" si="13"/>
        <v>3.1916971323838421</v>
      </c>
      <c r="C54" s="5">
        <f t="shared" si="14"/>
        <v>47626.129643766086</v>
      </c>
      <c r="D54" s="5">
        <f t="shared" si="15"/>
        <v>44423.516679389475</v>
      </c>
      <c r="E54" s="5">
        <f t="shared" si="1"/>
        <v>34923.516679389475</v>
      </c>
      <c r="F54" s="5">
        <f t="shared" si="2"/>
        <v>11746.62986375961</v>
      </c>
      <c r="G54" s="5">
        <f t="shared" si="3"/>
        <v>32676.886815629863</v>
      </c>
      <c r="H54" s="22">
        <f t="shared" si="16"/>
        <v>21908.379782852284</v>
      </c>
      <c r="I54" s="5">
        <f t="shared" si="17"/>
        <v>52394.428620196923</v>
      </c>
      <c r="J54" s="25">
        <f t="shared" si="19"/>
        <v>0.16277496914455489</v>
      </c>
      <c r="L54" s="22">
        <f t="shared" si="18"/>
        <v>62581.058483956534</v>
      </c>
      <c r="M54" s="5">
        <f>scrimecost*Meta!O51</f>
        <v>2422.056</v>
      </c>
      <c r="N54" s="5">
        <f>L54-Grade9!L54</f>
        <v>686.73080283961463</v>
      </c>
      <c r="O54" s="5">
        <f>Grade9!M54-M54</f>
        <v>50.41399999999976</v>
      </c>
      <c r="P54" s="22">
        <f t="shared" si="22"/>
        <v>117.18440904631738</v>
      </c>
      <c r="Q54" s="22"/>
      <c r="R54" s="22"/>
      <c r="S54" s="22">
        <f t="shared" si="20"/>
        <v>475.75895960945047</v>
      </c>
      <c r="T54" s="22">
        <f t="shared" si="21"/>
        <v>418.08829130904013</v>
      </c>
    </row>
    <row r="55" spans="1:20" x14ac:dyDescent="0.2">
      <c r="A55" s="5">
        <v>64</v>
      </c>
      <c r="B55" s="1">
        <f t="shared" si="13"/>
        <v>3.2714895606934378</v>
      </c>
      <c r="C55" s="5">
        <f t="shared" si="14"/>
        <v>48816.782884860229</v>
      </c>
      <c r="D55" s="5">
        <f t="shared" si="15"/>
        <v>45495.104596374207</v>
      </c>
      <c r="E55" s="5">
        <f t="shared" si="1"/>
        <v>35995.104596374207</v>
      </c>
      <c r="F55" s="5">
        <f t="shared" si="2"/>
        <v>12203.662110353598</v>
      </c>
      <c r="G55" s="5">
        <f t="shared" si="3"/>
        <v>33291.442486020605</v>
      </c>
      <c r="H55" s="22">
        <f t="shared" si="16"/>
        <v>22456.089277423587</v>
      </c>
      <c r="I55" s="5">
        <f t="shared" si="17"/>
        <v>53501.922835701829</v>
      </c>
      <c r="J55" s="25">
        <f t="shared" si="19"/>
        <v>0.16592976927881486</v>
      </c>
      <c r="L55" s="22">
        <f t="shared" si="18"/>
        <v>64145.584946055445</v>
      </c>
      <c r="M55" s="5">
        <f>scrimecost*Meta!O52</f>
        <v>2422.056</v>
      </c>
      <c r="N55" s="5">
        <f>L55-Grade9!L55</f>
        <v>703.89907291060808</v>
      </c>
      <c r="O55" s="5">
        <f>Grade9!M55-M55</f>
        <v>50.41399999999976</v>
      </c>
      <c r="P55" s="22">
        <f t="shared" si="22"/>
        <v>120.38363477247532</v>
      </c>
      <c r="Q55" s="22"/>
      <c r="R55" s="22"/>
      <c r="S55" s="22">
        <f t="shared" si="20"/>
        <v>486.78306870868818</v>
      </c>
      <c r="T55" s="22">
        <f t="shared" si="21"/>
        <v>426.62602858447303</v>
      </c>
    </row>
    <row r="56" spans="1:20" x14ac:dyDescent="0.2">
      <c r="A56" s="5">
        <v>65</v>
      </c>
      <c r="B56" s="1">
        <f t="shared" si="13"/>
        <v>3.3532767997107733</v>
      </c>
      <c r="C56" s="5">
        <f t="shared" si="14"/>
        <v>50037.202456981729</v>
      </c>
      <c r="D56" s="5">
        <f t="shared" si="15"/>
        <v>46593.482211283561</v>
      </c>
      <c r="E56" s="5">
        <f t="shared" si="1"/>
        <v>37093.482211283561</v>
      </c>
      <c r="F56" s="5">
        <f t="shared" si="2"/>
        <v>12672.12016311244</v>
      </c>
      <c r="G56" s="5">
        <f t="shared" si="3"/>
        <v>33921.362048171119</v>
      </c>
      <c r="H56" s="22">
        <f t="shared" si="16"/>
        <v>23017.491509359177</v>
      </c>
      <c r="I56" s="5">
        <f t="shared" si="17"/>
        <v>54637.104406594379</v>
      </c>
      <c r="J56" s="25">
        <f t="shared" si="19"/>
        <v>0.1690076230683368</v>
      </c>
      <c r="L56" s="22">
        <f t="shared" si="18"/>
        <v>65749.224569706814</v>
      </c>
      <c r="M56" s="5">
        <f>scrimecost*Meta!O53</f>
        <v>731.94</v>
      </c>
      <c r="N56" s="5">
        <f>L56-Grade9!L56</f>
        <v>721.49654973335419</v>
      </c>
      <c r="O56" s="5">
        <f>Grade9!M56-M56</f>
        <v>15.2349999999999</v>
      </c>
      <c r="P56" s="22">
        <f t="shared" si="22"/>
        <v>123.66284114178718</v>
      </c>
      <c r="Q56" s="22"/>
      <c r="R56" s="22"/>
      <c r="S56" s="22">
        <f t="shared" si="20"/>
        <v>467.19561853539642</v>
      </c>
      <c r="T56" s="22">
        <f t="shared" si="21"/>
        <v>408.35840624281758</v>
      </c>
    </row>
    <row r="57" spans="1:20" x14ac:dyDescent="0.2">
      <c r="A57" s="5">
        <v>66</v>
      </c>
      <c r="C57" s="5"/>
      <c r="H57" s="21"/>
      <c r="I57" s="5"/>
      <c r="M57" s="5">
        <f>scrimecost*Meta!O54</f>
        <v>731.94</v>
      </c>
      <c r="N57" s="5">
        <f>L57-Grade9!L57</f>
        <v>0</v>
      </c>
      <c r="O57" s="5">
        <f>Grade9!M57-M57</f>
        <v>15.2349999999999</v>
      </c>
      <c r="Q57" s="22"/>
      <c r="R57" s="22"/>
      <c r="S57" s="22">
        <f t="shared" si="20"/>
        <v>13.376329999999912</v>
      </c>
      <c r="T57" s="22">
        <f t="shared" si="21"/>
        <v>11.660322659343622</v>
      </c>
    </row>
    <row r="58" spans="1:20" x14ac:dyDescent="0.2">
      <c r="A58" s="5">
        <v>67</v>
      </c>
      <c r="C58" s="5"/>
      <c r="H58" s="21"/>
      <c r="I58" s="5"/>
      <c r="M58" s="5">
        <f>scrimecost*Meta!O55</f>
        <v>731.94</v>
      </c>
      <c r="N58" s="5">
        <f>L58-Grade9!L58</f>
        <v>0</v>
      </c>
      <c r="O58" s="5">
        <f>Grade9!M58-M58</f>
        <v>15.2349999999999</v>
      </c>
      <c r="Q58" s="22"/>
      <c r="R58" s="22"/>
      <c r="S58" s="22">
        <f t="shared" si="20"/>
        <v>13.376329999999912</v>
      </c>
      <c r="T58" s="22">
        <f t="shared" si="21"/>
        <v>11.628974627865901</v>
      </c>
    </row>
    <row r="59" spans="1:20" x14ac:dyDescent="0.2">
      <c r="A59" s="5">
        <v>68</v>
      </c>
      <c r="H59" s="21"/>
      <c r="I59" s="5"/>
      <c r="M59" s="5">
        <f>scrimecost*Meta!O56</f>
        <v>731.94</v>
      </c>
      <c r="N59" s="5">
        <f>L59-Grade9!L59</f>
        <v>0</v>
      </c>
      <c r="O59" s="5">
        <f>Grade9!M59-M59</f>
        <v>15.2349999999999</v>
      </c>
      <c r="Q59" s="22"/>
      <c r="R59" s="22"/>
      <c r="S59" s="22">
        <f t="shared" si="20"/>
        <v>13.376329999999912</v>
      </c>
      <c r="T59" s="22">
        <f t="shared" si="21"/>
        <v>11.597710873565253</v>
      </c>
    </row>
    <row r="60" spans="1:20" x14ac:dyDescent="0.2">
      <c r="A60" s="5">
        <v>69</v>
      </c>
      <c r="H60" s="21"/>
      <c r="I60" s="5"/>
      <c r="M60" s="5">
        <f>scrimecost*Meta!O57</f>
        <v>731.94</v>
      </c>
      <c r="N60" s="5">
        <f>L60-Grade9!L60</f>
        <v>0</v>
      </c>
      <c r="O60" s="5">
        <f>Grade9!M60-M60</f>
        <v>15.2349999999999</v>
      </c>
      <c r="Q60" s="22"/>
      <c r="R60" s="22"/>
      <c r="S60" s="22">
        <f t="shared" si="20"/>
        <v>13.376329999999912</v>
      </c>
      <c r="T60" s="22">
        <f t="shared" si="21"/>
        <v>11.566531169867886</v>
      </c>
    </row>
    <row r="61" spans="1:20" x14ac:dyDescent="0.2">
      <c r="A61" s="5">
        <v>70</v>
      </c>
      <c r="H61" s="21"/>
      <c r="I61" s="5"/>
      <c r="M61" s="5">
        <f>scrimecost*Meta!O58</f>
        <v>731.94</v>
      </c>
      <c r="N61" s="5">
        <f>L61-Grade9!L61</f>
        <v>0</v>
      </c>
      <c r="O61" s="5">
        <f>Grade9!M61-M61</f>
        <v>15.2349999999999</v>
      </c>
      <c r="Q61" s="22"/>
      <c r="R61" s="22"/>
      <c r="S61" s="22">
        <f t="shared" si="20"/>
        <v>13.376329999999912</v>
      </c>
      <c r="T61" s="22">
        <f t="shared" si="21"/>
        <v>11.535435290809126</v>
      </c>
    </row>
    <row r="62" spans="1:20" x14ac:dyDescent="0.2">
      <c r="A62" s="5">
        <v>71</v>
      </c>
      <c r="H62" s="21"/>
      <c r="I62" s="5"/>
      <c r="M62" s="5">
        <f>scrimecost*Meta!O59</f>
        <v>731.94</v>
      </c>
      <c r="N62" s="5">
        <f>L62-Grade9!L62</f>
        <v>0</v>
      </c>
      <c r="O62" s="5">
        <f>Grade9!M62-M62</f>
        <v>15.2349999999999</v>
      </c>
      <c r="Q62" s="22"/>
      <c r="R62" s="22"/>
      <c r="S62" s="22">
        <f t="shared" si="20"/>
        <v>13.376329999999912</v>
      </c>
      <c r="T62" s="22">
        <f t="shared" si="21"/>
        <v>11.504423011031793</v>
      </c>
    </row>
    <row r="63" spans="1:20" x14ac:dyDescent="0.2">
      <c r="A63" s="5">
        <v>72</v>
      </c>
      <c r="H63" s="21"/>
      <c r="M63" s="5">
        <f>scrimecost*Meta!O60</f>
        <v>731.94</v>
      </c>
      <c r="N63" s="5">
        <f>L63-Grade9!L63</f>
        <v>0</v>
      </c>
      <c r="O63" s="5">
        <f>Grade9!M63-M63</f>
        <v>15.2349999999999</v>
      </c>
      <c r="Q63" s="22"/>
      <c r="R63" s="22"/>
      <c r="S63" s="22">
        <f t="shared" si="20"/>
        <v>13.376329999999912</v>
      </c>
      <c r="T63" s="22">
        <f t="shared" si="21"/>
        <v>11.473494105784573</v>
      </c>
    </row>
    <row r="64" spans="1:20" x14ac:dyDescent="0.2">
      <c r="A64" s="5">
        <v>73</v>
      </c>
      <c r="H64" s="21"/>
      <c r="M64" s="5">
        <f>scrimecost*Meta!O61</f>
        <v>731.94</v>
      </c>
      <c r="N64" s="5">
        <f>L64-Grade9!L64</f>
        <v>0</v>
      </c>
      <c r="O64" s="5">
        <f>Grade9!M64-M64</f>
        <v>15.2349999999999</v>
      </c>
      <c r="Q64" s="22"/>
      <c r="R64" s="22"/>
      <c r="S64" s="22">
        <f t="shared" si="20"/>
        <v>13.376329999999912</v>
      </c>
      <c r="T64" s="22">
        <f t="shared" si="21"/>
        <v>11.44264835092037</v>
      </c>
    </row>
    <row r="65" spans="1:20" x14ac:dyDescent="0.2">
      <c r="A65" s="5">
        <v>74</v>
      </c>
      <c r="H65" s="21"/>
      <c r="M65" s="5">
        <f>scrimecost*Meta!O62</f>
        <v>731.94</v>
      </c>
      <c r="N65" s="5">
        <f>L65-Grade9!L65</f>
        <v>0</v>
      </c>
      <c r="O65" s="5">
        <f>Grade9!M65-M65</f>
        <v>15.2349999999999</v>
      </c>
      <c r="Q65" s="22"/>
      <c r="R65" s="22"/>
      <c r="S65" s="22">
        <f t="shared" si="20"/>
        <v>13.376329999999912</v>
      </c>
      <c r="T65" s="22">
        <f t="shared" si="21"/>
        <v>11.411885522894707</v>
      </c>
    </row>
    <row r="66" spans="1:20" x14ac:dyDescent="0.2">
      <c r="A66" s="5">
        <v>75</v>
      </c>
      <c r="H66" s="21"/>
      <c r="M66" s="5">
        <f>scrimecost*Meta!O63</f>
        <v>731.94</v>
      </c>
      <c r="N66" s="5">
        <f>L66-Grade9!L66</f>
        <v>0</v>
      </c>
      <c r="O66" s="5">
        <f>Grade9!M66-M66</f>
        <v>15.2349999999999</v>
      </c>
      <c r="Q66" s="22"/>
      <c r="R66" s="22"/>
      <c r="S66" s="22">
        <f t="shared" si="20"/>
        <v>13.376329999999912</v>
      </c>
      <c r="T66" s="22">
        <f t="shared" si="21"/>
        <v>11.381205398764074</v>
      </c>
    </row>
    <row r="67" spans="1:20" x14ac:dyDescent="0.2">
      <c r="A67" s="5">
        <v>76</v>
      </c>
      <c r="H67" s="21"/>
      <c r="M67" s="5">
        <f>scrimecost*Meta!O64</f>
        <v>731.94</v>
      </c>
      <c r="N67" s="5">
        <f>L67-Grade9!L67</f>
        <v>0</v>
      </c>
      <c r="O67" s="5">
        <f>Grade9!M67-M67</f>
        <v>15.2349999999999</v>
      </c>
      <c r="Q67" s="22"/>
      <c r="R67" s="22"/>
      <c r="S67" s="22">
        <f t="shared" si="20"/>
        <v>13.376329999999912</v>
      </c>
      <c r="T67" s="22">
        <f t="shared" si="21"/>
        <v>11.350607756184349</v>
      </c>
    </row>
    <row r="68" spans="1:20" x14ac:dyDescent="0.2">
      <c r="A68" s="5">
        <v>77</v>
      </c>
      <c r="H68" s="21"/>
      <c r="M68" s="5">
        <f>scrimecost*Meta!O65</f>
        <v>731.94</v>
      </c>
      <c r="N68" s="5">
        <f>L68-Grade9!L68</f>
        <v>0</v>
      </c>
      <c r="O68" s="5">
        <f>Grade9!M68-M68</f>
        <v>15.2349999999999</v>
      </c>
      <c r="Q68" s="22"/>
      <c r="R68" s="22"/>
      <c r="S68" s="22">
        <f t="shared" si="20"/>
        <v>13.376329999999912</v>
      </c>
      <c r="T68" s="22">
        <f t="shared" si="21"/>
        <v>11.320092373409153</v>
      </c>
    </row>
    <row r="69" spans="1:20" x14ac:dyDescent="0.2">
      <c r="A69" s="5">
        <v>78</v>
      </c>
      <c r="H69" s="21"/>
      <c r="M69" s="5">
        <f>scrimecost*Meta!O66</f>
        <v>731.94</v>
      </c>
      <c r="N69" s="5">
        <f>L69-Grade9!L69</f>
        <v>0</v>
      </c>
      <c r="O69" s="5">
        <f>Grade9!M69-M69</f>
        <v>15.2349999999999</v>
      </c>
      <c r="Q69" s="22"/>
      <c r="R69" s="22"/>
      <c r="S69" s="22">
        <f t="shared" si="20"/>
        <v>13.376329999999912</v>
      </c>
      <c r="T69" s="22">
        <f t="shared" si="21"/>
        <v>11.289659029288266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-1.1531042787282786E-10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P8" sqref="P8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Meta!A5+6</f>
        <v>17</v>
      </c>
      <c r="C2" s="7">
        <f>Meta!B5</f>
        <v>30310</v>
      </c>
      <c r="D2" s="7">
        <f>Meta!C5</f>
        <v>13943</v>
      </c>
      <c r="E2" s="1">
        <f>Meta!D5</f>
        <v>9.5000000000000001E-2</v>
      </c>
      <c r="F2" s="1">
        <f>Meta!F5</f>
        <v>0.55900000000000005</v>
      </c>
      <c r="G2" s="1">
        <f>Meta!I5</f>
        <v>1.9210422854781857</v>
      </c>
      <c r="H2" s="1">
        <f>Meta!E5</f>
        <v>0.878</v>
      </c>
      <c r="I2" s="13"/>
      <c r="J2" s="1">
        <f>Meta!X4</f>
        <v>0.54500000000000004</v>
      </c>
      <c r="K2" s="1">
        <f>Meta!D4</f>
        <v>0.1</v>
      </c>
      <c r="L2" s="28"/>
      <c r="N2" s="22">
        <f>Meta!T5</f>
        <v>29641</v>
      </c>
      <c r="O2" s="22">
        <f>Meta!U5</f>
        <v>13635</v>
      </c>
      <c r="P2" s="1">
        <f>Meta!V5</f>
        <v>9.8000000000000004E-2</v>
      </c>
      <c r="Q2" s="1">
        <f>Meta!X5</f>
        <v>0.55100000000000005</v>
      </c>
      <c r="R2" s="22">
        <f>Meta!W5</f>
        <v>13037</v>
      </c>
      <c r="T2" s="12">
        <f>IRR(S5:S69)+1</f>
        <v>0.99970821887503014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5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B7" s="1">
        <v>1</v>
      </c>
      <c r="C7" s="5">
        <f>0.1*Grade10!C7</f>
        <v>1492.1882518406337</v>
      </c>
      <c r="D7" s="5">
        <f t="shared" ref="D7:D36" si="0">IF(A7&lt;startage,1,0)*(C7*(1-initialunempprob))+IF(A7=startage,1,0)*(C7*(1-unempprob))+IF(A7&gt;startage,1,0)*(C7*(1-unempprob)+unempprob*300*52)</f>
        <v>1342.9694266565705</v>
      </c>
      <c r="E7" s="5">
        <f t="shared" ref="E7:E56" si="1">IF(D7-9500&gt;0,1,0)*(D7-9500)</f>
        <v>0</v>
      </c>
      <c r="F7" s="5">
        <f t="shared" ref="F7:F56" si="2">IF(E7&lt;=8500,1,0)*(0.1*E7+0.1*E7+0.0765*D7)+IF(AND(E7&gt;8500,E7&lt;=34500),1,0)*(850+0.15*(E7-8500)+0.1*E7+0.0765*D7)+IF(AND(E7&gt;34500,E7&lt;=83600),1,0)*(4750+0.25*(E7-34500)+0.1*E7+0.0765*D7)+IF(AND(E7&gt;83600,E7&lt;=174400,D7&lt;=106800),1,0)*(17025+0.28*(E7-83600)+0.1*E7+0.0765*D7)+IF(AND(E7&gt;83600,E7&lt;=174400,D7&gt;106800),1,0)*(17025+0.28*(E7-83600)+0.1*E7+8170.2+0.0145*(D7-106800))+IF(AND(E7&gt;174400,E7&lt;=379150),1,0)*(42449+0.33*(E7-174400)+0.1*E7+8170.2+0.0145*(D7-106800))+IF(E7&gt;379150,1,0)*(110016.5+0.35*(E7-379150)+0.1*E7+8170.2+0.0145*(D7-106800))</f>
        <v>102.73716113922764</v>
      </c>
      <c r="G7" s="5">
        <f t="shared" ref="G7:G56" si="3">D7-F7</f>
        <v>1240.2322655173427</v>
      </c>
      <c r="H7" s="22">
        <f>0.1*Grade10!H7</f>
        <v>686.41787970931841</v>
      </c>
      <c r="I7" s="5">
        <f t="shared" ref="I7:I36" si="4">G7+IF(A7&lt;startage,1,0)*(H7*(1-initialunempprob))+IF(A7&gt;=startage,1,0)*(H7*(1-unempprob))</f>
        <v>1858.0083572557294</v>
      </c>
      <c r="J7" s="25">
        <f t="shared" ref="J7:J38" si="5">(F7-(IF(A7&gt;startage,1,0)*(unempprob*300*52)))/(IF(A7&lt;startage,1,0)*((C7+H7)*(1-initialunempprob))+IF(A7&gt;=startage,1,0)*((C7+H7)*(1-unempprob)))</f>
        <v>5.2396988887842555E-2</v>
      </c>
      <c r="L7" s="22">
        <f>0.1*Grade10!L7</f>
        <v>1960.7455183949569</v>
      </c>
      <c r="M7" s="5">
        <f>scrimecost*Meta!O4</f>
        <v>30610.875999999997</v>
      </c>
      <c r="N7" s="5">
        <f>L7-Grade10!L7</f>
        <v>-17646.709665554612</v>
      </c>
      <c r="O7" s="5"/>
      <c r="P7" s="22"/>
      <c r="Q7" s="22">
        <f>0.05*feel*Grade10!G7</f>
        <v>162.62937322604401</v>
      </c>
      <c r="R7" s="22">
        <f>hstuition</f>
        <v>11298</v>
      </c>
      <c r="S7" s="22">
        <f t="shared" ref="S7:S38" si="6">IF(A7&lt;startage,1,0)*(N7-Q7-R7)+IF(A7&gt;=startage,1,0)*completionprob*(N7*spart+O7+P7)</f>
        <v>-29107.339038780658</v>
      </c>
      <c r="T7" s="22">
        <f t="shared" ref="T7:T38" si="7">S7/sreturn^(A7-startage+1)</f>
        <v>-29107.339038780658</v>
      </c>
    </row>
    <row r="8" spans="1:20" x14ac:dyDescent="0.2">
      <c r="A8" s="5">
        <v>17</v>
      </c>
      <c r="B8" s="1">
        <f t="shared" ref="B8:B36" si="8">(1+experiencepremium)^(A8-startage)</f>
        <v>1</v>
      </c>
      <c r="C8" s="5">
        <f t="shared" ref="C8:C36" si="9">pretaxincome*B8/expnorm</f>
        <v>15777.893193254326</v>
      </c>
      <c r="D8" s="5">
        <f t="shared" si="0"/>
        <v>14278.993339895165</v>
      </c>
      <c r="E8" s="5">
        <f t="shared" si="1"/>
        <v>4778.9933398951653</v>
      </c>
      <c r="F8" s="5">
        <f t="shared" si="2"/>
        <v>2048.1416584810131</v>
      </c>
      <c r="G8" s="5">
        <f t="shared" si="3"/>
        <v>12230.851681414151</v>
      </c>
      <c r="H8" s="22">
        <f t="shared" ref="H8:H36" si="10">benefits*B8/expnorm</f>
        <v>7258.0390891964726</v>
      </c>
      <c r="I8" s="5">
        <f t="shared" si="4"/>
        <v>18799.377057136961</v>
      </c>
      <c r="J8" s="25">
        <f t="shared" si="5"/>
        <v>9.8243905493973355E-2</v>
      </c>
      <c r="L8" s="22">
        <f t="shared" ref="L8:L36" si="11">(sincome+sbenefits)*(1-sunemp)*B8/expnorm</f>
        <v>20319.673489271176</v>
      </c>
      <c r="M8" s="5">
        <f>scrimecost*Meta!O5</f>
        <v>35356.344000000005</v>
      </c>
      <c r="N8" s="5">
        <f>L8-Grade10!L8</f>
        <v>222.03192572286935</v>
      </c>
      <c r="O8" s="5">
        <f>Grade10!M8-M8</f>
        <v>734.9519999999975</v>
      </c>
      <c r="P8" s="22">
        <f t="shared" ref="P8:P39" si="12">(spart-initialspart)*(L8*J8+nptrans)</f>
        <v>51.301704491690167</v>
      </c>
      <c r="Q8" s="22"/>
      <c r="R8" s="22"/>
      <c r="S8" s="22">
        <f t="shared" si="6"/>
        <v>797.74491350606013</v>
      </c>
      <c r="T8" s="22">
        <f t="shared" si="7"/>
        <v>797.97774835117491</v>
      </c>
    </row>
    <row r="9" spans="1:20" x14ac:dyDescent="0.2">
      <c r="A9" s="5">
        <v>18</v>
      </c>
      <c r="B9" s="1">
        <f t="shared" si="8"/>
        <v>1.0249999999999999</v>
      </c>
      <c r="C9" s="5">
        <f t="shared" si="9"/>
        <v>16172.340523085682</v>
      </c>
      <c r="D9" s="5">
        <f t="shared" si="0"/>
        <v>16117.968173392543</v>
      </c>
      <c r="E9" s="5">
        <f t="shared" si="1"/>
        <v>6617.9681733925427</v>
      </c>
      <c r="F9" s="5">
        <f t="shared" si="2"/>
        <v>2556.6181999430382</v>
      </c>
      <c r="G9" s="5">
        <f t="shared" si="3"/>
        <v>13561.349973449505</v>
      </c>
      <c r="H9" s="22">
        <f t="shared" si="10"/>
        <v>7439.4900664263832</v>
      </c>
      <c r="I9" s="5">
        <f t="shared" si="4"/>
        <v>20294.088483565381</v>
      </c>
      <c r="J9" s="25">
        <f t="shared" si="5"/>
        <v>5.0289342067313274E-2</v>
      </c>
      <c r="L9" s="22">
        <f t="shared" si="11"/>
        <v>20827.665326502953</v>
      </c>
      <c r="M9" s="5">
        <f>scrimecost*Meta!O6</f>
        <v>42969.951999999997</v>
      </c>
      <c r="N9" s="5">
        <f>L9-Grade10!L9</f>
        <v>227.58272386594035</v>
      </c>
      <c r="O9" s="5">
        <f>Grade10!M9-M9</f>
        <v>893.21600000000035</v>
      </c>
      <c r="P9" s="22">
        <f t="shared" si="12"/>
        <v>45.608457516408201</v>
      </c>
      <c r="Q9" s="22"/>
      <c r="R9" s="22"/>
      <c r="S9" s="22">
        <f t="shared" si="6"/>
        <v>934.38738868582368</v>
      </c>
      <c r="T9" s="22">
        <f t="shared" si="7"/>
        <v>934.93290063620395</v>
      </c>
    </row>
    <row r="10" spans="1:20" x14ac:dyDescent="0.2">
      <c r="A10" s="5">
        <v>19</v>
      </c>
      <c r="B10" s="1">
        <f t="shared" si="8"/>
        <v>1.0506249999999999</v>
      </c>
      <c r="C10" s="5">
        <f t="shared" si="9"/>
        <v>16576.649036162828</v>
      </c>
      <c r="D10" s="5">
        <f t="shared" si="0"/>
        <v>16483.867377727358</v>
      </c>
      <c r="E10" s="5">
        <f t="shared" si="1"/>
        <v>6983.867377727358</v>
      </c>
      <c r="F10" s="5">
        <f t="shared" si="2"/>
        <v>2657.7893299416146</v>
      </c>
      <c r="G10" s="5">
        <f t="shared" si="3"/>
        <v>13826.078047785744</v>
      </c>
      <c r="H10" s="22">
        <f t="shared" si="10"/>
        <v>7625.4773180870434</v>
      </c>
      <c r="I10" s="5">
        <f t="shared" si="4"/>
        <v>20727.135020654518</v>
      </c>
      <c r="J10" s="25">
        <f t="shared" si="5"/>
        <v>5.3681842256356652E-2</v>
      </c>
      <c r="L10" s="22">
        <f t="shared" si="11"/>
        <v>21348.356959665529</v>
      </c>
      <c r="M10" s="5">
        <f>scrimecost*Meta!O7</f>
        <v>45929.351000000002</v>
      </c>
      <c r="N10" s="5">
        <f>L10-Grade10!L10</f>
        <v>233.27229196259213</v>
      </c>
      <c r="O10" s="5">
        <f>Grade10!M10-M10</f>
        <v>954.73300000000017</v>
      </c>
      <c r="P10" s="22">
        <f t="shared" si="12"/>
        <v>46.200114784446995</v>
      </c>
      <c r="Q10" s="22"/>
      <c r="R10" s="22"/>
      <c r="S10" s="22">
        <f t="shared" si="6"/>
        <v>991.67127764182339</v>
      </c>
      <c r="T10" s="22">
        <f t="shared" si="7"/>
        <v>992.53983733413907</v>
      </c>
    </row>
    <row r="11" spans="1:20" x14ac:dyDescent="0.2">
      <c r="A11" s="5">
        <v>20</v>
      </c>
      <c r="B11" s="1">
        <f t="shared" si="8"/>
        <v>1.0768906249999999</v>
      </c>
      <c r="C11" s="5">
        <f t="shared" si="9"/>
        <v>16991.065262066895</v>
      </c>
      <c r="D11" s="5">
        <f t="shared" si="0"/>
        <v>16858.914062170541</v>
      </c>
      <c r="E11" s="5">
        <f t="shared" si="1"/>
        <v>7358.914062170541</v>
      </c>
      <c r="F11" s="5">
        <f t="shared" si="2"/>
        <v>2761.4897381901546</v>
      </c>
      <c r="G11" s="5">
        <f t="shared" si="3"/>
        <v>14097.424323980387</v>
      </c>
      <c r="H11" s="22">
        <f t="shared" si="10"/>
        <v>7816.1142510392192</v>
      </c>
      <c r="I11" s="5">
        <f t="shared" si="4"/>
        <v>21171.007721170881</v>
      </c>
      <c r="J11" s="25">
        <f t="shared" si="5"/>
        <v>5.6991598538350174E-2</v>
      </c>
      <c r="L11" s="22">
        <f t="shared" si="11"/>
        <v>21882.065883657164</v>
      </c>
      <c r="M11" s="5">
        <f>scrimecost*Meta!O8</f>
        <v>43986.838000000003</v>
      </c>
      <c r="N11" s="5">
        <f>L11-Grade10!L11</f>
        <v>239.10409926165448</v>
      </c>
      <c r="O11" s="5">
        <f>Grade10!M11-M11</f>
        <v>914.35399999999936</v>
      </c>
      <c r="P11" s="22">
        <f t="shared" si="12"/>
        <v>46.806563484186753</v>
      </c>
      <c r="Q11" s="22"/>
      <c r="R11" s="22"/>
      <c r="S11" s="22">
        <f t="shared" si="6"/>
        <v>959.57227767172014</v>
      </c>
      <c r="T11" s="22">
        <f t="shared" si="7"/>
        <v>960.69303540698934</v>
      </c>
    </row>
    <row r="12" spans="1:20" x14ac:dyDescent="0.2">
      <c r="A12" s="5">
        <v>21</v>
      </c>
      <c r="B12" s="1">
        <f t="shared" si="8"/>
        <v>1.1038128906249998</v>
      </c>
      <c r="C12" s="5">
        <f t="shared" si="9"/>
        <v>17415.841893618566</v>
      </c>
      <c r="D12" s="5">
        <f t="shared" si="0"/>
        <v>17243.336913724801</v>
      </c>
      <c r="E12" s="5">
        <f t="shared" si="1"/>
        <v>7743.336913724801</v>
      </c>
      <c r="F12" s="5">
        <f t="shared" si="2"/>
        <v>2867.7826566449075</v>
      </c>
      <c r="G12" s="5">
        <f t="shared" si="3"/>
        <v>14375.554257079893</v>
      </c>
      <c r="H12" s="22">
        <f t="shared" si="10"/>
        <v>8011.5171073151978</v>
      </c>
      <c r="I12" s="5">
        <f t="shared" si="4"/>
        <v>21625.977239200147</v>
      </c>
      <c r="J12" s="25">
        <f t="shared" si="5"/>
        <v>6.0220629057368219E-2</v>
      </c>
      <c r="L12" s="22">
        <f t="shared" si="11"/>
        <v>22429.11753074859</v>
      </c>
      <c r="M12" s="5">
        <f>scrimecost*Meta!O9</f>
        <v>39945.368000000002</v>
      </c>
      <c r="N12" s="5">
        <f>L12-Grade10!L12</f>
        <v>245.08170174319821</v>
      </c>
      <c r="O12" s="5">
        <f>Grade10!M12-M12</f>
        <v>830.34399999999732</v>
      </c>
      <c r="P12" s="22">
        <f t="shared" si="12"/>
        <v>47.42817340141999</v>
      </c>
      <c r="Q12" s="22"/>
      <c r="R12" s="22"/>
      <c r="S12" s="22">
        <f t="shared" si="6"/>
        <v>889.24910375236539</v>
      </c>
      <c r="T12" s="22">
        <f t="shared" si="7"/>
        <v>890.54757065499734</v>
      </c>
    </row>
    <row r="13" spans="1:20" x14ac:dyDescent="0.2">
      <c r="A13" s="5">
        <v>22</v>
      </c>
      <c r="B13" s="1">
        <f t="shared" si="8"/>
        <v>1.1314082128906247</v>
      </c>
      <c r="C13" s="5">
        <f t="shared" si="9"/>
        <v>17851.237940959028</v>
      </c>
      <c r="D13" s="5">
        <f t="shared" si="0"/>
        <v>17637.370336567921</v>
      </c>
      <c r="E13" s="5">
        <f t="shared" si="1"/>
        <v>8137.3703365679212</v>
      </c>
      <c r="F13" s="5">
        <f t="shared" si="2"/>
        <v>2976.73289806103</v>
      </c>
      <c r="G13" s="5">
        <f t="shared" si="3"/>
        <v>14660.637438506892</v>
      </c>
      <c r="H13" s="22">
        <f t="shared" si="10"/>
        <v>8211.8050349980786</v>
      </c>
      <c r="I13" s="5">
        <f t="shared" si="4"/>
        <v>22092.320995180155</v>
      </c>
      <c r="J13" s="25">
        <f t="shared" si="5"/>
        <v>6.3370902734459028E-2</v>
      </c>
      <c r="L13" s="22">
        <f t="shared" si="11"/>
        <v>22989.845469017306</v>
      </c>
      <c r="M13" s="5">
        <f>scrimecost*Meta!O10</f>
        <v>36607.896000000001</v>
      </c>
      <c r="N13" s="5">
        <f>L13-Grade10!L13</f>
        <v>251.2087442867778</v>
      </c>
      <c r="O13" s="5">
        <f>Grade10!M13-M13</f>
        <v>760.96799999999348</v>
      </c>
      <c r="P13" s="22">
        <f t="shared" si="12"/>
        <v>48.065323566584077</v>
      </c>
      <c r="Q13" s="22"/>
      <c r="R13" s="22"/>
      <c r="S13" s="22">
        <f t="shared" si="6"/>
        <v>831.86052198502398</v>
      </c>
      <c r="T13" s="22">
        <f t="shared" si="7"/>
        <v>833.31833758727953</v>
      </c>
    </row>
    <row r="14" spans="1:20" x14ac:dyDescent="0.2">
      <c r="A14" s="5">
        <v>23</v>
      </c>
      <c r="B14" s="1">
        <f t="shared" si="8"/>
        <v>1.1596934182128902</v>
      </c>
      <c r="C14" s="5">
        <f t="shared" si="9"/>
        <v>18297.518889483003</v>
      </c>
      <c r="D14" s="5">
        <f t="shared" si="0"/>
        <v>18041.254594982118</v>
      </c>
      <c r="E14" s="5">
        <f t="shared" si="1"/>
        <v>8541.2545949821179</v>
      </c>
      <c r="F14" s="5">
        <f t="shared" si="2"/>
        <v>3090.4696252616613</v>
      </c>
      <c r="G14" s="5">
        <f t="shared" si="3"/>
        <v>14950.784969720457</v>
      </c>
      <c r="H14" s="22">
        <f t="shared" si="10"/>
        <v>8417.1001608730294</v>
      </c>
      <c r="I14" s="5">
        <f t="shared" si="4"/>
        <v>22568.260615310548</v>
      </c>
      <c r="J14" s="25">
        <f t="shared" si="5"/>
        <v>6.6529659273875094E-2</v>
      </c>
      <c r="L14" s="22">
        <f t="shared" si="11"/>
        <v>23564.591605742735</v>
      </c>
      <c r="M14" s="5">
        <f>scrimecost*Meta!O11</f>
        <v>34209.088000000003</v>
      </c>
      <c r="N14" s="5">
        <f>L14-Grade10!L14</f>
        <v>257.48896289394543</v>
      </c>
      <c r="O14" s="5">
        <f>Grade10!M14-M14</f>
        <v>711.10399999999936</v>
      </c>
      <c r="P14" s="22">
        <f t="shared" si="12"/>
        <v>48.73046550274853</v>
      </c>
      <c r="Q14" s="22"/>
      <c r="R14" s="22"/>
      <c r="S14" s="22">
        <f t="shared" si="6"/>
        <v>791.70215620231988</v>
      </c>
      <c r="T14" s="22">
        <f t="shared" si="7"/>
        <v>793.3210713468992</v>
      </c>
    </row>
    <row r="15" spans="1:20" x14ac:dyDescent="0.2">
      <c r="A15" s="5">
        <v>24</v>
      </c>
      <c r="B15" s="1">
        <f t="shared" si="8"/>
        <v>1.1886857536682125</v>
      </c>
      <c r="C15" s="5">
        <f t="shared" si="9"/>
        <v>18754.956861720078</v>
      </c>
      <c r="D15" s="5">
        <f t="shared" si="0"/>
        <v>18455.235959856673</v>
      </c>
      <c r="E15" s="5">
        <f t="shared" si="1"/>
        <v>8955.2359598566727</v>
      </c>
      <c r="F15" s="5">
        <f t="shared" si="2"/>
        <v>3225.6345408932038</v>
      </c>
      <c r="G15" s="5">
        <f t="shared" si="3"/>
        <v>15229.60141896347</v>
      </c>
      <c r="H15" s="22">
        <f t="shared" si="10"/>
        <v>8627.5276648948548</v>
      </c>
      <c r="I15" s="5">
        <f t="shared" si="4"/>
        <v>23037.513955693314</v>
      </c>
      <c r="J15" s="25">
        <f t="shared" si="5"/>
        <v>7.0361328940560644E-2</v>
      </c>
      <c r="L15" s="22">
        <f t="shared" si="11"/>
        <v>24153.706395886304</v>
      </c>
      <c r="M15" s="5">
        <f>scrimecost*Meta!O12</f>
        <v>32683.759000000002</v>
      </c>
      <c r="N15" s="5">
        <f>L15-Grade10!L15</f>
        <v>263.92618696629143</v>
      </c>
      <c r="O15" s="5">
        <f>Grade10!M15-M15</f>
        <v>679.39700000000084</v>
      </c>
      <c r="P15" s="22">
        <f t="shared" si="12"/>
        <v>49.520921285128125</v>
      </c>
      <c r="Q15" s="22"/>
      <c r="R15" s="22"/>
      <c r="S15" s="22">
        <f t="shared" si="6"/>
        <v>767.67161776652176</v>
      </c>
      <c r="T15" s="22">
        <f t="shared" si="7"/>
        <v>769.46590960254071</v>
      </c>
    </row>
    <row r="16" spans="1:20" x14ac:dyDescent="0.2">
      <c r="A16" s="5">
        <v>25</v>
      </c>
      <c r="B16" s="1">
        <f t="shared" si="8"/>
        <v>1.2184028975099177</v>
      </c>
      <c r="C16" s="5">
        <f t="shared" si="9"/>
        <v>19223.830783263082</v>
      </c>
      <c r="D16" s="5">
        <f t="shared" si="0"/>
        <v>18879.56685885309</v>
      </c>
      <c r="E16" s="5">
        <f t="shared" si="1"/>
        <v>9379.5668588530898</v>
      </c>
      <c r="F16" s="5">
        <f t="shared" si="2"/>
        <v>3364.1785794155339</v>
      </c>
      <c r="G16" s="5">
        <f t="shared" si="3"/>
        <v>15515.388279437557</v>
      </c>
      <c r="H16" s="22">
        <f t="shared" si="10"/>
        <v>8843.2158565172249</v>
      </c>
      <c r="I16" s="5">
        <f t="shared" si="4"/>
        <v>23518.498629585643</v>
      </c>
      <c r="J16" s="25">
        <f t="shared" si="5"/>
        <v>7.4099543249522129E-2</v>
      </c>
      <c r="L16" s="22">
        <f t="shared" si="11"/>
        <v>24757.549055783456</v>
      </c>
      <c r="M16" s="5">
        <f>scrimecost*Meta!O13</f>
        <v>27442.884999999998</v>
      </c>
      <c r="N16" s="5">
        <f>L16-Grade10!L16</f>
        <v>270.52434164044826</v>
      </c>
      <c r="O16" s="5">
        <f>Grade10!M16-M16</f>
        <v>570.45500000000175</v>
      </c>
      <c r="P16" s="22">
        <f t="shared" si="12"/>
        <v>50.331138462067194</v>
      </c>
      <c r="Q16" s="22"/>
      <c r="R16" s="22"/>
      <c r="S16" s="22">
        <f t="shared" si="6"/>
        <v>675.92395451982929</v>
      </c>
      <c r="T16" s="22">
        <f t="shared" si="7"/>
        <v>677.70154351194162</v>
      </c>
    </row>
    <row r="17" spans="1:20" x14ac:dyDescent="0.2">
      <c r="A17" s="5">
        <v>26</v>
      </c>
      <c r="B17" s="1">
        <f t="shared" si="8"/>
        <v>1.2488629699476654</v>
      </c>
      <c r="C17" s="5">
        <f t="shared" si="9"/>
        <v>19704.426552844652</v>
      </c>
      <c r="D17" s="5">
        <f t="shared" si="0"/>
        <v>19314.50603032441</v>
      </c>
      <c r="E17" s="5">
        <f t="shared" si="1"/>
        <v>9814.5060303244099</v>
      </c>
      <c r="F17" s="5">
        <f t="shared" si="2"/>
        <v>3506.1862189009198</v>
      </c>
      <c r="G17" s="5">
        <f t="shared" si="3"/>
        <v>15808.319811423491</v>
      </c>
      <c r="H17" s="22">
        <f t="shared" si="10"/>
        <v>9064.2962529301549</v>
      </c>
      <c r="I17" s="5">
        <f t="shared" si="4"/>
        <v>24011.507920325283</v>
      </c>
      <c r="J17" s="25">
        <f t="shared" si="5"/>
        <v>7.7746581599728373E-2</v>
      </c>
      <c r="L17" s="22">
        <f t="shared" si="11"/>
        <v>25376.487782178043</v>
      </c>
      <c r="M17" s="5">
        <f>scrimecost*Meta!O14</f>
        <v>27442.884999999998</v>
      </c>
      <c r="N17" s="5">
        <f>L17-Grade10!L17</f>
        <v>277.28745018146219</v>
      </c>
      <c r="O17" s="5">
        <f>Grade10!M17-M17</f>
        <v>570.45500000000175</v>
      </c>
      <c r="P17" s="22">
        <f t="shared" si="12"/>
        <v>51.161611068429735</v>
      </c>
      <c r="Q17" s="22"/>
      <c r="R17" s="22"/>
      <c r="S17" s="22">
        <f t="shared" si="6"/>
        <v>679.92495259197028</v>
      </c>
      <c r="T17" s="22">
        <f t="shared" si="7"/>
        <v>681.91203273034751</v>
      </c>
    </row>
    <row r="18" spans="1:20" x14ac:dyDescent="0.2">
      <c r="A18" s="5">
        <v>27</v>
      </c>
      <c r="B18" s="1">
        <f t="shared" si="8"/>
        <v>1.2800845441963571</v>
      </c>
      <c r="C18" s="5">
        <f t="shared" si="9"/>
        <v>20197.037216665769</v>
      </c>
      <c r="D18" s="5">
        <f t="shared" si="0"/>
        <v>19760.318681082521</v>
      </c>
      <c r="E18" s="5">
        <f t="shared" si="1"/>
        <v>10260.318681082521</v>
      </c>
      <c r="F18" s="5">
        <f t="shared" si="2"/>
        <v>3651.744049373443</v>
      </c>
      <c r="G18" s="5">
        <f t="shared" si="3"/>
        <v>16108.574631709078</v>
      </c>
      <c r="H18" s="22">
        <f t="shared" si="10"/>
        <v>9290.9036592534085</v>
      </c>
      <c r="I18" s="5">
        <f t="shared" si="4"/>
        <v>24516.842443333415</v>
      </c>
      <c r="J18" s="25">
        <f t="shared" si="5"/>
        <v>8.1304667795051619E-2</v>
      </c>
      <c r="L18" s="22">
        <f t="shared" si="11"/>
        <v>26010.899976732493</v>
      </c>
      <c r="M18" s="5">
        <f>scrimecost*Meta!O15</f>
        <v>27442.884999999998</v>
      </c>
      <c r="N18" s="5">
        <f>L18-Grade10!L18</f>
        <v>284.21963643599884</v>
      </c>
      <c r="O18" s="5">
        <f>Grade10!M18-M18</f>
        <v>570.45500000000175</v>
      </c>
      <c r="P18" s="22">
        <f t="shared" si="12"/>
        <v>52.012845489951353</v>
      </c>
      <c r="Q18" s="22"/>
      <c r="R18" s="22"/>
      <c r="S18" s="22">
        <f t="shared" si="6"/>
        <v>684.02597561591347</v>
      </c>
      <c r="T18" s="22">
        <f t="shared" si="7"/>
        <v>686.22526857169441</v>
      </c>
    </row>
    <row r="19" spans="1:20" x14ac:dyDescent="0.2">
      <c r="A19" s="5">
        <v>28</v>
      </c>
      <c r="B19" s="1">
        <f t="shared" si="8"/>
        <v>1.312086657801266</v>
      </c>
      <c r="C19" s="5">
        <f t="shared" si="9"/>
        <v>20701.963147082413</v>
      </c>
      <c r="D19" s="5">
        <f t="shared" si="0"/>
        <v>20217.276648109586</v>
      </c>
      <c r="E19" s="5">
        <f t="shared" si="1"/>
        <v>10717.276648109586</v>
      </c>
      <c r="F19" s="5">
        <f t="shared" si="2"/>
        <v>3800.9408256077795</v>
      </c>
      <c r="G19" s="5">
        <f t="shared" si="3"/>
        <v>16416.335822501806</v>
      </c>
      <c r="H19" s="22">
        <f t="shared" si="10"/>
        <v>9523.176250734743</v>
      </c>
      <c r="I19" s="5">
        <f t="shared" si="4"/>
        <v>25034.810329416749</v>
      </c>
      <c r="J19" s="25">
        <f t="shared" si="5"/>
        <v>8.4775971400245065E-2</v>
      </c>
      <c r="L19" s="22">
        <f t="shared" si="11"/>
        <v>26661.172476150805</v>
      </c>
      <c r="M19" s="5">
        <f>scrimecost*Meta!O16</f>
        <v>27442.884999999998</v>
      </c>
      <c r="N19" s="5">
        <f>L19-Grade10!L19</f>
        <v>291.32512734689954</v>
      </c>
      <c r="O19" s="5">
        <f>Grade10!M19-M19</f>
        <v>570.45500000000175</v>
      </c>
      <c r="P19" s="22">
        <f t="shared" si="12"/>
        <v>52.885360772011019</v>
      </c>
      <c r="Q19" s="22"/>
      <c r="R19" s="22"/>
      <c r="S19" s="22">
        <f t="shared" si="6"/>
        <v>688.22952421545563</v>
      </c>
      <c r="T19" s="22">
        <f t="shared" si="7"/>
        <v>690.64384933767758</v>
      </c>
    </row>
    <row r="20" spans="1:20" x14ac:dyDescent="0.2">
      <c r="A20" s="5">
        <v>29</v>
      </c>
      <c r="B20" s="1">
        <f t="shared" si="8"/>
        <v>1.3448888242462975</v>
      </c>
      <c r="C20" s="5">
        <f t="shared" si="9"/>
        <v>21219.51222575947</v>
      </c>
      <c r="D20" s="5">
        <f t="shared" si="0"/>
        <v>20685.658564312322</v>
      </c>
      <c r="E20" s="5">
        <f t="shared" si="1"/>
        <v>11185.658564312322</v>
      </c>
      <c r="F20" s="5">
        <f t="shared" si="2"/>
        <v>3953.8675212479729</v>
      </c>
      <c r="G20" s="5">
        <f t="shared" si="3"/>
        <v>16731.79104306435</v>
      </c>
      <c r="H20" s="22">
        <f t="shared" si="10"/>
        <v>9761.2556570031102</v>
      </c>
      <c r="I20" s="5">
        <f t="shared" si="4"/>
        <v>25565.727412652166</v>
      </c>
      <c r="J20" s="25">
        <f t="shared" si="5"/>
        <v>8.816260906384836E-2</v>
      </c>
      <c r="L20" s="22">
        <f t="shared" si="11"/>
        <v>27327.701788054572</v>
      </c>
      <c r="M20" s="5">
        <f>scrimecost*Meta!O17</f>
        <v>27442.884999999998</v>
      </c>
      <c r="N20" s="5">
        <f>L20-Grade10!L20</f>
        <v>298.60825553056929</v>
      </c>
      <c r="O20" s="5">
        <f>Grade10!M20-M20</f>
        <v>570.45500000000175</v>
      </c>
      <c r="P20" s="22">
        <f t="shared" si="12"/>
        <v>53.779688936122156</v>
      </c>
      <c r="Q20" s="22"/>
      <c r="R20" s="22"/>
      <c r="S20" s="22">
        <f t="shared" si="6"/>
        <v>692.53816152998456</v>
      </c>
      <c r="T20" s="22">
        <f t="shared" si="7"/>
        <v>695.1704390645242</v>
      </c>
    </row>
    <row r="21" spans="1:20" x14ac:dyDescent="0.2">
      <c r="A21" s="5">
        <v>30</v>
      </c>
      <c r="B21" s="1">
        <f t="shared" si="8"/>
        <v>1.3785110448524549</v>
      </c>
      <c r="C21" s="5">
        <f t="shared" si="9"/>
        <v>21750.000031403455</v>
      </c>
      <c r="D21" s="5">
        <f t="shared" si="0"/>
        <v>21165.750028420127</v>
      </c>
      <c r="E21" s="5">
        <f t="shared" si="1"/>
        <v>11665.750028420127</v>
      </c>
      <c r="F21" s="5">
        <f t="shared" si="2"/>
        <v>4110.6173842791713</v>
      </c>
      <c r="G21" s="5">
        <f t="shared" si="3"/>
        <v>17055.132644140955</v>
      </c>
      <c r="H21" s="22">
        <f t="shared" si="10"/>
        <v>10005.287048428188</v>
      </c>
      <c r="I21" s="5">
        <f t="shared" si="4"/>
        <v>26109.917422968465</v>
      </c>
      <c r="J21" s="25">
        <f t="shared" si="5"/>
        <v>9.1466645808827185E-2</v>
      </c>
      <c r="L21" s="22">
        <f t="shared" si="11"/>
        <v>28010.894332755935</v>
      </c>
      <c r="M21" s="5">
        <f>scrimecost*Meta!O18</f>
        <v>22123.789000000001</v>
      </c>
      <c r="N21" s="5">
        <f>L21-Grade10!L21</f>
        <v>306.07346191883698</v>
      </c>
      <c r="O21" s="5">
        <f>Grade10!M21-M21</f>
        <v>459.88699999999881</v>
      </c>
      <c r="P21" s="22">
        <f t="shared" si="12"/>
        <v>54.69637530433608</v>
      </c>
      <c r="Q21" s="22"/>
      <c r="R21" s="22"/>
      <c r="S21" s="22">
        <f t="shared" si="6"/>
        <v>599.87581077737718</v>
      </c>
      <c r="T21" s="22">
        <f t="shared" si="7"/>
        <v>602.3316357493876</v>
      </c>
    </row>
    <row r="22" spans="1:20" x14ac:dyDescent="0.2">
      <c r="A22" s="5">
        <v>31</v>
      </c>
      <c r="B22" s="1">
        <f t="shared" si="8"/>
        <v>1.4129738209737661</v>
      </c>
      <c r="C22" s="5">
        <f t="shared" si="9"/>
        <v>22293.750032188542</v>
      </c>
      <c r="D22" s="5">
        <f t="shared" si="0"/>
        <v>21657.843779130631</v>
      </c>
      <c r="E22" s="5">
        <f t="shared" si="1"/>
        <v>12157.843779130631</v>
      </c>
      <c r="F22" s="5">
        <f t="shared" si="2"/>
        <v>4271.2859938861511</v>
      </c>
      <c r="G22" s="5">
        <f t="shared" si="3"/>
        <v>17386.55778524448</v>
      </c>
      <c r="H22" s="22">
        <f t="shared" si="10"/>
        <v>10255.419224638894</v>
      </c>
      <c r="I22" s="5">
        <f t="shared" si="4"/>
        <v>26667.712183542681</v>
      </c>
      <c r="J22" s="25">
        <f t="shared" si="5"/>
        <v>9.4690096291733389E-2</v>
      </c>
      <c r="L22" s="22">
        <f t="shared" si="11"/>
        <v>28711.166691074828</v>
      </c>
      <c r="M22" s="5">
        <f>scrimecost*Meta!O19</f>
        <v>22123.789000000001</v>
      </c>
      <c r="N22" s="5">
        <f>L22-Grade10!L22</f>
        <v>313.72529846679754</v>
      </c>
      <c r="O22" s="5">
        <f>Grade10!M22-M22</f>
        <v>459.88699999999881</v>
      </c>
      <c r="P22" s="22">
        <f t="shared" si="12"/>
        <v>55.635978831755345</v>
      </c>
      <c r="Q22" s="22"/>
      <c r="R22" s="22"/>
      <c r="S22" s="22">
        <f t="shared" si="6"/>
        <v>604.40257285595055</v>
      </c>
      <c r="T22" s="22">
        <f t="shared" si="7"/>
        <v>607.05405680496835</v>
      </c>
    </row>
    <row r="23" spans="1:20" x14ac:dyDescent="0.2">
      <c r="A23" s="5">
        <v>32</v>
      </c>
      <c r="B23" s="1">
        <f t="shared" si="8"/>
        <v>1.4482981664981105</v>
      </c>
      <c r="C23" s="5">
        <f t="shared" si="9"/>
        <v>22851.093782993259</v>
      </c>
      <c r="D23" s="5">
        <f t="shared" si="0"/>
        <v>22162.239873608902</v>
      </c>
      <c r="E23" s="5">
        <f t="shared" si="1"/>
        <v>12662.239873608902</v>
      </c>
      <c r="F23" s="5">
        <f t="shared" si="2"/>
        <v>4435.9713187333064</v>
      </c>
      <c r="G23" s="5">
        <f t="shared" si="3"/>
        <v>17726.268554875594</v>
      </c>
      <c r="H23" s="22">
        <f t="shared" si="10"/>
        <v>10511.804705254868</v>
      </c>
      <c r="I23" s="5">
        <f t="shared" si="4"/>
        <v>27239.451813131251</v>
      </c>
      <c r="J23" s="25">
        <f t="shared" si="5"/>
        <v>9.783492603115411E-2</v>
      </c>
      <c r="L23" s="22">
        <f t="shared" si="11"/>
        <v>29428.945858351704</v>
      </c>
      <c r="M23" s="5">
        <f>scrimecost*Meta!O20</f>
        <v>22123.789000000001</v>
      </c>
      <c r="N23" s="5">
        <f>L23-Grade10!L23</f>
        <v>321.56843092847703</v>
      </c>
      <c r="O23" s="5">
        <f>Grade10!M23-M23</f>
        <v>459.88699999999881</v>
      </c>
      <c r="P23" s="22">
        <f t="shared" si="12"/>
        <v>56.599072447360122</v>
      </c>
      <c r="Q23" s="22"/>
      <c r="R23" s="22"/>
      <c r="S23" s="22">
        <f t="shared" si="6"/>
        <v>609.04250398649788</v>
      </c>
      <c r="T23" s="22">
        <f t="shared" si="7"/>
        <v>611.89288187545321</v>
      </c>
    </row>
    <row r="24" spans="1:20" x14ac:dyDescent="0.2">
      <c r="A24" s="5">
        <v>33</v>
      </c>
      <c r="B24" s="1">
        <f t="shared" si="8"/>
        <v>1.4845056206605631</v>
      </c>
      <c r="C24" s="5">
        <f t="shared" si="9"/>
        <v>23422.371127568087</v>
      </c>
      <c r="D24" s="5">
        <f t="shared" si="0"/>
        <v>22679.245870449118</v>
      </c>
      <c r="E24" s="5">
        <f t="shared" si="1"/>
        <v>13179.245870449118</v>
      </c>
      <c r="F24" s="5">
        <f t="shared" si="2"/>
        <v>4604.773776701637</v>
      </c>
      <c r="G24" s="5">
        <f t="shared" si="3"/>
        <v>18074.472093747481</v>
      </c>
      <c r="H24" s="22">
        <f t="shared" si="10"/>
        <v>10774.599822886237</v>
      </c>
      <c r="I24" s="5">
        <f t="shared" si="4"/>
        <v>27825.484933459527</v>
      </c>
      <c r="J24" s="25">
        <f t="shared" si="5"/>
        <v>0.10090305260619863</v>
      </c>
      <c r="L24" s="22">
        <f t="shared" si="11"/>
        <v>30164.669504810496</v>
      </c>
      <c r="M24" s="5">
        <f>scrimecost*Meta!O21</f>
        <v>22123.789000000001</v>
      </c>
      <c r="N24" s="5">
        <f>L24-Grade10!L24</f>
        <v>329.60764170169205</v>
      </c>
      <c r="O24" s="5">
        <f>Grade10!M24-M24</f>
        <v>459.88699999999881</v>
      </c>
      <c r="P24" s="22">
        <f t="shared" si="12"/>
        <v>57.586243403354977</v>
      </c>
      <c r="Q24" s="22"/>
      <c r="R24" s="22"/>
      <c r="S24" s="22">
        <f t="shared" si="6"/>
        <v>613.79843339530578</v>
      </c>
      <c r="T24" s="22">
        <f t="shared" si="7"/>
        <v>616.85105498914891</v>
      </c>
    </row>
    <row r="25" spans="1:20" x14ac:dyDescent="0.2">
      <c r="A25" s="5">
        <v>34</v>
      </c>
      <c r="B25" s="1">
        <f t="shared" si="8"/>
        <v>1.521618261177077</v>
      </c>
      <c r="C25" s="5">
        <f t="shared" si="9"/>
        <v>24007.930405757288</v>
      </c>
      <c r="D25" s="5">
        <f t="shared" si="0"/>
        <v>23209.177017210346</v>
      </c>
      <c r="E25" s="5">
        <f t="shared" si="1"/>
        <v>13709.177017210346</v>
      </c>
      <c r="F25" s="5">
        <f t="shared" si="2"/>
        <v>4777.7962961191779</v>
      </c>
      <c r="G25" s="5">
        <f t="shared" si="3"/>
        <v>18431.380721091169</v>
      </c>
      <c r="H25" s="22">
        <f t="shared" si="10"/>
        <v>11043.964818458391</v>
      </c>
      <c r="I25" s="5">
        <f t="shared" si="4"/>
        <v>28426.168881796013</v>
      </c>
      <c r="J25" s="25">
        <f t="shared" si="5"/>
        <v>0.10389634682575431</v>
      </c>
      <c r="L25" s="22">
        <f t="shared" si="11"/>
        <v>30918.786242430753</v>
      </c>
      <c r="M25" s="5">
        <f>scrimecost*Meta!O22</f>
        <v>22123.789000000001</v>
      </c>
      <c r="N25" s="5">
        <f>L25-Grade10!L25</f>
        <v>337.84783274422807</v>
      </c>
      <c r="O25" s="5">
        <f>Grade10!M25-M25</f>
        <v>459.88699999999881</v>
      </c>
      <c r="P25" s="22">
        <f t="shared" si="12"/>
        <v>58.598093633249725</v>
      </c>
      <c r="Q25" s="22"/>
      <c r="R25" s="22"/>
      <c r="S25" s="22">
        <f t="shared" si="6"/>
        <v>618.67326103932942</v>
      </c>
      <c r="T25" s="22">
        <f t="shared" si="7"/>
        <v>621.93159465556403</v>
      </c>
    </row>
    <row r="26" spans="1:20" x14ac:dyDescent="0.2">
      <c r="A26" s="5">
        <v>35</v>
      </c>
      <c r="B26" s="1">
        <f t="shared" si="8"/>
        <v>1.559658717706504</v>
      </c>
      <c r="C26" s="5">
        <f t="shared" si="9"/>
        <v>24608.128665901218</v>
      </c>
      <c r="D26" s="5">
        <f t="shared" si="0"/>
        <v>23752.356442640605</v>
      </c>
      <c r="E26" s="5">
        <f t="shared" si="1"/>
        <v>14252.356442640605</v>
      </c>
      <c r="F26" s="5">
        <f t="shared" si="2"/>
        <v>4955.1443785221572</v>
      </c>
      <c r="G26" s="5">
        <f t="shared" si="3"/>
        <v>18797.212064118448</v>
      </c>
      <c r="H26" s="22">
        <f t="shared" si="10"/>
        <v>11320.063938919853</v>
      </c>
      <c r="I26" s="5">
        <f t="shared" si="4"/>
        <v>29041.869928840915</v>
      </c>
      <c r="J26" s="25">
        <f t="shared" si="5"/>
        <v>0.10681663386922326</v>
      </c>
      <c r="L26" s="22">
        <f t="shared" si="11"/>
        <v>31691.755898491527</v>
      </c>
      <c r="M26" s="5">
        <f>scrimecost*Meta!O23</f>
        <v>17169.728999999999</v>
      </c>
      <c r="N26" s="5">
        <f>L26-Grade10!L26</f>
        <v>346.29402856283559</v>
      </c>
      <c r="O26" s="5">
        <f>Grade10!M26-M26</f>
        <v>356.90699999999924</v>
      </c>
      <c r="P26" s="22">
        <f t="shared" si="12"/>
        <v>59.635240118891851</v>
      </c>
      <c r="Q26" s="22"/>
      <c r="R26" s="22"/>
      <c r="S26" s="22">
        <f t="shared" si="6"/>
        <v>533.25351937445782</v>
      </c>
      <c r="T26" s="22">
        <f t="shared" si="7"/>
        <v>536.2184357909448</v>
      </c>
    </row>
    <row r="27" spans="1:20" x14ac:dyDescent="0.2">
      <c r="A27" s="5">
        <v>36</v>
      </c>
      <c r="B27" s="1">
        <f t="shared" si="8"/>
        <v>1.5986501856491666</v>
      </c>
      <c r="C27" s="5">
        <f t="shared" si="9"/>
        <v>25223.331882548751</v>
      </c>
      <c r="D27" s="5">
        <f t="shared" si="0"/>
        <v>24309.11535370662</v>
      </c>
      <c r="E27" s="5">
        <f t="shared" si="1"/>
        <v>14809.11535370662</v>
      </c>
      <c r="F27" s="5">
        <f t="shared" si="2"/>
        <v>5136.9261629852117</v>
      </c>
      <c r="G27" s="5">
        <f t="shared" si="3"/>
        <v>19172.189190721409</v>
      </c>
      <c r="H27" s="22">
        <f t="shared" si="10"/>
        <v>11603.065537392848</v>
      </c>
      <c r="I27" s="5">
        <f t="shared" si="4"/>
        <v>29672.963502061935</v>
      </c>
      <c r="J27" s="25">
        <f t="shared" si="5"/>
        <v>0.10966569439943691</v>
      </c>
      <c r="L27" s="22">
        <f t="shared" si="11"/>
        <v>32484.049795953815</v>
      </c>
      <c r="M27" s="5">
        <f>scrimecost*Meta!O24</f>
        <v>17169.728999999999</v>
      </c>
      <c r="N27" s="5">
        <f>L27-Grade10!L27</f>
        <v>354.95137927691394</v>
      </c>
      <c r="O27" s="5">
        <f>Grade10!M27-M27</f>
        <v>356.90699999999924</v>
      </c>
      <c r="P27" s="22">
        <f t="shared" si="12"/>
        <v>60.698315266675017</v>
      </c>
      <c r="Q27" s="22"/>
      <c r="R27" s="22"/>
      <c r="S27" s="22">
        <f t="shared" si="6"/>
        <v>538.37513516796685</v>
      </c>
      <c r="T27" s="22">
        <f t="shared" si="7"/>
        <v>541.52653524778941</v>
      </c>
    </row>
    <row r="28" spans="1:20" x14ac:dyDescent="0.2">
      <c r="A28" s="5">
        <v>37</v>
      </c>
      <c r="B28" s="1">
        <f t="shared" si="8"/>
        <v>1.6386164402903955</v>
      </c>
      <c r="C28" s="5">
        <f t="shared" si="9"/>
        <v>25853.915179612464</v>
      </c>
      <c r="D28" s="5">
        <f t="shared" si="0"/>
        <v>24879.793237549282</v>
      </c>
      <c r="E28" s="5">
        <f t="shared" si="1"/>
        <v>15379.793237549282</v>
      </c>
      <c r="F28" s="5">
        <f t="shared" si="2"/>
        <v>5323.2524920598407</v>
      </c>
      <c r="G28" s="5">
        <f t="shared" si="3"/>
        <v>19556.540745489441</v>
      </c>
      <c r="H28" s="22">
        <f t="shared" si="10"/>
        <v>11893.142175827667</v>
      </c>
      <c r="I28" s="5">
        <f t="shared" si="4"/>
        <v>30319.83441461348</v>
      </c>
      <c r="J28" s="25">
        <f t="shared" si="5"/>
        <v>0.11244526564842576</v>
      </c>
      <c r="L28" s="22">
        <f t="shared" si="11"/>
        <v>33296.151040852652</v>
      </c>
      <c r="M28" s="5">
        <f>scrimecost*Meta!O25</f>
        <v>17169.728999999999</v>
      </c>
      <c r="N28" s="5">
        <f>L28-Grade10!L28</f>
        <v>363.82516375883279</v>
      </c>
      <c r="O28" s="5">
        <f>Grade10!M28-M28</f>
        <v>356.90699999999924</v>
      </c>
      <c r="P28" s="22">
        <f t="shared" si="12"/>
        <v>61.787967293152754</v>
      </c>
      <c r="Q28" s="22"/>
      <c r="R28" s="22"/>
      <c r="S28" s="22">
        <f t="shared" si="6"/>
        <v>543.62479135630804</v>
      </c>
      <c r="T28" s="22">
        <f t="shared" si="7"/>
        <v>546.96651501067402</v>
      </c>
    </row>
    <row r="29" spans="1:20" x14ac:dyDescent="0.2">
      <c r="A29" s="5">
        <v>38</v>
      </c>
      <c r="B29" s="1">
        <f t="shared" si="8"/>
        <v>1.6795818512976552</v>
      </c>
      <c r="C29" s="5">
        <f t="shared" si="9"/>
        <v>26500.263059102774</v>
      </c>
      <c r="D29" s="5">
        <f t="shared" si="0"/>
        <v>25464.738068488012</v>
      </c>
      <c r="E29" s="5">
        <f t="shared" si="1"/>
        <v>15964.738068488012</v>
      </c>
      <c r="F29" s="5">
        <f t="shared" si="2"/>
        <v>5514.2369793613361</v>
      </c>
      <c r="G29" s="5">
        <f t="shared" si="3"/>
        <v>19950.501089126676</v>
      </c>
      <c r="H29" s="22">
        <f t="shared" si="10"/>
        <v>12190.470730223358</v>
      </c>
      <c r="I29" s="5">
        <f t="shared" si="4"/>
        <v>30982.877099978818</v>
      </c>
      <c r="J29" s="25">
        <f t="shared" si="5"/>
        <v>0.11515704247670761</v>
      </c>
      <c r="L29" s="22">
        <f t="shared" si="11"/>
        <v>34128.554816873962</v>
      </c>
      <c r="M29" s="5">
        <f>scrimecost*Meta!O26</f>
        <v>17169.728999999999</v>
      </c>
      <c r="N29" s="5">
        <f>L29-Grade10!L29</f>
        <v>372.92079285279033</v>
      </c>
      <c r="O29" s="5">
        <f>Grade10!M29-M29</f>
        <v>356.90699999999924</v>
      </c>
      <c r="P29" s="22">
        <f t="shared" si="12"/>
        <v>62.904860620292453</v>
      </c>
      <c r="Q29" s="22"/>
      <c r="R29" s="22"/>
      <c r="S29" s="22">
        <f t="shared" si="6"/>
        <v>549.00568894935327</v>
      </c>
      <c r="T29" s="22">
        <f t="shared" si="7"/>
        <v>552.54171083750475</v>
      </c>
    </row>
    <row r="30" spans="1:20" x14ac:dyDescent="0.2">
      <c r="A30" s="5">
        <v>39</v>
      </c>
      <c r="B30" s="1">
        <f t="shared" si="8"/>
        <v>1.7215713975800966</v>
      </c>
      <c r="C30" s="5">
        <f t="shared" si="9"/>
        <v>27162.769635580345</v>
      </c>
      <c r="D30" s="5">
        <f t="shared" si="0"/>
        <v>26064.306520200214</v>
      </c>
      <c r="E30" s="5">
        <f t="shared" si="1"/>
        <v>16564.306520200214</v>
      </c>
      <c r="F30" s="5">
        <f t="shared" si="2"/>
        <v>5709.99607884537</v>
      </c>
      <c r="G30" s="5">
        <f t="shared" si="3"/>
        <v>20354.310441354843</v>
      </c>
      <c r="H30" s="22">
        <f t="shared" si="10"/>
        <v>12495.232498478941</v>
      </c>
      <c r="I30" s="5">
        <f t="shared" si="4"/>
        <v>31662.495852478285</v>
      </c>
      <c r="J30" s="25">
        <f t="shared" si="5"/>
        <v>0.11780267840673869</v>
      </c>
      <c r="L30" s="22">
        <f t="shared" si="11"/>
        <v>34981.768687295815</v>
      </c>
      <c r="M30" s="5">
        <f>scrimecost*Meta!O27</f>
        <v>17169.728999999999</v>
      </c>
      <c r="N30" s="5">
        <f>L30-Grade10!L30</f>
        <v>382.24381267411809</v>
      </c>
      <c r="O30" s="5">
        <f>Grade10!M30-M30</f>
        <v>356.90699999999924</v>
      </c>
      <c r="P30" s="22">
        <f t="shared" si="12"/>
        <v>64.049676280610626</v>
      </c>
      <c r="Q30" s="22"/>
      <c r="R30" s="22"/>
      <c r="S30" s="22">
        <f t="shared" si="6"/>
        <v>554.52110898223498</v>
      </c>
      <c r="T30" s="22">
        <f t="shared" si="7"/>
        <v>558.25554287787884</v>
      </c>
    </row>
    <row r="31" spans="1:20" x14ac:dyDescent="0.2">
      <c r="A31" s="5">
        <v>40</v>
      </c>
      <c r="B31" s="1">
        <f t="shared" si="8"/>
        <v>1.7646106825195991</v>
      </c>
      <c r="C31" s="5">
        <f t="shared" si="9"/>
        <v>27841.838876469854</v>
      </c>
      <c r="D31" s="5">
        <f t="shared" si="0"/>
        <v>26678.86418320522</v>
      </c>
      <c r="E31" s="5">
        <f t="shared" si="1"/>
        <v>17178.86418320522</v>
      </c>
      <c r="F31" s="5">
        <f t="shared" si="2"/>
        <v>5910.6491558165044</v>
      </c>
      <c r="G31" s="5">
        <f t="shared" si="3"/>
        <v>20768.215027388716</v>
      </c>
      <c r="H31" s="22">
        <f t="shared" si="10"/>
        <v>12807.613310940917</v>
      </c>
      <c r="I31" s="5">
        <f t="shared" si="4"/>
        <v>32359.105073790248</v>
      </c>
      <c r="J31" s="25">
        <f t="shared" si="5"/>
        <v>0.12038378663115921</v>
      </c>
      <c r="L31" s="22">
        <f t="shared" si="11"/>
        <v>35856.312904478211</v>
      </c>
      <c r="M31" s="5">
        <f>scrimecost*Meta!O28</f>
        <v>15018.623999999998</v>
      </c>
      <c r="N31" s="5">
        <f>L31-Grade10!L31</f>
        <v>391.79990799097868</v>
      </c>
      <c r="O31" s="5">
        <f>Grade10!M31-M31</f>
        <v>312.19200000000092</v>
      </c>
      <c r="P31" s="22">
        <f t="shared" si="12"/>
        <v>65.22311233243677</v>
      </c>
      <c r="Q31" s="22"/>
      <c r="R31" s="22"/>
      <c r="S31" s="22">
        <f t="shared" si="6"/>
        <v>520.91464451593993</v>
      </c>
      <c r="T31" s="22">
        <f t="shared" si="7"/>
        <v>524.5758163022723</v>
      </c>
    </row>
    <row r="32" spans="1:20" x14ac:dyDescent="0.2">
      <c r="A32" s="5">
        <v>41</v>
      </c>
      <c r="B32" s="1">
        <f t="shared" si="8"/>
        <v>1.8087259495825889</v>
      </c>
      <c r="C32" s="5">
        <f t="shared" si="9"/>
        <v>28537.8848483816</v>
      </c>
      <c r="D32" s="5">
        <f t="shared" si="0"/>
        <v>27308.785787785349</v>
      </c>
      <c r="E32" s="5">
        <f t="shared" si="1"/>
        <v>17808.785787785349</v>
      </c>
      <c r="F32" s="5">
        <f t="shared" si="2"/>
        <v>6116.3185597119164</v>
      </c>
      <c r="G32" s="5">
        <f t="shared" si="3"/>
        <v>21192.467228073434</v>
      </c>
      <c r="H32" s="22">
        <f t="shared" si="10"/>
        <v>13127.803643714438</v>
      </c>
      <c r="I32" s="5">
        <f t="shared" si="4"/>
        <v>33073.129525634999</v>
      </c>
      <c r="J32" s="25">
        <f t="shared" si="5"/>
        <v>0.12290194099644756</v>
      </c>
      <c r="L32" s="22">
        <f t="shared" si="11"/>
        <v>36752.720727090164</v>
      </c>
      <c r="M32" s="5">
        <f>scrimecost*Meta!O29</f>
        <v>15018.623999999998</v>
      </c>
      <c r="N32" s="5">
        <f>L32-Grade10!L32</f>
        <v>401.59490569074842</v>
      </c>
      <c r="O32" s="5">
        <f>Grade10!M32-M32</f>
        <v>312.19200000000092</v>
      </c>
      <c r="P32" s="22">
        <f t="shared" si="12"/>
        <v>66.425884285558567</v>
      </c>
      <c r="Q32" s="22"/>
      <c r="R32" s="22"/>
      <c r="S32" s="22">
        <f t="shared" si="6"/>
        <v>526.70928268798014</v>
      </c>
      <c r="T32" s="22">
        <f t="shared" si="7"/>
        <v>530.56599037600824</v>
      </c>
    </row>
    <row r="33" spans="1:20" x14ac:dyDescent="0.2">
      <c r="A33" s="5">
        <v>42</v>
      </c>
      <c r="B33" s="1">
        <f t="shared" si="8"/>
        <v>1.8539440983221533</v>
      </c>
      <c r="C33" s="5">
        <f t="shared" si="9"/>
        <v>29251.331969591134</v>
      </c>
      <c r="D33" s="5">
        <f t="shared" si="0"/>
        <v>27954.455432479976</v>
      </c>
      <c r="E33" s="5">
        <f t="shared" si="1"/>
        <v>18454.455432479976</v>
      </c>
      <c r="F33" s="5">
        <f t="shared" si="2"/>
        <v>6327.1296987047117</v>
      </c>
      <c r="G33" s="5">
        <f t="shared" si="3"/>
        <v>21627.325733775266</v>
      </c>
      <c r="H33" s="22">
        <f t="shared" si="10"/>
        <v>13455.998734807295</v>
      </c>
      <c r="I33" s="5">
        <f t="shared" si="4"/>
        <v>33805.004588775868</v>
      </c>
      <c r="J33" s="25">
        <f t="shared" si="5"/>
        <v>0.12535867696258249</v>
      </c>
      <c r="L33" s="22">
        <f t="shared" si="11"/>
        <v>37671.538745267411</v>
      </c>
      <c r="M33" s="5">
        <f>scrimecost*Meta!O30</f>
        <v>15018.623999999998</v>
      </c>
      <c r="N33" s="5">
        <f>L33-Grade10!L33</f>
        <v>411.63477833302022</v>
      </c>
      <c r="O33" s="5">
        <f>Grade10!M33-M33</f>
        <v>312.19200000000092</v>
      </c>
      <c r="P33" s="22">
        <f t="shared" si="12"/>
        <v>67.658725537508388</v>
      </c>
      <c r="Q33" s="22"/>
      <c r="R33" s="22"/>
      <c r="S33" s="22">
        <f t="shared" si="6"/>
        <v>532.64878681432504</v>
      </c>
      <c r="T33" s="22">
        <f t="shared" si="7"/>
        <v>536.70558571603578</v>
      </c>
    </row>
    <row r="34" spans="1:20" x14ac:dyDescent="0.2">
      <c r="A34" s="5">
        <v>43</v>
      </c>
      <c r="B34" s="1">
        <f t="shared" si="8"/>
        <v>1.9002927007802071</v>
      </c>
      <c r="C34" s="5">
        <f t="shared" si="9"/>
        <v>29982.615268830912</v>
      </c>
      <c r="D34" s="5">
        <f t="shared" si="0"/>
        <v>28616.266818291977</v>
      </c>
      <c r="E34" s="5">
        <f t="shared" si="1"/>
        <v>19116.266818291977</v>
      </c>
      <c r="F34" s="5">
        <f t="shared" si="2"/>
        <v>6543.2111161723305</v>
      </c>
      <c r="G34" s="5">
        <f t="shared" si="3"/>
        <v>22073.055702119647</v>
      </c>
      <c r="H34" s="22">
        <f t="shared" si="10"/>
        <v>13792.39870317748</v>
      </c>
      <c r="I34" s="5">
        <f t="shared" si="4"/>
        <v>34555.176528495271</v>
      </c>
      <c r="J34" s="25">
        <f t="shared" si="5"/>
        <v>0.12775549253929958</v>
      </c>
      <c r="L34" s="22">
        <f t="shared" si="11"/>
        <v>38613.327213899094</v>
      </c>
      <c r="M34" s="5">
        <f>scrimecost*Meta!O31</f>
        <v>15018.623999999998</v>
      </c>
      <c r="N34" s="5">
        <f>L34-Grade10!L34</f>
        <v>421.92564779134409</v>
      </c>
      <c r="O34" s="5">
        <f>Grade10!M34-M34</f>
        <v>312.19200000000092</v>
      </c>
      <c r="P34" s="22">
        <f t="shared" si="12"/>
        <v>68.922387820756981</v>
      </c>
      <c r="Q34" s="22"/>
      <c r="R34" s="22"/>
      <c r="S34" s="22">
        <f t="shared" si="6"/>
        <v>538.73677854382629</v>
      </c>
      <c r="T34" s="22">
        <f t="shared" si="7"/>
        <v>542.99838193505991</v>
      </c>
    </row>
    <row r="35" spans="1:20" x14ac:dyDescent="0.2">
      <c r="A35" s="5">
        <v>44</v>
      </c>
      <c r="B35" s="1">
        <f t="shared" si="8"/>
        <v>1.9478000182997122</v>
      </c>
      <c r="C35" s="5">
        <f t="shared" si="9"/>
        <v>30732.180650551683</v>
      </c>
      <c r="D35" s="5">
        <f t="shared" si="0"/>
        <v>29294.623488749276</v>
      </c>
      <c r="E35" s="5">
        <f t="shared" si="1"/>
        <v>19794.623488749276</v>
      </c>
      <c r="F35" s="5">
        <f t="shared" si="2"/>
        <v>6764.6945690766388</v>
      </c>
      <c r="G35" s="5">
        <f t="shared" si="3"/>
        <v>22529.928919672639</v>
      </c>
      <c r="H35" s="22">
        <f t="shared" si="10"/>
        <v>14137.208670756914</v>
      </c>
      <c r="I35" s="5">
        <f t="shared" si="4"/>
        <v>35324.102766707649</v>
      </c>
      <c r="J35" s="25">
        <f t="shared" si="5"/>
        <v>0.13009384919951134</v>
      </c>
      <c r="L35" s="22">
        <f t="shared" si="11"/>
        <v>39578.660394246566</v>
      </c>
      <c r="M35" s="5">
        <f>scrimecost*Meta!O32</f>
        <v>15018.623999999998</v>
      </c>
      <c r="N35" s="5">
        <f>L35-Grade10!L35</f>
        <v>432.47378898612078</v>
      </c>
      <c r="O35" s="5">
        <f>Grade10!M35-M35</f>
        <v>312.19200000000092</v>
      </c>
      <c r="P35" s="22">
        <f t="shared" si="12"/>
        <v>70.217641661086773</v>
      </c>
      <c r="Q35" s="22"/>
      <c r="R35" s="22"/>
      <c r="S35" s="22">
        <f t="shared" si="6"/>
        <v>544.97697006656244</v>
      </c>
      <c r="T35" s="22">
        <f t="shared" si="7"/>
        <v>549.44825426664795</v>
      </c>
    </row>
    <row r="36" spans="1:20" x14ac:dyDescent="0.2">
      <c r="A36" s="5">
        <v>45</v>
      </c>
      <c r="B36" s="1">
        <f t="shared" si="8"/>
        <v>1.9964950187572048</v>
      </c>
      <c r="C36" s="5">
        <f t="shared" si="9"/>
        <v>31500.48516681547</v>
      </c>
      <c r="D36" s="5">
        <f t="shared" si="0"/>
        <v>29989.939075968003</v>
      </c>
      <c r="E36" s="5">
        <f t="shared" si="1"/>
        <v>20489.939075968003</v>
      </c>
      <c r="F36" s="5">
        <f t="shared" si="2"/>
        <v>6991.7151083035533</v>
      </c>
      <c r="G36" s="5">
        <f t="shared" si="3"/>
        <v>22998.223967664449</v>
      </c>
      <c r="H36" s="22">
        <f t="shared" si="10"/>
        <v>14490.638887525836</v>
      </c>
      <c r="I36" s="5">
        <f t="shared" si="4"/>
        <v>36112.25216087533</v>
      </c>
      <c r="J36" s="25">
        <f t="shared" si="5"/>
        <v>0.13237517277044961</v>
      </c>
      <c r="L36" s="22">
        <f t="shared" si="11"/>
        <v>40568.126904102734</v>
      </c>
      <c r="M36" s="5">
        <f>scrimecost*Meta!O33</f>
        <v>12137.447</v>
      </c>
      <c r="N36" s="5">
        <f>L36-Grade10!L36</f>
        <v>443.28563371077325</v>
      </c>
      <c r="O36" s="5">
        <f>Grade10!M36-M36</f>
        <v>252.3010000000013</v>
      </c>
      <c r="P36" s="22">
        <f t="shared" si="12"/>
        <v>71.545276847424816</v>
      </c>
      <c r="Q36" s="22"/>
      <c r="R36" s="22"/>
      <c r="S36" s="22">
        <f t="shared" si="6"/>
        <v>498.78886837737065</v>
      </c>
      <c r="T36" s="22">
        <f t="shared" si="7"/>
        <v>503.02797461540484</v>
      </c>
    </row>
    <row r="37" spans="1:20" x14ac:dyDescent="0.2">
      <c r="A37" s="5">
        <v>46</v>
      </c>
      <c r="B37" s="1">
        <f t="shared" ref="B37:B56" si="13">(1+experiencepremium)^(A37-startage)</f>
        <v>2.0464073942261352</v>
      </c>
      <c r="C37" s="5">
        <f t="shared" ref="C37:C56" si="14">pretaxincome*B37/expnorm</f>
        <v>32287.997295985861</v>
      </c>
      <c r="D37" s="5">
        <f t="shared" ref="D37:D56" si="15">IF(A37&lt;startage,1,0)*(C37*(1-initialunempprob))+IF(A37=startage,1,0)*(C37*(1-unempprob))+IF(A37&gt;startage,1,0)*(C37*(1-unempprob)+unempprob*300*52)</f>
        <v>30702.637552867203</v>
      </c>
      <c r="E37" s="5">
        <f t="shared" si="1"/>
        <v>21202.637552867203</v>
      </c>
      <c r="F37" s="5">
        <f t="shared" si="2"/>
        <v>7224.4111610111413</v>
      </c>
      <c r="G37" s="5">
        <f t="shared" si="3"/>
        <v>23478.226391856064</v>
      </c>
      <c r="H37" s="22">
        <f t="shared" ref="H37:H56" si="16">benefits*B37/expnorm</f>
        <v>14852.904859713984</v>
      </c>
      <c r="I37" s="5">
        <f t="shared" ref="I37:I56" si="17">G37+IF(A37&lt;startage,1,0)*(H37*(1-initialunempprob))+IF(A37&gt;=startage,1,0)*(H37*(1-unempprob))</f>
        <v>36920.105289897219</v>
      </c>
      <c r="J37" s="25">
        <f t="shared" si="5"/>
        <v>0.13460085430307228</v>
      </c>
      <c r="L37" s="22">
        <f t="shared" ref="L37:L56" si="18">(sincome+sbenefits)*(1-sunemp)*B37/expnorm</f>
        <v>41582.330076705308</v>
      </c>
      <c r="M37" s="5">
        <f>scrimecost*Meta!O34</f>
        <v>12137.447</v>
      </c>
      <c r="N37" s="5">
        <f>L37-Grade10!L37</f>
        <v>454.36777455355332</v>
      </c>
      <c r="O37" s="5">
        <f>Grade10!M37-M37</f>
        <v>252.3010000000013</v>
      </c>
      <c r="P37" s="22">
        <f t="shared" si="12"/>
        <v>72.906102913421307</v>
      </c>
      <c r="Q37" s="22"/>
      <c r="R37" s="22"/>
      <c r="S37" s="22">
        <f t="shared" si="6"/>
        <v>505.3449695959539</v>
      </c>
      <c r="T37" s="22">
        <f t="shared" si="7"/>
        <v>509.7885414933175</v>
      </c>
    </row>
    <row r="38" spans="1:20" x14ac:dyDescent="0.2">
      <c r="A38" s="5">
        <v>47</v>
      </c>
      <c r="B38" s="1">
        <f t="shared" si="13"/>
        <v>2.097567579081788</v>
      </c>
      <c r="C38" s="5">
        <f t="shared" si="14"/>
        <v>33095.197228385499</v>
      </c>
      <c r="D38" s="5">
        <f t="shared" si="15"/>
        <v>31433.153491688878</v>
      </c>
      <c r="E38" s="5">
        <f t="shared" si="1"/>
        <v>21933.153491688878</v>
      </c>
      <c r="F38" s="5">
        <f t="shared" si="2"/>
        <v>7462.9246150364179</v>
      </c>
      <c r="G38" s="5">
        <f t="shared" si="3"/>
        <v>23970.228876652458</v>
      </c>
      <c r="H38" s="22">
        <f t="shared" si="16"/>
        <v>15224.22748120683</v>
      </c>
      <c r="I38" s="5">
        <f t="shared" si="17"/>
        <v>37748.154747144639</v>
      </c>
      <c r="J38" s="25">
        <f t="shared" si="5"/>
        <v>0.13677225092026518</v>
      </c>
      <c r="L38" s="22">
        <f t="shared" si="18"/>
        <v>42621.888328622932</v>
      </c>
      <c r="M38" s="5">
        <f>scrimecost*Meta!O35</f>
        <v>12137.447</v>
      </c>
      <c r="N38" s="5">
        <f>L38-Grade10!L38</f>
        <v>465.72696891737723</v>
      </c>
      <c r="O38" s="5">
        <f>Grade10!M38-M38</f>
        <v>252.3010000000013</v>
      </c>
      <c r="P38" s="22">
        <f t="shared" si="12"/>
        <v>74.300949631067681</v>
      </c>
      <c r="Q38" s="22"/>
      <c r="R38" s="22"/>
      <c r="S38" s="22">
        <f t="shared" si="6"/>
        <v>512.06497334498954</v>
      </c>
      <c r="T38" s="22">
        <f t="shared" si="7"/>
        <v>516.71840389095053</v>
      </c>
    </row>
    <row r="39" spans="1:20" x14ac:dyDescent="0.2">
      <c r="A39" s="5">
        <v>48</v>
      </c>
      <c r="B39" s="1">
        <f t="shared" si="13"/>
        <v>2.1500067685588333</v>
      </c>
      <c r="C39" s="5">
        <f t="shared" si="14"/>
        <v>33922.577159095148</v>
      </c>
      <c r="D39" s="5">
        <f t="shared" si="15"/>
        <v>32181.932328981111</v>
      </c>
      <c r="E39" s="5">
        <f t="shared" si="1"/>
        <v>22681.932328981111</v>
      </c>
      <c r="F39" s="5">
        <f t="shared" si="2"/>
        <v>7707.4009054123326</v>
      </c>
      <c r="G39" s="5">
        <f t="shared" si="3"/>
        <v>24474.531423568777</v>
      </c>
      <c r="H39" s="22">
        <f t="shared" si="16"/>
        <v>15604.833168237004</v>
      </c>
      <c r="I39" s="5">
        <f t="shared" si="17"/>
        <v>38596.905440823262</v>
      </c>
      <c r="J39" s="25">
        <f t="shared" ref="J39:J56" si="19">(F39-(IF(A39&gt;startage,1,0)*(unempprob*300*52)))/(IF(A39&lt;startage,1,0)*((C39+H39)*(1-initialunempprob))+IF(A39&gt;=startage,1,0)*((C39+H39)*(1-unempprob)))</f>
        <v>0.13889068664435589</v>
      </c>
      <c r="L39" s="22">
        <f t="shared" si="18"/>
        <v>43687.435536838515</v>
      </c>
      <c r="M39" s="5">
        <f>scrimecost*Meta!O36</f>
        <v>12137.447</v>
      </c>
      <c r="N39" s="5">
        <f>L39-Grade10!L39</f>
        <v>477.37014314033149</v>
      </c>
      <c r="O39" s="5">
        <f>Grade10!M39-M39</f>
        <v>252.3010000000013</v>
      </c>
      <c r="P39" s="22">
        <f t="shared" si="12"/>
        <v>75.730667516655274</v>
      </c>
      <c r="Q39" s="22"/>
      <c r="R39" s="22"/>
      <c r="S39" s="22">
        <f t="shared" ref="S39:S69" si="20">IF(A39&lt;startage,1,0)*(N39-Q39-R39)+IF(A39&gt;=startage,1,0)*completionprob*(N39*spart+O39+P39)</f>
        <v>518.95297718776783</v>
      </c>
      <c r="T39" s="22">
        <f t="shared" ref="T39:T69" si="21">S39/sreturn^(A39-startage+1)</f>
        <v>523.82184433508542</v>
      </c>
    </row>
    <row r="40" spans="1:20" x14ac:dyDescent="0.2">
      <c r="A40" s="5">
        <v>49</v>
      </c>
      <c r="B40" s="1">
        <f t="shared" si="13"/>
        <v>2.2037569377728037</v>
      </c>
      <c r="C40" s="5">
        <f t="shared" si="14"/>
        <v>34770.641588072518</v>
      </c>
      <c r="D40" s="5">
        <f t="shared" si="15"/>
        <v>32949.430637205631</v>
      </c>
      <c r="E40" s="5">
        <f t="shared" si="1"/>
        <v>23449.430637205631</v>
      </c>
      <c r="F40" s="5">
        <f t="shared" si="2"/>
        <v>7957.9891030476383</v>
      </c>
      <c r="G40" s="5">
        <f t="shared" si="3"/>
        <v>24991.441534157992</v>
      </c>
      <c r="H40" s="22">
        <f t="shared" si="16"/>
        <v>15994.953997442926</v>
      </c>
      <c r="I40" s="5">
        <f t="shared" si="17"/>
        <v>39466.874901843839</v>
      </c>
      <c r="J40" s="25">
        <f t="shared" si="19"/>
        <v>0.14095745320444428</v>
      </c>
      <c r="L40" s="22">
        <f t="shared" si="18"/>
        <v>44779.621425259465</v>
      </c>
      <c r="M40" s="5">
        <f>scrimecost*Meta!O37</f>
        <v>12137.447</v>
      </c>
      <c r="N40" s="5">
        <f>L40-Grade10!L40</f>
        <v>489.30439671883505</v>
      </c>
      <c r="O40" s="5">
        <f>Grade10!M40-M40</f>
        <v>252.3010000000013</v>
      </c>
      <c r="P40" s="22">
        <f t="shared" ref="P40:P56" si="22">(spart-initialspart)*(L40*J40+nptrans)</f>
        <v>77.196128349382519</v>
      </c>
      <c r="Q40" s="22"/>
      <c r="R40" s="22"/>
      <c r="S40" s="22">
        <f t="shared" si="20"/>
        <v>526.01318112660363</v>
      </c>
      <c r="T40" s="22">
        <f t="shared" si="21"/>
        <v>531.10325369663974</v>
      </c>
    </row>
    <row r="41" spans="1:20" x14ac:dyDescent="0.2">
      <c r="A41" s="5">
        <v>50</v>
      </c>
      <c r="B41" s="1">
        <f t="shared" si="13"/>
        <v>2.2588508612171236</v>
      </c>
      <c r="C41" s="5">
        <f t="shared" si="14"/>
        <v>35639.90762777433</v>
      </c>
      <c r="D41" s="5">
        <f t="shared" si="15"/>
        <v>33736.116403135769</v>
      </c>
      <c r="E41" s="5">
        <f t="shared" si="1"/>
        <v>24236.116403135769</v>
      </c>
      <c r="F41" s="5">
        <f t="shared" si="2"/>
        <v>8214.8420056238283</v>
      </c>
      <c r="G41" s="5">
        <f t="shared" si="3"/>
        <v>25521.274397511941</v>
      </c>
      <c r="H41" s="22">
        <f t="shared" si="16"/>
        <v>16394.827847378998</v>
      </c>
      <c r="I41" s="5">
        <f t="shared" si="17"/>
        <v>40358.593599389933</v>
      </c>
      <c r="J41" s="25">
        <f t="shared" si="19"/>
        <v>0.14297381082404273</v>
      </c>
      <c r="L41" s="22">
        <f t="shared" si="18"/>
        <v>45899.11196089095</v>
      </c>
      <c r="M41" s="5">
        <f>scrimecost*Meta!O38</f>
        <v>8109.0140000000001</v>
      </c>
      <c r="N41" s="5">
        <f>L41-Grade10!L41</f>
        <v>501.53700663679774</v>
      </c>
      <c r="O41" s="5">
        <f>Grade10!M41-M41</f>
        <v>168.56199999999899</v>
      </c>
      <c r="P41" s="22">
        <f t="shared" si="22"/>
        <v>78.698225702927957</v>
      </c>
      <c r="Q41" s="22"/>
      <c r="R41" s="22"/>
      <c r="S41" s="22">
        <f t="shared" si="20"/>
        <v>459.7270481639066</v>
      </c>
      <c r="T41" s="22">
        <f t="shared" si="21"/>
        <v>464.31116684233791</v>
      </c>
    </row>
    <row r="42" spans="1:20" x14ac:dyDescent="0.2">
      <c r="A42" s="5">
        <v>51</v>
      </c>
      <c r="B42" s="1">
        <f t="shared" si="13"/>
        <v>2.3153221327475517</v>
      </c>
      <c r="C42" s="5">
        <f t="shared" si="14"/>
        <v>36530.905318468685</v>
      </c>
      <c r="D42" s="5">
        <f t="shared" si="15"/>
        <v>34542.469313214162</v>
      </c>
      <c r="E42" s="5">
        <f t="shared" si="1"/>
        <v>25042.469313214162</v>
      </c>
      <c r="F42" s="5">
        <f t="shared" si="2"/>
        <v>8478.1162307644245</v>
      </c>
      <c r="G42" s="5">
        <f t="shared" si="3"/>
        <v>26064.353082449736</v>
      </c>
      <c r="H42" s="22">
        <f t="shared" si="16"/>
        <v>16804.698543563474</v>
      </c>
      <c r="I42" s="5">
        <f t="shared" si="17"/>
        <v>41272.605264374681</v>
      </c>
      <c r="J42" s="25">
        <f t="shared" si="19"/>
        <v>0.14494098898950467</v>
      </c>
      <c r="L42" s="22">
        <f t="shared" si="18"/>
        <v>47046.589759913222</v>
      </c>
      <c r="M42" s="5">
        <f>scrimecost*Meta!O39</f>
        <v>8109.0140000000001</v>
      </c>
      <c r="N42" s="5">
        <f>L42-Grade10!L42</f>
        <v>514.07543180272478</v>
      </c>
      <c r="O42" s="5">
        <f>Grade10!M42-M42</f>
        <v>168.56199999999899</v>
      </c>
      <c r="P42" s="22">
        <f t="shared" si="22"/>
        <v>80.237875490312021</v>
      </c>
      <c r="Q42" s="22"/>
      <c r="R42" s="22"/>
      <c r="S42" s="22">
        <f t="shared" si="20"/>
        <v>467.14467492715164</v>
      </c>
      <c r="T42" s="22">
        <f t="shared" si="21"/>
        <v>471.94046098947541</v>
      </c>
    </row>
    <row r="43" spans="1:20" x14ac:dyDescent="0.2">
      <c r="A43" s="5">
        <v>52</v>
      </c>
      <c r="B43" s="1">
        <f t="shared" si="13"/>
        <v>2.3732051860662402</v>
      </c>
      <c r="C43" s="5">
        <f t="shared" si="14"/>
        <v>37444.1779514304</v>
      </c>
      <c r="D43" s="5">
        <f t="shared" si="15"/>
        <v>35368.981046044515</v>
      </c>
      <c r="E43" s="5">
        <f t="shared" si="1"/>
        <v>25868.981046044515</v>
      </c>
      <c r="F43" s="5">
        <f t="shared" si="2"/>
        <v>8747.9723115335346</v>
      </c>
      <c r="G43" s="5">
        <f t="shared" si="3"/>
        <v>26621.008734510979</v>
      </c>
      <c r="H43" s="22">
        <f t="shared" si="16"/>
        <v>17224.81600715256</v>
      </c>
      <c r="I43" s="5">
        <f t="shared" si="17"/>
        <v>42209.46722098405</v>
      </c>
      <c r="J43" s="25">
        <f t="shared" si="19"/>
        <v>0.14686018719971142</v>
      </c>
      <c r="L43" s="22">
        <f t="shared" si="18"/>
        <v>48222.754503911041</v>
      </c>
      <c r="M43" s="5">
        <f>scrimecost*Meta!O40</f>
        <v>8109.0140000000001</v>
      </c>
      <c r="N43" s="5">
        <f>L43-Grade10!L43</f>
        <v>526.92731759777234</v>
      </c>
      <c r="O43" s="5">
        <f>Grade10!M43-M43</f>
        <v>168.56199999999899</v>
      </c>
      <c r="P43" s="22">
        <f t="shared" si="22"/>
        <v>81.816016522380693</v>
      </c>
      <c r="Q43" s="22"/>
      <c r="R43" s="22"/>
      <c r="S43" s="22">
        <f t="shared" si="20"/>
        <v>474.7477423594645</v>
      </c>
      <c r="T43" s="22">
        <f t="shared" si="21"/>
        <v>479.76156816512395</v>
      </c>
    </row>
    <row r="44" spans="1:20" x14ac:dyDescent="0.2">
      <c r="A44" s="5">
        <v>53</v>
      </c>
      <c r="B44" s="1">
        <f t="shared" si="13"/>
        <v>2.4325353157178964</v>
      </c>
      <c r="C44" s="5">
        <f t="shared" si="14"/>
        <v>38380.282400216158</v>
      </c>
      <c r="D44" s="5">
        <f t="shared" si="15"/>
        <v>36216.155572195625</v>
      </c>
      <c r="E44" s="5">
        <f t="shared" si="1"/>
        <v>26716.155572195625</v>
      </c>
      <c r="F44" s="5">
        <f t="shared" si="2"/>
        <v>9024.5747943218703</v>
      </c>
      <c r="G44" s="5">
        <f t="shared" si="3"/>
        <v>27191.580777873754</v>
      </c>
      <c r="H44" s="22">
        <f t="shared" si="16"/>
        <v>17655.436407331374</v>
      </c>
      <c r="I44" s="5">
        <f t="shared" si="17"/>
        <v>43169.750726508646</v>
      </c>
      <c r="J44" s="25">
        <f t="shared" si="19"/>
        <v>0.14873257569747406</v>
      </c>
      <c r="L44" s="22">
        <f t="shared" si="18"/>
        <v>49428.323366508826</v>
      </c>
      <c r="M44" s="5">
        <f>scrimecost*Meta!O41</f>
        <v>8109.0140000000001</v>
      </c>
      <c r="N44" s="5">
        <f>L44-Grade10!L44</f>
        <v>540.10050053773739</v>
      </c>
      <c r="O44" s="5">
        <f>Grade10!M44-M44</f>
        <v>168.56199999999899</v>
      </c>
      <c r="P44" s="22">
        <f t="shared" si="22"/>
        <v>83.433611080251069</v>
      </c>
      <c r="Q44" s="22"/>
      <c r="R44" s="22"/>
      <c r="S44" s="22">
        <f t="shared" si="20"/>
        <v>482.54088647760511</v>
      </c>
      <c r="T44" s="22">
        <f t="shared" si="21"/>
        <v>487.7793407276364</v>
      </c>
    </row>
    <row r="45" spans="1:20" x14ac:dyDescent="0.2">
      <c r="A45" s="5">
        <v>54</v>
      </c>
      <c r="B45" s="1">
        <f t="shared" si="13"/>
        <v>2.4933486986108435</v>
      </c>
      <c r="C45" s="5">
        <f t="shared" si="14"/>
        <v>39339.78946022156</v>
      </c>
      <c r="D45" s="5">
        <f t="shared" si="15"/>
        <v>37084.509461500515</v>
      </c>
      <c r="E45" s="5">
        <f t="shared" si="1"/>
        <v>27584.509461500515</v>
      </c>
      <c r="F45" s="5">
        <f t="shared" si="2"/>
        <v>9308.0923391799188</v>
      </c>
      <c r="G45" s="5">
        <f t="shared" si="3"/>
        <v>27776.417122320596</v>
      </c>
      <c r="H45" s="22">
        <f t="shared" si="16"/>
        <v>18096.822317514656</v>
      </c>
      <c r="I45" s="5">
        <f t="shared" si="17"/>
        <v>44154.041319671363</v>
      </c>
      <c r="J45" s="25">
        <f t="shared" si="19"/>
        <v>0.15055929618309621</v>
      </c>
      <c r="L45" s="22">
        <f t="shared" si="18"/>
        <v>50664.031450671544</v>
      </c>
      <c r="M45" s="5">
        <f>scrimecost*Meta!O42</f>
        <v>8109.0140000000001</v>
      </c>
      <c r="N45" s="5">
        <f>L45-Grade10!L45</f>
        <v>553.60301305118628</v>
      </c>
      <c r="O45" s="5">
        <f>Grade10!M45-M45</f>
        <v>168.56199999999899</v>
      </c>
      <c r="P45" s="22">
        <f t="shared" si="22"/>
        <v>85.091645502068218</v>
      </c>
      <c r="Q45" s="22"/>
      <c r="R45" s="22"/>
      <c r="S45" s="22">
        <f t="shared" si="20"/>
        <v>490.52885919869192</v>
      </c>
      <c r="T45" s="22">
        <f t="shared" si="21"/>
        <v>495.99875379580664</v>
      </c>
    </row>
    <row r="46" spans="1:20" x14ac:dyDescent="0.2">
      <c r="A46" s="5">
        <v>55</v>
      </c>
      <c r="B46" s="1">
        <f t="shared" si="13"/>
        <v>2.555682416076114</v>
      </c>
      <c r="C46" s="5">
        <f t="shared" si="14"/>
        <v>40323.284196727087</v>
      </c>
      <c r="D46" s="5">
        <f t="shared" si="15"/>
        <v>37974.572198038011</v>
      </c>
      <c r="E46" s="5">
        <f t="shared" si="1"/>
        <v>28474.572198038011</v>
      </c>
      <c r="F46" s="5">
        <f t="shared" si="2"/>
        <v>9598.697822659411</v>
      </c>
      <c r="G46" s="5">
        <f t="shared" si="3"/>
        <v>28375.8743753786</v>
      </c>
      <c r="H46" s="22">
        <f t="shared" si="16"/>
        <v>18549.242875452517</v>
      </c>
      <c r="I46" s="5">
        <f t="shared" si="17"/>
        <v>45162.939177663124</v>
      </c>
      <c r="J46" s="25">
        <f t="shared" si="19"/>
        <v>0.15234146251053238</v>
      </c>
      <c r="L46" s="22">
        <f t="shared" si="18"/>
        <v>51930.632236938312</v>
      </c>
      <c r="M46" s="5">
        <f>scrimecost*Meta!O43</f>
        <v>4497.7649999999994</v>
      </c>
      <c r="N46" s="5">
        <f>L46-Grade10!L46</f>
        <v>567.44308837744029</v>
      </c>
      <c r="O46" s="5">
        <f>Grade10!M46-M46</f>
        <v>93.494999999999891</v>
      </c>
      <c r="P46" s="22">
        <f t="shared" si="22"/>
        <v>86.791130784430763</v>
      </c>
      <c r="Q46" s="22"/>
      <c r="R46" s="22"/>
      <c r="S46" s="22">
        <f t="shared" si="20"/>
        <v>432.80770523779142</v>
      </c>
      <c r="T46" s="22">
        <f t="shared" si="21"/>
        <v>437.76168098522413</v>
      </c>
    </row>
    <row r="47" spans="1:20" x14ac:dyDescent="0.2">
      <c r="A47" s="5">
        <v>56</v>
      </c>
      <c r="B47" s="1">
        <f t="shared" si="13"/>
        <v>2.6195744764780171</v>
      </c>
      <c r="C47" s="5">
        <f t="shared" si="14"/>
        <v>41331.36630164527</v>
      </c>
      <c r="D47" s="5">
        <f t="shared" si="15"/>
        <v>38886.886502988971</v>
      </c>
      <c r="E47" s="5">
        <f t="shared" si="1"/>
        <v>29386.886502988971</v>
      </c>
      <c r="F47" s="5">
        <f t="shared" si="2"/>
        <v>9896.5684432258986</v>
      </c>
      <c r="G47" s="5">
        <f t="shared" si="3"/>
        <v>28990.318059763071</v>
      </c>
      <c r="H47" s="22">
        <f t="shared" si="16"/>
        <v>19012.973947338833</v>
      </c>
      <c r="I47" s="5">
        <f t="shared" si="17"/>
        <v>46197.059482104713</v>
      </c>
      <c r="J47" s="25">
        <f t="shared" si="19"/>
        <v>0.15408016136656774</v>
      </c>
      <c r="L47" s="22">
        <f t="shared" si="18"/>
        <v>53228.89804286178</v>
      </c>
      <c r="M47" s="5">
        <f>scrimecost*Meta!O44</f>
        <v>4497.7649999999994</v>
      </c>
      <c r="N47" s="5">
        <f>L47-Grade10!L47</f>
        <v>581.62916558689176</v>
      </c>
      <c r="O47" s="5">
        <f>Grade10!M47-M47</f>
        <v>93.494999999999891</v>
      </c>
      <c r="P47" s="22">
        <f t="shared" si="22"/>
        <v>88.53310319885243</v>
      </c>
      <c r="Q47" s="22"/>
      <c r="R47" s="22"/>
      <c r="S47" s="22">
        <f t="shared" si="20"/>
        <v>441.20006907788769</v>
      </c>
      <c r="T47" s="22">
        <f t="shared" si="21"/>
        <v>446.3803503218719</v>
      </c>
    </row>
    <row r="48" spans="1:20" x14ac:dyDescent="0.2">
      <c r="A48" s="5">
        <v>57</v>
      </c>
      <c r="B48" s="1">
        <f t="shared" si="13"/>
        <v>2.6850638383899672</v>
      </c>
      <c r="C48" s="5">
        <f t="shared" si="14"/>
        <v>42364.6504591864</v>
      </c>
      <c r="D48" s="5">
        <f t="shared" si="15"/>
        <v>39822.008665563691</v>
      </c>
      <c r="E48" s="5">
        <f t="shared" si="1"/>
        <v>30322.008665563691</v>
      </c>
      <c r="F48" s="5">
        <f t="shared" si="2"/>
        <v>10201.885829306546</v>
      </c>
      <c r="G48" s="5">
        <f t="shared" si="3"/>
        <v>29620.122836257146</v>
      </c>
      <c r="H48" s="22">
        <f t="shared" si="16"/>
        <v>19488.298296022302</v>
      </c>
      <c r="I48" s="5">
        <f t="shared" si="17"/>
        <v>47257.032794157334</v>
      </c>
      <c r="J48" s="25">
        <f t="shared" si="19"/>
        <v>0.15577645293343151</v>
      </c>
      <c r="L48" s="22">
        <f t="shared" si="18"/>
        <v>54559.620493933318</v>
      </c>
      <c r="M48" s="5">
        <f>scrimecost*Meta!O45</f>
        <v>4497.7649999999994</v>
      </c>
      <c r="N48" s="5">
        <f>L48-Grade10!L48</f>
        <v>596.16989472656132</v>
      </c>
      <c r="O48" s="5">
        <f>Grade10!M48-M48</f>
        <v>93.494999999999891</v>
      </c>
      <c r="P48" s="22">
        <f t="shared" si="22"/>
        <v>90.318624923634616</v>
      </c>
      <c r="Q48" s="22"/>
      <c r="R48" s="22"/>
      <c r="S48" s="22">
        <f t="shared" si="20"/>
        <v>449.80224201397749</v>
      </c>
      <c r="T48" s="22">
        <f t="shared" si="21"/>
        <v>455.21634785710796</v>
      </c>
    </row>
    <row r="49" spans="1:20" x14ac:dyDescent="0.2">
      <c r="A49" s="5">
        <v>58</v>
      </c>
      <c r="B49" s="1">
        <f t="shared" si="13"/>
        <v>2.7521904343497163</v>
      </c>
      <c r="C49" s="5">
        <f t="shared" si="14"/>
        <v>43423.766720666055</v>
      </c>
      <c r="D49" s="5">
        <f t="shared" si="15"/>
        <v>40780.508882202783</v>
      </c>
      <c r="E49" s="5">
        <f t="shared" si="1"/>
        <v>31280.508882202783</v>
      </c>
      <c r="F49" s="5">
        <f t="shared" si="2"/>
        <v>10514.836150039209</v>
      </c>
      <c r="G49" s="5">
        <f t="shared" si="3"/>
        <v>30265.672732163574</v>
      </c>
      <c r="H49" s="22">
        <f t="shared" si="16"/>
        <v>19975.505753422858</v>
      </c>
      <c r="I49" s="5">
        <f t="shared" si="17"/>
        <v>48343.505439011264</v>
      </c>
      <c r="J49" s="25">
        <f t="shared" si="19"/>
        <v>0.15743137153524983</v>
      </c>
      <c r="L49" s="22">
        <f t="shared" si="18"/>
        <v>55923.611006281651</v>
      </c>
      <c r="M49" s="5">
        <f>scrimecost*Meta!O46</f>
        <v>4497.7649999999994</v>
      </c>
      <c r="N49" s="5">
        <f>L49-Grade10!L49</f>
        <v>611.07414209473063</v>
      </c>
      <c r="O49" s="5">
        <f>Grade10!M49-M49</f>
        <v>93.494999999999891</v>
      </c>
      <c r="P49" s="22">
        <f t="shared" si="22"/>
        <v>92.148784691536363</v>
      </c>
      <c r="Q49" s="22"/>
      <c r="R49" s="22"/>
      <c r="S49" s="22">
        <f t="shared" si="20"/>
        <v>458.6194692734735</v>
      </c>
      <c r="T49" s="22">
        <f t="shared" si="21"/>
        <v>464.27517160320866</v>
      </c>
    </row>
    <row r="50" spans="1:20" x14ac:dyDescent="0.2">
      <c r="A50" s="5">
        <v>59</v>
      </c>
      <c r="B50" s="1">
        <f t="shared" si="13"/>
        <v>2.8209951952084591</v>
      </c>
      <c r="C50" s="5">
        <f t="shared" si="14"/>
        <v>44509.360888682706</v>
      </c>
      <c r="D50" s="5">
        <f t="shared" si="15"/>
        <v>41762.971604257851</v>
      </c>
      <c r="E50" s="5">
        <f t="shared" si="1"/>
        <v>32262.971604257851</v>
      </c>
      <c r="F50" s="5">
        <f t="shared" si="2"/>
        <v>10835.610228790189</v>
      </c>
      <c r="G50" s="5">
        <f t="shared" si="3"/>
        <v>30927.361375467663</v>
      </c>
      <c r="H50" s="22">
        <f t="shared" si="16"/>
        <v>20474.893397258427</v>
      </c>
      <c r="I50" s="5">
        <f t="shared" si="17"/>
        <v>49457.139899986541</v>
      </c>
      <c r="J50" s="25">
        <f t="shared" si="19"/>
        <v>0.15904592626873104</v>
      </c>
      <c r="L50" s="22">
        <f t="shared" si="18"/>
        <v>57321.701281438691</v>
      </c>
      <c r="M50" s="5">
        <f>scrimecost*Meta!O47</f>
        <v>4497.7649999999994</v>
      </c>
      <c r="N50" s="5">
        <f>L50-Grade10!L50</f>
        <v>626.35099564708798</v>
      </c>
      <c r="O50" s="5">
        <f>Grade10!M50-M50</f>
        <v>93.494999999999891</v>
      </c>
      <c r="P50" s="22">
        <f t="shared" si="22"/>
        <v>94.024698453635622</v>
      </c>
      <c r="Q50" s="22"/>
      <c r="R50" s="22"/>
      <c r="S50" s="22">
        <f t="shared" si="20"/>
        <v>467.65712721444902</v>
      </c>
      <c r="T50" s="22">
        <f t="shared" si="21"/>
        <v>473.56245866747224</v>
      </c>
    </row>
    <row r="51" spans="1:20" x14ac:dyDescent="0.2">
      <c r="A51" s="5">
        <v>60</v>
      </c>
      <c r="B51" s="1">
        <f t="shared" si="13"/>
        <v>2.8915200750886707</v>
      </c>
      <c r="C51" s="5">
        <f t="shared" si="14"/>
        <v>45622.094910899781</v>
      </c>
      <c r="D51" s="5">
        <f t="shared" si="15"/>
        <v>42769.9958943643</v>
      </c>
      <c r="E51" s="5">
        <f t="shared" si="1"/>
        <v>33269.9958943643</v>
      </c>
      <c r="F51" s="5">
        <f t="shared" si="2"/>
        <v>11164.403659509944</v>
      </c>
      <c r="G51" s="5">
        <f t="shared" si="3"/>
        <v>31605.592234854354</v>
      </c>
      <c r="H51" s="22">
        <f t="shared" si="16"/>
        <v>20986.765732189891</v>
      </c>
      <c r="I51" s="5">
        <f t="shared" si="17"/>
        <v>50598.615222486202</v>
      </c>
      <c r="J51" s="25">
        <f t="shared" si="19"/>
        <v>0.16062110161846885</v>
      </c>
      <c r="L51" s="22">
        <f t="shared" si="18"/>
        <v>58754.743813474663</v>
      </c>
      <c r="M51" s="5">
        <f>scrimecost*Meta!O48</f>
        <v>2372.7339999999999</v>
      </c>
      <c r="N51" s="5">
        <f>L51-Grade10!L51</f>
        <v>642.00977053828683</v>
      </c>
      <c r="O51" s="5">
        <f>Grade10!M51-M51</f>
        <v>49.322000000000116</v>
      </c>
      <c r="P51" s="22">
        <f t="shared" si="22"/>
        <v>95.94751005978739</v>
      </c>
      <c r="Q51" s="22"/>
      <c r="R51" s="22"/>
      <c r="S51" s="22">
        <f t="shared" si="20"/>
        <v>438.13683260396476</v>
      </c>
      <c r="T51" s="22">
        <f t="shared" si="21"/>
        <v>443.7988892390764</v>
      </c>
    </row>
    <row r="52" spans="1:20" x14ac:dyDescent="0.2">
      <c r="A52" s="5">
        <v>61</v>
      </c>
      <c r="B52" s="1">
        <f t="shared" si="13"/>
        <v>2.9638080769658868</v>
      </c>
      <c r="C52" s="5">
        <f t="shared" si="14"/>
        <v>46762.647283672261</v>
      </c>
      <c r="D52" s="5">
        <f t="shared" si="15"/>
        <v>43802.195791723396</v>
      </c>
      <c r="E52" s="5">
        <f t="shared" si="1"/>
        <v>34302.195791723396</v>
      </c>
      <c r="F52" s="5">
        <f t="shared" si="2"/>
        <v>11501.416925997688</v>
      </c>
      <c r="G52" s="5">
        <f t="shared" si="3"/>
        <v>32300.778865725708</v>
      </c>
      <c r="H52" s="22">
        <f t="shared" si="16"/>
        <v>21511.43487549463</v>
      </c>
      <c r="I52" s="5">
        <f t="shared" si="17"/>
        <v>51768.627428048349</v>
      </c>
      <c r="J52" s="25">
        <f t="shared" si="19"/>
        <v>0.16215785805723743</v>
      </c>
      <c r="L52" s="22">
        <f t="shared" si="18"/>
        <v>60223.61240881151</v>
      </c>
      <c r="M52" s="5">
        <f>scrimecost*Meta!O49</f>
        <v>2372.7339999999999</v>
      </c>
      <c r="N52" s="5">
        <f>L52-Grade10!L52</f>
        <v>658.06001480172563</v>
      </c>
      <c r="O52" s="5">
        <f>Grade10!M52-M52</f>
        <v>49.322000000000116</v>
      </c>
      <c r="P52" s="22">
        <f t="shared" si="22"/>
        <v>97.918391956092933</v>
      </c>
      <c r="Q52" s="22"/>
      <c r="R52" s="22"/>
      <c r="S52" s="22">
        <f t="shared" si="20"/>
        <v>447.63202197819896</v>
      </c>
      <c r="T52" s="22">
        <f t="shared" si="21"/>
        <v>453.54912232966876</v>
      </c>
    </row>
    <row r="53" spans="1:20" x14ac:dyDescent="0.2">
      <c r="A53" s="5">
        <v>62</v>
      </c>
      <c r="B53" s="1">
        <f t="shared" si="13"/>
        <v>3.0379032788900342</v>
      </c>
      <c r="C53" s="5">
        <f t="shared" si="14"/>
        <v>47931.713465764071</v>
      </c>
      <c r="D53" s="5">
        <f t="shared" si="15"/>
        <v>44860.200686516488</v>
      </c>
      <c r="E53" s="5">
        <f t="shared" si="1"/>
        <v>35360.200686516488</v>
      </c>
      <c r="F53" s="5">
        <f t="shared" si="2"/>
        <v>11932.875592799282</v>
      </c>
      <c r="G53" s="5">
        <f t="shared" si="3"/>
        <v>32927.325093717205</v>
      </c>
      <c r="H53" s="22">
        <f t="shared" si="16"/>
        <v>22049.220747381998</v>
      </c>
      <c r="I53" s="5">
        <f t="shared" si="17"/>
        <v>52881.869870097915</v>
      </c>
      <c r="J53" s="25">
        <f t="shared" si="19"/>
        <v>0.16501535684919605</v>
      </c>
      <c r="L53" s="22">
        <f t="shared" si="18"/>
        <v>61729.202719031804</v>
      </c>
      <c r="M53" s="5">
        <f>scrimecost*Meta!O50</f>
        <v>2372.7339999999999</v>
      </c>
      <c r="N53" s="5">
        <f>L53-Grade10!L53</f>
        <v>674.51151517178369</v>
      </c>
      <c r="O53" s="5">
        <f>Grade10!M53-M53</f>
        <v>49.322000000000116</v>
      </c>
      <c r="P53" s="22">
        <f t="shared" si="22"/>
        <v>100.44159848818448</v>
      </c>
      <c r="Q53" s="22"/>
      <c r="R53" s="22"/>
      <c r="S53" s="22">
        <f t="shared" si="20"/>
        <v>457.80627125940134</v>
      </c>
      <c r="T53" s="22">
        <f t="shared" si="21"/>
        <v>463.99324613439666</v>
      </c>
    </row>
    <row r="54" spans="1:20" x14ac:dyDescent="0.2">
      <c r="A54" s="5">
        <v>63</v>
      </c>
      <c r="B54" s="1">
        <f t="shared" si="13"/>
        <v>3.1138508608622844</v>
      </c>
      <c r="C54" s="5">
        <f t="shared" si="14"/>
        <v>49130.006302408154</v>
      </c>
      <c r="D54" s="5">
        <f t="shared" si="15"/>
        <v>45944.655703679382</v>
      </c>
      <c r="E54" s="5">
        <f t="shared" si="1"/>
        <v>36444.655703679382</v>
      </c>
      <c r="F54" s="5">
        <f t="shared" si="2"/>
        <v>12395.395657619256</v>
      </c>
      <c r="G54" s="5">
        <f t="shared" si="3"/>
        <v>33549.260046060124</v>
      </c>
      <c r="H54" s="22">
        <f t="shared" si="16"/>
        <v>22600.451266066546</v>
      </c>
      <c r="I54" s="5">
        <f t="shared" si="17"/>
        <v>54002.66844185035</v>
      </c>
      <c r="J54" s="25">
        <f t="shared" si="19"/>
        <v>0.16811548588184391</v>
      </c>
      <c r="L54" s="22">
        <f t="shared" si="18"/>
        <v>63272.432787007587</v>
      </c>
      <c r="M54" s="5">
        <f>scrimecost*Meta!O51</f>
        <v>2372.7339999999999</v>
      </c>
      <c r="N54" s="5">
        <f>L54-Grade10!L54</f>
        <v>691.37430305105227</v>
      </c>
      <c r="O54" s="5">
        <f>Grade10!M54-M54</f>
        <v>49.322000000000116</v>
      </c>
      <c r="P54" s="22">
        <f t="shared" si="22"/>
        <v>103.14645468548464</v>
      </c>
      <c r="Q54" s="22"/>
      <c r="R54" s="22"/>
      <c r="S54" s="22">
        <f t="shared" si="20"/>
        <v>468.33898079528763</v>
      </c>
      <c r="T54" s="22">
        <f t="shared" si="21"/>
        <v>474.80683854297473</v>
      </c>
    </row>
    <row r="55" spans="1:20" x14ac:dyDescent="0.2">
      <c r="A55" s="5">
        <v>64</v>
      </c>
      <c r="B55" s="1">
        <f t="shared" si="13"/>
        <v>3.1916971323838421</v>
      </c>
      <c r="C55" s="5">
        <f t="shared" si="14"/>
        <v>50358.256459968368</v>
      </c>
      <c r="D55" s="5">
        <f t="shared" si="15"/>
        <v>47056.222096271376</v>
      </c>
      <c r="E55" s="5">
        <f t="shared" si="1"/>
        <v>37556.222096271376</v>
      </c>
      <c r="F55" s="5">
        <f t="shared" si="2"/>
        <v>12869.478724059742</v>
      </c>
      <c r="G55" s="5">
        <f t="shared" si="3"/>
        <v>34186.743372211633</v>
      </c>
      <c r="H55" s="22">
        <f t="shared" si="16"/>
        <v>23165.462547718213</v>
      </c>
      <c r="I55" s="5">
        <f t="shared" si="17"/>
        <v>55151.486977896617</v>
      </c>
      <c r="J55" s="25">
        <f t="shared" si="19"/>
        <v>0.17114000201125654</v>
      </c>
      <c r="L55" s="22">
        <f t="shared" si="18"/>
        <v>64854.243606682787</v>
      </c>
      <c r="M55" s="5">
        <f>scrimecost*Meta!O52</f>
        <v>2372.7339999999999</v>
      </c>
      <c r="N55" s="5">
        <f>L55-Grade10!L55</f>
        <v>708.65866062734131</v>
      </c>
      <c r="O55" s="5">
        <f>Grade10!M55-M55</f>
        <v>49.322000000000116</v>
      </c>
      <c r="P55" s="22">
        <f t="shared" si="22"/>
        <v>105.91893228771737</v>
      </c>
      <c r="Q55" s="22"/>
      <c r="R55" s="22"/>
      <c r="S55" s="22">
        <f t="shared" si="20"/>
        <v>479.1350080695899</v>
      </c>
      <c r="T55" s="22">
        <f t="shared" si="21"/>
        <v>485.89373579749747</v>
      </c>
    </row>
    <row r="56" spans="1:20" x14ac:dyDescent="0.2">
      <c r="A56" s="5">
        <v>65</v>
      </c>
      <c r="B56" s="1">
        <f t="shared" si="13"/>
        <v>3.2714895606934378</v>
      </c>
      <c r="C56" s="5">
        <f t="shared" si="14"/>
        <v>51617.212871467578</v>
      </c>
      <c r="D56" s="5">
        <f t="shared" si="15"/>
        <v>48195.577648678161</v>
      </c>
      <c r="E56" s="5">
        <f t="shared" si="1"/>
        <v>38695.577648678161</v>
      </c>
      <c r="F56" s="5">
        <f t="shared" si="2"/>
        <v>13355.413867161236</v>
      </c>
      <c r="G56" s="5">
        <f t="shared" si="3"/>
        <v>34840.163781516923</v>
      </c>
      <c r="H56" s="22">
        <f t="shared" si="16"/>
        <v>23744.599111411168</v>
      </c>
      <c r="I56" s="5">
        <f t="shared" si="17"/>
        <v>56329.025977344034</v>
      </c>
      <c r="J56" s="25">
        <f t="shared" si="19"/>
        <v>0.17409074945458594</v>
      </c>
      <c r="L56" s="22">
        <f t="shared" si="18"/>
        <v>66475.599696849851</v>
      </c>
      <c r="M56" s="5">
        <f>scrimecost*Meta!O53</f>
        <v>717.03499999999997</v>
      </c>
      <c r="N56" s="5">
        <f>L56-Grade10!L56</f>
        <v>726.37512714303739</v>
      </c>
      <c r="O56" s="5">
        <f>Grade10!M56-M56</f>
        <v>14.905000000000086</v>
      </c>
      <c r="P56" s="22">
        <f t="shared" si="22"/>
        <v>108.76072183000591</v>
      </c>
      <c r="Q56" s="22"/>
      <c r="R56" s="22"/>
      <c r="S56" s="22">
        <f t="shared" si="20"/>
        <v>459.98281002574964</v>
      </c>
      <c r="T56" s="22">
        <f t="shared" si="21"/>
        <v>466.60752214497711</v>
      </c>
    </row>
    <row r="57" spans="1:20" x14ac:dyDescent="0.2">
      <c r="A57" s="5">
        <v>66</v>
      </c>
      <c r="C57" s="5"/>
      <c r="H57" s="21"/>
      <c r="I57" s="5"/>
      <c r="M57" s="5">
        <f>scrimecost*Meta!O54</f>
        <v>717.03499999999997</v>
      </c>
      <c r="N57" s="5">
        <f>L57-Grade10!L57</f>
        <v>0</v>
      </c>
      <c r="O57" s="5">
        <f>Grade10!M57-M57</f>
        <v>14.905000000000086</v>
      </c>
      <c r="Q57" s="22"/>
      <c r="R57" s="22"/>
      <c r="S57" s="22">
        <f t="shared" si="20"/>
        <v>13.086590000000076</v>
      </c>
      <c r="T57" s="22">
        <f t="shared" si="21"/>
        <v>13.278938742030235</v>
      </c>
    </row>
    <row r="58" spans="1:20" x14ac:dyDescent="0.2">
      <c r="A58" s="5">
        <v>67</v>
      </c>
      <c r="C58" s="5"/>
      <c r="H58" s="21"/>
      <c r="I58" s="5"/>
      <c r="M58" s="5">
        <f>scrimecost*Meta!O55</f>
        <v>717.03499999999997</v>
      </c>
      <c r="N58" s="5">
        <f>L58-Grade10!L58</f>
        <v>0</v>
      </c>
      <c r="O58" s="5">
        <f>Grade10!M58-M58</f>
        <v>14.905000000000086</v>
      </c>
      <c r="Q58" s="22"/>
      <c r="R58" s="22"/>
      <c r="S58" s="22">
        <f t="shared" si="20"/>
        <v>13.086590000000076</v>
      </c>
      <c r="T58" s="22">
        <f t="shared" si="21"/>
        <v>13.282814416563467</v>
      </c>
    </row>
    <row r="59" spans="1:20" x14ac:dyDescent="0.2">
      <c r="A59" s="5">
        <v>68</v>
      </c>
      <c r="H59" s="21"/>
      <c r="I59" s="5"/>
      <c r="M59" s="5">
        <f>scrimecost*Meta!O56</f>
        <v>717.03499999999997</v>
      </c>
      <c r="N59" s="5">
        <f>L59-Grade10!L59</f>
        <v>0</v>
      </c>
      <c r="O59" s="5">
        <f>Grade10!M59-M59</f>
        <v>14.905000000000086</v>
      </c>
      <c r="Q59" s="22"/>
      <c r="R59" s="22"/>
      <c r="S59" s="22">
        <f t="shared" si="20"/>
        <v>13.086590000000076</v>
      </c>
      <c r="T59" s="22">
        <f t="shared" si="21"/>
        <v>13.286691222275429</v>
      </c>
    </row>
    <row r="60" spans="1:20" x14ac:dyDescent="0.2">
      <c r="A60" s="5">
        <v>69</v>
      </c>
      <c r="H60" s="21"/>
      <c r="I60" s="5"/>
      <c r="M60" s="5">
        <f>scrimecost*Meta!O57</f>
        <v>717.03499999999997</v>
      </c>
      <c r="N60" s="5">
        <f>L60-Grade10!L60</f>
        <v>0</v>
      </c>
      <c r="O60" s="5">
        <f>Grade10!M60-M60</f>
        <v>14.905000000000086</v>
      </c>
      <c r="Q60" s="22"/>
      <c r="R60" s="22"/>
      <c r="S60" s="22">
        <f t="shared" si="20"/>
        <v>13.086590000000076</v>
      </c>
      <c r="T60" s="22">
        <f t="shared" si="21"/>
        <v>13.290569159496277</v>
      </c>
    </row>
    <row r="61" spans="1:20" x14ac:dyDescent="0.2">
      <c r="A61" s="5">
        <v>70</v>
      </c>
      <c r="H61" s="21"/>
      <c r="I61" s="5"/>
      <c r="M61" s="5">
        <f>scrimecost*Meta!O58</f>
        <v>717.03499999999997</v>
      </c>
      <c r="N61" s="5">
        <f>L61-Grade10!L61</f>
        <v>0</v>
      </c>
      <c r="O61" s="5">
        <f>Grade10!M61-M61</f>
        <v>14.905000000000086</v>
      </c>
      <c r="Q61" s="22"/>
      <c r="R61" s="22"/>
      <c r="S61" s="22">
        <f t="shared" si="20"/>
        <v>13.086590000000076</v>
      </c>
      <c r="T61" s="22">
        <f t="shared" si="21"/>
        <v>13.294448228556259</v>
      </c>
    </row>
    <row r="62" spans="1:20" x14ac:dyDescent="0.2">
      <c r="A62" s="5">
        <v>71</v>
      </c>
      <c r="H62" s="21"/>
      <c r="I62" s="5"/>
      <c r="M62" s="5">
        <f>scrimecost*Meta!O59</f>
        <v>717.03499999999997</v>
      </c>
      <c r="N62" s="5">
        <f>L62-Grade10!L62</f>
        <v>0</v>
      </c>
      <c r="O62" s="5">
        <f>Grade10!M62-M62</f>
        <v>14.905000000000086</v>
      </c>
      <c r="Q62" s="22"/>
      <c r="R62" s="22"/>
      <c r="S62" s="22">
        <f t="shared" si="20"/>
        <v>13.086590000000076</v>
      </c>
      <c r="T62" s="22">
        <f t="shared" si="21"/>
        <v>13.29832842978572</v>
      </c>
    </row>
    <row r="63" spans="1:20" x14ac:dyDescent="0.2">
      <c r="A63" s="5">
        <v>72</v>
      </c>
      <c r="H63" s="21"/>
      <c r="M63" s="5">
        <f>scrimecost*Meta!O60</f>
        <v>717.03499999999997</v>
      </c>
      <c r="N63" s="5">
        <f>L63-Grade10!L63</f>
        <v>0</v>
      </c>
      <c r="O63" s="5">
        <f>Grade10!M63-M63</f>
        <v>14.905000000000086</v>
      </c>
      <c r="Q63" s="22"/>
      <c r="R63" s="22"/>
      <c r="S63" s="22">
        <f t="shared" si="20"/>
        <v>13.086590000000076</v>
      </c>
      <c r="T63" s="22">
        <f t="shared" si="21"/>
        <v>13.302209763515105</v>
      </c>
    </row>
    <row r="64" spans="1:20" x14ac:dyDescent="0.2">
      <c r="A64" s="5">
        <v>73</v>
      </c>
      <c r="H64" s="21"/>
      <c r="M64" s="5">
        <f>scrimecost*Meta!O61</f>
        <v>717.03499999999997</v>
      </c>
      <c r="N64" s="5">
        <f>L64-Grade10!L64</f>
        <v>0</v>
      </c>
      <c r="O64" s="5">
        <f>Grade10!M64-M64</f>
        <v>14.905000000000086</v>
      </c>
      <c r="Q64" s="22"/>
      <c r="R64" s="22"/>
      <c r="S64" s="22">
        <f t="shared" si="20"/>
        <v>13.086590000000076</v>
      </c>
      <c r="T64" s="22">
        <f t="shared" si="21"/>
        <v>13.306092230074949</v>
      </c>
    </row>
    <row r="65" spans="1:20" x14ac:dyDescent="0.2">
      <c r="A65" s="5">
        <v>74</v>
      </c>
      <c r="H65" s="21"/>
      <c r="M65" s="5">
        <f>scrimecost*Meta!O62</f>
        <v>717.03499999999997</v>
      </c>
      <c r="N65" s="5">
        <f>L65-Grade10!L65</f>
        <v>0</v>
      </c>
      <c r="O65" s="5">
        <f>Grade10!M65-M65</f>
        <v>14.905000000000086</v>
      </c>
      <c r="Q65" s="22"/>
      <c r="R65" s="22"/>
      <c r="S65" s="22">
        <f t="shared" si="20"/>
        <v>13.086590000000076</v>
      </c>
      <c r="T65" s="22">
        <f t="shared" si="21"/>
        <v>13.309975829795889</v>
      </c>
    </row>
    <row r="66" spans="1:20" x14ac:dyDescent="0.2">
      <c r="A66" s="5">
        <v>75</v>
      </c>
      <c r="H66" s="21"/>
      <c r="M66" s="5">
        <f>scrimecost*Meta!O63</f>
        <v>717.03499999999997</v>
      </c>
      <c r="N66" s="5">
        <f>L66-Grade10!L66</f>
        <v>0</v>
      </c>
      <c r="O66" s="5">
        <f>Grade10!M66-M66</f>
        <v>14.905000000000086</v>
      </c>
      <c r="Q66" s="22"/>
      <c r="R66" s="22"/>
      <c r="S66" s="22">
        <f t="shared" si="20"/>
        <v>13.086590000000076</v>
      </c>
      <c r="T66" s="22">
        <f t="shared" si="21"/>
        <v>13.313860563008657</v>
      </c>
    </row>
    <row r="67" spans="1:20" x14ac:dyDescent="0.2">
      <c r="A67" s="5">
        <v>76</v>
      </c>
      <c r="H67" s="21"/>
      <c r="M67" s="5">
        <f>scrimecost*Meta!O64</f>
        <v>717.03499999999997</v>
      </c>
      <c r="N67" s="5">
        <f>L67-Grade10!L67</f>
        <v>0</v>
      </c>
      <c r="O67" s="5">
        <f>Grade10!M67-M67</f>
        <v>14.905000000000086</v>
      </c>
      <c r="Q67" s="22"/>
      <c r="R67" s="22"/>
      <c r="S67" s="22">
        <f t="shared" si="20"/>
        <v>13.086590000000076</v>
      </c>
      <c r="T67" s="22">
        <f t="shared" si="21"/>
        <v>13.317746430044078</v>
      </c>
    </row>
    <row r="68" spans="1:20" x14ac:dyDescent="0.2">
      <c r="A68" s="5">
        <v>77</v>
      </c>
      <c r="H68" s="21"/>
      <c r="M68" s="5">
        <f>scrimecost*Meta!O65</f>
        <v>717.03499999999997</v>
      </c>
      <c r="N68" s="5">
        <f>L68-Grade10!L68</f>
        <v>0</v>
      </c>
      <c r="O68" s="5">
        <f>Grade10!M68-M68</f>
        <v>14.905000000000086</v>
      </c>
      <c r="Q68" s="22"/>
      <c r="R68" s="22"/>
      <c r="S68" s="22">
        <f t="shared" si="20"/>
        <v>13.086590000000076</v>
      </c>
      <c r="T68" s="22">
        <f t="shared" si="21"/>
        <v>13.321633431233078</v>
      </c>
    </row>
    <row r="69" spans="1:20" x14ac:dyDescent="0.2">
      <c r="A69" s="5">
        <v>78</v>
      </c>
      <c r="H69" s="21"/>
      <c r="M69" s="5">
        <f>scrimecost*Meta!O66</f>
        <v>717.03499999999997</v>
      </c>
      <c r="N69" s="5">
        <f>L69-Grade10!L69</f>
        <v>0</v>
      </c>
      <c r="O69" s="5">
        <f>Grade10!M69-M69</f>
        <v>14.905000000000086</v>
      </c>
      <c r="Q69" s="22"/>
      <c r="R69" s="22"/>
      <c r="S69" s="22">
        <f t="shared" si="20"/>
        <v>13.086590000000076</v>
      </c>
      <c r="T69" s="22">
        <f t="shared" si="21"/>
        <v>13.325521566906682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-2.0371556885834252E-8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P9" sqref="P9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Meta!A6+6</f>
        <v>18</v>
      </c>
      <c r="C2" s="7">
        <f>Meta!B6</f>
        <v>34621</v>
      </c>
      <c r="D2" s="7">
        <f>Meta!C6</f>
        <v>15926</v>
      </c>
      <c r="E2" s="1">
        <f>Meta!D6</f>
        <v>7.9000000000000001E-2</v>
      </c>
      <c r="F2" s="1">
        <f>Meta!F6</f>
        <v>0.60899999999999999</v>
      </c>
      <c r="G2" s="1">
        <f>Meta!I6</f>
        <v>1.8929079672445346</v>
      </c>
      <c r="H2" s="1">
        <f>Meta!E6</f>
        <v>0.878</v>
      </c>
      <c r="I2" s="13"/>
      <c r="J2" s="1">
        <f>Meta!X5</f>
        <v>0.55100000000000005</v>
      </c>
      <c r="K2" s="1">
        <f>Meta!D5</f>
        <v>9.5000000000000001E-2</v>
      </c>
      <c r="L2" s="28"/>
      <c r="N2" s="22">
        <f>Meta!T6</f>
        <v>30199</v>
      </c>
      <c r="O2" s="22">
        <f>Meta!U6</f>
        <v>13891</v>
      </c>
      <c r="P2" s="1">
        <f>Meta!V6</f>
        <v>9.6000000000000002E-2</v>
      </c>
      <c r="Q2" s="1">
        <f>Meta!X6</f>
        <v>0.55700000000000005</v>
      </c>
      <c r="R2" s="22">
        <f>Meta!W6</f>
        <v>12771</v>
      </c>
      <c r="T2" s="12">
        <f>IRR(S5:S69)+1</f>
        <v>0.99754897710928081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5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5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B8" s="1">
        <v>1</v>
      </c>
      <c r="C8" s="5">
        <f>0.1*Grade11!C8</f>
        <v>1577.7893193254326</v>
      </c>
      <c r="D8" s="5">
        <f t="shared" ref="D8:D36" si="0">IF(A8&lt;startage,1,0)*(C8*(1-initialunempprob))+IF(A8=startage,1,0)*(C8*(1-unempprob))+IF(A8&gt;startage,1,0)*(C8*(1-unempprob)+unempprob*300*52)</f>
        <v>1427.8993339895167</v>
      </c>
      <c r="E8" s="5">
        <f t="shared" ref="E8:E56" si="1">IF(D8-9500&gt;0,1,0)*(D8-9500)</f>
        <v>0</v>
      </c>
      <c r="F8" s="5">
        <f t="shared" ref="F8:F56" si="2">IF(E8&lt;=8500,1,0)*(0.1*E8+0.1*E8+0.0765*D8)+IF(AND(E8&gt;8500,E8&lt;=34500),1,0)*(850+0.15*(E8-8500)+0.1*E8+0.0765*D8)+IF(AND(E8&gt;34500,E8&lt;=83600),1,0)*(4750+0.25*(E8-34500)+0.1*E8+0.0765*D8)+IF(AND(E8&gt;83600,E8&lt;=174400,D8&lt;=106800),1,0)*(17025+0.28*(E8-83600)+0.1*E8+0.0765*D8)+IF(AND(E8&gt;83600,E8&lt;=174400,D8&gt;106800),1,0)*(17025+0.28*(E8-83600)+0.1*E8+8170.2+0.0145*(D8-106800))+IF(AND(E8&gt;174400,E8&lt;=379150),1,0)*(42449+0.33*(E8-174400)+0.1*E8+8170.2+0.0145*(D8-106800))+IF(E8&gt;379150,1,0)*(110016.5+0.35*(E8-379150)+0.1*E8+8170.2+0.0145*(D8-106800))</f>
        <v>109.23429905019802</v>
      </c>
      <c r="G8" s="5">
        <f t="shared" ref="G8:G56" si="3">D8-F8</f>
        <v>1318.6650349393187</v>
      </c>
      <c r="H8" s="22">
        <f>0.1*Grade11!H8</f>
        <v>725.80390891964726</v>
      </c>
      <c r="I8" s="5">
        <f t="shared" ref="I8:I36" si="4">G8+IF(A8&lt;startage,1,0)*(H8*(1-initialunempprob))+IF(A8&gt;=startage,1,0)*(H8*(1-unempprob))</f>
        <v>1975.5175725115996</v>
      </c>
      <c r="J8" s="25">
        <f t="shared" ref="J8:J39" si="5">(F8-(IF(A8&gt;startage,1,0)*(unempprob*300*52)))/(IF(A8&lt;startage,1,0)*((C8+H8)*(1-initialunempprob))+IF(A8&gt;=startage,1,0)*((C8+H8)*(1-unempprob)))</f>
        <v>5.2396786658531619E-2</v>
      </c>
      <c r="L8" s="22">
        <f>0.1*Grade11!L8</f>
        <v>2031.9673489271177</v>
      </c>
      <c r="M8" s="5">
        <f>scrimecost*Meta!O5</f>
        <v>34634.952000000005</v>
      </c>
      <c r="N8" s="5">
        <f>L8-Grade11!L8</f>
        <v>-18287.706140344057</v>
      </c>
      <c r="O8" s="5"/>
      <c r="P8" s="22"/>
      <c r="Q8" s="22">
        <f>0.05*feel*Grade11!G8</f>
        <v>171.23192353979815</v>
      </c>
      <c r="R8" s="22">
        <f>hstuition</f>
        <v>11298</v>
      </c>
      <c r="S8" s="22">
        <f t="shared" ref="S8:S39" si="6">IF(A8&lt;startage,1,0)*(N8-Q8-R8)+IF(A8&gt;=startage,1,0)*completionprob*(N8*spart+O8+P8)</f>
        <v>-29756.938063883856</v>
      </c>
      <c r="T8" s="22">
        <f t="shared" ref="T8:T39" si="7">S8/sreturn^(A8-startage+1)</f>
        <v>-29756.938063883856</v>
      </c>
    </row>
    <row r="9" spans="1:20" x14ac:dyDescent="0.2">
      <c r="A9" s="5">
        <v>18</v>
      </c>
      <c r="B9" s="1">
        <f t="shared" ref="B9:B36" si="8">(1+experiencepremium)^(A9-startage)</f>
        <v>1</v>
      </c>
      <c r="C9" s="5">
        <f t="shared" ref="C9:C36" si="9">pretaxincome*B9/expnorm</f>
        <v>18289.848528873299</v>
      </c>
      <c r="D9" s="5">
        <f t="shared" si="0"/>
        <v>16844.950495092307</v>
      </c>
      <c r="E9" s="5">
        <f t="shared" si="1"/>
        <v>7344.9504950923074</v>
      </c>
      <c r="F9" s="5">
        <f t="shared" si="2"/>
        <v>2757.6288118930229</v>
      </c>
      <c r="G9" s="5">
        <f t="shared" si="3"/>
        <v>14087.321683199285</v>
      </c>
      <c r="H9" s="22">
        <f t="shared" ref="H9:H36" si="10">benefits*B9/expnorm</f>
        <v>8413.5099411003775</v>
      </c>
      <c r="I9" s="5">
        <f t="shared" si="4"/>
        <v>21836.164338952731</v>
      </c>
      <c r="J9" s="25">
        <f t="shared" si="5"/>
        <v>0.11212702306550021</v>
      </c>
      <c r="L9" s="22">
        <f t="shared" ref="L9:L36" si="11">(sincome+sbenefits)*(1-sunemp)*B9/expnorm</f>
        <v>21056.153119805134</v>
      </c>
      <c r="M9" s="5">
        <f>scrimecost*Meta!O6</f>
        <v>42093.216</v>
      </c>
      <c r="N9" s="5">
        <f>L9-Grade11!L9</f>
        <v>228.48779330218167</v>
      </c>
      <c r="O9" s="5">
        <f>Grade11!M9-M9</f>
        <v>876.73599999999715</v>
      </c>
      <c r="P9" s="22">
        <f t="shared" ref="P9:P56" si="12">(spart-initialspart)*(L9*J9+nptrans)</f>
        <v>53.489782599210614</v>
      </c>
      <c r="Q9" s="22"/>
      <c r="R9" s="22"/>
      <c r="S9" s="22">
        <f t="shared" si="6"/>
        <v>928.47927848536312</v>
      </c>
      <c r="T9" s="22">
        <f t="shared" si="7"/>
        <v>930.76059400705378</v>
      </c>
    </row>
    <row r="10" spans="1:20" x14ac:dyDescent="0.2">
      <c r="A10" s="5">
        <v>19</v>
      </c>
      <c r="B10" s="1">
        <f t="shared" si="8"/>
        <v>1.0249999999999999</v>
      </c>
      <c r="C10" s="5">
        <f t="shared" si="9"/>
        <v>18747.094742095131</v>
      </c>
      <c r="D10" s="5">
        <f t="shared" si="0"/>
        <v>18498.474257469617</v>
      </c>
      <c r="E10" s="5">
        <f t="shared" si="1"/>
        <v>8998.4742574696174</v>
      </c>
      <c r="F10" s="5">
        <f t="shared" si="2"/>
        <v>3239.7518450638299</v>
      </c>
      <c r="G10" s="5">
        <f t="shared" si="3"/>
        <v>15258.722412405787</v>
      </c>
      <c r="H10" s="22">
        <f t="shared" si="10"/>
        <v>8623.8476896278862</v>
      </c>
      <c r="I10" s="5">
        <f t="shared" si="4"/>
        <v>23201.286134553069</v>
      </c>
      <c r="J10" s="25">
        <f t="shared" si="5"/>
        <v>7.9629524081663072E-2</v>
      </c>
      <c r="L10" s="22">
        <f t="shared" si="11"/>
        <v>21582.556947800258</v>
      </c>
      <c r="M10" s="5">
        <f>scrimecost*Meta!O7</f>
        <v>44992.233</v>
      </c>
      <c r="N10" s="5">
        <f>L10-Grade11!L10</f>
        <v>234.19998813472921</v>
      </c>
      <c r="O10" s="5">
        <f>Grade11!M10-M10</f>
        <v>937.11800000000221</v>
      </c>
      <c r="P10" s="22">
        <f t="shared" si="12"/>
        <v>49.635652429312394</v>
      </c>
      <c r="Q10" s="22"/>
      <c r="R10" s="22"/>
      <c r="S10" s="22">
        <f t="shared" si="6"/>
        <v>980.90427423027495</v>
      </c>
      <c r="T10" s="22">
        <f t="shared" si="7"/>
        <v>985.73044822695124</v>
      </c>
    </row>
    <row r="11" spans="1:20" x14ac:dyDescent="0.2">
      <c r="A11" s="5">
        <v>20</v>
      </c>
      <c r="B11" s="1">
        <f t="shared" si="8"/>
        <v>1.0506249999999999</v>
      </c>
      <c r="C11" s="5">
        <f t="shared" si="9"/>
        <v>19215.772110647511</v>
      </c>
      <c r="D11" s="5">
        <f t="shared" si="0"/>
        <v>18930.126113906361</v>
      </c>
      <c r="E11" s="5">
        <f t="shared" si="1"/>
        <v>9430.1261139063608</v>
      </c>
      <c r="F11" s="5">
        <f t="shared" si="2"/>
        <v>3380.6861761904265</v>
      </c>
      <c r="G11" s="5">
        <f t="shared" si="3"/>
        <v>15549.439937715935</v>
      </c>
      <c r="H11" s="22">
        <f t="shared" si="10"/>
        <v>8839.4438818685849</v>
      </c>
      <c r="I11" s="5">
        <f t="shared" si="4"/>
        <v>23690.567752916904</v>
      </c>
      <c r="J11" s="25">
        <f t="shared" si="5"/>
        <v>8.3141697464003794E-2</v>
      </c>
      <c r="L11" s="22">
        <f t="shared" si="11"/>
        <v>22122.120871495266</v>
      </c>
      <c r="M11" s="5">
        <f>scrimecost*Meta!O8</f>
        <v>43089.353999999999</v>
      </c>
      <c r="N11" s="5">
        <f>L11-Grade11!L11</f>
        <v>240.05498783810253</v>
      </c>
      <c r="O11" s="5">
        <f>Grade11!M11-M11</f>
        <v>897.48400000000402</v>
      </c>
      <c r="P11" s="22">
        <f t="shared" si="12"/>
        <v>50.35962408455994</v>
      </c>
      <c r="Q11" s="22"/>
      <c r="R11" s="22"/>
      <c r="S11" s="22">
        <f t="shared" si="6"/>
        <v>949.6046335285198</v>
      </c>
      <c r="T11" s="22">
        <f t="shared" si="7"/>
        <v>956.62151052541321</v>
      </c>
    </row>
    <row r="12" spans="1:20" x14ac:dyDescent="0.2">
      <c r="A12" s="5">
        <v>21</v>
      </c>
      <c r="B12" s="1">
        <f t="shared" si="8"/>
        <v>1.0768906249999999</v>
      </c>
      <c r="C12" s="5">
        <f t="shared" si="9"/>
        <v>19696.166413413695</v>
      </c>
      <c r="D12" s="5">
        <f t="shared" si="0"/>
        <v>19372.569266754017</v>
      </c>
      <c r="E12" s="5">
        <f t="shared" si="1"/>
        <v>9872.569266754017</v>
      </c>
      <c r="F12" s="5">
        <f t="shared" si="2"/>
        <v>3525.1438655951865</v>
      </c>
      <c r="G12" s="5">
        <f t="shared" si="3"/>
        <v>15847.425401158831</v>
      </c>
      <c r="H12" s="22">
        <f t="shared" si="10"/>
        <v>9060.4299789152974</v>
      </c>
      <c r="I12" s="5">
        <f t="shared" si="4"/>
        <v>24192.081411739819</v>
      </c>
      <c r="J12" s="25">
        <f t="shared" si="5"/>
        <v>8.6568208080921513E-2</v>
      </c>
      <c r="L12" s="22">
        <f t="shared" si="11"/>
        <v>22675.173893282648</v>
      </c>
      <c r="M12" s="5">
        <f>scrimecost*Meta!O9</f>
        <v>39130.343999999997</v>
      </c>
      <c r="N12" s="5">
        <f>L12-Grade11!L12</f>
        <v>246.05636253405828</v>
      </c>
      <c r="O12" s="5">
        <f>Grade11!M12-M12</f>
        <v>815.02400000000489</v>
      </c>
      <c r="P12" s="22">
        <f t="shared" si="12"/>
        <v>51.101695031188676</v>
      </c>
      <c r="Q12" s="22"/>
      <c r="R12" s="22"/>
      <c r="S12" s="22">
        <f t="shared" si="6"/>
        <v>880.79124010921907</v>
      </c>
      <c r="T12" s="22">
        <f t="shared" si="7"/>
        <v>889.47977222723171</v>
      </c>
    </row>
    <row r="13" spans="1:20" x14ac:dyDescent="0.2">
      <c r="A13" s="5">
        <v>22</v>
      </c>
      <c r="B13" s="1">
        <f t="shared" si="8"/>
        <v>1.1038128906249998</v>
      </c>
      <c r="C13" s="5">
        <f t="shared" si="9"/>
        <v>20188.570573749035</v>
      </c>
      <c r="D13" s="5">
        <f t="shared" si="0"/>
        <v>19826.073498422862</v>
      </c>
      <c r="E13" s="5">
        <f t="shared" si="1"/>
        <v>10326.073498422862</v>
      </c>
      <c r="F13" s="5">
        <f t="shared" si="2"/>
        <v>3673.2129972350644</v>
      </c>
      <c r="G13" s="5">
        <f t="shared" si="3"/>
        <v>16152.860501187797</v>
      </c>
      <c r="H13" s="22">
        <f t="shared" si="10"/>
        <v>9286.9407283881792</v>
      </c>
      <c r="I13" s="5">
        <f t="shared" si="4"/>
        <v>24706.13291203331</v>
      </c>
      <c r="J13" s="25">
        <f t="shared" si="5"/>
        <v>8.9911145268158285E-2</v>
      </c>
      <c r="L13" s="22">
        <f t="shared" si="11"/>
        <v>23242.05324061471</v>
      </c>
      <c r="M13" s="5">
        <f>scrimecost*Meta!O10</f>
        <v>35860.968000000001</v>
      </c>
      <c r="N13" s="5">
        <f>L13-Grade11!L13</f>
        <v>252.20777159740464</v>
      </c>
      <c r="O13" s="5">
        <f>Grade11!M13-M13</f>
        <v>746.92799999999988</v>
      </c>
      <c r="P13" s="22">
        <f t="shared" si="12"/>
        <v>51.862317751483118</v>
      </c>
      <c r="Q13" s="22"/>
      <c r="R13" s="22"/>
      <c r="S13" s="22">
        <f t="shared" si="6"/>
        <v>824.67910085442645</v>
      </c>
      <c r="T13" s="22">
        <f t="shared" si="7"/>
        <v>834.86037878048285</v>
      </c>
    </row>
    <row r="14" spans="1:20" x14ac:dyDescent="0.2">
      <c r="A14" s="5">
        <v>23</v>
      </c>
      <c r="B14" s="1">
        <f t="shared" si="8"/>
        <v>1.1314082128906247</v>
      </c>
      <c r="C14" s="5">
        <f t="shared" si="9"/>
        <v>20693.284838092761</v>
      </c>
      <c r="D14" s="5">
        <f t="shared" si="0"/>
        <v>20290.915335883434</v>
      </c>
      <c r="E14" s="5">
        <f t="shared" si="1"/>
        <v>10790.915335883434</v>
      </c>
      <c r="F14" s="5">
        <f t="shared" si="2"/>
        <v>3824.9838571659411</v>
      </c>
      <c r="G14" s="5">
        <f t="shared" si="3"/>
        <v>16465.931478717492</v>
      </c>
      <c r="H14" s="22">
        <f t="shared" si="10"/>
        <v>9519.1142465978828</v>
      </c>
      <c r="I14" s="5">
        <f t="shared" si="4"/>
        <v>25233.035699834141</v>
      </c>
      <c r="J14" s="25">
        <f t="shared" si="5"/>
        <v>9.3172547402047903E-2</v>
      </c>
      <c r="L14" s="22">
        <f t="shared" si="11"/>
        <v>23823.104571630076</v>
      </c>
      <c r="M14" s="5">
        <f>scrimecost*Meta!O11</f>
        <v>33511.103999999999</v>
      </c>
      <c r="N14" s="5">
        <f>L14-Grade11!L14</f>
        <v>258.51296588734112</v>
      </c>
      <c r="O14" s="5">
        <f>Grade11!M14-M14</f>
        <v>697.98400000000402</v>
      </c>
      <c r="P14" s="22">
        <f t="shared" si="12"/>
        <v>52.641956039784937</v>
      </c>
      <c r="Q14" s="22"/>
      <c r="R14" s="22"/>
      <c r="S14" s="22">
        <f t="shared" si="6"/>
        <v>785.47432131827532</v>
      </c>
      <c r="T14" s="22">
        <f t="shared" si="7"/>
        <v>797.12535953448366</v>
      </c>
    </row>
    <row r="15" spans="1:20" x14ac:dyDescent="0.2">
      <c r="A15" s="5">
        <v>24</v>
      </c>
      <c r="B15" s="1">
        <f t="shared" si="8"/>
        <v>1.1596934182128902</v>
      </c>
      <c r="C15" s="5">
        <f t="shared" si="9"/>
        <v>21210.616959045077</v>
      </c>
      <c r="D15" s="5">
        <f t="shared" si="0"/>
        <v>20767.378219280519</v>
      </c>
      <c r="E15" s="5">
        <f t="shared" si="1"/>
        <v>11267.378219280519</v>
      </c>
      <c r="F15" s="5">
        <f t="shared" si="2"/>
        <v>3980.5489885950892</v>
      </c>
      <c r="G15" s="5">
        <f t="shared" si="3"/>
        <v>16786.829230685431</v>
      </c>
      <c r="H15" s="22">
        <f t="shared" si="10"/>
        <v>9757.0921027628301</v>
      </c>
      <c r="I15" s="5">
        <f t="shared" si="4"/>
        <v>25773.111057329996</v>
      </c>
      <c r="J15" s="25">
        <f t="shared" si="5"/>
        <v>9.6354403142427977E-2</v>
      </c>
      <c r="L15" s="22">
        <f t="shared" si="11"/>
        <v>24418.682185920825</v>
      </c>
      <c r="M15" s="5">
        <f>scrimecost*Meta!O12</f>
        <v>32016.897000000001</v>
      </c>
      <c r="N15" s="5">
        <f>L15-Grade11!L15</f>
        <v>264.9757900345212</v>
      </c>
      <c r="O15" s="5">
        <f>Grade11!M15-M15</f>
        <v>666.86200000000099</v>
      </c>
      <c r="P15" s="22">
        <f t="shared" si="12"/>
        <v>53.441085285294285</v>
      </c>
      <c r="Q15" s="22"/>
      <c r="R15" s="22"/>
      <c r="S15" s="22">
        <f t="shared" si="6"/>
        <v>762.01145909371178</v>
      </c>
      <c r="T15" s="22">
        <f t="shared" si="7"/>
        <v>775.21453833758073</v>
      </c>
    </row>
    <row r="16" spans="1:20" x14ac:dyDescent="0.2">
      <c r="A16" s="5">
        <v>25</v>
      </c>
      <c r="B16" s="1">
        <f t="shared" si="8"/>
        <v>1.1886857536682125</v>
      </c>
      <c r="C16" s="5">
        <f t="shared" si="9"/>
        <v>21740.882383021206</v>
      </c>
      <c r="D16" s="5">
        <f t="shared" si="0"/>
        <v>21255.752674762534</v>
      </c>
      <c r="E16" s="5">
        <f t="shared" si="1"/>
        <v>11755.752674762534</v>
      </c>
      <c r="F16" s="5">
        <f t="shared" si="2"/>
        <v>4140.0032483099676</v>
      </c>
      <c r="G16" s="5">
        <f t="shared" si="3"/>
        <v>17115.749426452567</v>
      </c>
      <c r="H16" s="22">
        <f t="shared" si="10"/>
        <v>10001.019405331901</v>
      </c>
      <c r="I16" s="5">
        <f t="shared" si="4"/>
        <v>26326.688298763249</v>
      </c>
      <c r="J16" s="25">
        <f t="shared" si="5"/>
        <v>9.9458652645237858E-2</v>
      </c>
      <c r="L16" s="22">
        <f t="shared" si="11"/>
        <v>25029.149240568851</v>
      </c>
      <c r="M16" s="5">
        <f>scrimecost*Meta!O13</f>
        <v>26882.954999999998</v>
      </c>
      <c r="N16" s="5">
        <f>L16-Grade11!L16</f>
        <v>271.60018478539496</v>
      </c>
      <c r="O16" s="5">
        <f>Grade11!M16-M16</f>
        <v>559.93000000000029</v>
      </c>
      <c r="P16" s="22">
        <f t="shared" si="12"/>
        <v>54.260192761941383</v>
      </c>
      <c r="Q16" s="22"/>
      <c r="R16" s="22"/>
      <c r="S16" s="22">
        <f t="shared" si="6"/>
        <v>672.08397321354312</v>
      </c>
      <c r="T16" s="22">
        <f t="shared" si="7"/>
        <v>685.40886634470576</v>
      </c>
    </row>
    <row r="17" spans="1:20" x14ac:dyDescent="0.2">
      <c r="A17" s="5">
        <v>26</v>
      </c>
      <c r="B17" s="1">
        <f t="shared" si="8"/>
        <v>1.2184028975099177</v>
      </c>
      <c r="C17" s="5">
        <f t="shared" si="9"/>
        <v>22284.404442596737</v>
      </c>
      <c r="D17" s="5">
        <f t="shared" si="0"/>
        <v>21756.336491631599</v>
      </c>
      <c r="E17" s="5">
        <f t="shared" si="1"/>
        <v>12256.336491631599</v>
      </c>
      <c r="F17" s="5">
        <f t="shared" si="2"/>
        <v>4303.443864517717</v>
      </c>
      <c r="G17" s="5">
        <f t="shared" si="3"/>
        <v>17452.892627113881</v>
      </c>
      <c r="H17" s="22">
        <f t="shared" si="10"/>
        <v>10251.044890465198</v>
      </c>
      <c r="I17" s="5">
        <f t="shared" si="4"/>
        <v>26894.104971232329</v>
      </c>
      <c r="J17" s="25">
        <f t="shared" si="5"/>
        <v>0.10248718874554014</v>
      </c>
      <c r="L17" s="22">
        <f t="shared" si="11"/>
        <v>25654.877971583068</v>
      </c>
      <c r="M17" s="5">
        <f>scrimecost*Meta!O14</f>
        <v>26882.954999999998</v>
      </c>
      <c r="N17" s="5">
        <f>L17-Grade11!L17</f>
        <v>278.39018940502501</v>
      </c>
      <c r="O17" s="5">
        <f>Grade11!M17-M17</f>
        <v>559.93000000000029</v>
      </c>
      <c r="P17" s="22">
        <f t="shared" si="12"/>
        <v>55.099777925504654</v>
      </c>
      <c r="Q17" s="22"/>
      <c r="R17" s="22"/>
      <c r="S17" s="22">
        <f t="shared" si="6"/>
        <v>676.14175358636317</v>
      </c>
      <c r="T17" s="22">
        <f t="shared" si="7"/>
        <v>691.24134557576201</v>
      </c>
    </row>
    <row r="18" spans="1:20" x14ac:dyDescent="0.2">
      <c r="A18" s="5">
        <v>27</v>
      </c>
      <c r="B18" s="1">
        <f t="shared" si="8"/>
        <v>1.2488629699476654</v>
      </c>
      <c r="C18" s="5">
        <f t="shared" si="9"/>
        <v>22841.514553661647</v>
      </c>
      <c r="D18" s="5">
        <f t="shared" si="0"/>
        <v>22269.434903922378</v>
      </c>
      <c r="E18" s="5">
        <f t="shared" si="1"/>
        <v>12769.434903922378</v>
      </c>
      <c r="F18" s="5">
        <f t="shared" si="2"/>
        <v>4470.9704961306561</v>
      </c>
      <c r="G18" s="5">
        <f t="shared" si="3"/>
        <v>17798.464407791722</v>
      </c>
      <c r="H18" s="22">
        <f t="shared" si="10"/>
        <v>10507.321012726827</v>
      </c>
      <c r="I18" s="5">
        <f t="shared" si="4"/>
        <v>27475.70706051313</v>
      </c>
      <c r="J18" s="25">
        <f t="shared" si="5"/>
        <v>0.10544185811168863</v>
      </c>
      <c r="L18" s="22">
        <f t="shared" si="11"/>
        <v>26296.24992087264</v>
      </c>
      <c r="M18" s="5">
        <f>scrimecost*Meta!O15</f>
        <v>26882.954999999998</v>
      </c>
      <c r="N18" s="5">
        <f>L18-Grade11!L18</f>
        <v>285.34994414014727</v>
      </c>
      <c r="O18" s="5">
        <f>Grade11!M18-M18</f>
        <v>559.93000000000029</v>
      </c>
      <c r="P18" s="22">
        <f t="shared" si="12"/>
        <v>55.96035271815699</v>
      </c>
      <c r="Q18" s="22"/>
      <c r="R18" s="22"/>
      <c r="S18" s="22">
        <f t="shared" si="6"/>
        <v>680.30097846850458</v>
      </c>
      <c r="T18" s="22">
        <f t="shared" si="7"/>
        <v>697.20231306198275</v>
      </c>
    </row>
    <row r="19" spans="1:20" x14ac:dyDescent="0.2">
      <c r="A19" s="5">
        <v>28</v>
      </c>
      <c r="B19" s="1">
        <f t="shared" si="8"/>
        <v>1.2800845441963571</v>
      </c>
      <c r="C19" s="5">
        <f t="shared" si="9"/>
        <v>23412.552417503193</v>
      </c>
      <c r="D19" s="5">
        <f t="shared" si="0"/>
        <v>22795.360776520443</v>
      </c>
      <c r="E19" s="5">
        <f t="shared" si="1"/>
        <v>13295.360776520443</v>
      </c>
      <c r="F19" s="5">
        <f t="shared" si="2"/>
        <v>4642.6852935339248</v>
      </c>
      <c r="G19" s="5">
        <f t="shared" si="3"/>
        <v>18152.675482986517</v>
      </c>
      <c r="H19" s="22">
        <f t="shared" si="10"/>
        <v>10770.004038044995</v>
      </c>
      <c r="I19" s="5">
        <f t="shared" si="4"/>
        <v>28071.849202025958</v>
      </c>
      <c r="J19" s="25">
        <f t="shared" si="5"/>
        <v>0.10832446237134583</v>
      </c>
      <c r="L19" s="22">
        <f t="shared" si="11"/>
        <v>26953.656168894457</v>
      </c>
      <c r="M19" s="5">
        <f>scrimecost*Meta!O16</f>
        <v>26882.954999999998</v>
      </c>
      <c r="N19" s="5">
        <f>L19-Grade11!L19</f>
        <v>292.48369274365177</v>
      </c>
      <c r="O19" s="5">
        <f>Grade11!M19-M19</f>
        <v>559.93000000000029</v>
      </c>
      <c r="P19" s="22">
        <f t="shared" si="12"/>
        <v>56.84244188062565</v>
      </c>
      <c r="Q19" s="22"/>
      <c r="R19" s="22"/>
      <c r="S19" s="22">
        <f t="shared" si="6"/>
        <v>684.56418397270158</v>
      </c>
      <c r="T19" s="22">
        <f t="shared" si="7"/>
        <v>703.2952259471864</v>
      </c>
    </row>
    <row r="20" spans="1:20" x14ac:dyDescent="0.2">
      <c r="A20" s="5">
        <v>29</v>
      </c>
      <c r="B20" s="1">
        <f t="shared" si="8"/>
        <v>1.312086657801266</v>
      </c>
      <c r="C20" s="5">
        <f t="shared" si="9"/>
        <v>23997.866227940773</v>
      </c>
      <c r="D20" s="5">
        <f t="shared" si="0"/>
        <v>23334.434795933455</v>
      </c>
      <c r="E20" s="5">
        <f t="shared" si="1"/>
        <v>13834.434795933455</v>
      </c>
      <c r="F20" s="5">
        <f t="shared" si="2"/>
        <v>4818.692960872273</v>
      </c>
      <c r="G20" s="5">
        <f t="shared" si="3"/>
        <v>18515.741835061184</v>
      </c>
      <c r="H20" s="22">
        <f t="shared" si="10"/>
        <v>11039.254138996121</v>
      </c>
      <c r="I20" s="5">
        <f t="shared" si="4"/>
        <v>28682.894897076614</v>
      </c>
      <c r="J20" s="25">
        <f t="shared" si="5"/>
        <v>0.11113675921003573</v>
      </c>
      <c r="L20" s="22">
        <f t="shared" si="11"/>
        <v>27627.497573116816</v>
      </c>
      <c r="M20" s="5">
        <f>scrimecost*Meta!O17</f>
        <v>26882.954999999998</v>
      </c>
      <c r="N20" s="5">
        <f>L20-Grade11!L20</f>
        <v>299.79578506224425</v>
      </c>
      <c r="O20" s="5">
        <f>Grade11!M20-M20</f>
        <v>559.93000000000029</v>
      </c>
      <c r="P20" s="22">
        <f t="shared" si="12"/>
        <v>57.74658327215603</v>
      </c>
      <c r="Q20" s="22"/>
      <c r="R20" s="22"/>
      <c r="S20" s="22">
        <f t="shared" si="6"/>
        <v>688.93396961450355</v>
      </c>
      <c r="T20" s="22">
        <f t="shared" si="7"/>
        <v>709.5236363172379</v>
      </c>
    </row>
    <row r="21" spans="1:20" x14ac:dyDescent="0.2">
      <c r="A21" s="5">
        <v>30</v>
      </c>
      <c r="B21" s="1">
        <f t="shared" si="8"/>
        <v>1.3448888242462975</v>
      </c>
      <c r="C21" s="5">
        <f t="shared" si="9"/>
        <v>24597.812883639286</v>
      </c>
      <c r="D21" s="5">
        <f t="shared" si="0"/>
        <v>23886.985665831784</v>
      </c>
      <c r="E21" s="5">
        <f t="shared" si="1"/>
        <v>14386.985665831784</v>
      </c>
      <c r="F21" s="5">
        <f t="shared" si="2"/>
        <v>4999.1008198940772</v>
      </c>
      <c r="G21" s="5">
        <f t="shared" si="3"/>
        <v>18887.884845937708</v>
      </c>
      <c r="H21" s="22">
        <f t="shared" si="10"/>
        <v>11315.235492471023</v>
      </c>
      <c r="I21" s="5">
        <f t="shared" si="4"/>
        <v>29309.21673450352</v>
      </c>
      <c r="J21" s="25">
        <f t="shared" si="5"/>
        <v>0.11388046344290387</v>
      </c>
      <c r="L21" s="22">
        <f t="shared" si="11"/>
        <v>28318.185012444737</v>
      </c>
      <c r="M21" s="5">
        <f>scrimecost*Meta!O18</f>
        <v>21672.387000000002</v>
      </c>
      <c r="N21" s="5">
        <f>L21-Grade11!L21</f>
        <v>307.2906796888019</v>
      </c>
      <c r="O21" s="5">
        <f>Grade11!M21-M21</f>
        <v>451.40199999999822</v>
      </c>
      <c r="P21" s="22">
        <f t="shared" si="12"/>
        <v>58.673328198474664</v>
      </c>
      <c r="Q21" s="22"/>
      <c r="R21" s="22"/>
      <c r="S21" s="22">
        <f t="shared" si="6"/>
        <v>598.12541589734906</v>
      </c>
      <c r="T21" s="22">
        <f t="shared" si="7"/>
        <v>617.51469629150756</v>
      </c>
    </row>
    <row r="22" spans="1:20" x14ac:dyDescent="0.2">
      <c r="A22" s="5">
        <v>31</v>
      </c>
      <c r="B22" s="1">
        <f t="shared" si="8"/>
        <v>1.3785110448524549</v>
      </c>
      <c r="C22" s="5">
        <f t="shared" si="9"/>
        <v>25212.758205730268</v>
      </c>
      <c r="D22" s="5">
        <f t="shared" si="0"/>
        <v>24453.35030747758</v>
      </c>
      <c r="E22" s="5">
        <f t="shared" si="1"/>
        <v>14953.35030747758</v>
      </c>
      <c r="F22" s="5">
        <f t="shared" si="2"/>
        <v>5184.0188753914299</v>
      </c>
      <c r="G22" s="5">
        <f t="shared" si="3"/>
        <v>19269.33143208615</v>
      </c>
      <c r="H22" s="22">
        <f t="shared" si="10"/>
        <v>11598.116379782798</v>
      </c>
      <c r="I22" s="5">
        <f t="shared" si="4"/>
        <v>29951.19661786611</v>
      </c>
      <c r="J22" s="25">
        <f t="shared" si="5"/>
        <v>0.11655724806033625</v>
      </c>
      <c r="L22" s="22">
        <f t="shared" si="11"/>
        <v>29026.139637755852</v>
      </c>
      <c r="M22" s="5">
        <f>scrimecost*Meta!O19</f>
        <v>21672.387000000002</v>
      </c>
      <c r="N22" s="5">
        <f>L22-Grade11!L22</f>
        <v>314.97294668102404</v>
      </c>
      <c r="O22" s="5">
        <f>Grade11!M22-M22</f>
        <v>451.40199999999822</v>
      </c>
      <c r="P22" s="22">
        <f t="shared" si="12"/>
        <v>59.623241747951262</v>
      </c>
      <c r="Q22" s="22"/>
      <c r="R22" s="22"/>
      <c r="S22" s="22">
        <f t="shared" si="6"/>
        <v>602.7164219372678</v>
      </c>
      <c r="T22" s="22">
        <f t="shared" si="7"/>
        <v>623.7834352923162</v>
      </c>
    </row>
    <row r="23" spans="1:20" x14ac:dyDescent="0.2">
      <c r="A23" s="5">
        <v>32</v>
      </c>
      <c r="B23" s="1">
        <f t="shared" si="8"/>
        <v>1.4129738209737661</v>
      </c>
      <c r="C23" s="5">
        <f t="shared" si="9"/>
        <v>25843.077160873523</v>
      </c>
      <c r="D23" s="5">
        <f t="shared" si="0"/>
        <v>25033.874065164517</v>
      </c>
      <c r="E23" s="5">
        <f t="shared" si="1"/>
        <v>15533.874065164517</v>
      </c>
      <c r="F23" s="5">
        <f t="shared" si="2"/>
        <v>5373.5598822762149</v>
      </c>
      <c r="G23" s="5">
        <f t="shared" si="3"/>
        <v>19660.314182888302</v>
      </c>
      <c r="H23" s="22">
        <f t="shared" si="10"/>
        <v>11888.069289277368</v>
      </c>
      <c r="I23" s="5">
        <f t="shared" si="4"/>
        <v>30609.225998312759</v>
      </c>
      <c r="J23" s="25">
        <f t="shared" si="5"/>
        <v>0.11916874524807518</v>
      </c>
      <c r="L23" s="22">
        <f t="shared" si="11"/>
        <v>29751.793128699745</v>
      </c>
      <c r="M23" s="5">
        <f>scrimecost*Meta!O20</f>
        <v>21672.387000000002</v>
      </c>
      <c r="N23" s="5">
        <f>L23-Grade11!L23</f>
        <v>322.84727034804018</v>
      </c>
      <c r="O23" s="5">
        <f>Grade11!M23-M23</f>
        <v>451.40199999999822</v>
      </c>
      <c r="P23" s="22">
        <f t="shared" si="12"/>
        <v>60.596903136164769</v>
      </c>
      <c r="Q23" s="22"/>
      <c r="R23" s="22"/>
      <c r="S23" s="22">
        <f t="shared" si="6"/>
        <v>607.42220312817881</v>
      </c>
      <c r="T23" s="22">
        <f t="shared" si="7"/>
        <v>630.1983302652161</v>
      </c>
    </row>
    <row r="24" spans="1:20" x14ac:dyDescent="0.2">
      <c r="A24" s="5">
        <v>33</v>
      </c>
      <c r="B24" s="1">
        <f t="shared" si="8"/>
        <v>1.4482981664981105</v>
      </c>
      <c r="C24" s="5">
        <f t="shared" si="9"/>
        <v>26489.154089895364</v>
      </c>
      <c r="D24" s="5">
        <f t="shared" si="0"/>
        <v>25628.910916793633</v>
      </c>
      <c r="E24" s="5">
        <f t="shared" si="1"/>
        <v>16128.910916793633</v>
      </c>
      <c r="F24" s="5">
        <f t="shared" si="2"/>
        <v>5567.8394143331207</v>
      </c>
      <c r="G24" s="5">
        <f t="shared" si="3"/>
        <v>20061.071502460512</v>
      </c>
      <c r="H24" s="22">
        <f t="shared" si="10"/>
        <v>12185.271021509303</v>
      </c>
      <c r="I24" s="5">
        <f t="shared" si="4"/>
        <v>31283.706113270578</v>
      </c>
      <c r="J24" s="25">
        <f t="shared" si="5"/>
        <v>0.1217165473824546</v>
      </c>
      <c r="L24" s="22">
        <f t="shared" si="11"/>
        <v>30495.587956917247</v>
      </c>
      <c r="M24" s="5">
        <f>scrimecost*Meta!O21</f>
        <v>21672.387000000002</v>
      </c>
      <c r="N24" s="5">
        <f>L24-Grade11!L24</f>
        <v>330.91845210675092</v>
      </c>
      <c r="O24" s="5">
        <f>Grade11!M24-M24</f>
        <v>451.40199999999822</v>
      </c>
      <c r="P24" s="22">
        <f t="shared" si="12"/>
        <v>61.594906059083641</v>
      </c>
      <c r="Q24" s="22"/>
      <c r="R24" s="22"/>
      <c r="S24" s="22">
        <f t="shared" si="6"/>
        <v>612.245628848872</v>
      </c>
      <c r="T24" s="22">
        <f t="shared" si="7"/>
        <v>636.76333845565591</v>
      </c>
    </row>
    <row r="25" spans="1:20" x14ac:dyDescent="0.2">
      <c r="A25" s="5">
        <v>34</v>
      </c>
      <c r="B25" s="1">
        <f t="shared" si="8"/>
        <v>1.4845056206605631</v>
      </c>
      <c r="C25" s="5">
        <f t="shared" si="9"/>
        <v>27151.382942142744</v>
      </c>
      <c r="D25" s="5">
        <f t="shared" si="0"/>
        <v>26238.82368971347</v>
      </c>
      <c r="E25" s="5">
        <f t="shared" si="1"/>
        <v>16738.82368971347</v>
      </c>
      <c r="F25" s="5">
        <f t="shared" si="2"/>
        <v>5766.9759346914479</v>
      </c>
      <c r="G25" s="5">
        <f t="shared" si="3"/>
        <v>20471.847755022023</v>
      </c>
      <c r="H25" s="22">
        <f t="shared" si="10"/>
        <v>12489.902797047034</v>
      </c>
      <c r="I25" s="5">
        <f t="shared" si="4"/>
        <v>31975.048231102344</v>
      </c>
      <c r="J25" s="25">
        <f t="shared" si="5"/>
        <v>0.12420220800136134</v>
      </c>
      <c r="L25" s="22">
        <f t="shared" si="11"/>
        <v>31257.977655840172</v>
      </c>
      <c r="M25" s="5">
        <f>scrimecost*Meta!O22</f>
        <v>21672.387000000002</v>
      </c>
      <c r="N25" s="5">
        <f>L25-Grade11!L25</f>
        <v>339.1914134094186</v>
      </c>
      <c r="O25" s="5">
        <f>Grade11!M25-M25</f>
        <v>451.40199999999822</v>
      </c>
      <c r="P25" s="22">
        <f t="shared" si="12"/>
        <v>62.617859055075456</v>
      </c>
      <c r="Q25" s="22"/>
      <c r="R25" s="22"/>
      <c r="S25" s="22">
        <f t="shared" si="6"/>
        <v>617.18964021257716</v>
      </c>
      <c r="T25" s="22">
        <f t="shared" si="7"/>
        <v>643.48252584732109</v>
      </c>
    </row>
    <row r="26" spans="1:20" x14ac:dyDescent="0.2">
      <c r="A26" s="5">
        <v>35</v>
      </c>
      <c r="B26" s="1">
        <f t="shared" si="8"/>
        <v>1.521618261177077</v>
      </c>
      <c r="C26" s="5">
        <f t="shared" si="9"/>
        <v>27830.167515696314</v>
      </c>
      <c r="D26" s="5">
        <f t="shared" si="0"/>
        <v>26863.984281956309</v>
      </c>
      <c r="E26" s="5">
        <f t="shared" si="1"/>
        <v>17363.984281956309</v>
      </c>
      <c r="F26" s="5">
        <f t="shared" si="2"/>
        <v>5971.0908680587345</v>
      </c>
      <c r="G26" s="5">
        <f t="shared" si="3"/>
        <v>20892.893413897575</v>
      </c>
      <c r="H26" s="22">
        <f t="shared" si="10"/>
        <v>12802.150366973208</v>
      </c>
      <c r="I26" s="5">
        <f t="shared" si="4"/>
        <v>32683.673901879898</v>
      </c>
      <c r="J26" s="25">
        <f t="shared" si="5"/>
        <v>0.12662724275151427</v>
      </c>
      <c r="L26" s="22">
        <f t="shared" si="11"/>
        <v>32039.42709723617</v>
      </c>
      <c r="M26" s="5">
        <f>scrimecost*Meta!O23</f>
        <v>16819.406999999999</v>
      </c>
      <c r="N26" s="5">
        <f>L26-Grade11!L26</f>
        <v>347.67119874464333</v>
      </c>
      <c r="O26" s="5">
        <f>Grade11!M26-M26</f>
        <v>350.32200000000012</v>
      </c>
      <c r="P26" s="22">
        <f t="shared" si="12"/>
        <v>63.666385875967066</v>
      </c>
      <c r="Q26" s="22"/>
      <c r="R26" s="22"/>
      <c r="S26" s="22">
        <f t="shared" si="6"/>
        <v>533.50901186037208</v>
      </c>
      <c r="T26" s="22">
        <f t="shared" si="7"/>
        <v>557.60371991488512</v>
      </c>
    </row>
    <row r="27" spans="1:20" x14ac:dyDescent="0.2">
      <c r="A27" s="5">
        <v>36</v>
      </c>
      <c r="B27" s="1">
        <f t="shared" si="8"/>
        <v>1.559658717706504</v>
      </c>
      <c r="C27" s="5">
        <f t="shared" si="9"/>
        <v>28525.92170358872</v>
      </c>
      <c r="D27" s="5">
        <f t="shared" si="0"/>
        <v>27504.773889005213</v>
      </c>
      <c r="E27" s="5">
        <f t="shared" si="1"/>
        <v>18004.773889005213</v>
      </c>
      <c r="F27" s="5">
        <f t="shared" si="2"/>
        <v>6180.3086747602019</v>
      </c>
      <c r="G27" s="5">
        <f t="shared" si="3"/>
        <v>21324.46521424501</v>
      </c>
      <c r="H27" s="22">
        <f t="shared" si="10"/>
        <v>13122.204126147539</v>
      </c>
      <c r="I27" s="5">
        <f t="shared" si="4"/>
        <v>33410.015214426894</v>
      </c>
      <c r="J27" s="25">
        <f t="shared" si="5"/>
        <v>0.12899313031263906</v>
      </c>
      <c r="L27" s="22">
        <f t="shared" si="11"/>
        <v>32840.412774667078</v>
      </c>
      <c r="M27" s="5">
        <f>scrimecost*Meta!O24</f>
        <v>16819.406999999999</v>
      </c>
      <c r="N27" s="5">
        <f>L27-Grade11!L27</f>
        <v>356.36297871326315</v>
      </c>
      <c r="O27" s="5">
        <f>Grade11!M27-M27</f>
        <v>350.32200000000012</v>
      </c>
      <c r="P27" s="22">
        <f t="shared" si="12"/>
        <v>64.741125867380987</v>
      </c>
      <c r="Q27" s="22"/>
      <c r="R27" s="22"/>
      <c r="S27" s="22">
        <f t="shared" si="6"/>
        <v>538.70331379936715</v>
      </c>
      <c r="T27" s="22">
        <f t="shared" si="7"/>
        <v>564.41600711326953</v>
      </c>
    </row>
    <row r="28" spans="1:20" x14ac:dyDescent="0.2">
      <c r="A28" s="5">
        <v>37</v>
      </c>
      <c r="B28" s="1">
        <f t="shared" si="8"/>
        <v>1.5986501856491666</v>
      </c>
      <c r="C28" s="5">
        <f t="shared" si="9"/>
        <v>29239.069746178437</v>
      </c>
      <c r="D28" s="5">
        <f t="shared" si="0"/>
        <v>28161.583236230344</v>
      </c>
      <c r="E28" s="5">
        <f t="shared" si="1"/>
        <v>18661.583236230344</v>
      </c>
      <c r="F28" s="5">
        <f t="shared" si="2"/>
        <v>6394.7569266292076</v>
      </c>
      <c r="G28" s="5">
        <f t="shared" si="3"/>
        <v>21766.826309601136</v>
      </c>
      <c r="H28" s="22">
        <f t="shared" si="10"/>
        <v>13450.259229301228</v>
      </c>
      <c r="I28" s="5">
        <f t="shared" si="4"/>
        <v>34154.515059787569</v>
      </c>
      <c r="J28" s="25">
        <f t="shared" si="5"/>
        <v>0.13130131329910233</v>
      </c>
      <c r="L28" s="22">
        <f t="shared" si="11"/>
        <v>33661.423094033758</v>
      </c>
      <c r="M28" s="5">
        <f>scrimecost*Meta!O25</f>
        <v>16819.406999999999</v>
      </c>
      <c r="N28" s="5">
        <f>L28-Grade11!L28</f>
        <v>365.27205318110646</v>
      </c>
      <c r="O28" s="5">
        <f>Grade11!M28-M28</f>
        <v>350.32200000000012</v>
      </c>
      <c r="P28" s="22">
        <f t="shared" si="12"/>
        <v>65.842734358580245</v>
      </c>
      <c r="Q28" s="22"/>
      <c r="R28" s="22"/>
      <c r="S28" s="22">
        <f t="shared" si="6"/>
        <v>544.02747328684109</v>
      </c>
      <c r="T28" s="22">
        <f t="shared" si="7"/>
        <v>571.394794250053</v>
      </c>
    </row>
    <row r="29" spans="1:20" x14ac:dyDescent="0.2">
      <c r="A29" s="5">
        <v>38</v>
      </c>
      <c r="B29" s="1">
        <f t="shared" si="8"/>
        <v>1.6386164402903955</v>
      </c>
      <c r="C29" s="5">
        <f t="shared" si="9"/>
        <v>29970.046489832897</v>
      </c>
      <c r="D29" s="5">
        <f t="shared" si="0"/>
        <v>28834.812817136102</v>
      </c>
      <c r="E29" s="5">
        <f t="shared" si="1"/>
        <v>19334.812817136102</v>
      </c>
      <c r="F29" s="5">
        <f t="shared" si="2"/>
        <v>6614.5663847949372</v>
      </c>
      <c r="G29" s="5">
        <f t="shared" si="3"/>
        <v>22220.246432341166</v>
      </c>
      <c r="H29" s="22">
        <f t="shared" si="10"/>
        <v>13786.515710033756</v>
      </c>
      <c r="I29" s="5">
        <f t="shared" si="4"/>
        <v>34917.627401282254</v>
      </c>
      <c r="J29" s="25">
        <f t="shared" si="5"/>
        <v>0.13355319913955424</v>
      </c>
      <c r="L29" s="22">
        <f t="shared" si="11"/>
        <v>34502.958671384593</v>
      </c>
      <c r="M29" s="5">
        <f>scrimecost*Meta!O26</f>
        <v>16819.406999999999</v>
      </c>
      <c r="N29" s="5">
        <f>L29-Grade11!L29</f>
        <v>374.40385451063048</v>
      </c>
      <c r="O29" s="5">
        <f>Grade11!M29-M29</f>
        <v>350.32200000000012</v>
      </c>
      <c r="P29" s="22">
        <f t="shared" si="12"/>
        <v>66.97188306205949</v>
      </c>
      <c r="Q29" s="22"/>
      <c r="R29" s="22"/>
      <c r="S29" s="22">
        <f t="shared" si="6"/>
        <v>549.48473676149422</v>
      </c>
      <c r="T29" s="22">
        <f t="shared" si="7"/>
        <v>578.54461164001646</v>
      </c>
    </row>
    <row r="30" spans="1:20" x14ac:dyDescent="0.2">
      <c r="A30" s="5">
        <v>39</v>
      </c>
      <c r="B30" s="1">
        <f t="shared" si="8"/>
        <v>1.6795818512976552</v>
      </c>
      <c r="C30" s="5">
        <f t="shared" si="9"/>
        <v>30719.297652078716</v>
      </c>
      <c r="D30" s="5">
        <f t="shared" si="0"/>
        <v>29524.8731375645</v>
      </c>
      <c r="E30" s="5">
        <f t="shared" si="1"/>
        <v>20024.8731375645</v>
      </c>
      <c r="F30" s="5">
        <f t="shared" si="2"/>
        <v>6839.8710794148092</v>
      </c>
      <c r="G30" s="5">
        <f t="shared" si="3"/>
        <v>22685.00205814969</v>
      </c>
      <c r="H30" s="22">
        <f t="shared" si="10"/>
        <v>14131.178602784599</v>
      </c>
      <c r="I30" s="5">
        <f t="shared" si="4"/>
        <v>35699.817551314307</v>
      </c>
      <c r="J30" s="25">
        <f t="shared" si="5"/>
        <v>0.1357501609351171</v>
      </c>
      <c r="L30" s="22">
        <f t="shared" si="11"/>
        <v>35365.532638169207</v>
      </c>
      <c r="M30" s="5">
        <f>scrimecost*Meta!O27</f>
        <v>16819.406999999999</v>
      </c>
      <c r="N30" s="5">
        <f>L30-Grade11!L30</f>
        <v>383.76395087339188</v>
      </c>
      <c r="O30" s="5">
        <f>Grade11!M30-M30</f>
        <v>350.32200000000012</v>
      </c>
      <c r="P30" s="22">
        <f t="shared" si="12"/>
        <v>68.129260483125691</v>
      </c>
      <c r="Q30" s="22"/>
      <c r="R30" s="22"/>
      <c r="S30" s="22">
        <f t="shared" si="6"/>
        <v>555.07843182301326</v>
      </c>
      <c r="T30" s="22">
        <f t="shared" si="7"/>
        <v>585.87011413873813</v>
      </c>
    </row>
    <row r="31" spans="1:20" x14ac:dyDescent="0.2">
      <c r="A31" s="5">
        <v>40</v>
      </c>
      <c r="B31" s="1">
        <f t="shared" si="8"/>
        <v>1.7215713975800966</v>
      </c>
      <c r="C31" s="5">
        <f t="shared" si="9"/>
        <v>31487.280093380679</v>
      </c>
      <c r="D31" s="5">
        <f t="shared" si="0"/>
        <v>30232.18496600361</v>
      </c>
      <c r="E31" s="5">
        <f t="shared" si="1"/>
        <v>20732.18496600361</v>
      </c>
      <c r="F31" s="5">
        <f t="shared" si="2"/>
        <v>7070.8083914001782</v>
      </c>
      <c r="G31" s="5">
        <f t="shared" si="3"/>
        <v>23161.376574603433</v>
      </c>
      <c r="H31" s="22">
        <f t="shared" si="10"/>
        <v>14484.458067854213</v>
      </c>
      <c r="I31" s="5">
        <f t="shared" si="4"/>
        <v>36501.562455097162</v>
      </c>
      <c r="J31" s="25">
        <f t="shared" si="5"/>
        <v>0.1378935382966418</v>
      </c>
      <c r="L31" s="22">
        <f t="shared" si="11"/>
        <v>36249.67095412343</v>
      </c>
      <c r="M31" s="5">
        <f>scrimecost*Meta!O28</f>
        <v>14712.191999999999</v>
      </c>
      <c r="N31" s="5">
        <f>L31-Grade11!L31</f>
        <v>393.35804964521958</v>
      </c>
      <c r="O31" s="5">
        <f>Grade11!M31-M31</f>
        <v>306.43199999999888</v>
      </c>
      <c r="P31" s="22">
        <f t="shared" si="12"/>
        <v>69.315572339718557</v>
      </c>
      <c r="Q31" s="22"/>
      <c r="R31" s="22"/>
      <c r="S31" s="22">
        <f t="shared" si="6"/>
        <v>522.276549261068</v>
      </c>
      <c r="T31" s="22">
        <f t="shared" si="7"/>
        <v>552.60306635626739</v>
      </c>
    </row>
    <row r="32" spans="1:20" x14ac:dyDescent="0.2">
      <c r="A32" s="5">
        <v>41</v>
      </c>
      <c r="B32" s="1">
        <f t="shared" si="8"/>
        <v>1.7646106825195991</v>
      </c>
      <c r="C32" s="5">
        <f t="shared" si="9"/>
        <v>32274.4620957152</v>
      </c>
      <c r="D32" s="5">
        <f t="shared" si="0"/>
        <v>30957.179590153701</v>
      </c>
      <c r="E32" s="5">
        <f t="shared" si="1"/>
        <v>21457.179590153701</v>
      </c>
      <c r="F32" s="5">
        <f t="shared" si="2"/>
        <v>7307.519136185183</v>
      </c>
      <c r="G32" s="5">
        <f t="shared" si="3"/>
        <v>23649.660453968518</v>
      </c>
      <c r="H32" s="22">
        <f t="shared" si="10"/>
        <v>14846.569519550569</v>
      </c>
      <c r="I32" s="5">
        <f t="shared" si="4"/>
        <v>37323.350981474592</v>
      </c>
      <c r="J32" s="25">
        <f t="shared" si="5"/>
        <v>0.13998463816154399</v>
      </c>
      <c r="L32" s="22">
        <f t="shared" si="11"/>
        <v>37155.912727976516</v>
      </c>
      <c r="M32" s="5">
        <f>scrimecost*Meta!O29</f>
        <v>14712.191999999999</v>
      </c>
      <c r="N32" s="5">
        <f>L32-Grade11!L32</f>
        <v>403.19200088635262</v>
      </c>
      <c r="O32" s="5">
        <f>Grade11!M32-M32</f>
        <v>306.43199999999888</v>
      </c>
      <c r="P32" s="22">
        <f t="shared" si="12"/>
        <v>70.531541992726261</v>
      </c>
      <c r="Q32" s="22"/>
      <c r="R32" s="22"/>
      <c r="S32" s="22">
        <f t="shared" si="6"/>
        <v>528.15342513507983</v>
      </c>
      <c r="T32" s="22">
        <f t="shared" si="7"/>
        <v>560.19423788368874</v>
      </c>
    </row>
    <row r="33" spans="1:20" x14ac:dyDescent="0.2">
      <c r="A33" s="5">
        <v>42</v>
      </c>
      <c r="B33" s="1">
        <f t="shared" si="8"/>
        <v>1.8087259495825889</v>
      </c>
      <c r="C33" s="5">
        <f t="shared" si="9"/>
        <v>33081.323648108075</v>
      </c>
      <c r="D33" s="5">
        <f t="shared" si="0"/>
        <v>31700.299079907541</v>
      </c>
      <c r="E33" s="5">
        <f t="shared" si="1"/>
        <v>22200.299079907541</v>
      </c>
      <c r="F33" s="5">
        <f t="shared" si="2"/>
        <v>7550.1476495898123</v>
      </c>
      <c r="G33" s="5">
        <f t="shared" si="3"/>
        <v>24150.151430317728</v>
      </c>
      <c r="H33" s="22">
        <f t="shared" si="10"/>
        <v>15217.733757539332</v>
      </c>
      <c r="I33" s="5">
        <f t="shared" si="4"/>
        <v>38165.684221011456</v>
      </c>
      <c r="J33" s="25">
        <f t="shared" si="5"/>
        <v>0.14202473559071688</v>
      </c>
      <c r="L33" s="22">
        <f t="shared" si="11"/>
        <v>38084.810546175933</v>
      </c>
      <c r="M33" s="5">
        <f>scrimecost*Meta!O30</f>
        <v>14712.191999999999</v>
      </c>
      <c r="N33" s="5">
        <f>L33-Grade11!L33</f>
        <v>413.27180090852198</v>
      </c>
      <c r="O33" s="5">
        <f>Grade11!M33-M33</f>
        <v>306.43199999999888</v>
      </c>
      <c r="P33" s="22">
        <f t="shared" si="12"/>
        <v>71.777910887059164</v>
      </c>
      <c r="Q33" s="22"/>
      <c r="R33" s="22"/>
      <c r="S33" s="22">
        <f t="shared" si="6"/>
        <v>534.17722290594611</v>
      </c>
      <c r="T33" s="22">
        <f t="shared" si="7"/>
        <v>567.97559492435767</v>
      </c>
    </row>
    <row r="34" spans="1:20" x14ac:dyDescent="0.2">
      <c r="A34" s="5">
        <v>43</v>
      </c>
      <c r="B34" s="1">
        <f t="shared" si="8"/>
        <v>1.8539440983221533</v>
      </c>
      <c r="C34" s="5">
        <f t="shared" si="9"/>
        <v>33908.356739310773</v>
      </c>
      <c r="D34" s="5">
        <f t="shared" si="0"/>
        <v>32461.996556905226</v>
      </c>
      <c r="E34" s="5">
        <f t="shared" si="1"/>
        <v>22961.996556905226</v>
      </c>
      <c r="F34" s="5">
        <f t="shared" si="2"/>
        <v>7798.8418758295556</v>
      </c>
      <c r="G34" s="5">
        <f t="shared" si="3"/>
        <v>24663.15468107567</v>
      </c>
      <c r="H34" s="22">
        <f t="shared" si="10"/>
        <v>15598.177101477815</v>
      </c>
      <c r="I34" s="5">
        <f t="shared" si="4"/>
        <v>39029.075791536736</v>
      </c>
      <c r="J34" s="25">
        <f t="shared" si="5"/>
        <v>0.14401507454600743</v>
      </c>
      <c r="L34" s="22">
        <f t="shared" si="11"/>
        <v>39036.930809830323</v>
      </c>
      <c r="M34" s="5">
        <f>scrimecost*Meta!O31</f>
        <v>14712.191999999999</v>
      </c>
      <c r="N34" s="5">
        <f>L34-Grade11!L34</f>
        <v>423.60359593122848</v>
      </c>
      <c r="O34" s="5">
        <f>Grade11!M34-M34</f>
        <v>306.43199999999888</v>
      </c>
      <c r="P34" s="22">
        <f t="shared" si="12"/>
        <v>73.055439003750351</v>
      </c>
      <c r="Q34" s="22"/>
      <c r="R34" s="22"/>
      <c r="S34" s="22">
        <f t="shared" si="6"/>
        <v>540.35161562107544</v>
      </c>
      <c r="T34" s="22">
        <f t="shared" si="7"/>
        <v>575.95232511680854</v>
      </c>
    </row>
    <row r="35" spans="1:20" x14ac:dyDescent="0.2">
      <c r="A35" s="5">
        <v>44</v>
      </c>
      <c r="B35" s="1">
        <f t="shared" si="8"/>
        <v>1.9002927007802071</v>
      </c>
      <c r="C35" s="5">
        <f t="shared" si="9"/>
        <v>34756.065657793537</v>
      </c>
      <c r="D35" s="5">
        <f t="shared" si="0"/>
        <v>33242.736470827847</v>
      </c>
      <c r="E35" s="5">
        <f t="shared" si="1"/>
        <v>23742.736470827847</v>
      </c>
      <c r="F35" s="5">
        <f t="shared" si="2"/>
        <v>8053.7534577252918</v>
      </c>
      <c r="G35" s="5">
        <f t="shared" si="3"/>
        <v>25188.983013102556</v>
      </c>
      <c r="H35" s="22">
        <f t="shared" si="10"/>
        <v>15988.131529014758</v>
      </c>
      <c r="I35" s="5">
        <f t="shared" si="4"/>
        <v>39914.052151325144</v>
      </c>
      <c r="J35" s="25">
        <f t="shared" si="5"/>
        <v>0.14595686864872995</v>
      </c>
      <c r="L35" s="22">
        <f t="shared" si="11"/>
        <v>40012.854080076082</v>
      </c>
      <c r="M35" s="5">
        <f>scrimecost*Meta!O32</f>
        <v>14712.191999999999</v>
      </c>
      <c r="N35" s="5">
        <f>L35-Grade11!L35</f>
        <v>434.19368582951574</v>
      </c>
      <c r="O35" s="5">
        <f>Grade11!M35-M35</f>
        <v>306.43199999999888</v>
      </c>
      <c r="P35" s="22">
        <f t="shared" si="12"/>
        <v>74.364905323358855</v>
      </c>
      <c r="Q35" s="22"/>
      <c r="R35" s="22"/>
      <c r="S35" s="22">
        <f t="shared" si="6"/>
        <v>546.68036815408948</v>
      </c>
      <c r="T35" s="22">
        <f t="shared" si="7"/>
        <v>584.12975874252243</v>
      </c>
    </row>
    <row r="36" spans="1:20" x14ac:dyDescent="0.2">
      <c r="A36" s="5">
        <v>45</v>
      </c>
      <c r="B36" s="1">
        <f t="shared" si="8"/>
        <v>1.9478000182997122</v>
      </c>
      <c r="C36" s="5">
        <f t="shared" si="9"/>
        <v>35624.967299238378</v>
      </c>
      <c r="D36" s="5">
        <f t="shared" si="0"/>
        <v>34042.994882598548</v>
      </c>
      <c r="E36" s="5">
        <f t="shared" si="1"/>
        <v>24542.994882598548</v>
      </c>
      <c r="F36" s="5">
        <f t="shared" si="2"/>
        <v>8315.0378291684265</v>
      </c>
      <c r="G36" s="5">
        <f t="shared" si="3"/>
        <v>25727.957053430124</v>
      </c>
      <c r="H36" s="22">
        <f t="shared" si="10"/>
        <v>16387.834817240127</v>
      </c>
      <c r="I36" s="5">
        <f t="shared" si="4"/>
        <v>40821.152920108281</v>
      </c>
      <c r="J36" s="25">
        <f t="shared" si="5"/>
        <v>0.14785130191967882</v>
      </c>
      <c r="L36" s="22">
        <f t="shared" si="11"/>
        <v>41013.17543207798</v>
      </c>
      <c r="M36" s="5">
        <f>scrimecost*Meta!O33</f>
        <v>11889.801000000001</v>
      </c>
      <c r="N36" s="5">
        <f>L36-Grade11!L36</f>
        <v>445.04852797524654</v>
      </c>
      <c r="O36" s="5">
        <f>Grade11!M36-M36</f>
        <v>247.64599999999882</v>
      </c>
      <c r="P36" s="22">
        <f t="shared" si="12"/>
        <v>75.707108300957557</v>
      </c>
      <c r="Q36" s="22"/>
      <c r="R36" s="22"/>
      <c r="S36" s="22">
        <f t="shared" si="6"/>
        <v>501.55323150042216</v>
      </c>
      <c r="T36" s="22">
        <f t="shared" si="7"/>
        <v>537.22802403457626</v>
      </c>
    </row>
    <row r="37" spans="1:20" x14ac:dyDescent="0.2">
      <c r="A37" s="5">
        <v>46</v>
      </c>
      <c r="B37" s="1">
        <f t="shared" ref="B37:B56" si="13">(1+experiencepremium)^(A37-startage)</f>
        <v>1.9964950187572048</v>
      </c>
      <c r="C37" s="5">
        <f t="shared" ref="C37:C56" si="14">pretaxincome*B37/expnorm</f>
        <v>36515.591481719333</v>
      </c>
      <c r="D37" s="5">
        <f t="shared" ref="D37:D56" si="15">IF(A37&lt;startage,1,0)*(C37*(1-initialunempprob))+IF(A37=startage,1,0)*(C37*(1-unempprob))+IF(A37&gt;startage,1,0)*(C37*(1-unempprob)+unempprob*300*52)</f>
        <v>34863.259754663508</v>
      </c>
      <c r="E37" s="5">
        <f t="shared" si="1"/>
        <v>25363.259754663508</v>
      </c>
      <c r="F37" s="5">
        <f t="shared" si="2"/>
        <v>8582.8543098976352</v>
      </c>
      <c r="G37" s="5">
        <f t="shared" si="3"/>
        <v>26280.405444765871</v>
      </c>
      <c r="H37" s="22">
        <f t="shared" ref="H37:H56" si="16">benefits*B37/expnorm</f>
        <v>16797.530687671129</v>
      </c>
      <c r="I37" s="5">
        <f t="shared" ref="I37:I56" si="17">G37+IF(A37&lt;startage,1,0)*(H37*(1-initialunempprob))+IF(A37&gt;=startage,1,0)*(H37*(1-unempprob))</f>
        <v>41750.931208110982</v>
      </c>
      <c r="J37" s="25">
        <f t="shared" si="5"/>
        <v>0.14969952950109225</v>
      </c>
      <c r="L37" s="22">
        <f t="shared" ref="L37:L56" si="18">(sincome+sbenefits)*(1-sunemp)*B37/expnorm</f>
        <v>42038.504817879926</v>
      </c>
      <c r="M37" s="5">
        <f>scrimecost*Meta!O34</f>
        <v>11889.801000000001</v>
      </c>
      <c r="N37" s="5">
        <f>L37-Grade11!L37</f>
        <v>456.17474117461825</v>
      </c>
      <c r="O37" s="5">
        <f>Grade11!M37-M37</f>
        <v>247.64599999999882</v>
      </c>
      <c r="P37" s="22">
        <f t="shared" si="12"/>
        <v>77.08286635299622</v>
      </c>
      <c r="Q37" s="22"/>
      <c r="R37" s="22"/>
      <c r="S37" s="22">
        <f t="shared" si="6"/>
        <v>508.202377130412</v>
      </c>
      <c r="T37" s="22">
        <f t="shared" si="7"/>
        <v>545.68760707756189</v>
      </c>
    </row>
    <row r="38" spans="1:20" x14ac:dyDescent="0.2">
      <c r="A38" s="5">
        <v>47</v>
      </c>
      <c r="B38" s="1">
        <f t="shared" si="13"/>
        <v>2.0464073942261352</v>
      </c>
      <c r="C38" s="5">
        <f t="shared" si="14"/>
        <v>37428.48126876232</v>
      </c>
      <c r="D38" s="5">
        <f t="shared" si="15"/>
        <v>35704.031248530096</v>
      </c>
      <c r="E38" s="5">
        <f t="shared" si="1"/>
        <v>26204.031248530096</v>
      </c>
      <c r="F38" s="5">
        <f t="shared" si="2"/>
        <v>8857.3662026450766</v>
      </c>
      <c r="G38" s="5">
        <f t="shared" si="3"/>
        <v>26846.66504588502</v>
      </c>
      <c r="H38" s="22">
        <f t="shared" si="16"/>
        <v>17217.468954862907</v>
      </c>
      <c r="I38" s="5">
        <f t="shared" si="17"/>
        <v>42703.953953313758</v>
      </c>
      <c r="J38" s="25">
        <f t="shared" si="5"/>
        <v>0.15150267836100784</v>
      </c>
      <c r="L38" s="22">
        <f t="shared" si="18"/>
        <v>43089.46743832693</v>
      </c>
      <c r="M38" s="5">
        <f>scrimecost*Meta!O35</f>
        <v>11889.801000000001</v>
      </c>
      <c r="N38" s="5">
        <f>L38-Grade11!L38</f>
        <v>467.57910970399826</v>
      </c>
      <c r="O38" s="5">
        <f>Grade11!M38-M38</f>
        <v>247.64599999999882</v>
      </c>
      <c r="P38" s="22">
        <f t="shared" si="12"/>
        <v>78.493018356335853</v>
      </c>
      <c r="Q38" s="22"/>
      <c r="R38" s="22"/>
      <c r="S38" s="22">
        <f t="shared" si="6"/>
        <v>515.01775140116342</v>
      </c>
      <c r="T38" s="22">
        <f t="shared" si="7"/>
        <v>554.36444628754248</v>
      </c>
    </row>
    <row r="39" spans="1:20" x14ac:dyDescent="0.2">
      <c r="A39" s="5">
        <v>48</v>
      </c>
      <c r="B39" s="1">
        <f t="shared" si="13"/>
        <v>2.097567579081788</v>
      </c>
      <c r="C39" s="5">
        <f t="shared" si="14"/>
        <v>38364.193300481369</v>
      </c>
      <c r="D39" s="5">
        <f t="shared" si="15"/>
        <v>36565.822029743344</v>
      </c>
      <c r="E39" s="5">
        <f t="shared" si="1"/>
        <v>27065.822029743344</v>
      </c>
      <c r="F39" s="5">
        <f t="shared" si="2"/>
        <v>9138.740892711201</v>
      </c>
      <c r="G39" s="5">
        <f t="shared" si="3"/>
        <v>27427.081137032143</v>
      </c>
      <c r="H39" s="22">
        <f t="shared" si="16"/>
        <v>17647.905678734478</v>
      </c>
      <c r="I39" s="5">
        <f t="shared" si="17"/>
        <v>43680.802267146595</v>
      </c>
      <c r="J39" s="25">
        <f t="shared" si="5"/>
        <v>0.15326184798043768</v>
      </c>
      <c r="L39" s="22">
        <f t="shared" si="18"/>
        <v>44166.704124285097</v>
      </c>
      <c r="M39" s="5">
        <f>scrimecost*Meta!O36</f>
        <v>11889.801000000001</v>
      </c>
      <c r="N39" s="5">
        <f>L39-Grade11!L39</f>
        <v>479.26858744658239</v>
      </c>
      <c r="O39" s="5">
        <f>Grade11!M39-M39</f>
        <v>247.64599999999882</v>
      </c>
      <c r="P39" s="22">
        <f t="shared" si="12"/>
        <v>79.938424159758995</v>
      </c>
      <c r="Q39" s="22"/>
      <c r="R39" s="22"/>
      <c r="S39" s="22">
        <f t="shared" si="6"/>
        <v>522.00351002866864</v>
      </c>
      <c r="T39" s="22">
        <f t="shared" si="7"/>
        <v>563.26448204297765</v>
      </c>
    </row>
    <row r="40" spans="1:20" x14ac:dyDescent="0.2">
      <c r="A40" s="5">
        <v>49</v>
      </c>
      <c r="B40" s="1">
        <f t="shared" si="13"/>
        <v>2.1500067685588333</v>
      </c>
      <c r="C40" s="5">
        <f t="shared" si="14"/>
        <v>39323.298132993412</v>
      </c>
      <c r="D40" s="5">
        <f t="shared" si="15"/>
        <v>37449.157580486935</v>
      </c>
      <c r="E40" s="5">
        <f t="shared" si="1"/>
        <v>27949.157580486935</v>
      </c>
      <c r="F40" s="5">
        <f t="shared" si="2"/>
        <v>9427.1499500289847</v>
      </c>
      <c r="G40" s="5">
        <f t="shared" si="3"/>
        <v>28022.007630457949</v>
      </c>
      <c r="H40" s="22">
        <f t="shared" si="16"/>
        <v>18089.103320702841</v>
      </c>
      <c r="I40" s="5">
        <f t="shared" si="17"/>
        <v>44682.071788825269</v>
      </c>
      <c r="J40" s="25">
        <f t="shared" ref="J40:J56" si="19">(F40-(IF(A40&gt;startage,1,0)*(unempprob*300*52)))/(IF(A40&lt;startage,1,0)*((C40+H40)*(1-initialunempprob))+IF(A40&gt;=startage,1,0)*((C40+H40)*(1-unempprob)))</f>
        <v>0.15497811102378392</v>
      </c>
      <c r="L40" s="22">
        <f t="shared" si="18"/>
        <v>45270.87172739223</v>
      </c>
      <c r="M40" s="5">
        <f>scrimecost*Meta!O37</f>
        <v>11889.801000000001</v>
      </c>
      <c r="N40" s="5">
        <f>L40-Grade11!L40</f>
        <v>491.25030213276477</v>
      </c>
      <c r="O40" s="5">
        <f>Grade11!M40-M40</f>
        <v>247.64599999999882</v>
      </c>
      <c r="P40" s="22">
        <f t="shared" si="12"/>
        <v>81.419965108267718</v>
      </c>
      <c r="Q40" s="22"/>
      <c r="R40" s="22"/>
      <c r="S40" s="22">
        <f t="shared" ref="S40:S69" si="20">IF(A40&lt;startage,1,0)*(N40-Q40-R40)+IF(A40&gt;=startage,1,0)*completionprob*(N40*spart+O40+P40)</f>
        <v>529.16391262187801</v>
      </c>
      <c r="T40" s="22">
        <f t="shared" ref="T40:T69" si="21">S40/sreturn^(A40-startage+1)</f>
        <v>572.39381809871645</v>
      </c>
    </row>
    <row r="41" spans="1:20" x14ac:dyDescent="0.2">
      <c r="A41" s="5">
        <v>50</v>
      </c>
      <c r="B41" s="1">
        <f t="shared" si="13"/>
        <v>2.2037569377728037</v>
      </c>
      <c r="C41" s="5">
        <f t="shared" si="14"/>
        <v>40306.380586318242</v>
      </c>
      <c r="D41" s="5">
        <f t="shared" si="15"/>
        <v>38354.576519999107</v>
      </c>
      <c r="E41" s="5">
        <f t="shared" si="1"/>
        <v>28854.576519999107</v>
      </c>
      <c r="F41" s="5">
        <f t="shared" si="2"/>
        <v>9722.7692337797089</v>
      </c>
      <c r="G41" s="5">
        <f t="shared" si="3"/>
        <v>28631.807286219399</v>
      </c>
      <c r="H41" s="22">
        <f t="shared" si="16"/>
        <v>18541.330903720413</v>
      </c>
      <c r="I41" s="5">
        <f t="shared" si="17"/>
        <v>45708.373048545895</v>
      </c>
      <c r="J41" s="25">
        <f t="shared" si="19"/>
        <v>0.15665251399290217</v>
      </c>
      <c r="L41" s="22">
        <f t="shared" si="18"/>
        <v>46402.643520577032</v>
      </c>
      <c r="M41" s="5">
        <f>scrimecost*Meta!O38</f>
        <v>7943.5619999999999</v>
      </c>
      <c r="N41" s="5">
        <f>L41-Grade11!L41</f>
        <v>503.53155968608189</v>
      </c>
      <c r="O41" s="5">
        <f>Grade11!M41-M41</f>
        <v>165.45200000000023</v>
      </c>
      <c r="P41" s="22">
        <f t="shared" si="12"/>
        <v>82.938544580489136</v>
      </c>
      <c r="Q41" s="22"/>
      <c r="R41" s="22"/>
      <c r="S41" s="22">
        <f t="shared" si="20"/>
        <v>464.33699327990934</v>
      </c>
      <c r="T41" s="22">
        <f t="shared" si="21"/>
        <v>503.50498301590881</v>
      </c>
    </row>
    <row r="42" spans="1:20" x14ac:dyDescent="0.2">
      <c r="A42" s="5">
        <v>51</v>
      </c>
      <c r="B42" s="1">
        <f t="shared" si="13"/>
        <v>2.2588508612171236</v>
      </c>
      <c r="C42" s="5">
        <f t="shared" si="14"/>
        <v>41314.040100976192</v>
      </c>
      <c r="D42" s="5">
        <f t="shared" si="15"/>
        <v>39282.630932999076</v>
      </c>
      <c r="E42" s="5">
        <f t="shared" si="1"/>
        <v>29782.630932999076</v>
      </c>
      <c r="F42" s="5">
        <f t="shared" si="2"/>
        <v>10025.778999624199</v>
      </c>
      <c r="G42" s="5">
        <f t="shared" si="3"/>
        <v>29256.851933374877</v>
      </c>
      <c r="H42" s="22">
        <f t="shared" si="16"/>
        <v>19004.864176313422</v>
      </c>
      <c r="I42" s="5">
        <f t="shared" si="17"/>
        <v>46760.331839759543</v>
      </c>
      <c r="J42" s="25">
        <f t="shared" si="19"/>
        <v>0.15828607786521262</v>
      </c>
      <c r="L42" s="22">
        <f t="shared" si="18"/>
        <v>47562.709608591445</v>
      </c>
      <c r="M42" s="5">
        <f>scrimecost*Meta!O39</f>
        <v>7943.5619999999999</v>
      </c>
      <c r="N42" s="5">
        <f>L42-Grade11!L42</f>
        <v>516.11984867822321</v>
      </c>
      <c r="O42" s="5">
        <f>Grade11!M42-M42</f>
        <v>165.45200000000023</v>
      </c>
      <c r="P42" s="22">
        <f t="shared" si="12"/>
        <v>84.49508853951609</v>
      </c>
      <c r="Q42" s="22"/>
      <c r="R42" s="22"/>
      <c r="S42" s="22">
        <f t="shared" si="20"/>
        <v>471.85989125438567</v>
      </c>
      <c r="T42" s="22">
        <f t="shared" si="21"/>
        <v>512.91963406283708</v>
      </c>
    </row>
    <row r="43" spans="1:20" x14ac:dyDescent="0.2">
      <c r="A43" s="5">
        <v>52</v>
      </c>
      <c r="B43" s="1">
        <f t="shared" si="13"/>
        <v>2.3153221327475517</v>
      </c>
      <c r="C43" s="5">
        <f t="shared" si="14"/>
        <v>42346.891103500602</v>
      </c>
      <c r="D43" s="5">
        <f t="shared" si="15"/>
        <v>40233.886706324061</v>
      </c>
      <c r="E43" s="5">
        <f t="shared" si="1"/>
        <v>30733.886706324061</v>
      </c>
      <c r="F43" s="5">
        <f t="shared" si="2"/>
        <v>10336.364009614806</v>
      </c>
      <c r="G43" s="5">
        <f t="shared" si="3"/>
        <v>29897.522696709253</v>
      </c>
      <c r="H43" s="22">
        <f t="shared" si="16"/>
        <v>19479.985780721257</v>
      </c>
      <c r="I43" s="5">
        <f t="shared" si="17"/>
        <v>47838.589600753534</v>
      </c>
      <c r="J43" s="25">
        <f t="shared" si="19"/>
        <v>0.15987979871624725</v>
      </c>
      <c r="L43" s="22">
        <f t="shared" si="18"/>
        <v>48751.777348806238</v>
      </c>
      <c r="M43" s="5">
        <f>scrimecost*Meta!O40</f>
        <v>7943.5619999999999</v>
      </c>
      <c r="N43" s="5">
        <f>L43-Grade11!L43</f>
        <v>529.02284489519661</v>
      </c>
      <c r="O43" s="5">
        <f>Grade11!M43-M43</f>
        <v>165.45200000000023</v>
      </c>
      <c r="P43" s="22">
        <f t="shared" si="12"/>
        <v>86.09054609751874</v>
      </c>
      <c r="Q43" s="22"/>
      <c r="R43" s="22"/>
      <c r="S43" s="22">
        <f t="shared" si="20"/>
        <v>479.57086167823797</v>
      </c>
      <c r="T43" s="22">
        <f t="shared" si="21"/>
        <v>522.58245008740653</v>
      </c>
    </row>
    <row r="44" spans="1:20" x14ac:dyDescent="0.2">
      <c r="A44" s="5">
        <v>53</v>
      </c>
      <c r="B44" s="1">
        <f t="shared" si="13"/>
        <v>2.3732051860662402</v>
      </c>
      <c r="C44" s="5">
        <f t="shared" si="14"/>
        <v>43405.563381088112</v>
      </c>
      <c r="D44" s="5">
        <f t="shared" si="15"/>
        <v>41208.923873982152</v>
      </c>
      <c r="E44" s="5">
        <f t="shared" si="1"/>
        <v>31708.923873982152</v>
      </c>
      <c r="F44" s="5">
        <f t="shared" si="2"/>
        <v>10654.713644855172</v>
      </c>
      <c r="G44" s="5">
        <f t="shared" si="3"/>
        <v>30554.21022912698</v>
      </c>
      <c r="H44" s="22">
        <f t="shared" si="16"/>
        <v>19966.985425239283</v>
      </c>
      <c r="I44" s="5">
        <f t="shared" si="17"/>
        <v>48943.803805772361</v>
      </c>
      <c r="J44" s="25">
        <f t="shared" si="19"/>
        <v>0.16143464832701265</v>
      </c>
      <c r="L44" s="22">
        <f t="shared" si="18"/>
        <v>49970.571782526386</v>
      </c>
      <c r="M44" s="5">
        <f>scrimecost*Meta!O41</f>
        <v>7943.5619999999999</v>
      </c>
      <c r="N44" s="5">
        <f>L44-Grade11!L44</f>
        <v>542.24841601755907</v>
      </c>
      <c r="O44" s="5">
        <f>Grade11!M44-M44</f>
        <v>165.45200000000023</v>
      </c>
      <c r="P44" s="22">
        <f t="shared" si="12"/>
        <v>87.72589009447141</v>
      </c>
      <c r="Q44" s="22"/>
      <c r="R44" s="22"/>
      <c r="S44" s="22">
        <f t="shared" si="20"/>
        <v>487.47460636266925</v>
      </c>
      <c r="T44" s="22">
        <f t="shared" si="21"/>
        <v>532.50023339954464</v>
      </c>
    </row>
    <row r="45" spans="1:20" x14ac:dyDescent="0.2">
      <c r="A45" s="5">
        <v>54</v>
      </c>
      <c r="B45" s="1">
        <f t="shared" si="13"/>
        <v>2.4325353157178964</v>
      </c>
      <c r="C45" s="5">
        <f t="shared" si="14"/>
        <v>44490.702465615323</v>
      </c>
      <c r="D45" s="5">
        <f t="shared" si="15"/>
        <v>42208.336970831719</v>
      </c>
      <c r="E45" s="5">
        <f t="shared" si="1"/>
        <v>32708.336970831719</v>
      </c>
      <c r="F45" s="5">
        <f t="shared" si="2"/>
        <v>10981.022020976556</v>
      </c>
      <c r="G45" s="5">
        <f t="shared" si="3"/>
        <v>31227.314949855165</v>
      </c>
      <c r="H45" s="22">
        <f t="shared" si="16"/>
        <v>20466.160060870265</v>
      </c>
      <c r="I45" s="5">
        <f t="shared" si="17"/>
        <v>50076.648365916684</v>
      </c>
      <c r="J45" s="25">
        <f t="shared" si="19"/>
        <v>0.16295157477653999</v>
      </c>
      <c r="L45" s="22">
        <f t="shared" si="18"/>
        <v>51219.836077089545</v>
      </c>
      <c r="M45" s="5">
        <f>scrimecost*Meta!O42</f>
        <v>7943.5619999999999</v>
      </c>
      <c r="N45" s="5">
        <f>L45-Grade11!L45</f>
        <v>555.80462641800113</v>
      </c>
      <c r="O45" s="5">
        <f>Grade11!M45-M45</f>
        <v>165.45200000000023</v>
      </c>
      <c r="P45" s="22">
        <f t="shared" si="12"/>
        <v>89.402117691347954</v>
      </c>
      <c r="Q45" s="22"/>
      <c r="R45" s="22"/>
      <c r="S45" s="22">
        <f t="shared" si="20"/>
        <v>495.57594466422154</v>
      </c>
      <c r="T45" s="22">
        <f t="shared" si="21"/>
        <v>542.67997343253819</v>
      </c>
    </row>
    <row r="46" spans="1:20" x14ac:dyDescent="0.2">
      <c r="A46" s="5">
        <v>55</v>
      </c>
      <c r="B46" s="1">
        <f t="shared" si="13"/>
        <v>2.4933486986108435</v>
      </c>
      <c r="C46" s="5">
        <f t="shared" si="14"/>
        <v>45602.970027255695</v>
      </c>
      <c r="D46" s="5">
        <f t="shared" si="15"/>
        <v>43232.7353951025</v>
      </c>
      <c r="E46" s="5">
        <f t="shared" si="1"/>
        <v>33732.7353951025</v>
      </c>
      <c r="F46" s="5">
        <f t="shared" si="2"/>
        <v>11315.488106500967</v>
      </c>
      <c r="G46" s="5">
        <f t="shared" si="3"/>
        <v>31917.247288601531</v>
      </c>
      <c r="H46" s="22">
        <f t="shared" si="16"/>
        <v>20977.814062392023</v>
      </c>
      <c r="I46" s="5">
        <f t="shared" si="17"/>
        <v>51237.814040064586</v>
      </c>
      <c r="J46" s="25">
        <f t="shared" si="19"/>
        <v>0.16443150301998125</v>
      </c>
      <c r="L46" s="22">
        <f t="shared" si="18"/>
        <v>52500.331979016781</v>
      </c>
      <c r="M46" s="5">
        <f>scrimecost*Meta!O43</f>
        <v>4405.9949999999999</v>
      </c>
      <c r="N46" s="5">
        <f>L46-Grade11!L46</f>
        <v>569.69974207846826</v>
      </c>
      <c r="O46" s="5">
        <f>Grade11!M46-M46</f>
        <v>91.769999999999527</v>
      </c>
      <c r="P46" s="22">
        <f t="shared" si="12"/>
        <v>91.120250978146373</v>
      </c>
      <c r="Q46" s="22"/>
      <c r="R46" s="22"/>
      <c r="S46" s="22">
        <f t="shared" si="20"/>
        <v>439.1870204233187</v>
      </c>
      <c r="T46" s="22">
        <f t="shared" si="21"/>
        <v>482.11300483721783</v>
      </c>
    </row>
    <row r="47" spans="1:20" x14ac:dyDescent="0.2">
      <c r="A47" s="5">
        <v>56</v>
      </c>
      <c r="B47" s="1">
        <f t="shared" si="13"/>
        <v>2.555682416076114</v>
      </c>
      <c r="C47" s="5">
        <f t="shared" si="14"/>
        <v>46743.044277937079</v>
      </c>
      <c r="D47" s="5">
        <f t="shared" si="15"/>
        <v>44282.743779980054</v>
      </c>
      <c r="E47" s="5">
        <f t="shared" si="1"/>
        <v>34782.743779980054</v>
      </c>
      <c r="F47" s="5">
        <f t="shared" si="2"/>
        <v>11686.590222161492</v>
      </c>
      <c r="G47" s="5">
        <f t="shared" si="3"/>
        <v>32596.153557818561</v>
      </c>
      <c r="H47" s="22">
        <f t="shared" si="16"/>
        <v>21502.259413951819</v>
      </c>
      <c r="I47" s="5">
        <f t="shared" si="17"/>
        <v>52399.734478068189</v>
      </c>
      <c r="J47" s="25">
        <f t="shared" si="19"/>
        <v>0.16632517813359859</v>
      </c>
      <c r="L47" s="22">
        <f t="shared" si="18"/>
        <v>53812.840278492193</v>
      </c>
      <c r="M47" s="5">
        <f>scrimecost*Meta!O44</f>
        <v>4405.9949999999999</v>
      </c>
      <c r="N47" s="5">
        <f>L47-Grade11!L47</f>
        <v>583.94223563041305</v>
      </c>
      <c r="O47" s="5">
        <f>Grade11!M47-M47</f>
        <v>91.769999999999527</v>
      </c>
      <c r="P47" s="22">
        <f t="shared" si="12"/>
        <v>93.026581471170701</v>
      </c>
      <c r="Q47" s="22"/>
      <c r="R47" s="22"/>
      <c r="S47" s="22">
        <f t="shared" si="20"/>
        <v>447.82601309779847</v>
      </c>
      <c r="T47" s="22">
        <f t="shared" si="21"/>
        <v>492.80424409043763</v>
      </c>
    </row>
    <row r="48" spans="1:20" x14ac:dyDescent="0.2">
      <c r="A48" s="5">
        <v>57</v>
      </c>
      <c r="B48" s="1">
        <f t="shared" si="13"/>
        <v>2.6195744764780171</v>
      </c>
      <c r="C48" s="5">
        <f t="shared" si="14"/>
        <v>47911.620384885508</v>
      </c>
      <c r="D48" s="5">
        <f t="shared" si="15"/>
        <v>45359.002374479554</v>
      </c>
      <c r="E48" s="5">
        <f t="shared" si="1"/>
        <v>35859.002374479554</v>
      </c>
      <c r="F48" s="5">
        <f t="shared" si="2"/>
        <v>12145.614512715529</v>
      </c>
      <c r="G48" s="5">
        <f t="shared" si="3"/>
        <v>33213.387861764029</v>
      </c>
      <c r="H48" s="22">
        <f t="shared" si="16"/>
        <v>22039.815899300615</v>
      </c>
      <c r="I48" s="5">
        <f t="shared" si="17"/>
        <v>53512.058305019891</v>
      </c>
      <c r="J48" s="25">
        <f t="shared" si="19"/>
        <v>0.16939337678227523</v>
      </c>
      <c r="L48" s="22">
        <f t="shared" si="18"/>
        <v>55158.161285454495</v>
      </c>
      <c r="M48" s="5">
        <f>scrimecost*Meta!O45</f>
        <v>4405.9949999999999</v>
      </c>
      <c r="N48" s="5">
        <f>L48-Grade11!L48</f>
        <v>598.54079152117629</v>
      </c>
      <c r="O48" s="5">
        <f>Grade11!M48-M48</f>
        <v>91.769999999999527</v>
      </c>
      <c r="P48" s="22">
        <f t="shared" si="12"/>
        <v>95.38456318346708</v>
      </c>
      <c r="Q48" s="22"/>
      <c r="R48" s="22"/>
      <c r="S48" s="22">
        <f t="shared" si="20"/>
        <v>457.03568640534894</v>
      </c>
      <c r="T48" s="22">
        <f t="shared" si="21"/>
        <v>504.17465152235138</v>
      </c>
    </row>
    <row r="49" spans="1:20" x14ac:dyDescent="0.2">
      <c r="A49" s="5">
        <v>58</v>
      </c>
      <c r="B49" s="1">
        <f t="shared" si="13"/>
        <v>2.6850638383899672</v>
      </c>
      <c r="C49" s="5">
        <f t="shared" si="14"/>
        <v>49109.410894507637</v>
      </c>
      <c r="D49" s="5">
        <f t="shared" si="15"/>
        <v>46462.16743384154</v>
      </c>
      <c r="E49" s="5">
        <f t="shared" si="1"/>
        <v>36962.16743384154</v>
      </c>
      <c r="F49" s="5">
        <f t="shared" si="2"/>
        <v>12616.114410533417</v>
      </c>
      <c r="G49" s="5">
        <f t="shared" si="3"/>
        <v>33846.053023308123</v>
      </c>
      <c r="H49" s="22">
        <f t="shared" si="16"/>
        <v>22590.811296783129</v>
      </c>
      <c r="I49" s="5">
        <f t="shared" si="17"/>
        <v>54652.190227645391</v>
      </c>
      <c r="J49" s="25">
        <f t="shared" si="19"/>
        <v>0.17238674131756948</v>
      </c>
      <c r="L49" s="22">
        <f t="shared" si="18"/>
        <v>56537.115317590855</v>
      </c>
      <c r="M49" s="5">
        <f>scrimecost*Meta!O46</f>
        <v>4405.9949999999999</v>
      </c>
      <c r="N49" s="5">
        <f>L49-Grade11!L49</f>
        <v>613.50431130920333</v>
      </c>
      <c r="O49" s="5">
        <f>Grade11!M49-M49</f>
        <v>91.769999999999527</v>
      </c>
      <c r="P49" s="22">
        <f t="shared" si="12"/>
        <v>97.80149443857087</v>
      </c>
      <c r="Q49" s="22"/>
      <c r="R49" s="22"/>
      <c r="S49" s="22">
        <f t="shared" si="20"/>
        <v>466.47560154558545</v>
      </c>
      <c r="T49" s="22">
        <f t="shared" si="21"/>
        <v>515.8525722607136</v>
      </c>
    </row>
    <row r="50" spans="1:20" x14ac:dyDescent="0.2">
      <c r="A50" s="5">
        <v>59</v>
      </c>
      <c r="B50" s="1">
        <f t="shared" si="13"/>
        <v>2.7521904343497163</v>
      </c>
      <c r="C50" s="5">
        <f t="shared" si="14"/>
        <v>50337.146166870334</v>
      </c>
      <c r="D50" s="5">
        <f t="shared" si="15"/>
        <v>47592.911619687584</v>
      </c>
      <c r="E50" s="5">
        <f t="shared" si="1"/>
        <v>38092.911619687584</v>
      </c>
      <c r="F50" s="5">
        <f t="shared" si="2"/>
        <v>13098.376805796754</v>
      </c>
      <c r="G50" s="5">
        <f t="shared" si="3"/>
        <v>34494.53481389083</v>
      </c>
      <c r="H50" s="22">
        <f t="shared" si="16"/>
        <v>23155.581579202702</v>
      </c>
      <c r="I50" s="5">
        <f t="shared" si="17"/>
        <v>55820.825448336516</v>
      </c>
      <c r="J50" s="25">
        <f t="shared" si="19"/>
        <v>0.17530709696175906</v>
      </c>
      <c r="L50" s="22">
        <f t="shared" si="18"/>
        <v>57950.543200530628</v>
      </c>
      <c r="M50" s="5">
        <f>scrimecost*Meta!O47</f>
        <v>4405.9949999999999</v>
      </c>
      <c r="N50" s="5">
        <f>L50-Grade11!L50</f>
        <v>628.8419190919376</v>
      </c>
      <c r="O50" s="5">
        <f>Grade11!M50-M50</f>
        <v>91.769999999999527</v>
      </c>
      <c r="P50" s="22">
        <f t="shared" si="12"/>
        <v>100.27884897505226</v>
      </c>
      <c r="Q50" s="22"/>
      <c r="R50" s="22"/>
      <c r="S50" s="22">
        <f t="shared" si="20"/>
        <v>476.15151456433114</v>
      </c>
      <c r="T50" s="22">
        <f t="shared" si="21"/>
        <v>527.84645537553956</v>
      </c>
    </row>
    <row r="51" spans="1:20" x14ac:dyDescent="0.2">
      <c r="A51" s="5">
        <v>60</v>
      </c>
      <c r="B51" s="1">
        <f t="shared" si="13"/>
        <v>2.8209951952084591</v>
      </c>
      <c r="C51" s="5">
        <f t="shared" si="14"/>
        <v>51595.574821042086</v>
      </c>
      <c r="D51" s="5">
        <f t="shared" si="15"/>
        <v>48751.924410179767</v>
      </c>
      <c r="E51" s="5">
        <f t="shared" si="1"/>
        <v>39251.924410179767</v>
      </c>
      <c r="F51" s="5">
        <f t="shared" si="2"/>
        <v>13592.69576094167</v>
      </c>
      <c r="G51" s="5">
        <f t="shared" si="3"/>
        <v>35159.228649238095</v>
      </c>
      <c r="H51" s="22">
        <f t="shared" si="16"/>
        <v>23734.47111868277</v>
      </c>
      <c r="I51" s="5">
        <f t="shared" si="17"/>
        <v>57018.676549544929</v>
      </c>
      <c r="J51" s="25">
        <f t="shared" si="19"/>
        <v>0.17815622441950493</v>
      </c>
      <c r="L51" s="22">
        <f t="shared" si="18"/>
        <v>59399.306780543891</v>
      </c>
      <c r="M51" s="5">
        <f>scrimecost*Meta!O48</f>
        <v>2324.3220000000001</v>
      </c>
      <c r="N51" s="5">
        <f>L51-Grade11!L51</f>
        <v>644.56296706922876</v>
      </c>
      <c r="O51" s="5">
        <f>Grade11!M51-M51</f>
        <v>48.411999999999807</v>
      </c>
      <c r="P51" s="22">
        <f t="shared" si="12"/>
        <v>102.81813737494568</v>
      </c>
      <c r="Q51" s="22"/>
      <c r="R51" s="22"/>
      <c r="S51" s="22">
        <f t="shared" si="20"/>
        <v>448.00100140854022</v>
      </c>
      <c r="T51" s="22">
        <f t="shared" si="21"/>
        <v>497.85995617401034</v>
      </c>
    </row>
    <row r="52" spans="1:20" x14ac:dyDescent="0.2">
      <c r="A52" s="5">
        <v>61</v>
      </c>
      <c r="B52" s="1">
        <f t="shared" si="13"/>
        <v>2.8915200750886707</v>
      </c>
      <c r="C52" s="5">
        <f t="shared" si="14"/>
        <v>52885.464191568135</v>
      </c>
      <c r="D52" s="5">
        <f t="shared" si="15"/>
        <v>49939.912520434256</v>
      </c>
      <c r="E52" s="5">
        <f t="shared" si="1"/>
        <v>40439.912520434256</v>
      </c>
      <c r="F52" s="5">
        <f t="shared" si="2"/>
        <v>14099.37268996521</v>
      </c>
      <c r="G52" s="5">
        <f t="shared" si="3"/>
        <v>35840.539830469046</v>
      </c>
      <c r="H52" s="22">
        <f t="shared" si="16"/>
        <v>24327.832896649845</v>
      </c>
      <c r="I52" s="5">
        <f t="shared" si="17"/>
        <v>58246.473928283551</v>
      </c>
      <c r="J52" s="25">
        <f t="shared" si="19"/>
        <v>0.18093586096364728</v>
      </c>
      <c r="L52" s="22">
        <f t="shared" si="18"/>
        <v>60884.289450057491</v>
      </c>
      <c r="M52" s="5">
        <f>scrimecost*Meta!O49</f>
        <v>2324.3220000000001</v>
      </c>
      <c r="N52" s="5">
        <f>L52-Grade11!L52</f>
        <v>660.67704124598094</v>
      </c>
      <c r="O52" s="5">
        <f>Grade11!M52-M52</f>
        <v>48.411999999999807</v>
      </c>
      <c r="P52" s="22">
        <f t="shared" si="12"/>
        <v>105.42090798483646</v>
      </c>
      <c r="Q52" s="22"/>
      <c r="R52" s="22"/>
      <c r="S52" s="22">
        <f t="shared" si="20"/>
        <v>458.16675752386834</v>
      </c>
      <c r="T52" s="22">
        <f t="shared" si="21"/>
        <v>510.40810218083294</v>
      </c>
    </row>
    <row r="53" spans="1:20" x14ac:dyDescent="0.2">
      <c r="A53" s="5">
        <v>62</v>
      </c>
      <c r="B53" s="1">
        <f t="shared" si="13"/>
        <v>2.9638080769658868</v>
      </c>
      <c r="C53" s="5">
        <f t="shared" si="14"/>
        <v>54207.600796357328</v>
      </c>
      <c r="D53" s="5">
        <f t="shared" si="15"/>
        <v>51157.600333445102</v>
      </c>
      <c r="E53" s="5">
        <f t="shared" si="1"/>
        <v>41657.600333445102</v>
      </c>
      <c r="F53" s="5">
        <f t="shared" si="2"/>
        <v>14618.716542214335</v>
      </c>
      <c r="G53" s="5">
        <f t="shared" si="3"/>
        <v>36538.883791230764</v>
      </c>
      <c r="H53" s="22">
        <f t="shared" si="16"/>
        <v>24936.028719066082</v>
      </c>
      <c r="I53" s="5">
        <f t="shared" si="17"/>
        <v>59504.966241490627</v>
      </c>
      <c r="J53" s="25">
        <f t="shared" si="19"/>
        <v>0.18364770149451781</v>
      </c>
      <c r="L53" s="22">
        <f t="shared" si="18"/>
        <v>62406.396686308915</v>
      </c>
      <c r="M53" s="5">
        <f>scrimecost*Meta!O50</f>
        <v>2324.3220000000001</v>
      </c>
      <c r="N53" s="5">
        <f>L53-Grade11!L53</f>
        <v>677.19396727711137</v>
      </c>
      <c r="O53" s="5">
        <f>Grade11!M53-M53</f>
        <v>48.411999999999807</v>
      </c>
      <c r="P53" s="22">
        <f t="shared" si="12"/>
        <v>108.08874785997445</v>
      </c>
      <c r="Q53" s="22"/>
      <c r="R53" s="22"/>
      <c r="S53" s="22">
        <f t="shared" si="20"/>
        <v>468.58665754205964</v>
      </c>
      <c r="T53" s="22">
        <f t="shared" si="21"/>
        <v>523.29872297856252</v>
      </c>
    </row>
    <row r="54" spans="1:20" x14ac:dyDescent="0.2">
      <c r="A54" s="5">
        <v>63</v>
      </c>
      <c r="B54" s="1">
        <f t="shared" si="13"/>
        <v>3.0379032788900342</v>
      </c>
      <c r="C54" s="5">
        <f t="shared" si="14"/>
        <v>55562.790816266264</v>
      </c>
      <c r="D54" s="5">
        <f t="shared" si="15"/>
        <v>52405.730341781236</v>
      </c>
      <c r="E54" s="5">
        <f t="shared" si="1"/>
        <v>42905.730341781236</v>
      </c>
      <c r="F54" s="5">
        <f t="shared" si="2"/>
        <v>15151.043990769696</v>
      </c>
      <c r="G54" s="5">
        <f t="shared" si="3"/>
        <v>37254.686351011536</v>
      </c>
      <c r="H54" s="22">
        <f t="shared" si="16"/>
        <v>25559.429437042738</v>
      </c>
      <c r="I54" s="5">
        <f t="shared" si="17"/>
        <v>60794.920862527899</v>
      </c>
      <c r="J54" s="25">
        <f t="shared" si="19"/>
        <v>0.18629339957341598</v>
      </c>
      <c r="L54" s="22">
        <f t="shared" si="18"/>
        <v>63966.556603466641</v>
      </c>
      <c r="M54" s="5">
        <f>scrimecost*Meta!O51</f>
        <v>2324.3220000000001</v>
      </c>
      <c r="N54" s="5">
        <f>L54-Grade11!L54</f>
        <v>694.12381645905407</v>
      </c>
      <c r="O54" s="5">
        <f>Grade11!M54-M54</f>
        <v>48.411999999999807</v>
      </c>
      <c r="P54" s="22">
        <f t="shared" si="12"/>
        <v>110.82328373199094</v>
      </c>
      <c r="Q54" s="22"/>
      <c r="R54" s="22"/>
      <c r="S54" s="22">
        <f t="shared" si="20"/>
        <v>479.2670550607225</v>
      </c>
      <c r="T54" s="22">
        <f t="shared" si="21"/>
        <v>536.54123599403624</v>
      </c>
    </row>
    <row r="55" spans="1:20" x14ac:dyDescent="0.2">
      <c r="A55" s="5">
        <v>64</v>
      </c>
      <c r="B55" s="1">
        <f t="shared" si="13"/>
        <v>3.1138508608622844</v>
      </c>
      <c r="C55" s="5">
        <f t="shared" si="14"/>
        <v>56951.860586672912</v>
      </c>
      <c r="D55" s="5">
        <f t="shared" si="15"/>
        <v>53685.063600325753</v>
      </c>
      <c r="E55" s="5">
        <f t="shared" si="1"/>
        <v>44185.063600325753</v>
      </c>
      <c r="F55" s="5">
        <f t="shared" si="2"/>
        <v>15696.679625538934</v>
      </c>
      <c r="G55" s="5">
        <f t="shared" si="3"/>
        <v>37988.383974786819</v>
      </c>
      <c r="H55" s="22">
        <f t="shared" si="16"/>
        <v>26198.415172968798</v>
      </c>
      <c r="I55" s="5">
        <f t="shared" si="17"/>
        <v>62117.124349091086</v>
      </c>
      <c r="J55" s="25">
        <f t="shared" si="19"/>
        <v>0.18887456843087755</v>
      </c>
      <c r="L55" s="22">
        <f t="shared" si="18"/>
        <v>65565.720518553295</v>
      </c>
      <c r="M55" s="5">
        <f>scrimecost*Meta!O52</f>
        <v>2324.3220000000001</v>
      </c>
      <c r="N55" s="5">
        <f>L55-Grade11!L55</f>
        <v>711.47691187050805</v>
      </c>
      <c r="O55" s="5">
        <f>Grade11!M55-M55</f>
        <v>48.411999999999807</v>
      </c>
      <c r="P55" s="22">
        <f t="shared" si="12"/>
        <v>113.62618300080781</v>
      </c>
      <c r="Q55" s="22"/>
      <c r="R55" s="22"/>
      <c r="S55" s="22">
        <f t="shared" si="20"/>
        <v>490.21446251733363</v>
      </c>
      <c r="T55" s="22">
        <f t="shared" si="21"/>
        <v>550.14531779010986</v>
      </c>
    </row>
    <row r="56" spans="1:20" x14ac:dyDescent="0.2">
      <c r="A56" s="5">
        <v>65</v>
      </c>
      <c r="B56" s="1">
        <f t="shared" si="13"/>
        <v>3.1916971323838421</v>
      </c>
      <c r="C56" s="5">
        <f t="shared" si="14"/>
        <v>58375.657101339748</v>
      </c>
      <c r="D56" s="5">
        <f t="shared" si="15"/>
        <v>54996.380190333912</v>
      </c>
      <c r="E56" s="5">
        <f t="shared" si="1"/>
        <v>45496.380190333912</v>
      </c>
      <c r="F56" s="5">
        <f t="shared" si="2"/>
        <v>16255.956151177414</v>
      </c>
      <c r="G56" s="5">
        <f t="shared" si="3"/>
        <v>38740.424039156496</v>
      </c>
      <c r="H56" s="22">
        <f t="shared" si="16"/>
        <v>26853.375552293022</v>
      </c>
      <c r="I56" s="5">
        <f t="shared" si="17"/>
        <v>63472.382922818375</v>
      </c>
      <c r="J56" s="25">
        <f t="shared" si="19"/>
        <v>0.19139278195035228</v>
      </c>
      <c r="L56" s="22">
        <f t="shared" si="18"/>
        <v>67204.863531517141</v>
      </c>
      <c r="M56" s="5">
        <f>scrimecost*Meta!O53</f>
        <v>702.40499999999997</v>
      </c>
      <c r="N56" s="5">
        <f>L56-Grade11!L56</f>
        <v>729.26383466729021</v>
      </c>
      <c r="O56" s="5">
        <f>Grade11!M56-M56</f>
        <v>14.629999999999995</v>
      </c>
      <c r="P56" s="22">
        <f t="shared" si="12"/>
        <v>116.49915475134516</v>
      </c>
      <c r="Q56" s="22"/>
      <c r="R56" s="22"/>
      <c r="S56" s="22">
        <f t="shared" si="20"/>
        <v>471.77495916038072</v>
      </c>
      <c r="T56" s="22">
        <f t="shared" si="21"/>
        <v>530.7523910151674</v>
      </c>
    </row>
    <row r="57" spans="1:20" x14ac:dyDescent="0.2">
      <c r="A57" s="5">
        <v>66</v>
      </c>
      <c r="C57" s="5"/>
      <c r="H57" s="21"/>
      <c r="I57" s="5"/>
      <c r="M57" s="5">
        <f>scrimecost*Meta!O54</f>
        <v>702.40499999999997</v>
      </c>
      <c r="N57" s="5">
        <f>L57-Grade11!L57</f>
        <v>0</v>
      </c>
      <c r="O57" s="5">
        <f>Grade11!M57-M57</f>
        <v>14.629999999999995</v>
      </c>
      <c r="Q57" s="22"/>
      <c r="R57" s="22"/>
      <c r="S57" s="22">
        <f t="shared" si="20"/>
        <v>12.845139999999995</v>
      </c>
      <c r="T57" s="22">
        <f t="shared" si="21"/>
        <v>14.486440534284689</v>
      </c>
    </row>
    <row r="58" spans="1:20" x14ac:dyDescent="0.2">
      <c r="A58" s="5">
        <v>67</v>
      </c>
      <c r="C58" s="5"/>
      <c r="H58" s="21"/>
      <c r="I58" s="5"/>
      <c r="M58" s="5">
        <f>scrimecost*Meta!O55</f>
        <v>702.40499999999997</v>
      </c>
      <c r="N58" s="5">
        <f>L58-Grade11!L58</f>
        <v>0</v>
      </c>
      <c r="O58" s="5">
        <f>Grade11!M58-M58</f>
        <v>14.629999999999995</v>
      </c>
      <c r="Q58" s="22"/>
      <c r="R58" s="22"/>
      <c r="S58" s="22">
        <f t="shared" si="20"/>
        <v>12.845139999999995</v>
      </c>
      <c r="T58" s="22">
        <f t="shared" si="21"/>
        <v>14.522034372952609</v>
      </c>
    </row>
    <row r="59" spans="1:20" x14ac:dyDescent="0.2">
      <c r="A59" s="5">
        <v>68</v>
      </c>
      <c r="H59" s="21"/>
      <c r="I59" s="5"/>
      <c r="M59" s="5">
        <f>scrimecost*Meta!O56</f>
        <v>702.40499999999997</v>
      </c>
      <c r="N59" s="5">
        <f>L59-Grade11!L59</f>
        <v>0</v>
      </c>
      <c r="O59" s="5">
        <f>Grade11!M59-M59</f>
        <v>14.629999999999995</v>
      </c>
      <c r="Q59" s="22"/>
      <c r="R59" s="22"/>
      <c r="S59" s="22">
        <f t="shared" si="20"/>
        <v>12.845139999999995</v>
      </c>
      <c r="T59" s="22">
        <f t="shared" si="21"/>
        <v>14.557715667289717</v>
      </c>
    </row>
    <row r="60" spans="1:20" x14ac:dyDescent="0.2">
      <c r="A60" s="5">
        <v>69</v>
      </c>
      <c r="H60" s="21"/>
      <c r="I60" s="5"/>
      <c r="M60" s="5">
        <f>scrimecost*Meta!O57</f>
        <v>702.40499999999997</v>
      </c>
      <c r="N60" s="5">
        <f>L60-Grade11!L60</f>
        <v>0</v>
      </c>
      <c r="O60" s="5">
        <f>Grade11!M60-M60</f>
        <v>14.629999999999995</v>
      </c>
      <c r="Q60" s="22"/>
      <c r="R60" s="22"/>
      <c r="S60" s="22">
        <f t="shared" si="20"/>
        <v>12.845139999999995</v>
      </c>
      <c r="T60" s="22">
        <f t="shared" si="21"/>
        <v>14.593484632178548</v>
      </c>
    </row>
    <row r="61" spans="1:20" x14ac:dyDescent="0.2">
      <c r="A61" s="5">
        <v>70</v>
      </c>
      <c r="H61" s="21"/>
      <c r="I61" s="5"/>
      <c r="M61" s="5">
        <f>scrimecost*Meta!O58</f>
        <v>702.40499999999997</v>
      </c>
      <c r="N61" s="5">
        <f>L61-Grade11!L61</f>
        <v>0</v>
      </c>
      <c r="O61" s="5">
        <f>Grade11!M61-M61</f>
        <v>14.629999999999995</v>
      </c>
      <c r="Q61" s="22"/>
      <c r="R61" s="22"/>
      <c r="S61" s="22">
        <f t="shared" si="20"/>
        <v>12.845139999999995</v>
      </c>
      <c r="T61" s="22">
        <f t="shared" si="21"/>
        <v>14.629341483029599</v>
      </c>
    </row>
    <row r="62" spans="1:20" x14ac:dyDescent="0.2">
      <c r="A62" s="5">
        <v>71</v>
      </c>
      <c r="H62" s="21"/>
      <c r="I62" s="5"/>
      <c r="M62" s="5">
        <f>scrimecost*Meta!O59</f>
        <v>702.40499999999997</v>
      </c>
      <c r="N62" s="5">
        <f>L62-Grade11!L62</f>
        <v>0</v>
      </c>
      <c r="O62" s="5">
        <f>Grade11!M62-M62</f>
        <v>14.629999999999995</v>
      </c>
      <c r="Q62" s="22"/>
      <c r="R62" s="22"/>
      <c r="S62" s="22">
        <f t="shared" si="20"/>
        <v>12.845139999999995</v>
      </c>
      <c r="T62" s="22">
        <f t="shared" si="21"/>
        <v>14.665286435782658</v>
      </c>
    </row>
    <row r="63" spans="1:20" x14ac:dyDescent="0.2">
      <c r="A63" s="5">
        <v>72</v>
      </c>
      <c r="H63" s="21"/>
      <c r="M63" s="5">
        <f>scrimecost*Meta!O60</f>
        <v>702.40499999999997</v>
      </c>
      <c r="N63" s="5">
        <f>L63-Grade11!L63</f>
        <v>0</v>
      </c>
      <c r="O63" s="5">
        <f>Grade11!M63-M63</f>
        <v>14.629999999999995</v>
      </c>
      <c r="Q63" s="22"/>
      <c r="R63" s="22"/>
      <c r="S63" s="22">
        <f t="shared" si="20"/>
        <v>12.845139999999995</v>
      </c>
      <c r="T63" s="22">
        <f t="shared" si="21"/>
        <v>14.701319706908068</v>
      </c>
    </row>
    <row r="64" spans="1:20" x14ac:dyDescent="0.2">
      <c r="A64" s="5">
        <v>73</v>
      </c>
      <c r="H64" s="21"/>
      <c r="M64" s="5">
        <f>scrimecost*Meta!O61</f>
        <v>702.40499999999997</v>
      </c>
      <c r="N64" s="5">
        <f>L64-Grade11!L64</f>
        <v>0</v>
      </c>
      <c r="O64" s="5">
        <f>Grade11!M64-M64</f>
        <v>14.629999999999995</v>
      </c>
      <c r="Q64" s="22"/>
      <c r="R64" s="22"/>
      <c r="S64" s="22">
        <f t="shared" si="20"/>
        <v>12.845139999999995</v>
      </c>
      <c r="T64" s="22">
        <f t="shared" si="21"/>
        <v>14.737441513408069</v>
      </c>
    </row>
    <row r="65" spans="1:20" x14ac:dyDescent="0.2">
      <c r="A65" s="5">
        <v>74</v>
      </c>
      <c r="H65" s="21"/>
      <c r="M65" s="5">
        <f>scrimecost*Meta!O62</f>
        <v>702.40499999999997</v>
      </c>
      <c r="N65" s="5">
        <f>L65-Grade11!L65</f>
        <v>0</v>
      </c>
      <c r="O65" s="5">
        <f>Grade11!M65-M65</f>
        <v>14.629999999999995</v>
      </c>
      <c r="Q65" s="22"/>
      <c r="R65" s="22"/>
      <c r="S65" s="22">
        <f t="shared" si="20"/>
        <v>12.845139999999995</v>
      </c>
      <c r="T65" s="22">
        <f t="shared" si="21"/>
        <v>14.773652072818066</v>
      </c>
    </row>
    <row r="66" spans="1:20" x14ac:dyDescent="0.2">
      <c r="A66" s="5">
        <v>75</v>
      </c>
      <c r="H66" s="21"/>
      <c r="M66" s="5">
        <f>scrimecost*Meta!O63</f>
        <v>702.40499999999997</v>
      </c>
      <c r="N66" s="5">
        <f>L66-Grade11!L66</f>
        <v>0</v>
      </c>
      <c r="O66" s="5">
        <f>Grade11!M66-M66</f>
        <v>14.629999999999995</v>
      </c>
      <c r="Q66" s="22"/>
      <c r="R66" s="22"/>
      <c r="S66" s="22">
        <f t="shared" si="20"/>
        <v>12.845139999999995</v>
      </c>
      <c r="T66" s="22">
        <f t="shared" si="21"/>
        <v>14.809951603207974</v>
      </c>
    </row>
    <row r="67" spans="1:20" x14ac:dyDescent="0.2">
      <c r="A67" s="5">
        <v>76</v>
      </c>
      <c r="H67" s="21"/>
      <c r="M67" s="5">
        <f>scrimecost*Meta!O64</f>
        <v>702.40499999999997</v>
      </c>
      <c r="N67" s="5">
        <f>L67-Grade11!L67</f>
        <v>0</v>
      </c>
      <c r="O67" s="5">
        <f>Grade11!M67-M67</f>
        <v>14.629999999999995</v>
      </c>
      <c r="Q67" s="22"/>
      <c r="R67" s="22"/>
      <c r="S67" s="22">
        <f t="shared" si="20"/>
        <v>12.845139999999995</v>
      </c>
      <c r="T67" s="22">
        <f t="shared" si="21"/>
        <v>14.846340323183504</v>
      </c>
    </row>
    <row r="68" spans="1:20" x14ac:dyDescent="0.2">
      <c r="A68" s="5">
        <v>77</v>
      </c>
      <c r="H68" s="21"/>
      <c r="M68" s="5">
        <f>scrimecost*Meta!O65</f>
        <v>702.40499999999997</v>
      </c>
      <c r="N68" s="5">
        <f>L68-Grade11!L68</f>
        <v>0</v>
      </c>
      <c r="O68" s="5">
        <f>Grade11!M68-M68</f>
        <v>14.629999999999995</v>
      </c>
      <c r="Q68" s="22"/>
      <c r="R68" s="22"/>
      <c r="S68" s="22">
        <f t="shared" si="20"/>
        <v>12.845139999999995</v>
      </c>
      <c r="T68" s="22">
        <f t="shared" si="21"/>
        <v>14.882818451887498</v>
      </c>
    </row>
    <row r="69" spans="1:20" x14ac:dyDescent="0.2">
      <c r="A69" s="5">
        <v>78</v>
      </c>
      <c r="H69" s="21"/>
      <c r="M69" s="5">
        <f>scrimecost*Meta!O66</f>
        <v>702.40499999999997</v>
      </c>
      <c r="N69" s="5">
        <f>L69-Grade11!L69</f>
        <v>0</v>
      </c>
      <c r="O69" s="5">
        <f>Grade11!M69-M69</f>
        <v>14.629999999999995</v>
      </c>
      <c r="Q69" s="22"/>
      <c r="R69" s="22"/>
      <c r="S69" s="22">
        <f t="shared" si="20"/>
        <v>12.845139999999995</v>
      </c>
      <c r="T69" s="22">
        <f t="shared" si="21"/>
        <v>14.919386209001239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-6.4816063627404219E-10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N10" sqref="N10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Meta!A7+6</f>
        <v>19</v>
      </c>
      <c r="C2" s="7">
        <f>Meta!B7</f>
        <v>36001</v>
      </c>
      <c r="D2" s="7">
        <f>Meta!C7</f>
        <v>16473</v>
      </c>
      <c r="E2" s="1">
        <f>Meta!D7</f>
        <v>7.6999999999999999E-2</v>
      </c>
      <c r="F2" s="1">
        <f>Meta!F7</f>
        <v>0.61499999999999999</v>
      </c>
      <c r="G2" s="1">
        <f>Meta!I7</f>
        <v>1.8652741552202943</v>
      </c>
      <c r="H2" s="1">
        <f>Meta!E7</f>
        <v>0.497</v>
      </c>
      <c r="I2" s="13"/>
      <c r="J2" s="1">
        <f>Meta!X6</f>
        <v>0.55700000000000005</v>
      </c>
      <c r="K2" s="1">
        <f>Meta!D6</f>
        <v>7.9000000000000001E-2</v>
      </c>
      <c r="L2" s="28"/>
      <c r="N2" s="22">
        <f>Meta!T7</f>
        <v>30820</v>
      </c>
      <c r="O2" s="22">
        <f>Meta!U7</f>
        <v>14136</v>
      </c>
      <c r="P2" s="1">
        <f>Meta!V7</f>
        <v>9.5000000000000001E-2</v>
      </c>
      <c r="Q2" s="1">
        <f>Meta!X7</f>
        <v>0.56000000000000005</v>
      </c>
      <c r="R2" s="22">
        <f>Meta!W7</f>
        <v>12672</v>
      </c>
      <c r="T2" s="12">
        <f>IRR(S5:S69)+1</f>
        <v>0.96258757238223402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5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5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5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B9" s="1">
        <v>1</v>
      </c>
      <c r="C9" s="5">
        <f>0.1*Grade12!C9</f>
        <v>1828.9848528873299</v>
      </c>
      <c r="D9" s="5">
        <f t="shared" ref="D9:D36" si="0">IF(A9&lt;startage,1,0)*(C9*(1-initialunempprob))+IF(A9=startage,1,0)*(C9*(1-unempprob))+IF(A9&gt;startage,1,0)*(C9*(1-unempprob)+unempprob*300*52)</f>
        <v>1684.495049509231</v>
      </c>
      <c r="E9" s="5">
        <f t="shared" ref="E9:E56" si="1">IF(D9-9500&gt;0,1,0)*(D9-9500)</f>
        <v>0</v>
      </c>
      <c r="F9" s="5">
        <f t="shared" ref="F9:F56" si="2">IF(E9&lt;=8500,1,0)*(0.1*E9+0.1*E9+0.0765*D9)+IF(AND(E9&gt;8500,E9&lt;=34500),1,0)*(850+0.15*(E9-8500)+0.1*E9+0.0765*D9)+IF(AND(E9&gt;34500,E9&lt;=83600),1,0)*(4750+0.25*(E9-34500)+0.1*E9+0.0765*D9)+IF(AND(E9&gt;83600,E9&lt;=174400,D9&lt;=106800),1,0)*(17025+0.28*(E9-83600)+0.1*E9+0.0765*D9)+IF(AND(E9&gt;83600,E9&lt;=174400,D9&gt;106800),1,0)*(17025+0.28*(E9-83600)+0.1*E9+8170.2+0.0145*(D9-106800))+IF(AND(E9&gt;174400,E9&lt;=379150),1,0)*(42449+0.33*(E9-174400)+0.1*E9+8170.2+0.0145*(D9-106800))+IF(E9&gt;379150,1,0)*(110016.5+0.35*(E9-379150)+0.1*E9+8170.2+0.0145*(D9-106800))</f>
        <v>128.86387128745616</v>
      </c>
      <c r="G9" s="5">
        <f t="shared" ref="G9:G56" si="3">D9-F9</f>
        <v>1555.6311782217749</v>
      </c>
      <c r="H9" s="22">
        <f>0.1*Grade12!H9</f>
        <v>841.35099411003785</v>
      </c>
      <c r="I9" s="5">
        <f t="shared" ref="I9:I36" si="4">G9+IF(A9&lt;startage,1,0)*(H9*(1-initialunempprob))+IF(A9&gt;=startage,1,0)*(H9*(1-unempprob))</f>
        <v>2330.5154437971196</v>
      </c>
      <c r="J9" s="25">
        <f t="shared" ref="J9:J56" si="5">(F9-(IF(A9&gt;startage,1,0)*(unempprob*300*52)))/(IF(A9&lt;startage,1,0)*((C9+H9)*(1-initialunempprob))+IF(A9&gt;=startage,1,0)*((C9+H9)*(1-unempprob)))</f>
        <v>5.2396907828357764E-2</v>
      </c>
      <c r="L9" s="22">
        <f>0.1*Grade12!L9</f>
        <v>2105.6153119805135</v>
      </c>
      <c r="M9" s="5">
        <f>scrimecost*Meta!O6</f>
        <v>41766.911999999997</v>
      </c>
      <c r="N9" s="5">
        <f>L9-Grade12!L9</f>
        <v>-18950.537807824621</v>
      </c>
      <c r="O9" s="5"/>
      <c r="P9" s="22"/>
      <c r="Q9" s="22">
        <f>0.05*feel*Grade12!G9</f>
        <v>197.22250356479003</v>
      </c>
      <c r="R9" s="22">
        <f>coltuition</f>
        <v>8279</v>
      </c>
      <c r="S9" s="22">
        <f t="shared" ref="S9:S40" si="6">IF(A9&lt;startage,1,0)*(N9-Q9-R9)+IF(A9&gt;=startage,1,0)*completionprob*(N9*spart+O9+P9)</f>
        <v>-27426.760311389411</v>
      </c>
      <c r="T9" s="22">
        <f t="shared" ref="T9:T40" si="7">S9/sreturn^(A9-startage+1)</f>
        <v>-27426.760311389411</v>
      </c>
    </row>
    <row r="10" spans="1:20" x14ac:dyDescent="0.2">
      <c r="A10" s="5">
        <v>19</v>
      </c>
      <c r="B10" s="1">
        <f t="shared" ref="B10:B36" si="8">(1+experiencepremium)^(A10-startage)</f>
        <v>1</v>
      </c>
      <c r="C10" s="5">
        <f t="shared" ref="C10:C36" si="9">pretaxincome*B10/expnorm</f>
        <v>19300.648057147489</v>
      </c>
      <c r="D10" s="5">
        <f t="shared" si="0"/>
        <v>17814.498156747133</v>
      </c>
      <c r="E10" s="5">
        <f t="shared" si="1"/>
        <v>8314.4981567471332</v>
      </c>
      <c r="F10" s="5">
        <f t="shared" si="2"/>
        <v>3025.7087403405822</v>
      </c>
      <c r="G10" s="5">
        <f t="shared" si="3"/>
        <v>14788.789416406551</v>
      </c>
      <c r="H10" s="22">
        <f t="shared" ref="H10:H36" si="10">benefits*B10/expnorm</f>
        <v>8831.4095565509469</v>
      </c>
      <c r="I10" s="5">
        <f t="shared" si="4"/>
        <v>22940.180437103074</v>
      </c>
      <c r="J10" s="25">
        <f t="shared" si="5"/>
        <v>0.11652629030585977</v>
      </c>
      <c r="L10" s="22">
        <f t="shared" ref="L10:L36" si="11">(sincome+sbenefits)*(1-sunemp)*B10/expnorm</f>
        <v>21811.903567170244</v>
      </c>
      <c r="M10" s="5">
        <f>scrimecost*Meta!O7</f>
        <v>44643.455999999998</v>
      </c>
      <c r="N10" s="5">
        <f>L10-Grade12!L10</f>
        <v>229.346619369986</v>
      </c>
      <c r="O10" s="5">
        <f>Grade12!M10-M10</f>
        <v>348.77700000000186</v>
      </c>
      <c r="P10" s="22">
        <f t="shared" ref="P10:P56" si="12">(spart-initialspart)*(L10*J10+nptrans)</f>
        <v>27.286980621574521</v>
      </c>
      <c r="Q10" s="22"/>
      <c r="R10" s="22"/>
      <c r="S10" s="22">
        <f t="shared" si="6"/>
        <v>250.73554947197798</v>
      </c>
      <c r="T10" s="22">
        <f t="shared" si="7"/>
        <v>260.4807673253581</v>
      </c>
    </row>
    <row r="11" spans="1:20" x14ac:dyDescent="0.2">
      <c r="A11" s="5">
        <v>20</v>
      </c>
      <c r="B11" s="1">
        <f t="shared" si="8"/>
        <v>1.0249999999999999</v>
      </c>
      <c r="C11" s="5">
        <f t="shared" si="9"/>
        <v>19783.164258576177</v>
      </c>
      <c r="D11" s="5">
        <f t="shared" si="0"/>
        <v>19461.060610665812</v>
      </c>
      <c r="E11" s="5">
        <f t="shared" si="1"/>
        <v>9961.0606106658124</v>
      </c>
      <c r="F11" s="5">
        <f t="shared" si="2"/>
        <v>3554.0362893823876</v>
      </c>
      <c r="G11" s="5">
        <f t="shared" si="3"/>
        <v>15907.024321283425</v>
      </c>
      <c r="H11" s="22">
        <f t="shared" si="10"/>
        <v>9052.1947954647185</v>
      </c>
      <c r="I11" s="5">
        <f t="shared" si="4"/>
        <v>24262.200117497363</v>
      </c>
      <c r="J11" s="25">
        <f t="shared" si="5"/>
        <v>8.8402520042174387E-2</v>
      </c>
      <c r="L11" s="22">
        <f t="shared" si="11"/>
        <v>22357.201156349496</v>
      </c>
      <c r="M11" s="5">
        <f>scrimecost*Meta!O8</f>
        <v>42755.328000000001</v>
      </c>
      <c r="N11" s="5">
        <f>L11-Grade12!L11</f>
        <v>235.08028485422983</v>
      </c>
      <c r="O11" s="5">
        <f>Grade12!M11-M11</f>
        <v>334.02599999999802</v>
      </c>
      <c r="P11" s="22">
        <f t="shared" si="12"/>
        <v>25.591298769933356</v>
      </c>
      <c r="Q11" s="22"/>
      <c r="R11" s="22"/>
      <c r="S11" s="22">
        <f t="shared" si="6"/>
        <v>244.15734236928517</v>
      </c>
      <c r="T11" s="22">
        <f t="shared" si="7"/>
        <v>263.50525966938585</v>
      </c>
    </row>
    <row r="12" spans="1:20" x14ac:dyDescent="0.2">
      <c r="A12" s="5">
        <v>21</v>
      </c>
      <c r="B12" s="1">
        <f t="shared" si="8"/>
        <v>1.0506249999999999</v>
      </c>
      <c r="C12" s="5">
        <f t="shared" si="9"/>
        <v>20277.74336504058</v>
      </c>
      <c r="D12" s="5">
        <f t="shared" si="0"/>
        <v>19917.557125932457</v>
      </c>
      <c r="E12" s="5">
        <f t="shared" si="1"/>
        <v>10417.557125932457</v>
      </c>
      <c r="F12" s="5">
        <f t="shared" si="2"/>
        <v>3703.0824016169472</v>
      </c>
      <c r="G12" s="5">
        <f t="shared" si="3"/>
        <v>16214.474724315511</v>
      </c>
      <c r="H12" s="22">
        <f t="shared" si="10"/>
        <v>9278.499665351339</v>
      </c>
      <c r="I12" s="5">
        <f t="shared" si="4"/>
        <v>24778.529915434796</v>
      </c>
      <c r="J12" s="25">
        <f t="shared" si="5"/>
        <v>9.1709845604244583E-2</v>
      </c>
      <c r="L12" s="22">
        <f t="shared" si="11"/>
        <v>22916.131185258237</v>
      </c>
      <c r="M12" s="5">
        <f>scrimecost*Meta!O9</f>
        <v>38827.008000000002</v>
      </c>
      <c r="N12" s="5">
        <f>L12-Grade12!L12</f>
        <v>240.9572919755883</v>
      </c>
      <c r="O12" s="5">
        <f>Grade12!M12-M12</f>
        <v>303.33599999999569</v>
      </c>
      <c r="P12" s="22">
        <f t="shared" si="12"/>
        <v>25.966904558539966</v>
      </c>
      <c r="Q12" s="22"/>
      <c r="R12" s="22"/>
      <c r="S12" s="22">
        <f t="shared" si="6"/>
        <v>230.72677706823796</v>
      </c>
      <c r="T12" s="22">
        <f t="shared" si="7"/>
        <v>258.68857503392815</v>
      </c>
    </row>
    <row r="13" spans="1:20" x14ac:dyDescent="0.2">
      <c r="A13" s="5">
        <v>22</v>
      </c>
      <c r="B13" s="1">
        <f t="shared" si="8"/>
        <v>1.0768906249999999</v>
      </c>
      <c r="C13" s="5">
        <f t="shared" si="9"/>
        <v>20784.686949166593</v>
      </c>
      <c r="D13" s="5">
        <f t="shared" si="0"/>
        <v>20385.466054080767</v>
      </c>
      <c r="E13" s="5">
        <f t="shared" si="1"/>
        <v>10885.466054080767</v>
      </c>
      <c r="F13" s="5">
        <f t="shared" si="2"/>
        <v>3855.8546666573702</v>
      </c>
      <c r="G13" s="5">
        <f t="shared" si="3"/>
        <v>16529.611387423396</v>
      </c>
      <c r="H13" s="22">
        <f t="shared" si="10"/>
        <v>9510.4621569851206</v>
      </c>
      <c r="I13" s="5">
        <f t="shared" si="4"/>
        <v>25307.767958320663</v>
      </c>
      <c r="J13" s="25">
        <f t="shared" si="5"/>
        <v>9.4936504689191098E-2</v>
      </c>
      <c r="L13" s="22">
        <f t="shared" si="11"/>
        <v>23489.034464889693</v>
      </c>
      <c r="M13" s="5">
        <f>scrimecost*Meta!O10</f>
        <v>35582.975999999995</v>
      </c>
      <c r="N13" s="5">
        <f>L13-Grade12!L13</f>
        <v>246.98122427498311</v>
      </c>
      <c r="O13" s="5">
        <f>Grade12!M13-M13</f>
        <v>277.99200000000565</v>
      </c>
      <c r="P13" s="22">
        <f t="shared" si="12"/>
        <v>26.351900491861738</v>
      </c>
      <c r="Q13" s="22"/>
      <c r="R13" s="22"/>
      <c r="S13" s="22">
        <f t="shared" si="6"/>
        <v>219.99873288467137</v>
      </c>
      <c r="T13" s="22">
        <f t="shared" si="7"/>
        <v>256.24722916609454</v>
      </c>
    </row>
    <row r="14" spans="1:20" x14ac:dyDescent="0.2">
      <c r="A14" s="5">
        <v>23</v>
      </c>
      <c r="B14" s="1">
        <f t="shared" si="8"/>
        <v>1.1038128906249998</v>
      </c>
      <c r="C14" s="5">
        <f t="shared" si="9"/>
        <v>21304.304122895755</v>
      </c>
      <c r="D14" s="5">
        <f t="shared" si="0"/>
        <v>20865.072705432784</v>
      </c>
      <c r="E14" s="5">
        <f t="shared" si="1"/>
        <v>11365.072705432784</v>
      </c>
      <c r="F14" s="5">
        <f t="shared" si="2"/>
        <v>4012.4462383238038</v>
      </c>
      <c r="G14" s="5">
        <f t="shared" si="3"/>
        <v>16852.626467108981</v>
      </c>
      <c r="H14" s="22">
        <f t="shared" si="10"/>
        <v>9748.2237109097478</v>
      </c>
      <c r="I14" s="5">
        <f t="shared" si="4"/>
        <v>25850.236952278679</v>
      </c>
      <c r="J14" s="25">
        <f t="shared" si="5"/>
        <v>9.8084464772065741E-2</v>
      </c>
      <c r="L14" s="22">
        <f t="shared" si="11"/>
        <v>24076.260326511932</v>
      </c>
      <c r="M14" s="5">
        <f>scrimecost*Meta!O11</f>
        <v>33251.328000000001</v>
      </c>
      <c r="N14" s="5">
        <f>L14-Grade12!L14</f>
        <v>253.15575488185641</v>
      </c>
      <c r="O14" s="5">
        <f>Grade12!M14-M14</f>
        <v>259.77599999999802</v>
      </c>
      <c r="P14" s="22">
        <f t="shared" si="12"/>
        <v>26.746521323516554</v>
      </c>
      <c r="Q14" s="22"/>
      <c r="R14" s="22"/>
      <c r="S14" s="22">
        <f t="shared" si="6"/>
        <v>212.86000279650503</v>
      </c>
      <c r="T14" s="22">
        <f t="shared" si="7"/>
        <v>257.56853733075161</v>
      </c>
    </row>
    <row r="15" spans="1:20" x14ac:dyDescent="0.2">
      <c r="A15" s="5">
        <v>24</v>
      </c>
      <c r="B15" s="1">
        <f t="shared" si="8"/>
        <v>1.1314082128906247</v>
      </c>
      <c r="C15" s="5">
        <f t="shared" si="9"/>
        <v>21836.911725968152</v>
      </c>
      <c r="D15" s="5">
        <f t="shared" si="0"/>
        <v>21356.669523068605</v>
      </c>
      <c r="E15" s="5">
        <f t="shared" si="1"/>
        <v>11856.669523068605</v>
      </c>
      <c r="F15" s="5">
        <f t="shared" si="2"/>
        <v>4172.9525992818999</v>
      </c>
      <c r="G15" s="5">
        <f t="shared" si="3"/>
        <v>17183.716923786706</v>
      </c>
      <c r="H15" s="22">
        <f t="shared" si="10"/>
        <v>9991.9293036824911</v>
      </c>
      <c r="I15" s="5">
        <f t="shared" si="4"/>
        <v>26406.267671085647</v>
      </c>
      <c r="J15" s="25">
        <f t="shared" si="5"/>
        <v>0.10115564534072401</v>
      </c>
      <c r="L15" s="22">
        <f t="shared" si="11"/>
        <v>24678.166834674725</v>
      </c>
      <c r="M15" s="5">
        <f>scrimecost*Meta!O12</f>
        <v>31768.704000000002</v>
      </c>
      <c r="N15" s="5">
        <f>L15-Grade12!L15</f>
        <v>259.48464875389982</v>
      </c>
      <c r="O15" s="5">
        <f>Grade12!M15-M15</f>
        <v>248.1929999999993</v>
      </c>
      <c r="P15" s="22">
        <f t="shared" si="12"/>
        <v>27.151007675962745</v>
      </c>
      <c r="Q15" s="22"/>
      <c r="R15" s="22"/>
      <c r="S15" s="22">
        <f t="shared" si="6"/>
        <v>209.06573925613853</v>
      </c>
      <c r="T15" s="22">
        <f t="shared" si="7"/>
        <v>262.80968535357476</v>
      </c>
    </row>
    <row r="16" spans="1:20" x14ac:dyDescent="0.2">
      <c r="A16" s="5">
        <v>25</v>
      </c>
      <c r="B16" s="1">
        <f t="shared" si="8"/>
        <v>1.1596934182128902</v>
      </c>
      <c r="C16" s="5">
        <f t="shared" si="9"/>
        <v>22382.83451911735</v>
      </c>
      <c r="D16" s="5">
        <f t="shared" si="0"/>
        <v>21860.556261145317</v>
      </c>
      <c r="E16" s="5">
        <f t="shared" si="1"/>
        <v>12360.556261145317</v>
      </c>
      <c r="F16" s="5">
        <f t="shared" si="2"/>
        <v>4337.4716192639462</v>
      </c>
      <c r="G16" s="5">
        <f t="shared" si="3"/>
        <v>17523.084641881371</v>
      </c>
      <c r="H16" s="22">
        <f t="shared" si="10"/>
        <v>10241.727536274551</v>
      </c>
      <c r="I16" s="5">
        <f t="shared" si="4"/>
        <v>26976.199157862782</v>
      </c>
      <c r="J16" s="25">
        <f t="shared" si="5"/>
        <v>0.10415191906624421</v>
      </c>
      <c r="L16" s="22">
        <f t="shared" si="11"/>
        <v>25295.121005541594</v>
      </c>
      <c r="M16" s="5">
        <f>scrimecost*Meta!O13</f>
        <v>26674.560000000001</v>
      </c>
      <c r="N16" s="5">
        <f>L16-Grade12!L16</f>
        <v>265.97176497274268</v>
      </c>
      <c r="O16" s="5">
        <f>Grade12!M16-M16</f>
        <v>208.3949999999968</v>
      </c>
      <c r="P16" s="22">
        <f t="shared" si="12"/>
        <v>27.565606187220091</v>
      </c>
      <c r="Q16" s="22"/>
      <c r="R16" s="22"/>
      <c r="S16" s="22">
        <f t="shared" si="6"/>
        <v>191.29768290226056</v>
      </c>
      <c r="T16" s="22">
        <f t="shared" si="7"/>
        <v>249.82043321785903</v>
      </c>
    </row>
    <row r="17" spans="1:20" x14ac:dyDescent="0.2">
      <c r="A17" s="5">
        <v>26</v>
      </c>
      <c r="B17" s="1">
        <f t="shared" si="8"/>
        <v>1.1886857536682125</v>
      </c>
      <c r="C17" s="5">
        <f t="shared" si="9"/>
        <v>22942.405382095287</v>
      </c>
      <c r="D17" s="5">
        <f t="shared" si="0"/>
        <v>22377.040167673953</v>
      </c>
      <c r="E17" s="5">
        <f t="shared" si="1"/>
        <v>12877.040167673953</v>
      </c>
      <c r="F17" s="5">
        <f t="shared" si="2"/>
        <v>4506.1036147455452</v>
      </c>
      <c r="G17" s="5">
        <f t="shared" si="3"/>
        <v>17870.936552928408</v>
      </c>
      <c r="H17" s="22">
        <f t="shared" si="10"/>
        <v>10497.770724681417</v>
      </c>
      <c r="I17" s="5">
        <f t="shared" si="4"/>
        <v>27560.378931809355</v>
      </c>
      <c r="J17" s="25">
        <f t="shared" si="5"/>
        <v>0.10707511294480049</v>
      </c>
      <c r="L17" s="22">
        <f t="shared" si="11"/>
        <v>25927.499030680134</v>
      </c>
      <c r="M17" s="5">
        <f>scrimecost*Meta!O14</f>
        <v>26674.560000000001</v>
      </c>
      <c r="N17" s="5">
        <f>L17-Grade12!L17</f>
        <v>272.62105909706588</v>
      </c>
      <c r="O17" s="5">
        <f>Grade12!M17-M17</f>
        <v>208.3949999999968</v>
      </c>
      <c r="P17" s="22">
        <f t="shared" si="12"/>
        <v>27.990569661258867</v>
      </c>
      <c r="Q17" s="22"/>
      <c r="R17" s="22"/>
      <c r="S17" s="22">
        <f t="shared" si="6"/>
        <v>193.35952128953946</v>
      </c>
      <c r="T17" s="22">
        <f t="shared" si="7"/>
        <v>262.32734229133212</v>
      </c>
    </row>
    <row r="18" spans="1:20" x14ac:dyDescent="0.2">
      <c r="A18" s="5">
        <v>27</v>
      </c>
      <c r="B18" s="1">
        <f t="shared" si="8"/>
        <v>1.2184028975099177</v>
      </c>
      <c r="C18" s="5">
        <f t="shared" si="9"/>
        <v>23515.965516647666</v>
      </c>
      <c r="D18" s="5">
        <f t="shared" si="0"/>
        <v>22906.436171865796</v>
      </c>
      <c r="E18" s="5">
        <f t="shared" si="1"/>
        <v>13406.436171865796</v>
      </c>
      <c r="F18" s="5">
        <f t="shared" si="2"/>
        <v>4678.9514101141831</v>
      </c>
      <c r="G18" s="5">
        <f t="shared" si="3"/>
        <v>18227.484761751613</v>
      </c>
      <c r="H18" s="22">
        <f t="shared" si="10"/>
        <v>10760.21499279845</v>
      </c>
      <c r="I18" s="5">
        <f t="shared" si="4"/>
        <v>28159.163200104584</v>
      </c>
      <c r="J18" s="25">
        <f t="shared" si="5"/>
        <v>0.10992700941168469</v>
      </c>
      <c r="L18" s="22">
        <f t="shared" si="11"/>
        <v>26575.686506447135</v>
      </c>
      <c r="M18" s="5">
        <f>scrimecost*Meta!O15</f>
        <v>26674.560000000001</v>
      </c>
      <c r="N18" s="5">
        <f>L18-Grade12!L18</f>
        <v>279.43658557449453</v>
      </c>
      <c r="O18" s="5">
        <f>Grade12!M18-M18</f>
        <v>208.3949999999968</v>
      </c>
      <c r="P18" s="22">
        <f t="shared" si="12"/>
        <v>28.426157222148614</v>
      </c>
      <c r="Q18" s="22"/>
      <c r="R18" s="22"/>
      <c r="S18" s="22">
        <f t="shared" si="6"/>
        <v>195.4729056364996</v>
      </c>
      <c r="T18" s="22">
        <f t="shared" si="7"/>
        <v>275.50172053742341</v>
      </c>
    </row>
    <row r="19" spans="1:20" x14ac:dyDescent="0.2">
      <c r="A19" s="5">
        <v>28</v>
      </c>
      <c r="B19" s="1">
        <f t="shared" si="8"/>
        <v>1.2488629699476654</v>
      </c>
      <c r="C19" s="5">
        <f t="shared" si="9"/>
        <v>24103.864654563855</v>
      </c>
      <c r="D19" s="5">
        <f t="shared" si="0"/>
        <v>23449.067076162439</v>
      </c>
      <c r="E19" s="5">
        <f t="shared" si="1"/>
        <v>13949.067076162439</v>
      </c>
      <c r="F19" s="5">
        <f t="shared" si="2"/>
        <v>4856.1204003670364</v>
      </c>
      <c r="G19" s="5">
        <f t="shared" si="3"/>
        <v>18592.946675795403</v>
      </c>
      <c r="H19" s="22">
        <f t="shared" si="10"/>
        <v>11029.220367618409</v>
      </c>
      <c r="I19" s="5">
        <f t="shared" si="4"/>
        <v>28772.917075107194</v>
      </c>
      <c r="J19" s="25">
        <f t="shared" si="5"/>
        <v>0.11270934742815707</v>
      </c>
      <c r="L19" s="22">
        <f t="shared" si="11"/>
        <v>27240.078669108309</v>
      </c>
      <c r="M19" s="5">
        <f>scrimecost*Meta!O16</f>
        <v>26674.560000000001</v>
      </c>
      <c r="N19" s="5">
        <f>L19-Grade12!L19</f>
        <v>286.42250021385189</v>
      </c>
      <c r="O19" s="5">
        <f>Grade12!M19-M19</f>
        <v>208.3949999999968</v>
      </c>
      <c r="P19" s="22">
        <f t="shared" si="12"/>
        <v>28.872634472060604</v>
      </c>
      <c r="Q19" s="22"/>
      <c r="R19" s="22"/>
      <c r="S19" s="22">
        <f t="shared" si="6"/>
        <v>197.63912459213179</v>
      </c>
      <c r="T19" s="22">
        <f t="shared" si="7"/>
        <v>289.38126980556433</v>
      </c>
    </row>
    <row r="20" spans="1:20" x14ac:dyDescent="0.2">
      <c r="A20" s="5">
        <v>29</v>
      </c>
      <c r="B20" s="1">
        <f t="shared" si="8"/>
        <v>1.2800845441963571</v>
      </c>
      <c r="C20" s="5">
        <f t="shared" si="9"/>
        <v>24706.46127092795</v>
      </c>
      <c r="D20" s="5">
        <f t="shared" si="0"/>
        <v>24005.263753066498</v>
      </c>
      <c r="E20" s="5">
        <f t="shared" si="1"/>
        <v>14505.263753066498</v>
      </c>
      <c r="F20" s="5">
        <f t="shared" si="2"/>
        <v>5037.7186153762113</v>
      </c>
      <c r="G20" s="5">
        <f t="shared" si="3"/>
        <v>18967.545137690286</v>
      </c>
      <c r="H20" s="22">
        <f t="shared" si="10"/>
        <v>11304.950876808869</v>
      </c>
      <c r="I20" s="5">
        <f t="shared" si="4"/>
        <v>29402.014796984873</v>
      </c>
      <c r="J20" s="25">
        <f t="shared" si="5"/>
        <v>0.11542382354178865</v>
      </c>
      <c r="L20" s="22">
        <f t="shared" si="11"/>
        <v>27921.080635836017</v>
      </c>
      <c r="M20" s="5">
        <f>scrimecost*Meta!O17</f>
        <v>26674.560000000001</v>
      </c>
      <c r="N20" s="5">
        <f>L20-Grade12!L20</f>
        <v>293.58306271920083</v>
      </c>
      <c r="O20" s="5">
        <f>Grade12!M20-M20</f>
        <v>208.3949999999968</v>
      </c>
      <c r="P20" s="22">
        <f t="shared" si="12"/>
        <v>29.330273653220392</v>
      </c>
      <c r="Q20" s="22"/>
      <c r="R20" s="22"/>
      <c r="S20" s="22">
        <f t="shared" si="6"/>
        <v>199.85949902165692</v>
      </c>
      <c r="T20" s="22">
        <f t="shared" si="7"/>
        <v>304.00591975891484</v>
      </c>
    </row>
    <row r="21" spans="1:20" x14ac:dyDescent="0.2">
      <c r="A21" s="5">
        <v>30</v>
      </c>
      <c r="B21" s="1">
        <f t="shared" si="8"/>
        <v>1.312086657801266</v>
      </c>
      <c r="C21" s="5">
        <f t="shared" si="9"/>
        <v>25324.122802701149</v>
      </c>
      <c r="D21" s="5">
        <f t="shared" si="0"/>
        <v>24575.365346893162</v>
      </c>
      <c r="E21" s="5">
        <f t="shared" si="1"/>
        <v>15075.365346893162</v>
      </c>
      <c r="F21" s="5">
        <f t="shared" si="2"/>
        <v>5223.8567857606176</v>
      </c>
      <c r="G21" s="5">
        <f t="shared" si="3"/>
        <v>19351.508561132545</v>
      </c>
      <c r="H21" s="22">
        <f t="shared" si="10"/>
        <v>11587.574648729093</v>
      </c>
      <c r="I21" s="5">
        <f t="shared" si="4"/>
        <v>30046.8399619095</v>
      </c>
      <c r="J21" s="25">
        <f t="shared" si="5"/>
        <v>0.11807209292094144</v>
      </c>
      <c r="L21" s="22">
        <f t="shared" si="11"/>
        <v>28619.107651731916</v>
      </c>
      <c r="M21" s="5">
        <f>scrimecost*Meta!O18</f>
        <v>21504.384000000002</v>
      </c>
      <c r="N21" s="5">
        <f>L21-Grade12!L21</f>
        <v>300.92263928717875</v>
      </c>
      <c r="O21" s="5">
        <f>Grade12!M21-M21</f>
        <v>168.00300000000061</v>
      </c>
      <c r="P21" s="22">
        <f t="shared" si="12"/>
        <v>29.799353813909178</v>
      </c>
      <c r="Q21" s="22"/>
      <c r="R21" s="22"/>
      <c r="S21" s="22">
        <f t="shared" si="6"/>
        <v>182.06055881192077</v>
      </c>
      <c r="T21" s="22">
        <f t="shared" si="7"/>
        <v>287.69536630879605</v>
      </c>
    </row>
    <row r="22" spans="1:20" x14ac:dyDescent="0.2">
      <c r="A22" s="5">
        <v>31</v>
      </c>
      <c r="B22" s="1">
        <f t="shared" si="8"/>
        <v>1.3448888242462975</v>
      </c>
      <c r="C22" s="5">
        <f t="shared" si="9"/>
        <v>25957.225872768675</v>
      </c>
      <c r="D22" s="5">
        <f t="shared" si="0"/>
        <v>25159.719480565487</v>
      </c>
      <c r="E22" s="5">
        <f t="shared" si="1"/>
        <v>15659.719480565487</v>
      </c>
      <c r="F22" s="5">
        <f t="shared" si="2"/>
        <v>5414.6484104046312</v>
      </c>
      <c r="G22" s="5">
        <f t="shared" si="3"/>
        <v>19745.071070160855</v>
      </c>
      <c r="H22" s="22">
        <f t="shared" si="10"/>
        <v>11877.264014947319</v>
      </c>
      <c r="I22" s="5">
        <f t="shared" si="4"/>
        <v>30707.785755957229</v>
      </c>
      <c r="J22" s="25">
        <f t="shared" si="5"/>
        <v>0.12065577036401727</v>
      </c>
      <c r="L22" s="22">
        <f t="shared" si="11"/>
        <v>29334.585343025214</v>
      </c>
      <c r="M22" s="5">
        <f>scrimecost*Meta!O19</f>
        <v>21504.384000000002</v>
      </c>
      <c r="N22" s="5">
        <f>L22-Grade12!L22</f>
        <v>308.4457052693615</v>
      </c>
      <c r="O22" s="5">
        <f>Grade12!M22-M22</f>
        <v>168.00300000000061</v>
      </c>
      <c r="P22" s="22">
        <f t="shared" si="12"/>
        <v>30.280160978615179</v>
      </c>
      <c r="Q22" s="22"/>
      <c r="R22" s="22"/>
      <c r="S22" s="22">
        <f t="shared" si="6"/>
        <v>184.39333969694076</v>
      </c>
      <c r="T22" s="22">
        <f t="shared" si="7"/>
        <v>302.70665956939644</v>
      </c>
    </row>
    <row r="23" spans="1:20" x14ac:dyDescent="0.2">
      <c r="A23" s="5">
        <v>32</v>
      </c>
      <c r="B23" s="1">
        <f t="shared" si="8"/>
        <v>1.3785110448524549</v>
      </c>
      <c r="C23" s="5">
        <f t="shared" si="9"/>
        <v>26606.156519587894</v>
      </c>
      <c r="D23" s="5">
        <f t="shared" si="0"/>
        <v>25758.682467579627</v>
      </c>
      <c r="E23" s="5">
        <f t="shared" si="1"/>
        <v>16258.682467579627</v>
      </c>
      <c r="F23" s="5">
        <f t="shared" si="2"/>
        <v>5610.2098256647478</v>
      </c>
      <c r="G23" s="5">
        <f t="shared" si="3"/>
        <v>20148.472641914879</v>
      </c>
      <c r="H23" s="22">
        <f t="shared" si="10"/>
        <v>12174.195615320999</v>
      </c>
      <c r="I23" s="5">
        <f t="shared" si="4"/>
        <v>31385.25519485616</v>
      </c>
      <c r="J23" s="25">
        <f t="shared" si="5"/>
        <v>0.12317643128409135</v>
      </c>
      <c r="L23" s="22">
        <f t="shared" si="11"/>
        <v>30067.949976600845</v>
      </c>
      <c r="M23" s="5">
        <f>scrimecost*Meta!O20</f>
        <v>21504.384000000002</v>
      </c>
      <c r="N23" s="5">
        <f>L23-Grade12!L23</f>
        <v>316.15684790110026</v>
      </c>
      <c r="O23" s="5">
        <f>Grade12!M23-M23</f>
        <v>168.00300000000061</v>
      </c>
      <c r="P23" s="22">
        <f t="shared" si="12"/>
        <v>30.772988322438838</v>
      </c>
      <c r="Q23" s="22"/>
      <c r="R23" s="22"/>
      <c r="S23" s="22">
        <f t="shared" si="6"/>
        <v>186.78444010408666</v>
      </c>
      <c r="T23" s="22">
        <f t="shared" si="7"/>
        <v>318.54969227974721</v>
      </c>
    </row>
    <row r="24" spans="1:20" x14ac:dyDescent="0.2">
      <c r="A24" s="5">
        <v>33</v>
      </c>
      <c r="B24" s="1">
        <f t="shared" si="8"/>
        <v>1.4129738209737661</v>
      </c>
      <c r="C24" s="5">
        <f t="shared" si="9"/>
        <v>27271.310432577586</v>
      </c>
      <c r="D24" s="5">
        <f t="shared" si="0"/>
        <v>26372.619529269112</v>
      </c>
      <c r="E24" s="5">
        <f t="shared" si="1"/>
        <v>16872.619529269112</v>
      </c>
      <c r="F24" s="5">
        <f t="shared" si="2"/>
        <v>5810.6602763063647</v>
      </c>
      <c r="G24" s="5">
        <f t="shared" si="3"/>
        <v>20561.959252962748</v>
      </c>
      <c r="H24" s="22">
        <f t="shared" si="10"/>
        <v>12478.550505704023</v>
      </c>
      <c r="I24" s="5">
        <f t="shared" si="4"/>
        <v>32079.661369727561</v>
      </c>
      <c r="J24" s="25">
        <f t="shared" si="5"/>
        <v>0.12563561266952938</v>
      </c>
      <c r="L24" s="22">
        <f t="shared" si="11"/>
        <v>30819.648726015861</v>
      </c>
      <c r="M24" s="5">
        <f>scrimecost*Meta!O21</f>
        <v>21504.384000000002</v>
      </c>
      <c r="N24" s="5">
        <f>L24-Grade12!L24</f>
        <v>324.0607690986144</v>
      </c>
      <c r="O24" s="5">
        <f>Grade12!M24-M24</f>
        <v>168.00300000000061</v>
      </c>
      <c r="P24" s="22">
        <f t="shared" si="12"/>
        <v>31.27813634985808</v>
      </c>
      <c r="Q24" s="22"/>
      <c r="R24" s="22"/>
      <c r="S24" s="22">
        <f t="shared" si="6"/>
        <v>189.23531802140613</v>
      </c>
      <c r="T24" s="22">
        <f t="shared" si="7"/>
        <v>335.27289075481877</v>
      </c>
    </row>
    <row r="25" spans="1:20" x14ac:dyDescent="0.2">
      <c r="A25" s="5">
        <v>34</v>
      </c>
      <c r="B25" s="1">
        <f t="shared" si="8"/>
        <v>1.4482981664981105</v>
      </c>
      <c r="C25" s="5">
        <f t="shared" si="9"/>
        <v>27953.093193392029</v>
      </c>
      <c r="D25" s="5">
        <f t="shared" si="0"/>
        <v>27001.905017500845</v>
      </c>
      <c r="E25" s="5">
        <f t="shared" si="1"/>
        <v>17501.905017500845</v>
      </c>
      <c r="F25" s="5">
        <f t="shared" si="2"/>
        <v>6016.1219882140258</v>
      </c>
      <c r="G25" s="5">
        <f t="shared" si="3"/>
        <v>20985.78302928682</v>
      </c>
      <c r="H25" s="22">
        <f t="shared" si="10"/>
        <v>12790.514268346626</v>
      </c>
      <c r="I25" s="5">
        <f t="shared" si="4"/>
        <v>32791.427698970758</v>
      </c>
      <c r="J25" s="25">
        <f t="shared" si="5"/>
        <v>0.12803481402117634</v>
      </c>
      <c r="L25" s="22">
        <f t="shared" si="11"/>
        <v>31590.139944166262</v>
      </c>
      <c r="M25" s="5">
        <f>scrimecost*Meta!O22</f>
        <v>21504.384000000002</v>
      </c>
      <c r="N25" s="5">
        <f>L25-Grade12!L25</f>
        <v>332.16228832608977</v>
      </c>
      <c r="O25" s="5">
        <f>Grade12!M25-M25</f>
        <v>168.00300000000061</v>
      </c>
      <c r="P25" s="22">
        <f t="shared" si="12"/>
        <v>31.795913077962812</v>
      </c>
      <c r="Q25" s="22"/>
      <c r="R25" s="22"/>
      <c r="S25" s="22">
        <f t="shared" si="6"/>
        <v>191.74746788666516</v>
      </c>
      <c r="T25" s="22">
        <f t="shared" si="7"/>
        <v>352.92760733406777</v>
      </c>
    </row>
    <row r="26" spans="1:20" x14ac:dyDescent="0.2">
      <c r="A26" s="5">
        <v>35</v>
      </c>
      <c r="B26" s="1">
        <f t="shared" si="8"/>
        <v>1.4845056206605631</v>
      </c>
      <c r="C26" s="5">
        <f t="shared" si="9"/>
        <v>28651.920523226829</v>
      </c>
      <c r="D26" s="5">
        <f t="shared" si="0"/>
        <v>27646.922642938363</v>
      </c>
      <c r="E26" s="5">
        <f t="shared" si="1"/>
        <v>18146.922642938363</v>
      </c>
      <c r="F26" s="5">
        <f t="shared" si="2"/>
        <v>6226.7202429193758</v>
      </c>
      <c r="G26" s="5">
        <f t="shared" si="3"/>
        <v>21420.202400018989</v>
      </c>
      <c r="H26" s="22">
        <f t="shared" si="10"/>
        <v>13110.277125055291</v>
      </c>
      <c r="I26" s="5">
        <f t="shared" si="4"/>
        <v>33520.988186445022</v>
      </c>
      <c r="J26" s="25">
        <f t="shared" si="5"/>
        <v>0.13037549826668551</v>
      </c>
      <c r="L26" s="22">
        <f t="shared" si="11"/>
        <v>32379.893442770415</v>
      </c>
      <c r="M26" s="5">
        <f>scrimecost*Meta!O23</f>
        <v>16689.023999999998</v>
      </c>
      <c r="N26" s="5">
        <f>L26-Grade12!L26</f>
        <v>340.46634553424519</v>
      </c>
      <c r="O26" s="5">
        <f>Grade12!M26-M26</f>
        <v>130.38300000000163</v>
      </c>
      <c r="P26" s="22">
        <f t="shared" si="12"/>
        <v>32.326634224270151</v>
      </c>
      <c r="Q26" s="22"/>
      <c r="R26" s="22"/>
      <c r="S26" s="22">
        <f t="shared" si="6"/>
        <v>175.62528149855419</v>
      </c>
      <c r="T26" s="22">
        <f t="shared" si="7"/>
        <v>335.81707707323034</v>
      </c>
    </row>
    <row r="27" spans="1:20" x14ac:dyDescent="0.2">
      <c r="A27" s="5">
        <v>36</v>
      </c>
      <c r="B27" s="1">
        <f t="shared" si="8"/>
        <v>1.521618261177077</v>
      </c>
      <c r="C27" s="5">
        <f t="shared" si="9"/>
        <v>29368.218536307493</v>
      </c>
      <c r="D27" s="5">
        <f t="shared" si="0"/>
        <v>28308.065709011818</v>
      </c>
      <c r="E27" s="5">
        <f t="shared" si="1"/>
        <v>18808.065709011818</v>
      </c>
      <c r="F27" s="5">
        <f t="shared" si="2"/>
        <v>6442.583453992358</v>
      </c>
      <c r="G27" s="5">
        <f t="shared" si="3"/>
        <v>21865.482255019459</v>
      </c>
      <c r="H27" s="22">
        <f t="shared" si="10"/>
        <v>13438.034053181671</v>
      </c>
      <c r="I27" s="5">
        <f t="shared" si="4"/>
        <v>34268.787686106138</v>
      </c>
      <c r="J27" s="25">
        <f t="shared" si="5"/>
        <v>0.13265909265254808</v>
      </c>
      <c r="L27" s="22">
        <f t="shared" si="11"/>
        <v>33189.390778839668</v>
      </c>
      <c r="M27" s="5">
        <f>scrimecost*Meta!O24</f>
        <v>16689.023999999998</v>
      </c>
      <c r="N27" s="5">
        <f>L27-Grade12!L27</f>
        <v>348.97800417258986</v>
      </c>
      <c r="O27" s="5">
        <f>Grade12!M27-M27</f>
        <v>130.38300000000163</v>
      </c>
      <c r="P27" s="22">
        <f t="shared" si="12"/>
        <v>32.870623399235178</v>
      </c>
      <c r="Q27" s="22"/>
      <c r="R27" s="22"/>
      <c r="S27" s="22">
        <f t="shared" si="6"/>
        <v>178.26460895073592</v>
      </c>
      <c r="T27" s="22">
        <f t="shared" si="7"/>
        <v>354.11198381441756</v>
      </c>
    </row>
    <row r="28" spans="1:20" x14ac:dyDescent="0.2">
      <c r="A28" s="5">
        <v>37</v>
      </c>
      <c r="B28" s="1">
        <f t="shared" si="8"/>
        <v>1.559658717706504</v>
      </c>
      <c r="C28" s="5">
        <f t="shared" si="9"/>
        <v>30102.423999715185</v>
      </c>
      <c r="D28" s="5">
        <f t="shared" si="0"/>
        <v>28985.73735173712</v>
      </c>
      <c r="E28" s="5">
        <f t="shared" si="1"/>
        <v>19485.73735173712</v>
      </c>
      <c r="F28" s="5">
        <f t="shared" si="2"/>
        <v>6663.8432453421701</v>
      </c>
      <c r="G28" s="5">
        <f t="shared" si="3"/>
        <v>22321.89410639495</v>
      </c>
      <c r="H28" s="22">
        <f t="shared" si="10"/>
        <v>13773.984904511213</v>
      </c>
      <c r="I28" s="5">
        <f t="shared" si="4"/>
        <v>35035.282173258798</v>
      </c>
      <c r="J28" s="25">
        <f t="shared" si="5"/>
        <v>0.13488698961436535</v>
      </c>
      <c r="L28" s="22">
        <f t="shared" si="11"/>
        <v>34019.125548310665</v>
      </c>
      <c r="M28" s="5">
        <f>scrimecost*Meta!O25</f>
        <v>16689.023999999998</v>
      </c>
      <c r="N28" s="5">
        <f>L28-Grade12!L28</f>
        <v>357.70245427690679</v>
      </c>
      <c r="O28" s="5">
        <f>Grade12!M28-M28</f>
        <v>130.38300000000163</v>
      </c>
      <c r="P28" s="22">
        <f t="shared" si="12"/>
        <v>33.428212303574348</v>
      </c>
      <c r="Q28" s="22"/>
      <c r="R28" s="22"/>
      <c r="S28" s="22">
        <f t="shared" si="6"/>
        <v>180.96991958922598</v>
      </c>
      <c r="T28" s="22">
        <f t="shared" si="7"/>
        <v>373.45788779052072</v>
      </c>
    </row>
    <row r="29" spans="1:20" x14ac:dyDescent="0.2">
      <c r="A29" s="5">
        <v>38</v>
      </c>
      <c r="B29" s="1">
        <f t="shared" si="8"/>
        <v>1.5986501856491666</v>
      </c>
      <c r="C29" s="5">
        <f t="shared" si="9"/>
        <v>30854.984599708063</v>
      </c>
      <c r="D29" s="5">
        <f t="shared" si="0"/>
        <v>29680.350785530543</v>
      </c>
      <c r="E29" s="5">
        <f t="shared" si="1"/>
        <v>20180.350785530543</v>
      </c>
      <c r="F29" s="5">
        <f t="shared" si="2"/>
        <v>6890.6345314757218</v>
      </c>
      <c r="G29" s="5">
        <f t="shared" si="3"/>
        <v>22789.716254054823</v>
      </c>
      <c r="H29" s="22">
        <f t="shared" si="10"/>
        <v>14118.334527123994</v>
      </c>
      <c r="I29" s="5">
        <f t="shared" si="4"/>
        <v>35820.939022590268</v>
      </c>
      <c r="J29" s="25">
        <f t="shared" si="5"/>
        <v>0.13706054762589423</v>
      </c>
      <c r="L29" s="22">
        <f t="shared" si="11"/>
        <v>34869.603687018425</v>
      </c>
      <c r="M29" s="5">
        <f>scrimecost*Meta!O26</f>
        <v>16689.023999999998</v>
      </c>
      <c r="N29" s="5">
        <f>L29-Grade12!L29</f>
        <v>366.64501563383237</v>
      </c>
      <c r="O29" s="5">
        <f>Grade12!M29-M29</f>
        <v>130.38300000000163</v>
      </c>
      <c r="P29" s="22">
        <f t="shared" si="12"/>
        <v>33.999740930521966</v>
      </c>
      <c r="Q29" s="22"/>
      <c r="R29" s="22"/>
      <c r="S29" s="22">
        <f t="shared" si="6"/>
        <v>183.74286299367847</v>
      </c>
      <c r="T29" s="22">
        <f t="shared" si="7"/>
        <v>393.91767856047034</v>
      </c>
    </row>
    <row r="30" spans="1:20" x14ac:dyDescent="0.2">
      <c r="A30" s="5">
        <v>39</v>
      </c>
      <c r="B30" s="1">
        <f t="shared" si="8"/>
        <v>1.6386164402903955</v>
      </c>
      <c r="C30" s="5">
        <f t="shared" si="9"/>
        <v>31626.359214700758</v>
      </c>
      <c r="D30" s="5">
        <f t="shared" si="0"/>
        <v>30392.329555168802</v>
      </c>
      <c r="E30" s="5">
        <f t="shared" si="1"/>
        <v>20892.329555168802</v>
      </c>
      <c r="F30" s="5">
        <f t="shared" si="2"/>
        <v>7123.0955997626133</v>
      </c>
      <c r="G30" s="5">
        <f t="shared" si="3"/>
        <v>23269.233955406191</v>
      </c>
      <c r="H30" s="22">
        <f t="shared" si="10"/>
        <v>14471.292890302093</v>
      </c>
      <c r="I30" s="5">
        <f t="shared" si="4"/>
        <v>36626.23729315502</v>
      </c>
      <c r="J30" s="25">
        <f t="shared" si="5"/>
        <v>0.13918109202738588</v>
      </c>
      <c r="L30" s="22">
        <f t="shared" si="11"/>
        <v>35741.343779193885</v>
      </c>
      <c r="M30" s="5">
        <f>scrimecost*Meta!O27</f>
        <v>16689.023999999998</v>
      </c>
      <c r="N30" s="5">
        <f>L30-Grade12!L30</f>
        <v>375.81114102467836</v>
      </c>
      <c r="O30" s="5">
        <f>Grade12!M30-M30</f>
        <v>130.38300000000163</v>
      </c>
      <c r="P30" s="22">
        <f t="shared" si="12"/>
        <v>34.585557773143286</v>
      </c>
      <c r="Q30" s="22"/>
      <c r="R30" s="22"/>
      <c r="S30" s="22">
        <f t="shared" si="6"/>
        <v>186.5851299832415</v>
      </c>
      <c r="T30" s="22">
        <f t="shared" si="7"/>
        <v>415.55811907687638</v>
      </c>
    </row>
    <row r="31" spans="1:20" x14ac:dyDescent="0.2">
      <c r="A31" s="5">
        <v>40</v>
      </c>
      <c r="B31" s="1">
        <f t="shared" si="8"/>
        <v>1.6795818512976552</v>
      </c>
      <c r="C31" s="5">
        <f t="shared" si="9"/>
        <v>32417.018195068275</v>
      </c>
      <c r="D31" s="5">
        <f t="shared" si="0"/>
        <v>31122.107794048021</v>
      </c>
      <c r="E31" s="5">
        <f t="shared" si="1"/>
        <v>21622.107794048021</v>
      </c>
      <c r="F31" s="5">
        <f t="shared" si="2"/>
        <v>7361.3681947566783</v>
      </c>
      <c r="G31" s="5">
        <f t="shared" si="3"/>
        <v>23760.739599291344</v>
      </c>
      <c r="H31" s="22">
        <f t="shared" si="10"/>
        <v>14833.075212559643</v>
      </c>
      <c r="I31" s="5">
        <f t="shared" si="4"/>
        <v>37451.668020483892</v>
      </c>
      <c r="J31" s="25">
        <f t="shared" si="5"/>
        <v>0.14124991583371924</v>
      </c>
      <c r="L31" s="22">
        <f t="shared" si="11"/>
        <v>36634.877373673735</v>
      </c>
      <c r="M31" s="5">
        <f>scrimecost*Meta!O28</f>
        <v>14598.143999999998</v>
      </c>
      <c r="N31" s="5">
        <f>L31-Grade12!L31</f>
        <v>385.20641955030442</v>
      </c>
      <c r="O31" s="5">
        <f>Grade12!M31-M31</f>
        <v>114.04800000000068</v>
      </c>
      <c r="P31" s="22">
        <f t="shared" si="12"/>
        <v>35.186020036830158</v>
      </c>
      <c r="Q31" s="22"/>
      <c r="R31" s="22"/>
      <c r="S31" s="22">
        <f t="shared" si="6"/>
        <v>181.37995864754566</v>
      </c>
      <c r="T31" s="22">
        <f t="shared" si="7"/>
        <v>419.66600497981682</v>
      </c>
    </row>
    <row r="32" spans="1:20" x14ac:dyDescent="0.2">
      <c r="A32" s="5">
        <v>41</v>
      </c>
      <c r="B32" s="1">
        <f t="shared" si="8"/>
        <v>1.7215713975800966</v>
      </c>
      <c r="C32" s="5">
        <f t="shared" si="9"/>
        <v>33227.44364994498</v>
      </c>
      <c r="D32" s="5">
        <f t="shared" si="0"/>
        <v>31870.13048889922</v>
      </c>
      <c r="E32" s="5">
        <f t="shared" si="1"/>
        <v>22370.13048889922</v>
      </c>
      <c r="F32" s="5">
        <f t="shared" si="2"/>
        <v>7605.5976046255946</v>
      </c>
      <c r="G32" s="5">
        <f t="shared" si="3"/>
        <v>24264.532884273627</v>
      </c>
      <c r="H32" s="22">
        <f t="shared" si="10"/>
        <v>15203.902092873634</v>
      </c>
      <c r="I32" s="5">
        <f t="shared" si="4"/>
        <v>38297.734515995995</v>
      </c>
      <c r="J32" s="25">
        <f t="shared" si="5"/>
        <v>0.14326828052282489</v>
      </c>
      <c r="L32" s="22">
        <f t="shared" si="11"/>
        <v>37550.749308015576</v>
      </c>
      <c r="M32" s="5">
        <f>scrimecost*Meta!O29</f>
        <v>14598.143999999998</v>
      </c>
      <c r="N32" s="5">
        <f>L32-Grade12!L32</f>
        <v>394.83658003906021</v>
      </c>
      <c r="O32" s="5">
        <f>Grade12!M32-M32</f>
        <v>114.04800000000068</v>
      </c>
      <c r="P32" s="22">
        <f t="shared" si="12"/>
        <v>35.801493857109179</v>
      </c>
      <c r="Q32" s="22"/>
      <c r="R32" s="22"/>
      <c r="S32" s="22">
        <f t="shared" si="6"/>
        <v>184.36611540345484</v>
      </c>
      <c r="T32" s="22">
        <f t="shared" si="7"/>
        <v>443.15468696506304</v>
      </c>
    </row>
    <row r="33" spans="1:20" x14ac:dyDescent="0.2">
      <c r="A33" s="5">
        <v>42</v>
      </c>
      <c r="B33" s="1">
        <f t="shared" si="8"/>
        <v>1.7646106825195991</v>
      </c>
      <c r="C33" s="5">
        <f t="shared" si="9"/>
        <v>34058.12974119361</v>
      </c>
      <c r="D33" s="5">
        <f t="shared" si="0"/>
        <v>32636.853751121704</v>
      </c>
      <c r="E33" s="5">
        <f t="shared" si="1"/>
        <v>23136.853751121704</v>
      </c>
      <c r="F33" s="5">
        <f t="shared" si="2"/>
        <v>7855.932749741236</v>
      </c>
      <c r="G33" s="5">
        <f t="shared" si="3"/>
        <v>24780.92100138047</v>
      </c>
      <c r="H33" s="22">
        <f t="shared" si="10"/>
        <v>15583.999645195476</v>
      </c>
      <c r="I33" s="5">
        <f t="shared" si="4"/>
        <v>39164.952673895896</v>
      </c>
      <c r="J33" s="25">
        <f t="shared" si="5"/>
        <v>0.14523741680487925</v>
      </c>
      <c r="L33" s="22">
        <f t="shared" si="11"/>
        <v>38489.518040715957</v>
      </c>
      <c r="M33" s="5">
        <f>scrimecost*Meta!O30</f>
        <v>14598.143999999998</v>
      </c>
      <c r="N33" s="5">
        <f>L33-Grade12!L33</f>
        <v>404.70749454002362</v>
      </c>
      <c r="O33" s="5">
        <f>Grade12!M33-M33</f>
        <v>114.04800000000068</v>
      </c>
      <c r="P33" s="22">
        <f t="shared" si="12"/>
        <v>36.432354522895182</v>
      </c>
      <c r="Q33" s="22"/>
      <c r="R33" s="22"/>
      <c r="S33" s="22">
        <f t="shared" si="6"/>
        <v>187.42692607825862</v>
      </c>
      <c r="T33" s="22">
        <f t="shared" si="7"/>
        <v>468.02168290744333</v>
      </c>
    </row>
    <row r="34" spans="1:20" x14ac:dyDescent="0.2">
      <c r="A34" s="5">
        <v>43</v>
      </c>
      <c r="B34" s="1">
        <f t="shared" si="8"/>
        <v>1.8087259495825889</v>
      </c>
      <c r="C34" s="5">
        <f t="shared" si="9"/>
        <v>34909.582984723449</v>
      </c>
      <c r="D34" s="5">
        <f t="shared" si="0"/>
        <v>33422.745094899743</v>
      </c>
      <c r="E34" s="5">
        <f t="shared" si="1"/>
        <v>23922.745094899743</v>
      </c>
      <c r="F34" s="5">
        <f t="shared" si="2"/>
        <v>8112.5262734847656</v>
      </c>
      <c r="G34" s="5">
        <f t="shared" si="3"/>
        <v>25310.218821414979</v>
      </c>
      <c r="H34" s="22">
        <f t="shared" si="10"/>
        <v>15973.599636325362</v>
      </c>
      <c r="I34" s="5">
        <f t="shared" si="4"/>
        <v>40053.851285743287</v>
      </c>
      <c r="J34" s="25">
        <f t="shared" si="5"/>
        <v>0.14715852537273713</v>
      </c>
      <c r="L34" s="22">
        <f t="shared" si="11"/>
        <v>39451.755991733859</v>
      </c>
      <c r="M34" s="5">
        <f>scrimecost*Meta!O31</f>
        <v>14598.143999999998</v>
      </c>
      <c r="N34" s="5">
        <f>L34-Grade12!L34</f>
        <v>414.82518190353585</v>
      </c>
      <c r="O34" s="5">
        <f>Grade12!M34-M34</f>
        <v>114.04800000000068</v>
      </c>
      <c r="P34" s="22">
        <f t="shared" si="12"/>
        <v>37.078986705325832</v>
      </c>
      <c r="Q34" s="22"/>
      <c r="R34" s="22"/>
      <c r="S34" s="22">
        <f t="shared" si="6"/>
        <v>190.56425701993936</v>
      </c>
      <c r="T34" s="22">
        <f t="shared" si="7"/>
        <v>494.35073815620933</v>
      </c>
    </row>
    <row r="35" spans="1:20" x14ac:dyDescent="0.2">
      <c r="A35" s="5">
        <v>44</v>
      </c>
      <c r="B35" s="1">
        <f t="shared" si="8"/>
        <v>1.8539440983221533</v>
      </c>
      <c r="C35" s="5">
        <f t="shared" si="9"/>
        <v>35782.322559341526</v>
      </c>
      <c r="D35" s="5">
        <f t="shared" si="0"/>
        <v>34228.28372227223</v>
      </c>
      <c r="E35" s="5">
        <f t="shared" si="1"/>
        <v>24728.28372227223</v>
      </c>
      <c r="F35" s="5">
        <f t="shared" si="2"/>
        <v>8375.5346353218829</v>
      </c>
      <c r="G35" s="5">
        <f t="shared" si="3"/>
        <v>25852.749086950345</v>
      </c>
      <c r="H35" s="22">
        <f t="shared" si="10"/>
        <v>16372.939627233493</v>
      </c>
      <c r="I35" s="5">
        <f t="shared" si="4"/>
        <v>40964.97236288686</v>
      </c>
      <c r="J35" s="25">
        <f t="shared" si="5"/>
        <v>0.14903277763406189</v>
      </c>
      <c r="L35" s="22">
        <f t="shared" si="11"/>
        <v>40438.049891527196</v>
      </c>
      <c r="M35" s="5">
        <f>scrimecost*Meta!O32</f>
        <v>14598.143999999998</v>
      </c>
      <c r="N35" s="5">
        <f>L35-Grade12!L35</f>
        <v>425.19581145111442</v>
      </c>
      <c r="O35" s="5">
        <f>Grade12!M35-M35</f>
        <v>114.04800000000068</v>
      </c>
      <c r="P35" s="22">
        <f t="shared" si="12"/>
        <v>37.741784692317253</v>
      </c>
      <c r="Q35" s="22"/>
      <c r="R35" s="22"/>
      <c r="S35" s="22">
        <f t="shared" si="6"/>
        <v>193.78002123515617</v>
      </c>
      <c r="T35" s="22">
        <f t="shared" si="7"/>
        <v>522.23080944831133</v>
      </c>
    </row>
    <row r="36" spans="1:20" x14ac:dyDescent="0.2">
      <c r="A36" s="5">
        <v>45</v>
      </c>
      <c r="B36" s="1">
        <f t="shared" si="8"/>
        <v>1.9002927007802071</v>
      </c>
      <c r="C36" s="5">
        <f t="shared" si="9"/>
        <v>36676.880623325065</v>
      </c>
      <c r="D36" s="5">
        <f t="shared" si="0"/>
        <v>35053.960815329032</v>
      </c>
      <c r="E36" s="5">
        <f t="shared" si="1"/>
        <v>25553.960815329032</v>
      </c>
      <c r="F36" s="5">
        <f t="shared" si="2"/>
        <v>8645.1182062049284</v>
      </c>
      <c r="G36" s="5">
        <f t="shared" si="3"/>
        <v>26408.842609124105</v>
      </c>
      <c r="H36" s="22">
        <f t="shared" si="10"/>
        <v>16782.263117914328</v>
      </c>
      <c r="I36" s="5">
        <f t="shared" si="4"/>
        <v>41898.871466959034</v>
      </c>
      <c r="J36" s="25">
        <f t="shared" si="5"/>
        <v>0.15086131642559822</v>
      </c>
      <c r="L36" s="22">
        <f t="shared" si="11"/>
        <v>41449.001138815373</v>
      </c>
      <c r="M36" s="5">
        <f>scrimecost*Meta!O33</f>
        <v>11797.632000000001</v>
      </c>
      <c r="N36" s="5">
        <f>L36-Grade12!L36</f>
        <v>435.82570673739247</v>
      </c>
      <c r="O36" s="5">
        <f>Grade12!M36-M36</f>
        <v>92.168999999999869</v>
      </c>
      <c r="P36" s="22">
        <f t="shared" si="12"/>
        <v>38.421152628983457</v>
      </c>
      <c r="Q36" s="22"/>
      <c r="R36" s="22"/>
      <c r="S36" s="22">
        <f t="shared" si="6"/>
        <v>186.2023165557558</v>
      </c>
      <c r="T36" s="22">
        <f t="shared" si="7"/>
        <v>521.31271788947663</v>
      </c>
    </row>
    <row r="37" spans="1:20" x14ac:dyDescent="0.2">
      <c r="A37" s="5">
        <v>46</v>
      </c>
      <c r="B37" s="1">
        <f t="shared" ref="B37:B56" si="13">(1+experiencepremium)^(A37-startage)</f>
        <v>1.9478000182997122</v>
      </c>
      <c r="C37" s="5">
        <f t="shared" ref="C37:C56" si="14">pretaxincome*B37/expnorm</f>
        <v>37593.802638908186</v>
      </c>
      <c r="D37" s="5">
        <f t="shared" ref="D37:D56" si="15">IF(A37&lt;startage,1,0)*(C37*(1-initialunempprob))+IF(A37=startage,1,0)*(C37*(1-unempprob))+IF(A37&gt;startage,1,0)*(C37*(1-unempprob)+unempprob*300*52)</f>
        <v>35900.279835712252</v>
      </c>
      <c r="E37" s="5">
        <f t="shared" si="1"/>
        <v>26400.279835712252</v>
      </c>
      <c r="F37" s="5">
        <f t="shared" si="2"/>
        <v>8921.4413663600499</v>
      </c>
      <c r="G37" s="5">
        <f t="shared" si="3"/>
        <v>26978.838469352202</v>
      </c>
      <c r="H37" s="22">
        <f t="shared" ref="H37:H56" si="16">benefits*B37/expnorm</f>
        <v>17201.819695862185</v>
      </c>
      <c r="I37" s="5">
        <f t="shared" ref="I37:I56" si="17">G37+IF(A37&lt;startage,1,0)*(H37*(1-initialunempprob))+IF(A37&gt;=startage,1,0)*(H37*(1-unempprob))</f>
        <v>42856.118048632998</v>
      </c>
      <c r="J37" s="25">
        <f t="shared" si="5"/>
        <v>0.15264525671002391</v>
      </c>
      <c r="L37" s="22">
        <f t="shared" ref="L37:L56" si="18">(sincome+sbenefits)*(1-sunemp)*B37/expnorm</f>
        <v>42485.226167285757</v>
      </c>
      <c r="M37" s="5">
        <f>scrimecost*Meta!O34</f>
        <v>11797.632000000001</v>
      </c>
      <c r="N37" s="5">
        <f>L37-Grade12!L37</f>
        <v>446.72134940583055</v>
      </c>
      <c r="O37" s="5">
        <f>Grade12!M37-M37</f>
        <v>92.168999999999869</v>
      </c>
      <c r="P37" s="22">
        <f t="shared" si="12"/>
        <v>39.117504764066318</v>
      </c>
      <c r="Q37" s="22"/>
      <c r="R37" s="22"/>
      <c r="S37" s="22">
        <f t="shared" si="6"/>
        <v>189.58087883437165</v>
      </c>
      <c r="T37" s="22">
        <f t="shared" si="7"/>
        <v>551.40096536873989</v>
      </c>
    </row>
    <row r="38" spans="1:20" x14ac:dyDescent="0.2">
      <c r="A38" s="5">
        <v>47</v>
      </c>
      <c r="B38" s="1">
        <f t="shared" si="13"/>
        <v>1.9964950187572048</v>
      </c>
      <c r="C38" s="5">
        <f t="shared" si="14"/>
        <v>38533.647704880888</v>
      </c>
      <c r="D38" s="5">
        <f t="shared" si="15"/>
        <v>36767.75683160506</v>
      </c>
      <c r="E38" s="5">
        <f t="shared" si="1"/>
        <v>27267.75683160506</v>
      </c>
      <c r="F38" s="5">
        <f t="shared" si="2"/>
        <v>9204.672605519052</v>
      </c>
      <c r="G38" s="5">
        <f t="shared" si="3"/>
        <v>27563.084226086008</v>
      </c>
      <c r="H38" s="22">
        <f t="shared" si="16"/>
        <v>17631.86518825874</v>
      </c>
      <c r="I38" s="5">
        <f t="shared" si="17"/>
        <v>43837.295794848826</v>
      </c>
      <c r="J38" s="25">
        <f t="shared" si="5"/>
        <v>0.15438568625580512</v>
      </c>
      <c r="L38" s="22">
        <f t="shared" si="18"/>
        <v>43547.356821467896</v>
      </c>
      <c r="M38" s="5">
        <f>scrimecost*Meta!O35</f>
        <v>11797.632000000001</v>
      </c>
      <c r="N38" s="5">
        <f>L38-Grade12!L38</f>
        <v>457.88938314096595</v>
      </c>
      <c r="O38" s="5">
        <f>Grade12!M38-M38</f>
        <v>92.168999999999869</v>
      </c>
      <c r="P38" s="22">
        <f t="shared" si="12"/>
        <v>39.831265702526245</v>
      </c>
      <c r="Q38" s="22"/>
      <c r="R38" s="22"/>
      <c r="S38" s="22">
        <f t="shared" si="6"/>
        <v>193.04390516994914</v>
      </c>
      <c r="T38" s="22">
        <f t="shared" si="7"/>
        <v>583.29577955329216</v>
      </c>
    </row>
    <row r="39" spans="1:20" x14ac:dyDescent="0.2">
      <c r="A39" s="5">
        <v>48</v>
      </c>
      <c r="B39" s="1">
        <f t="shared" si="13"/>
        <v>2.0464073942261352</v>
      </c>
      <c r="C39" s="5">
        <f t="shared" si="14"/>
        <v>39496.988897502917</v>
      </c>
      <c r="D39" s="5">
        <f t="shared" si="15"/>
        <v>37656.920752395192</v>
      </c>
      <c r="E39" s="5">
        <f t="shared" si="1"/>
        <v>28156.920752395192</v>
      </c>
      <c r="F39" s="5">
        <f t="shared" si="2"/>
        <v>9494.9846256570308</v>
      </c>
      <c r="G39" s="5">
        <f t="shared" si="3"/>
        <v>28161.936126738161</v>
      </c>
      <c r="H39" s="22">
        <f t="shared" si="16"/>
        <v>18072.661817965207</v>
      </c>
      <c r="I39" s="5">
        <f t="shared" si="17"/>
        <v>44843.002984720049</v>
      </c>
      <c r="J39" s="25">
        <f t="shared" si="5"/>
        <v>0.15608366630046971</v>
      </c>
      <c r="L39" s="22">
        <f t="shared" si="18"/>
        <v>44636.040742004603</v>
      </c>
      <c r="M39" s="5">
        <f>scrimecost*Meta!O36</f>
        <v>11797.632000000001</v>
      </c>
      <c r="N39" s="5">
        <f>L39-Grade12!L39</f>
        <v>469.33661771950574</v>
      </c>
      <c r="O39" s="5">
        <f>Grade12!M39-M39</f>
        <v>92.168999999999869</v>
      </c>
      <c r="P39" s="22">
        <f t="shared" si="12"/>
        <v>40.562870664447686</v>
      </c>
      <c r="Q39" s="22"/>
      <c r="R39" s="22"/>
      <c r="S39" s="22">
        <f t="shared" si="6"/>
        <v>196.59350716392328</v>
      </c>
      <c r="T39" s="22">
        <f t="shared" si="7"/>
        <v>617.10868648320275</v>
      </c>
    </row>
    <row r="40" spans="1:20" x14ac:dyDescent="0.2">
      <c r="A40" s="5">
        <v>49</v>
      </c>
      <c r="B40" s="1">
        <f t="shared" si="13"/>
        <v>2.097567579081788</v>
      </c>
      <c r="C40" s="5">
        <f t="shared" si="14"/>
        <v>40484.413619940482</v>
      </c>
      <c r="D40" s="5">
        <f t="shared" si="15"/>
        <v>38568.313771205067</v>
      </c>
      <c r="E40" s="5">
        <f t="shared" si="1"/>
        <v>29068.313771205067</v>
      </c>
      <c r="F40" s="5">
        <f t="shared" si="2"/>
        <v>9792.5544462984544</v>
      </c>
      <c r="G40" s="5">
        <f t="shared" si="3"/>
        <v>28775.759324906612</v>
      </c>
      <c r="H40" s="22">
        <f t="shared" si="16"/>
        <v>18524.478363414335</v>
      </c>
      <c r="I40" s="5">
        <f t="shared" si="17"/>
        <v>45873.852854338045</v>
      </c>
      <c r="J40" s="25">
        <f t="shared" si="5"/>
        <v>0.15774023219770344</v>
      </c>
      <c r="L40" s="22">
        <f t="shared" si="18"/>
        <v>45751.941760554706</v>
      </c>
      <c r="M40" s="5">
        <f>scrimecost*Meta!O37</f>
        <v>11797.632000000001</v>
      </c>
      <c r="N40" s="5">
        <f>L40-Grade12!L40</f>
        <v>481.07003316247574</v>
      </c>
      <c r="O40" s="5">
        <f>Grade12!M40-M40</f>
        <v>92.168999999999869</v>
      </c>
      <c r="P40" s="22">
        <f t="shared" si="12"/>
        <v>41.312765750417149</v>
      </c>
      <c r="Q40" s="22"/>
      <c r="R40" s="22"/>
      <c r="S40" s="22">
        <f t="shared" si="6"/>
        <v>200.23184920773753</v>
      </c>
      <c r="T40" s="22">
        <f t="shared" si="7"/>
        <v>652.9582253627683</v>
      </c>
    </row>
    <row r="41" spans="1:20" x14ac:dyDescent="0.2">
      <c r="A41" s="5">
        <v>50</v>
      </c>
      <c r="B41" s="1">
        <f t="shared" si="13"/>
        <v>2.1500067685588333</v>
      </c>
      <c r="C41" s="5">
        <f t="shared" si="14"/>
        <v>41496.523960439001</v>
      </c>
      <c r="D41" s="5">
        <f t="shared" si="15"/>
        <v>39502.491615485196</v>
      </c>
      <c r="E41" s="5">
        <f t="shared" si="1"/>
        <v>30002.491615485196</v>
      </c>
      <c r="F41" s="5">
        <f t="shared" si="2"/>
        <v>10097.563512455916</v>
      </c>
      <c r="G41" s="5">
        <f t="shared" si="3"/>
        <v>29404.92810302928</v>
      </c>
      <c r="H41" s="22">
        <f t="shared" si="16"/>
        <v>18987.590322499698</v>
      </c>
      <c r="I41" s="5">
        <f t="shared" si="17"/>
        <v>46930.473970696505</v>
      </c>
      <c r="J41" s="25">
        <f t="shared" si="5"/>
        <v>0.15935639404866314</v>
      </c>
      <c r="L41" s="22">
        <f t="shared" si="18"/>
        <v>46895.740304568593</v>
      </c>
      <c r="M41" s="5">
        <f>scrimecost*Meta!O38</f>
        <v>7881.9840000000004</v>
      </c>
      <c r="N41" s="5">
        <f>L41-Grade12!L41</f>
        <v>493.0967839915611</v>
      </c>
      <c r="O41" s="5">
        <f>Grade12!M41-M41</f>
        <v>61.57799999999952</v>
      </c>
      <c r="P41" s="22">
        <f t="shared" si="12"/>
        <v>42.081408213535859</v>
      </c>
      <c r="Q41" s="22"/>
      <c r="R41" s="22"/>
      <c r="S41" s="22">
        <f t="shared" ref="S41:S69" si="19">IF(A41&lt;startage,1,0)*(N41-Q41-R41)+IF(A41&gt;=startage,1,0)*completionprob*(N41*spart+O41+P41)</f>
        <v>188.75742280265837</v>
      </c>
      <c r="T41" s="22">
        <f t="shared" ref="T41:T69" si="20">S41/sreturn^(A41-startage+1)</f>
        <v>639.46389340981216</v>
      </c>
    </row>
    <row r="42" spans="1:20" x14ac:dyDescent="0.2">
      <c r="A42" s="5">
        <v>51</v>
      </c>
      <c r="B42" s="1">
        <f t="shared" si="13"/>
        <v>2.2037569377728037</v>
      </c>
      <c r="C42" s="5">
        <f t="shared" si="14"/>
        <v>42533.937059449963</v>
      </c>
      <c r="D42" s="5">
        <f t="shared" si="15"/>
        <v>40460.023905872316</v>
      </c>
      <c r="E42" s="5">
        <f t="shared" si="1"/>
        <v>30960.023905872316</v>
      </c>
      <c r="F42" s="5">
        <f t="shared" si="2"/>
        <v>10410.197805267311</v>
      </c>
      <c r="G42" s="5">
        <f t="shared" si="3"/>
        <v>30049.826100605005</v>
      </c>
      <c r="H42" s="22">
        <f t="shared" si="16"/>
        <v>19462.280080562188</v>
      </c>
      <c r="I42" s="5">
        <f t="shared" si="17"/>
        <v>48013.510614963903</v>
      </c>
      <c r="J42" s="25">
        <f t="shared" si="5"/>
        <v>0.16093313731789213</v>
      </c>
      <c r="L42" s="22">
        <f t="shared" si="18"/>
        <v>48068.133812182794</v>
      </c>
      <c r="M42" s="5">
        <f>scrimecost*Meta!O39</f>
        <v>7881.9840000000004</v>
      </c>
      <c r="N42" s="5">
        <f>L42-Grade12!L42</f>
        <v>505.42420359134849</v>
      </c>
      <c r="O42" s="5">
        <f>Grade12!M42-M42</f>
        <v>61.57799999999952</v>
      </c>
      <c r="P42" s="22">
        <f t="shared" si="12"/>
        <v>42.869266738232518</v>
      </c>
      <c r="Q42" s="22"/>
      <c r="R42" s="22"/>
      <c r="S42" s="22">
        <f t="shared" si="19"/>
        <v>192.57995591244546</v>
      </c>
      <c r="T42" s="22">
        <f t="shared" si="20"/>
        <v>677.77074792128394</v>
      </c>
    </row>
    <row r="43" spans="1:20" x14ac:dyDescent="0.2">
      <c r="A43" s="5">
        <v>52</v>
      </c>
      <c r="B43" s="1">
        <f t="shared" si="13"/>
        <v>2.2588508612171236</v>
      </c>
      <c r="C43" s="5">
        <f t="shared" si="14"/>
        <v>43597.285485936212</v>
      </c>
      <c r="D43" s="5">
        <f t="shared" si="15"/>
        <v>41441.494503519119</v>
      </c>
      <c r="E43" s="5">
        <f t="shared" si="1"/>
        <v>31941.494503519119</v>
      </c>
      <c r="F43" s="5">
        <f t="shared" si="2"/>
        <v>10730.647955398992</v>
      </c>
      <c r="G43" s="5">
        <f t="shared" si="3"/>
        <v>30710.846548120127</v>
      </c>
      <c r="H43" s="22">
        <f t="shared" si="16"/>
        <v>19948.837082576243</v>
      </c>
      <c r="I43" s="5">
        <f t="shared" si="17"/>
        <v>49123.623175337998</v>
      </c>
      <c r="J43" s="25">
        <f t="shared" si="5"/>
        <v>0.16247142343421311</v>
      </c>
      <c r="L43" s="22">
        <f t="shared" si="18"/>
        <v>49269.837157487353</v>
      </c>
      <c r="M43" s="5">
        <f>scrimecost*Meta!O40</f>
        <v>7881.9840000000004</v>
      </c>
      <c r="N43" s="5">
        <f>L43-Grade12!L43</f>
        <v>518.0598086811151</v>
      </c>
      <c r="O43" s="5">
        <f>Grade12!M43-M43</f>
        <v>61.57799999999952</v>
      </c>
      <c r="P43" s="22">
        <f t="shared" si="12"/>
        <v>43.676821726046597</v>
      </c>
      <c r="Q43" s="22"/>
      <c r="R43" s="22"/>
      <c r="S43" s="22">
        <f t="shared" si="19"/>
        <v>196.49805234997291</v>
      </c>
      <c r="T43" s="22">
        <f t="shared" si="20"/>
        <v>718.43873228983693</v>
      </c>
    </row>
    <row r="44" spans="1:20" x14ac:dyDescent="0.2">
      <c r="A44" s="5">
        <v>53</v>
      </c>
      <c r="B44" s="1">
        <f t="shared" si="13"/>
        <v>2.3153221327475517</v>
      </c>
      <c r="C44" s="5">
        <f t="shared" si="14"/>
        <v>44687.217623084616</v>
      </c>
      <c r="D44" s="5">
        <f t="shared" si="15"/>
        <v>42447.501866107101</v>
      </c>
      <c r="E44" s="5">
        <f t="shared" si="1"/>
        <v>32947.501866107101</v>
      </c>
      <c r="F44" s="5">
        <f t="shared" si="2"/>
        <v>11059.109359283968</v>
      </c>
      <c r="G44" s="5">
        <f t="shared" si="3"/>
        <v>31388.392506823133</v>
      </c>
      <c r="H44" s="22">
        <f t="shared" si="16"/>
        <v>20447.558009640648</v>
      </c>
      <c r="I44" s="5">
        <f t="shared" si="17"/>
        <v>50261.488549721456</v>
      </c>
      <c r="J44" s="25">
        <f t="shared" si="5"/>
        <v>0.16397219037696531</v>
      </c>
      <c r="L44" s="22">
        <f t="shared" si="18"/>
        <v>50501.583086424544</v>
      </c>
      <c r="M44" s="5">
        <f>scrimecost*Meta!O41</f>
        <v>7881.9840000000004</v>
      </c>
      <c r="N44" s="5">
        <f>L44-Grade12!L44</f>
        <v>531.01130389815808</v>
      </c>
      <c r="O44" s="5">
        <f>Grade12!M44-M44</f>
        <v>61.57799999999952</v>
      </c>
      <c r="P44" s="22">
        <f t="shared" si="12"/>
        <v>44.504565588556048</v>
      </c>
      <c r="Q44" s="22"/>
      <c r="R44" s="22"/>
      <c r="S44" s="22">
        <f t="shared" si="19"/>
        <v>200.51410119844749</v>
      </c>
      <c r="T44" s="22">
        <f t="shared" si="20"/>
        <v>761.616172188532</v>
      </c>
    </row>
    <row r="45" spans="1:20" x14ac:dyDescent="0.2">
      <c r="A45" s="5">
        <v>54</v>
      </c>
      <c r="B45" s="1">
        <f t="shared" si="13"/>
        <v>2.3732051860662402</v>
      </c>
      <c r="C45" s="5">
        <f t="shared" si="14"/>
        <v>45804.398063661727</v>
      </c>
      <c r="D45" s="5">
        <f t="shared" si="15"/>
        <v>43478.659412759771</v>
      </c>
      <c r="E45" s="5">
        <f t="shared" si="1"/>
        <v>33978.659412759771</v>
      </c>
      <c r="F45" s="5">
        <f t="shared" si="2"/>
        <v>11395.782298266065</v>
      </c>
      <c r="G45" s="5">
        <f t="shared" si="3"/>
        <v>32082.877114493705</v>
      </c>
      <c r="H45" s="22">
        <f t="shared" si="16"/>
        <v>20958.746959881661</v>
      </c>
      <c r="I45" s="5">
        <f t="shared" si="17"/>
        <v>51427.800558464478</v>
      </c>
      <c r="J45" s="25">
        <f t="shared" si="5"/>
        <v>0.16543635324794306</v>
      </c>
      <c r="L45" s="22">
        <f t="shared" si="18"/>
        <v>51764.122663585149</v>
      </c>
      <c r="M45" s="5">
        <f>scrimecost*Meta!O42</f>
        <v>7881.9840000000004</v>
      </c>
      <c r="N45" s="5">
        <f>L45-Grade12!L45</f>
        <v>544.28658649560384</v>
      </c>
      <c r="O45" s="5">
        <f>Grade12!M45-M45</f>
        <v>61.57799999999952</v>
      </c>
      <c r="P45" s="22">
        <f t="shared" si="12"/>
        <v>45.353003047628221</v>
      </c>
      <c r="Q45" s="22"/>
      <c r="R45" s="22"/>
      <c r="S45" s="22">
        <f t="shared" si="19"/>
        <v>204.63055126812748</v>
      </c>
      <c r="T45" s="22">
        <f t="shared" si="20"/>
        <v>807.46082523132372</v>
      </c>
    </row>
    <row r="46" spans="1:20" x14ac:dyDescent="0.2">
      <c r="A46" s="5">
        <v>55</v>
      </c>
      <c r="B46" s="1">
        <f t="shared" si="13"/>
        <v>2.4325353157178964</v>
      </c>
      <c r="C46" s="5">
        <f t="shared" si="14"/>
        <v>46949.508015253276</v>
      </c>
      <c r="D46" s="5">
        <f t="shared" si="15"/>
        <v>44535.595898078769</v>
      </c>
      <c r="E46" s="5">
        <f t="shared" si="1"/>
        <v>35035.595898078769</v>
      </c>
      <c r="F46" s="5">
        <f t="shared" si="2"/>
        <v>11794.431650530594</v>
      </c>
      <c r="G46" s="5">
        <f t="shared" si="3"/>
        <v>32741.164247548175</v>
      </c>
      <c r="H46" s="22">
        <f t="shared" si="16"/>
        <v>21482.715633878703</v>
      </c>
      <c r="I46" s="5">
        <f t="shared" si="17"/>
        <v>52569.710777618224</v>
      </c>
      <c r="J46" s="25">
        <f t="shared" si="5"/>
        <v>0.16771276389761217</v>
      </c>
      <c r="L46" s="22">
        <f t="shared" si="18"/>
        <v>53058.225730174781</v>
      </c>
      <c r="M46" s="5">
        <f>scrimecost*Meta!O43</f>
        <v>4371.8399999999992</v>
      </c>
      <c r="N46" s="5">
        <f>L46-Grade12!L46</f>
        <v>557.89375115800067</v>
      </c>
      <c r="O46" s="5">
        <f>Grade12!M46-M46</f>
        <v>34.155000000000655</v>
      </c>
      <c r="P46" s="22">
        <f t="shared" si="12"/>
        <v>46.357625054133081</v>
      </c>
      <c r="Q46" s="22"/>
      <c r="R46" s="22"/>
      <c r="S46" s="22">
        <f t="shared" si="19"/>
        <v>195.28776347419921</v>
      </c>
      <c r="T46" s="22">
        <f t="shared" si="20"/>
        <v>800.54503507136019</v>
      </c>
    </row>
    <row r="47" spans="1:20" x14ac:dyDescent="0.2">
      <c r="A47" s="5">
        <v>56</v>
      </c>
      <c r="B47" s="1">
        <f t="shared" si="13"/>
        <v>2.4933486986108435</v>
      </c>
      <c r="C47" s="5">
        <f t="shared" si="14"/>
        <v>48123.245715634599</v>
      </c>
      <c r="D47" s="5">
        <f t="shared" si="15"/>
        <v>45618.955795530732</v>
      </c>
      <c r="E47" s="5">
        <f t="shared" si="1"/>
        <v>36118.955795530732</v>
      </c>
      <c r="F47" s="5">
        <f t="shared" si="2"/>
        <v>12256.484646793857</v>
      </c>
      <c r="G47" s="5">
        <f t="shared" si="3"/>
        <v>33362.471148736877</v>
      </c>
      <c r="H47" s="22">
        <f t="shared" si="16"/>
        <v>22019.783524725666</v>
      </c>
      <c r="I47" s="5">
        <f t="shared" si="17"/>
        <v>53686.731342058672</v>
      </c>
      <c r="J47" s="25">
        <f t="shared" si="5"/>
        <v>0.17075904229947655</v>
      </c>
      <c r="L47" s="22">
        <f t="shared" si="18"/>
        <v>54384.681373429143</v>
      </c>
      <c r="M47" s="5">
        <f>scrimecost*Meta!O44</f>
        <v>4371.8399999999992</v>
      </c>
      <c r="N47" s="5">
        <f>L47-Grade12!L47</f>
        <v>571.84109493694996</v>
      </c>
      <c r="O47" s="5">
        <f>Grade12!M47-M47</f>
        <v>34.155000000000655</v>
      </c>
      <c r="P47" s="22">
        <f t="shared" si="12"/>
        <v>47.522028321266866</v>
      </c>
      <c r="Q47" s="22"/>
      <c r="R47" s="22"/>
      <c r="S47" s="22">
        <f t="shared" si="19"/>
        <v>199.74829661852189</v>
      </c>
      <c r="T47" s="22">
        <f t="shared" si="20"/>
        <v>850.65521893660502</v>
      </c>
    </row>
    <row r="48" spans="1:20" x14ac:dyDescent="0.2">
      <c r="A48" s="5">
        <v>57</v>
      </c>
      <c r="B48" s="1">
        <f t="shared" si="13"/>
        <v>2.555682416076114</v>
      </c>
      <c r="C48" s="5">
        <f t="shared" si="14"/>
        <v>49326.326858525455</v>
      </c>
      <c r="D48" s="5">
        <f t="shared" si="15"/>
        <v>46729.399690418992</v>
      </c>
      <c r="E48" s="5">
        <f t="shared" si="1"/>
        <v>37229.399690418992</v>
      </c>
      <c r="F48" s="5">
        <f t="shared" si="2"/>
        <v>12730.0889679637</v>
      </c>
      <c r="G48" s="5">
        <f t="shared" si="3"/>
        <v>33999.310722455295</v>
      </c>
      <c r="H48" s="22">
        <f t="shared" si="16"/>
        <v>22570.278112843804</v>
      </c>
      <c r="I48" s="5">
        <f t="shared" si="17"/>
        <v>54831.677420610125</v>
      </c>
      <c r="J48" s="25">
        <f t="shared" si="5"/>
        <v>0.1737310212281247</v>
      </c>
      <c r="L48" s="22">
        <f t="shared" si="18"/>
        <v>55744.298407764865</v>
      </c>
      <c r="M48" s="5">
        <f>scrimecost*Meta!O45</f>
        <v>4371.8399999999992</v>
      </c>
      <c r="N48" s="5">
        <f>L48-Grade12!L48</f>
        <v>586.13712231037061</v>
      </c>
      <c r="O48" s="5">
        <f>Grade12!M48-M48</f>
        <v>34.155000000000655</v>
      </c>
      <c r="P48" s="22">
        <f t="shared" si="12"/>
        <v>48.715541670078991</v>
      </c>
      <c r="Q48" s="22"/>
      <c r="R48" s="22"/>
      <c r="S48" s="22">
        <f t="shared" si="19"/>
        <v>204.32034309145195</v>
      </c>
      <c r="T48" s="22">
        <f t="shared" si="20"/>
        <v>903.94466337276117</v>
      </c>
    </row>
    <row r="49" spans="1:20" x14ac:dyDescent="0.2">
      <c r="A49" s="5">
        <v>58</v>
      </c>
      <c r="B49" s="1">
        <f t="shared" si="13"/>
        <v>2.6195744764780171</v>
      </c>
      <c r="C49" s="5">
        <f t="shared" si="14"/>
        <v>50559.485029988602</v>
      </c>
      <c r="D49" s="5">
        <f t="shared" si="15"/>
        <v>47867.604682679477</v>
      </c>
      <c r="E49" s="5">
        <f t="shared" si="1"/>
        <v>38367.604682679477</v>
      </c>
      <c r="F49" s="5">
        <f t="shared" si="2"/>
        <v>13215.533397162799</v>
      </c>
      <c r="G49" s="5">
        <f t="shared" si="3"/>
        <v>34652.071285516678</v>
      </c>
      <c r="H49" s="22">
        <f t="shared" si="16"/>
        <v>23134.535065664903</v>
      </c>
      <c r="I49" s="5">
        <f t="shared" si="17"/>
        <v>56005.247151125383</v>
      </c>
      <c r="J49" s="25">
        <f t="shared" si="5"/>
        <v>0.17663051286583029</v>
      </c>
      <c r="L49" s="22">
        <f t="shared" si="18"/>
        <v>57137.905867958987</v>
      </c>
      <c r="M49" s="5">
        <f>scrimecost*Meta!O46</f>
        <v>4371.8399999999992</v>
      </c>
      <c r="N49" s="5">
        <f>L49-Grade12!L49</f>
        <v>600.79055036813224</v>
      </c>
      <c r="O49" s="5">
        <f>Grade12!M49-M49</f>
        <v>34.155000000000655</v>
      </c>
      <c r="P49" s="22">
        <f t="shared" si="12"/>
        <v>49.938892852611431</v>
      </c>
      <c r="Q49" s="22"/>
      <c r="R49" s="22"/>
      <c r="S49" s="22">
        <f t="shared" si="19"/>
        <v>209.00669072620678</v>
      </c>
      <c r="T49" s="22">
        <f t="shared" si="20"/>
        <v>960.61679325726413</v>
      </c>
    </row>
    <row r="50" spans="1:20" x14ac:dyDescent="0.2">
      <c r="A50" s="5">
        <v>59</v>
      </c>
      <c r="B50" s="1">
        <f t="shared" si="13"/>
        <v>2.6850638383899672</v>
      </c>
      <c r="C50" s="5">
        <f t="shared" si="14"/>
        <v>51823.472155738309</v>
      </c>
      <c r="D50" s="5">
        <f t="shared" si="15"/>
        <v>49034.264799746459</v>
      </c>
      <c r="E50" s="5">
        <f t="shared" si="1"/>
        <v>39534.264799746459</v>
      </c>
      <c r="F50" s="5">
        <f t="shared" si="2"/>
        <v>13713.113937091866</v>
      </c>
      <c r="G50" s="5">
        <f t="shared" si="3"/>
        <v>35321.150862654591</v>
      </c>
      <c r="H50" s="22">
        <f t="shared" si="16"/>
        <v>23712.898442306523</v>
      </c>
      <c r="I50" s="5">
        <f t="shared" si="17"/>
        <v>57208.156124903515</v>
      </c>
      <c r="J50" s="25">
        <f t="shared" si="5"/>
        <v>0.17945928519529911</v>
      </c>
      <c r="L50" s="22">
        <f t="shared" si="18"/>
        <v>58566.353514657952</v>
      </c>
      <c r="M50" s="5">
        <f>scrimecost*Meta!O47</f>
        <v>4371.8399999999992</v>
      </c>
      <c r="N50" s="5">
        <f>L50-Grade12!L50</f>
        <v>615.81031412732409</v>
      </c>
      <c r="O50" s="5">
        <f>Grade12!M50-M50</f>
        <v>34.155000000000655</v>
      </c>
      <c r="P50" s="22">
        <f t="shared" si="12"/>
        <v>51.192827814707179</v>
      </c>
      <c r="Q50" s="22"/>
      <c r="R50" s="22"/>
      <c r="S50" s="22">
        <f t="shared" si="19"/>
        <v>213.81019705182663</v>
      </c>
      <c r="T50" s="22">
        <f t="shared" si="20"/>
        <v>1020.8881177374475</v>
      </c>
    </row>
    <row r="51" spans="1:20" x14ac:dyDescent="0.2">
      <c r="A51" s="5">
        <v>60</v>
      </c>
      <c r="B51" s="1">
        <f t="shared" si="13"/>
        <v>2.7521904343497163</v>
      </c>
      <c r="C51" s="5">
        <f t="shared" si="14"/>
        <v>53119.058959631766</v>
      </c>
      <c r="D51" s="5">
        <f t="shared" si="15"/>
        <v>50230.091419740122</v>
      </c>
      <c r="E51" s="5">
        <f t="shared" si="1"/>
        <v>40730.091419740122</v>
      </c>
      <c r="F51" s="5">
        <f t="shared" si="2"/>
        <v>14223.133990519163</v>
      </c>
      <c r="G51" s="5">
        <f t="shared" si="3"/>
        <v>36006.957429220958</v>
      </c>
      <c r="H51" s="22">
        <f t="shared" si="16"/>
        <v>24305.720903364185</v>
      </c>
      <c r="I51" s="5">
        <f t="shared" si="17"/>
        <v>58441.137823026103</v>
      </c>
      <c r="J51" s="25">
        <f t="shared" si="5"/>
        <v>0.18221906307770772</v>
      </c>
      <c r="L51" s="22">
        <f t="shared" si="18"/>
        <v>60030.512352524398</v>
      </c>
      <c r="M51" s="5">
        <f>scrimecost*Meta!O48</f>
        <v>2306.3040000000001</v>
      </c>
      <c r="N51" s="5">
        <f>L51-Grade12!L51</f>
        <v>631.20557198050665</v>
      </c>
      <c r="O51" s="5">
        <f>Grade12!M51-M51</f>
        <v>18.018000000000029</v>
      </c>
      <c r="P51" s="22">
        <f t="shared" si="12"/>
        <v>52.47811115085532</v>
      </c>
      <c r="Q51" s="22"/>
      <c r="R51" s="22"/>
      <c r="S51" s="22">
        <f t="shared" si="19"/>
        <v>210.71370203558976</v>
      </c>
      <c r="T51" s="22">
        <f t="shared" si="20"/>
        <v>1045.2068858324649</v>
      </c>
    </row>
    <row r="52" spans="1:20" x14ac:dyDescent="0.2">
      <c r="A52" s="5">
        <v>61</v>
      </c>
      <c r="B52" s="1">
        <f t="shared" si="13"/>
        <v>2.8209951952084591</v>
      </c>
      <c r="C52" s="5">
        <f t="shared" si="14"/>
        <v>54447.03543362255</v>
      </c>
      <c r="D52" s="5">
        <f t="shared" si="15"/>
        <v>51455.81370523361</v>
      </c>
      <c r="E52" s="5">
        <f t="shared" si="1"/>
        <v>41955.81370523361</v>
      </c>
      <c r="F52" s="5">
        <f t="shared" si="2"/>
        <v>14745.904545282134</v>
      </c>
      <c r="G52" s="5">
        <f t="shared" si="3"/>
        <v>36709.90915995148</v>
      </c>
      <c r="H52" s="22">
        <f t="shared" si="16"/>
        <v>24913.363925948288</v>
      </c>
      <c r="I52" s="5">
        <f t="shared" si="17"/>
        <v>59704.944063601753</v>
      </c>
      <c r="J52" s="25">
        <f t="shared" si="5"/>
        <v>0.18491152930444774</v>
      </c>
      <c r="L52" s="22">
        <f t="shared" si="18"/>
        <v>61531.275161337508</v>
      </c>
      <c r="M52" s="5">
        <f>scrimecost*Meta!O49</f>
        <v>2306.3040000000001</v>
      </c>
      <c r="N52" s="5">
        <f>L52-Grade12!L52</f>
        <v>646.9857112800164</v>
      </c>
      <c r="O52" s="5">
        <f>Grade12!M52-M52</f>
        <v>18.018000000000029</v>
      </c>
      <c r="P52" s="22">
        <f t="shared" si="12"/>
        <v>53.795526570407148</v>
      </c>
      <c r="Q52" s="22"/>
      <c r="R52" s="22"/>
      <c r="S52" s="22">
        <f t="shared" si="19"/>
        <v>215.76038586894654</v>
      </c>
      <c r="T52" s="22">
        <f t="shared" si="20"/>
        <v>1111.8365447514893</v>
      </c>
    </row>
    <row r="53" spans="1:20" x14ac:dyDescent="0.2">
      <c r="A53" s="5">
        <v>62</v>
      </c>
      <c r="B53" s="1">
        <f t="shared" si="13"/>
        <v>2.8915200750886707</v>
      </c>
      <c r="C53" s="5">
        <f t="shared" si="14"/>
        <v>55808.211319463117</v>
      </c>
      <c r="D53" s="5">
        <f t="shared" si="15"/>
        <v>52712.179047864454</v>
      </c>
      <c r="E53" s="5">
        <f t="shared" si="1"/>
        <v>43212.179047864454</v>
      </c>
      <c r="F53" s="5">
        <f t="shared" si="2"/>
        <v>15281.744363914189</v>
      </c>
      <c r="G53" s="5">
        <f t="shared" si="3"/>
        <v>37430.434683950269</v>
      </c>
      <c r="H53" s="22">
        <f t="shared" si="16"/>
        <v>25536.198024096993</v>
      </c>
      <c r="I53" s="5">
        <f t="shared" si="17"/>
        <v>61000.345460191791</v>
      </c>
      <c r="J53" s="25">
        <f t="shared" si="5"/>
        <v>0.18753832562321862</v>
      </c>
      <c r="L53" s="22">
        <f t="shared" si="18"/>
        <v>63069.55704037095</v>
      </c>
      <c r="M53" s="5">
        <f>scrimecost*Meta!O50</f>
        <v>2306.3040000000001</v>
      </c>
      <c r="N53" s="5">
        <f>L53-Grade12!L53</f>
        <v>663.16035406203446</v>
      </c>
      <c r="O53" s="5">
        <f>Grade12!M53-M53</f>
        <v>18.018000000000029</v>
      </c>
      <c r="P53" s="22">
        <f t="shared" si="12"/>
        <v>55.145877375447789</v>
      </c>
      <c r="Q53" s="22"/>
      <c r="R53" s="22"/>
      <c r="S53" s="22">
        <f t="shared" si="19"/>
        <v>220.93323679814301</v>
      </c>
      <c r="T53" s="22">
        <f t="shared" si="20"/>
        <v>1182.7420551696364</v>
      </c>
    </row>
    <row r="54" spans="1:20" x14ac:dyDescent="0.2">
      <c r="A54" s="5">
        <v>63</v>
      </c>
      <c r="B54" s="1">
        <f t="shared" si="13"/>
        <v>2.9638080769658868</v>
      </c>
      <c r="C54" s="5">
        <f t="shared" si="14"/>
        <v>57203.416602449688</v>
      </c>
      <c r="D54" s="5">
        <f t="shared" si="15"/>
        <v>53999.953524061064</v>
      </c>
      <c r="E54" s="5">
        <f t="shared" si="1"/>
        <v>44499.953524061064</v>
      </c>
      <c r="F54" s="5">
        <f t="shared" si="2"/>
        <v>15830.980178012045</v>
      </c>
      <c r="G54" s="5">
        <f t="shared" si="3"/>
        <v>38168.973346049017</v>
      </c>
      <c r="H54" s="22">
        <f t="shared" si="16"/>
        <v>26174.602974699417</v>
      </c>
      <c r="I54" s="5">
        <f t="shared" si="17"/>
        <v>62328.131891696583</v>
      </c>
      <c r="J54" s="25">
        <f t="shared" si="5"/>
        <v>0.19010105373909264</v>
      </c>
      <c r="L54" s="22">
        <f t="shared" si="18"/>
        <v>64646.295966380203</v>
      </c>
      <c r="M54" s="5">
        <f>scrimecost*Meta!O51</f>
        <v>2306.3040000000001</v>
      </c>
      <c r="N54" s="5">
        <f>L54-Grade12!L54</f>
        <v>679.73936291356222</v>
      </c>
      <c r="O54" s="5">
        <f>Grade12!M54-M54</f>
        <v>18.018000000000029</v>
      </c>
      <c r="P54" s="22">
        <f t="shared" si="12"/>
        <v>56.529986950614436</v>
      </c>
      <c r="Q54" s="22"/>
      <c r="R54" s="22"/>
      <c r="S54" s="22">
        <f t="shared" si="19"/>
        <v>226.23540900055804</v>
      </c>
      <c r="T54" s="22">
        <f t="shared" si="20"/>
        <v>1258.1989339523284</v>
      </c>
    </row>
    <row r="55" spans="1:20" x14ac:dyDescent="0.2">
      <c r="A55" s="5">
        <v>64</v>
      </c>
      <c r="B55" s="1">
        <f t="shared" si="13"/>
        <v>3.0379032788900342</v>
      </c>
      <c r="C55" s="5">
        <f t="shared" si="14"/>
        <v>58633.502017510931</v>
      </c>
      <c r="D55" s="5">
        <f t="shared" si="15"/>
        <v>55319.922362162586</v>
      </c>
      <c r="E55" s="5">
        <f t="shared" si="1"/>
        <v>45819.922362162586</v>
      </c>
      <c r="F55" s="5">
        <f t="shared" si="2"/>
        <v>16393.946887462342</v>
      </c>
      <c r="G55" s="5">
        <f t="shared" si="3"/>
        <v>38925.975474700244</v>
      </c>
      <c r="H55" s="22">
        <f t="shared" si="16"/>
        <v>26828.968049066905</v>
      </c>
      <c r="I55" s="5">
        <f t="shared" si="17"/>
        <v>63689.112983988998</v>
      </c>
      <c r="J55" s="25">
        <f t="shared" si="5"/>
        <v>0.19260127629116472</v>
      </c>
      <c r="L55" s="22">
        <f t="shared" si="18"/>
        <v>66262.453365539724</v>
      </c>
      <c r="M55" s="5">
        <f>scrimecost*Meta!O52</f>
        <v>2306.3040000000001</v>
      </c>
      <c r="N55" s="5">
        <f>L55-Grade12!L55</f>
        <v>696.73284698642965</v>
      </c>
      <c r="O55" s="5">
        <f>Grade12!M55-M55</f>
        <v>18.018000000000029</v>
      </c>
      <c r="P55" s="22">
        <f t="shared" si="12"/>
        <v>57.948699265160251</v>
      </c>
      <c r="Q55" s="22"/>
      <c r="R55" s="22"/>
      <c r="S55" s="22">
        <f t="shared" si="19"/>
        <v>231.67013550804776</v>
      </c>
      <c r="T55" s="22">
        <f t="shared" si="20"/>
        <v>1338.5004950663038</v>
      </c>
    </row>
    <row r="56" spans="1:20" x14ac:dyDescent="0.2">
      <c r="A56" s="5">
        <v>65</v>
      </c>
      <c r="B56" s="1">
        <f t="shared" si="13"/>
        <v>3.1138508608622844</v>
      </c>
      <c r="C56" s="5">
        <f t="shared" si="14"/>
        <v>60099.339567948693</v>
      </c>
      <c r="D56" s="5">
        <f t="shared" si="15"/>
        <v>56672.890421216645</v>
      </c>
      <c r="E56" s="5">
        <f t="shared" si="1"/>
        <v>47172.890421216645</v>
      </c>
      <c r="F56" s="5">
        <f t="shared" si="2"/>
        <v>16970.987764648897</v>
      </c>
      <c r="G56" s="5">
        <f t="shared" si="3"/>
        <v>39701.902656567749</v>
      </c>
      <c r="H56" s="22">
        <f t="shared" si="16"/>
        <v>27499.69225029357</v>
      </c>
      <c r="I56" s="5">
        <f t="shared" si="17"/>
        <v>65084.118603588715</v>
      </c>
      <c r="J56" s="25">
        <f t="shared" si="5"/>
        <v>0.19504051780538148</v>
      </c>
      <c r="L56" s="22">
        <f t="shared" si="18"/>
        <v>67919.014699678199</v>
      </c>
      <c r="M56" s="5">
        <f>scrimecost*Meta!O53</f>
        <v>696.96</v>
      </c>
      <c r="N56" s="5">
        <f>L56-Grade12!L56</f>
        <v>714.15116816105729</v>
      </c>
      <c r="O56" s="5">
        <f>Grade12!M56-M56</f>
        <v>5.4449999999999363</v>
      </c>
      <c r="P56" s="22">
        <f t="shared" si="12"/>
        <v>59.402879387569705</v>
      </c>
      <c r="Q56" s="22"/>
      <c r="R56" s="22"/>
      <c r="S56" s="22">
        <f t="shared" si="19"/>
        <v>230.99194917820762</v>
      </c>
      <c r="T56" s="22">
        <f t="shared" si="20"/>
        <v>1386.4527601268396</v>
      </c>
    </row>
    <row r="57" spans="1:20" x14ac:dyDescent="0.2">
      <c r="A57" s="5">
        <v>66</v>
      </c>
      <c r="C57" s="5"/>
      <c r="H57" s="21"/>
      <c r="I57" s="5"/>
      <c r="M57" s="5">
        <f>scrimecost*Meta!O54</f>
        <v>696.96</v>
      </c>
      <c r="N57" s="5">
        <f>L57-Grade12!L57</f>
        <v>0</v>
      </c>
      <c r="O57" s="5">
        <f>Grade12!M57-M57</f>
        <v>5.4449999999999363</v>
      </c>
      <c r="Q57" s="22"/>
      <c r="R57" s="22"/>
      <c r="S57" s="22">
        <f t="shared" si="19"/>
        <v>2.7061649999999684</v>
      </c>
      <c r="T57" s="22">
        <f t="shared" si="20"/>
        <v>16.874163606267157</v>
      </c>
    </row>
    <row r="58" spans="1:20" x14ac:dyDescent="0.2">
      <c r="A58" s="5">
        <v>67</v>
      </c>
      <c r="C58" s="5"/>
      <c r="H58" s="21"/>
      <c r="I58" s="5"/>
      <c r="M58" s="5">
        <f>scrimecost*Meta!O55</f>
        <v>696.96</v>
      </c>
      <c r="N58" s="5">
        <f>L58-Grade12!L58</f>
        <v>0</v>
      </c>
      <c r="O58" s="5">
        <f>Grade12!M58-M58</f>
        <v>5.4449999999999363</v>
      </c>
      <c r="Q58" s="22"/>
      <c r="R58" s="22"/>
      <c r="S58" s="22">
        <f t="shared" si="19"/>
        <v>2.7061649999999684</v>
      </c>
      <c r="T58" s="22">
        <f t="shared" si="20"/>
        <v>17.530003596978286</v>
      </c>
    </row>
    <row r="59" spans="1:20" x14ac:dyDescent="0.2">
      <c r="A59" s="5">
        <v>68</v>
      </c>
      <c r="H59" s="21"/>
      <c r="I59" s="5"/>
      <c r="M59" s="5">
        <f>scrimecost*Meta!O56</f>
        <v>696.96</v>
      </c>
      <c r="N59" s="5">
        <f>L59-Grade12!L59</f>
        <v>0</v>
      </c>
      <c r="O59" s="5">
        <f>Grade12!M59-M59</f>
        <v>5.4449999999999363</v>
      </c>
      <c r="Q59" s="22"/>
      <c r="R59" s="22"/>
      <c r="S59" s="22">
        <f t="shared" si="19"/>
        <v>2.7061649999999684</v>
      </c>
      <c r="T59" s="22">
        <f t="shared" si="20"/>
        <v>18.211333804772298</v>
      </c>
    </row>
    <row r="60" spans="1:20" x14ac:dyDescent="0.2">
      <c r="A60" s="5">
        <v>69</v>
      </c>
      <c r="H60" s="21"/>
      <c r="I60" s="5"/>
      <c r="M60" s="5">
        <f>scrimecost*Meta!O57</f>
        <v>696.96</v>
      </c>
      <c r="N60" s="5">
        <f>L60-Grade12!L60</f>
        <v>0</v>
      </c>
      <c r="O60" s="5">
        <f>Grade12!M60-M60</f>
        <v>5.4449999999999363</v>
      </c>
      <c r="Q60" s="22"/>
      <c r="R60" s="22"/>
      <c r="S60" s="22">
        <f t="shared" si="19"/>
        <v>2.7061649999999684</v>
      </c>
      <c r="T60" s="22">
        <f t="shared" si="20"/>
        <v>18.919144945641122</v>
      </c>
    </row>
    <row r="61" spans="1:20" x14ac:dyDescent="0.2">
      <c r="A61" s="5">
        <v>70</v>
      </c>
      <c r="H61" s="21"/>
      <c r="I61" s="5"/>
      <c r="M61" s="5">
        <f>scrimecost*Meta!O58</f>
        <v>696.96</v>
      </c>
      <c r="N61" s="5">
        <f>L61-Grade12!L61</f>
        <v>0</v>
      </c>
      <c r="O61" s="5">
        <f>Grade12!M61-M61</f>
        <v>5.4449999999999363</v>
      </c>
      <c r="Q61" s="22"/>
      <c r="R61" s="22"/>
      <c r="S61" s="22">
        <f t="shared" si="19"/>
        <v>2.7061649999999684</v>
      </c>
      <c r="T61" s="22">
        <f t="shared" si="20"/>
        <v>19.65446624125801</v>
      </c>
    </row>
    <row r="62" spans="1:20" x14ac:dyDescent="0.2">
      <c r="A62" s="5">
        <v>71</v>
      </c>
      <c r="H62" s="21"/>
      <c r="I62" s="5"/>
      <c r="M62" s="5">
        <f>scrimecost*Meta!O59</f>
        <v>696.96</v>
      </c>
      <c r="N62" s="5">
        <f>L62-Grade12!L62</f>
        <v>0</v>
      </c>
      <c r="O62" s="5">
        <f>Grade12!M62-M62</f>
        <v>5.4449999999999363</v>
      </c>
      <c r="Q62" s="22"/>
      <c r="R62" s="22"/>
      <c r="S62" s="22">
        <f t="shared" si="19"/>
        <v>2.7061649999999684</v>
      </c>
      <c r="T62" s="22">
        <f t="shared" si="20"/>
        <v>20.418366915559364</v>
      </c>
    </row>
    <row r="63" spans="1:20" x14ac:dyDescent="0.2">
      <c r="A63" s="5">
        <v>72</v>
      </c>
      <c r="H63" s="21"/>
      <c r="M63" s="5">
        <f>scrimecost*Meta!O60</f>
        <v>696.96</v>
      </c>
      <c r="N63" s="5">
        <f>L63-Grade12!L63</f>
        <v>0</v>
      </c>
      <c r="O63" s="5">
        <f>Grade12!M63-M63</f>
        <v>5.4449999999999363</v>
      </c>
      <c r="Q63" s="22"/>
      <c r="R63" s="22"/>
      <c r="S63" s="22">
        <f t="shared" si="19"/>
        <v>2.7061649999999684</v>
      </c>
      <c r="T63" s="22">
        <f t="shared" si="20"/>
        <v>21.211957749493397</v>
      </c>
    </row>
    <row r="64" spans="1:20" x14ac:dyDescent="0.2">
      <c r="A64" s="5">
        <v>73</v>
      </c>
      <c r="H64" s="21"/>
      <c r="M64" s="5">
        <f>scrimecost*Meta!O61</f>
        <v>696.96</v>
      </c>
      <c r="N64" s="5">
        <f>L64-Grade12!L64</f>
        <v>0</v>
      </c>
      <c r="O64" s="5">
        <f>Grade12!M64-M64</f>
        <v>5.4449999999999363</v>
      </c>
      <c r="Q64" s="22"/>
      <c r="R64" s="22"/>
      <c r="S64" s="22">
        <f t="shared" si="19"/>
        <v>2.7061649999999684</v>
      </c>
      <c r="T64" s="22">
        <f t="shared" si="20"/>
        <v>22.036392696196515</v>
      </c>
    </row>
    <row r="65" spans="1:20" x14ac:dyDescent="0.2">
      <c r="A65" s="5">
        <v>74</v>
      </c>
      <c r="H65" s="21"/>
      <c r="M65" s="5">
        <f>scrimecost*Meta!O62</f>
        <v>696.96</v>
      </c>
      <c r="N65" s="5">
        <f>L65-Grade12!L65</f>
        <v>0</v>
      </c>
      <c r="O65" s="5">
        <f>Grade12!M65-M65</f>
        <v>5.4449999999999363</v>
      </c>
      <c r="Q65" s="22"/>
      <c r="R65" s="22"/>
      <c r="S65" s="22">
        <f t="shared" si="19"/>
        <v>2.7061649999999684</v>
      </c>
      <c r="T65" s="22">
        <f t="shared" si="20"/>
        <v>22.892870558945965</v>
      </c>
    </row>
    <row r="66" spans="1:20" x14ac:dyDescent="0.2">
      <c r="A66" s="5">
        <v>75</v>
      </c>
      <c r="H66" s="21"/>
      <c r="M66" s="5">
        <f>scrimecost*Meta!O63</f>
        <v>696.96</v>
      </c>
      <c r="N66" s="5">
        <f>L66-Grade12!L66</f>
        <v>0</v>
      </c>
      <c r="O66" s="5">
        <f>Grade12!M66-M66</f>
        <v>5.4449999999999363</v>
      </c>
      <c r="Q66" s="22"/>
      <c r="R66" s="22"/>
      <c r="S66" s="22">
        <f t="shared" si="19"/>
        <v>2.7061649999999684</v>
      </c>
      <c r="T66" s="22">
        <f t="shared" si="20"/>
        <v>23.782636734328662</v>
      </c>
    </row>
    <row r="67" spans="1:20" x14ac:dyDescent="0.2">
      <c r="A67" s="5">
        <v>76</v>
      </c>
      <c r="H67" s="21"/>
      <c r="M67" s="5">
        <f>scrimecost*Meta!O64</f>
        <v>696.96</v>
      </c>
      <c r="N67" s="5">
        <f>L67-Grade12!L67</f>
        <v>0</v>
      </c>
      <c r="O67" s="5">
        <f>Grade12!M67-M67</f>
        <v>5.4449999999999363</v>
      </c>
      <c r="Q67" s="22"/>
      <c r="R67" s="22"/>
      <c r="S67" s="22">
        <f t="shared" si="19"/>
        <v>2.7061649999999684</v>
      </c>
      <c r="T67" s="22">
        <f t="shared" si="20"/>
        <v>24.706985023160897</v>
      </c>
    </row>
    <row r="68" spans="1:20" x14ac:dyDescent="0.2">
      <c r="A68" s="5">
        <v>77</v>
      </c>
      <c r="H68" s="21"/>
      <c r="M68" s="5">
        <f>scrimecost*Meta!O65</f>
        <v>696.96</v>
      </c>
      <c r="N68" s="5">
        <f>L68-Grade12!L68</f>
        <v>0</v>
      </c>
      <c r="O68" s="5">
        <f>Grade12!M68-M68</f>
        <v>5.4449999999999363</v>
      </c>
      <c r="Q68" s="22"/>
      <c r="R68" s="22"/>
      <c r="S68" s="22">
        <f t="shared" si="19"/>
        <v>2.7061649999999684</v>
      </c>
      <c r="T68" s="22">
        <f t="shared" si="20"/>
        <v>25.667259511792231</v>
      </c>
    </row>
    <row r="69" spans="1:20" x14ac:dyDescent="0.2">
      <c r="A69" s="5">
        <v>78</v>
      </c>
      <c r="H69" s="21"/>
      <c r="M69" s="5">
        <f>scrimecost*Meta!O66</f>
        <v>696.96</v>
      </c>
      <c r="N69" s="5">
        <f>L69-Grade12!L69</f>
        <v>0</v>
      </c>
      <c r="O69" s="5">
        <f>Grade12!M69-M69</f>
        <v>5.4449999999999363</v>
      </c>
      <c r="Q69" s="22"/>
      <c r="R69" s="22"/>
      <c r="S69" s="22">
        <f t="shared" si="19"/>
        <v>2.7061649999999684</v>
      </c>
      <c r="T69" s="22">
        <f t="shared" si="20"/>
        <v>26.664856526529125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3.6466722974637378E-9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O12" sqref="O1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6" t="s">
        <v>35</v>
      </c>
      <c r="D1" s="26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Meta!A8+6</f>
        <v>20</v>
      </c>
      <c r="C2" s="7">
        <f>Meta!B8</f>
        <v>37437</v>
      </c>
      <c r="D2" s="7">
        <f>Meta!C8</f>
        <v>17038</v>
      </c>
      <c r="E2" s="1">
        <f>Meta!D8</f>
        <v>7.4999999999999997E-2</v>
      </c>
      <c r="F2" s="1">
        <f>Meta!F8</f>
        <v>0.621</v>
      </c>
      <c r="G2" s="1">
        <f>Meta!I8</f>
        <v>1.8381311833585117</v>
      </c>
      <c r="H2" s="1">
        <f>Meta!E8</f>
        <v>0.497</v>
      </c>
      <c r="I2" s="13"/>
      <c r="J2" s="1">
        <f>Meta!X7</f>
        <v>0.56000000000000005</v>
      </c>
      <c r="K2" s="1">
        <f>Meta!D7</f>
        <v>7.6999999999999999E-2</v>
      </c>
      <c r="L2" s="28"/>
      <c r="N2" s="22">
        <f>Meta!T8</f>
        <v>31455</v>
      </c>
      <c r="O2" s="22">
        <f>Meta!U8</f>
        <v>14384</v>
      </c>
      <c r="P2" s="1">
        <f>Meta!V8</f>
        <v>9.2999999999999999E-2</v>
      </c>
      <c r="Q2" s="1">
        <f>Meta!X8</f>
        <v>0.56299999999999994</v>
      </c>
      <c r="R2" s="22">
        <f>Meta!W8</f>
        <v>12574</v>
      </c>
      <c r="T2" s="12">
        <f>IRR(S5:S69)+1</f>
        <v>0.96273037227222114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5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5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5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5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5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B10" s="1">
        <v>1</v>
      </c>
      <c r="C10" s="5">
        <f>0.1*Grade13!C10</f>
        <v>1930.0648057147491</v>
      </c>
      <c r="D10" s="5">
        <f t="shared" ref="D10:D36" si="0">IF(A10&lt;startage,1,0)*(C10*(1-initialunempprob))+IF(A10=startage,1,0)*(C10*(1-unempprob))+IF(A10&gt;startage,1,0)*(C10*(1-unempprob)+unempprob*300*52)</f>
        <v>1781.4498156747136</v>
      </c>
      <c r="E10" s="5">
        <f t="shared" ref="E10:E56" si="1">IF(D10-9500&gt;0,1,0)*(D10-9500)</f>
        <v>0</v>
      </c>
      <c r="F10" s="5">
        <f t="shared" ref="F10:F56" si="2">IF(E10&lt;=8500,1,0)*(0.1*E10+0.1*E10+0.0765*D10)+IF(AND(E10&gt;8500,E10&lt;=34500),1,0)*(850+0.15*(E10-8500)+0.1*E10+0.0765*D10)+IF(AND(E10&gt;34500,E10&lt;=83600),1,0)*(4750+0.25*(E10-34500)+0.1*E10+0.0765*D10)+IF(AND(E10&gt;83600,E10&lt;=174400,D10&lt;=106800),1,0)*(17025+0.28*(E10-83600)+0.1*E10+0.0765*D10)+IF(AND(E10&gt;83600,E10&lt;=174400,D10&gt;106800),1,0)*(17025+0.28*(E10-83600)+0.1*E10+8170.2+0.0145*(D10-106800))+IF(AND(E10&gt;174400,E10&lt;=379150),1,0)*(42449+0.33*(E10-174400)+0.1*E10+8170.2+0.0145*(D10-106800))+IF(E10&gt;379150,1,0)*(110016.5+0.35*(E10-379150)+0.1*E10+8170.2+0.0145*(D10-106800))</f>
        <v>136.28091089911558</v>
      </c>
      <c r="G10" s="5">
        <f t="shared" ref="G10:G56" si="3">D10-F10</f>
        <v>1645.1689047755981</v>
      </c>
      <c r="H10" s="22">
        <f>0.1*Grade13!H10</f>
        <v>883.14095565509479</v>
      </c>
      <c r="I10" s="5">
        <f t="shared" ref="I10:I36" si="4">G10+IF(A10&lt;startage,1,0)*(H10*(1-initialunempprob))+IF(A10&gt;=startage,1,0)*(H10*(1-unempprob))</f>
        <v>2460.3080068452505</v>
      </c>
      <c r="J10" s="25">
        <f t="shared" ref="J10:J56" si="5">(F10-(IF(A10&gt;startage,1,0)*(unempprob*300*52)))/(IF(A10&lt;startage,1,0)*((C10+H10)*(1-initialunempprob))+IF(A10&gt;=startage,1,0)*((C10+H10)*(1-unempprob)))</f>
        <v>5.2484592369554446E-2</v>
      </c>
      <c r="L10" s="22">
        <f>0.1*Grade13!L10</f>
        <v>2181.1903567170243</v>
      </c>
      <c r="M10" s="5">
        <f>scrimecost*Meta!O7</f>
        <v>44298.202000000005</v>
      </c>
      <c r="N10" s="5">
        <f>L10-Grade13!L10</f>
        <v>-19630.713210453221</v>
      </c>
      <c r="O10" s="5"/>
      <c r="P10" s="22"/>
      <c r="Q10" s="22">
        <f>0.05*feel*Grade13!G10</f>
        <v>207.04305182969173</v>
      </c>
      <c r="R10" s="22">
        <f>coltuition</f>
        <v>8279</v>
      </c>
      <c r="S10" s="22">
        <f t="shared" ref="S10:S41" si="6">IF(A10&lt;startage,1,0)*(N10-Q10-R10)+IF(A10&gt;=startage,1,0)*completionprob*(N10*spart+O10+P10)</f>
        <v>-28116.756262282914</v>
      </c>
      <c r="T10" s="22">
        <f t="shared" ref="T10:T41" si="7">S10/sreturn^(A10-startage+1)</f>
        <v>-28116.756262282914</v>
      </c>
    </row>
    <row r="11" spans="1:20" x14ac:dyDescent="0.2">
      <c r="A11" s="5">
        <v>20</v>
      </c>
      <c r="B11" s="1">
        <f t="shared" ref="B11:B36" si="8">(1+experiencepremium)^(A11-startage)</f>
        <v>1</v>
      </c>
      <c r="C11" s="5">
        <f t="shared" ref="C11:C36" si="9">pretaxincome*B11/expnorm</f>
        <v>20366.881503853056</v>
      </c>
      <c r="D11" s="5">
        <f t="shared" si="0"/>
        <v>18839.365391064079</v>
      </c>
      <c r="E11" s="5">
        <f t="shared" si="1"/>
        <v>9339.3653910640787</v>
      </c>
      <c r="F11" s="5">
        <f t="shared" si="2"/>
        <v>3351.0528001824214</v>
      </c>
      <c r="G11" s="5">
        <f t="shared" si="3"/>
        <v>15488.312590881658</v>
      </c>
      <c r="H11" s="22">
        <f t="shared" ref="H11:H36" si="10">benefits*B11/expnorm</f>
        <v>9269.1969725845647</v>
      </c>
      <c r="I11" s="5">
        <f t="shared" si="4"/>
        <v>24062.319790522379</v>
      </c>
      <c r="J11" s="25">
        <f t="shared" si="5"/>
        <v>0.12224153701243898</v>
      </c>
      <c r="L11" s="22">
        <f t="shared" ref="L11:L36" si="11">(sincome+sbenefits)*(1-sunemp)*B11/expnorm</f>
        <v>22618.61034533734</v>
      </c>
      <c r="M11" s="5">
        <f>scrimecost*Meta!O8</f>
        <v>42424.675999999999</v>
      </c>
      <c r="N11" s="5">
        <f>L11-Grade13!L11</f>
        <v>261.40918898784366</v>
      </c>
      <c r="O11" s="5">
        <f>Grade13!M11-M11</f>
        <v>330.65200000000186</v>
      </c>
      <c r="P11" s="22">
        <f t="shared" ref="P11:P56" si="12">(spart-initialspart)*(L11*J11+nptrans)</f>
        <v>27.95680108109746</v>
      </c>
      <c r="Q11" s="22"/>
      <c r="R11" s="22"/>
      <c r="S11" s="22">
        <f t="shared" si="6"/>
        <v>251.37374071718389</v>
      </c>
      <c r="T11" s="22">
        <f t="shared" si="7"/>
        <v>261.10502790505666</v>
      </c>
    </row>
    <row r="12" spans="1:20" x14ac:dyDescent="0.2">
      <c r="A12" s="5">
        <v>21</v>
      </c>
      <c r="B12" s="1">
        <f t="shared" si="8"/>
        <v>1.0249999999999999</v>
      </c>
      <c r="C12" s="5">
        <f t="shared" si="9"/>
        <v>20876.053541449379</v>
      </c>
      <c r="D12" s="5">
        <f t="shared" si="0"/>
        <v>20480.349525840677</v>
      </c>
      <c r="E12" s="5">
        <f t="shared" si="1"/>
        <v>10980.349525840677</v>
      </c>
      <c r="F12" s="5">
        <f t="shared" si="2"/>
        <v>3886.8341201869807</v>
      </c>
      <c r="G12" s="5">
        <f t="shared" si="3"/>
        <v>16593.515405653696</v>
      </c>
      <c r="H12" s="22">
        <f t="shared" si="10"/>
        <v>9500.9268968991782</v>
      </c>
      <c r="I12" s="5">
        <f t="shared" si="4"/>
        <v>25381.872785285435</v>
      </c>
      <c r="J12" s="25">
        <f t="shared" si="5"/>
        <v>9.6688937655627805E-2</v>
      </c>
      <c r="L12" s="22">
        <f t="shared" si="11"/>
        <v>23184.075603970774</v>
      </c>
      <c r="M12" s="5">
        <f>scrimecost*Meta!O9</f>
        <v>38526.735999999997</v>
      </c>
      <c r="N12" s="5">
        <f>L12-Grade13!L12</f>
        <v>267.9444187125373</v>
      </c>
      <c r="O12" s="5">
        <f>Grade13!M12-M12</f>
        <v>300.27200000000448</v>
      </c>
      <c r="P12" s="22">
        <f t="shared" si="12"/>
        <v>26.386930922026121</v>
      </c>
      <c r="Q12" s="22"/>
      <c r="R12" s="22"/>
      <c r="S12" s="22">
        <f t="shared" si="6"/>
        <v>237.32328441262297</v>
      </c>
      <c r="T12" s="22">
        <f t="shared" si="7"/>
        <v>256.05366929164205</v>
      </c>
    </row>
    <row r="13" spans="1:20" x14ac:dyDescent="0.2">
      <c r="A13" s="5">
        <v>22</v>
      </c>
      <c r="B13" s="1">
        <f t="shared" si="8"/>
        <v>1.0506249999999999</v>
      </c>
      <c r="C13" s="5">
        <f t="shared" si="9"/>
        <v>21397.954879985617</v>
      </c>
      <c r="D13" s="5">
        <f t="shared" si="0"/>
        <v>20963.108263986695</v>
      </c>
      <c r="E13" s="5">
        <f t="shared" si="1"/>
        <v>11463.108263986695</v>
      </c>
      <c r="F13" s="5">
        <f t="shared" si="2"/>
        <v>4044.4548481916554</v>
      </c>
      <c r="G13" s="5">
        <f t="shared" si="3"/>
        <v>16918.653415795037</v>
      </c>
      <c r="H13" s="22">
        <f t="shared" si="10"/>
        <v>9738.4500693216578</v>
      </c>
      <c r="I13" s="5">
        <f t="shared" si="4"/>
        <v>25926.719729917571</v>
      </c>
      <c r="J13" s="25">
        <f t="shared" si="5"/>
        <v>9.9803389628992031E-2</v>
      </c>
      <c r="L13" s="22">
        <f t="shared" si="11"/>
        <v>23763.677494070042</v>
      </c>
      <c r="M13" s="5">
        <f>scrimecost*Meta!O10</f>
        <v>35307.792000000001</v>
      </c>
      <c r="N13" s="5">
        <f>L13-Grade13!L13</f>
        <v>274.64302918034809</v>
      </c>
      <c r="O13" s="5">
        <f>Grade13!M13-M13</f>
        <v>275.18399999999383</v>
      </c>
      <c r="P13" s="22">
        <f t="shared" si="12"/>
        <v>26.777086691874178</v>
      </c>
      <c r="Q13" s="22"/>
      <c r="R13" s="22"/>
      <c r="S13" s="22">
        <f t="shared" si="6"/>
        <v>226.92280072384077</v>
      </c>
      <c r="T13" s="22">
        <f t="shared" si="7"/>
        <v>254.31039681700054</v>
      </c>
    </row>
    <row r="14" spans="1:20" x14ac:dyDescent="0.2">
      <c r="A14" s="5">
        <v>23</v>
      </c>
      <c r="B14" s="1">
        <f t="shared" si="8"/>
        <v>1.0768906249999999</v>
      </c>
      <c r="C14" s="5">
        <f t="shared" si="9"/>
        <v>21932.903751985254</v>
      </c>
      <c r="D14" s="5">
        <f t="shared" si="0"/>
        <v>21457.935970586361</v>
      </c>
      <c r="E14" s="5">
        <f t="shared" si="1"/>
        <v>11957.935970586361</v>
      </c>
      <c r="F14" s="5">
        <f t="shared" si="2"/>
        <v>4206.0160943964465</v>
      </c>
      <c r="G14" s="5">
        <f t="shared" si="3"/>
        <v>17251.919876189913</v>
      </c>
      <c r="H14" s="22">
        <f t="shared" si="10"/>
        <v>9981.9113210546984</v>
      </c>
      <c r="I14" s="5">
        <f t="shared" si="4"/>
        <v>26485.187848165508</v>
      </c>
      <c r="J14" s="25">
        <f t="shared" si="5"/>
        <v>0.10284187935910348</v>
      </c>
      <c r="L14" s="22">
        <f t="shared" si="11"/>
        <v>24357.769431421792</v>
      </c>
      <c r="M14" s="5">
        <f>scrimecost*Meta!O11</f>
        <v>32994.175999999999</v>
      </c>
      <c r="N14" s="5">
        <f>L14-Grade13!L14</f>
        <v>281.50910490985916</v>
      </c>
      <c r="O14" s="5">
        <f>Grade13!M14-M14</f>
        <v>257.15200000000186</v>
      </c>
      <c r="P14" s="22">
        <f t="shared" si="12"/>
        <v>27.176996355968431</v>
      </c>
      <c r="Q14" s="22"/>
      <c r="R14" s="22"/>
      <c r="S14" s="22">
        <f t="shared" si="6"/>
        <v>220.08085534284984</v>
      </c>
      <c r="T14" s="22">
        <f t="shared" si="7"/>
        <v>256.19082518906339</v>
      </c>
    </row>
    <row r="15" spans="1:20" x14ac:dyDescent="0.2">
      <c r="A15" s="5">
        <v>24</v>
      </c>
      <c r="B15" s="1">
        <f t="shared" si="8"/>
        <v>1.1038128906249998</v>
      </c>
      <c r="C15" s="5">
        <f t="shared" si="9"/>
        <v>22481.226345784882</v>
      </c>
      <c r="D15" s="5">
        <f t="shared" si="0"/>
        <v>21965.134369851017</v>
      </c>
      <c r="E15" s="5">
        <f t="shared" si="1"/>
        <v>12465.134369851017</v>
      </c>
      <c r="F15" s="5">
        <f t="shared" si="2"/>
        <v>4371.6163717563568</v>
      </c>
      <c r="G15" s="5">
        <f t="shared" si="3"/>
        <v>17593.51799809466</v>
      </c>
      <c r="H15" s="22">
        <f t="shared" si="10"/>
        <v>10231.459104081065</v>
      </c>
      <c r="I15" s="5">
        <f t="shared" si="4"/>
        <v>27057.617669369647</v>
      </c>
      <c r="J15" s="25">
        <f t="shared" si="5"/>
        <v>0.10580625958360243</v>
      </c>
      <c r="L15" s="22">
        <f t="shared" si="11"/>
        <v>24966.713667207332</v>
      </c>
      <c r="M15" s="5">
        <f>scrimecost*Meta!O12</f>
        <v>31523.018</v>
      </c>
      <c r="N15" s="5">
        <f>L15-Grade13!L15</f>
        <v>288.54683253260737</v>
      </c>
      <c r="O15" s="5">
        <f>Grade13!M15-M15</f>
        <v>245.68600000000151</v>
      </c>
      <c r="P15" s="22">
        <f t="shared" si="12"/>
        <v>27.586903761665045</v>
      </c>
      <c r="Q15" s="22"/>
      <c r="R15" s="22"/>
      <c r="S15" s="22">
        <f t="shared" si="6"/>
        <v>216.55521092732968</v>
      </c>
      <c r="T15" s="22">
        <f t="shared" si="7"/>
        <v>261.84559526358265</v>
      </c>
    </row>
    <row r="16" spans="1:20" x14ac:dyDescent="0.2">
      <c r="A16" s="5">
        <v>25</v>
      </c>
      <c r="B16" s="1">
        <f t="shared" si="8"/>
        <v>1.1314082128906247</v>
      </c>
      <c r="C16" s="5">
        <f t="shared" si="9"/>
        <v>23043.257004429503</v>
      </c>
      <c r="D16" s="5">
        <f t="shared" si="0"/>
        <v>22485.012729097292</v>
      </c>
      <c r="E16" s="5">
        <f t="shared" si="1"/>
        <v>12985.012729097292</v>
      </c>
      <c r="F16" s="5">
        <f t="shared" si="2"/>
        <v>4541.3566560502659</v>
      </c>
      <c r="G16" s="5">
        <f t="shared" si="3"/>
        <v>17943.656073047026</v>
      </c>
      <c r="H16" s="22">
        <f t="shared" si="10"/>
        <v>10487.245581683092</v>
      </c>
      <c r="I16" s="5">
        <f t="shared" si="4"/>
        <v>27644.358236103886</v>
      </c>
      <c r="J16" s="25">
        <f t="shared" si="5"/>
        <v>0.10869833785140631</v>
      </c>
      <c r="L16" s="22">
        <f t="shared" si="11"/>
        <v>25590.881508887513</v>
      </c>
      <c r="M16" s="5">
        <f>scrimecost*Meta!O13</f>
        <v>26468.27</v>
      </c>
      <c r="N16" s="5">
        <f>L16-Grade13!L16</f>
        <v>295.76050334591855</v>
      </c>
      <c r="O16" s="5">
        <f>Grade13!M16-M16</f>
        <v>206.29000000000087</v>
      </c>
      <c r="P16" s="22">
        <f t="shared" si="12"/>
        <v>28.007058852504073</v>
      </c>
      <c r="Q16" s="22"/>
      <c r="R16" s="22"/>
      <c r="S16" s="22">
        <f t="shared" si="6"/>
        <v>199.20268045141978</v>
      </c>
      <c r="T16" s="22">
        <f t="shared" si="7"/>
        <v>250.18838222590992</v>
      </c>
    </row>
    <row r="17" spans="1:20" x14ac:dyDescent="0.2">
      <c r="A17" s="5">
        <v>26</v>
      </c>
      <c r="B17" s="1">
        <f t="shared" si="8"/>
        <v>1.1596934182128902</v>
      </c>
      <c r="C17" s="5">
        <f t="shared" si="9"/>
        <v>23619.338429540239</v>
      </c>
      <c r="D17" s="5">
        <f t="shared" si="0"/>
        <v>23017.888047324723</v>
      </c>
      <c r="E17" s="5">
        <f t="shared" si="1"/>
        <v>13517.888047324723</v>
      </c>
      <c r="F17" s="5">
        <f t="shared" si="2"/>
        <v>4715.3404474515219</v>
      </c>
      <c r="G17" s="5">
        <f t="shared" si="3"/>
        <v>18302.5475998732</v>
      </c>
      <c r="H17" s="22">
        <f t="shared" si="10"/>
        <v>10749.426721225167</v>
      </c>
      <c r="I17" s="5">
        <f t="shared" si="4"/>
        <v>28245.767317006481</v>
      </c>
      <c r="J17" s="25">
        <f t="shared" si="5"/>
        <v>0.11151987762487349</v>
      </c>
      <c r="L17" s="22">
        <f t="shared" si="11"/>
        <v>26230.653546609698</v>
      </c>
      <c r="M17" s="5">
        <f>scrimecost*Meta!O14</f>
        <v>26468.27</v>
      </c>
      <c r="N17" s="5">
        <f>L17-Grade13!L17</f>
        <v>303.15451592956379</v>
      </c>
      <c r="O17" s="5">
        <f>Grade13!M17-M17</f>
        <v>206.29000000000087</v>
      </c>
      <c r="P17" s="22">
        <f t="shared" si="12"/>
        <v>28.437717820614075</v>
      </c>
      <c r="Q17" s="22"/>
      <c r="R17" s="22"/>
      <c r="S17" s="22">
        <f t="shared" si="6"/>
        <v>201.48564401361278</v>
      </c>
      <c r="T17" s="22">
        <f t="shared" si="7"/>
        <v>262.85206640374821</v>
      </c>
    </row>
    <row r="18" spans="1:20" x14ac:dyDescent="0.2">
      <c r="A18" s="5">
        <v>27</v>
      </c>
      <c r="B18" s="1">
        <f t="shared" si="8"/>
        <v>1.1886857536682125</v>
      </c>
      <c r="C18" s="5">
        <f t="shared" si="9"/>
        <v>24209.821890278745</v>
      </c>
      <c r="D18" s="5">
        <f t="shared" si="0"/>
        <v>23564.085248507839</v>
      </c>
      <c r="E18" s="5">
        <f t="shared" si="1"/>
        <v>14064.085248507839</v>
      </c>
      <c r="F18" s="5">
        <f t="shared" si="2"/>
        <v>4893.6738336378094</v>
      </c>
      <c r="G18" s="5">
        <f t="shared" si="3"/>
        <v>18670.411414870032</v>
      </c>
      <c r="H18" s="22">
        <f t="shared" si="10"/>
        <v>11018.162389255796</v>
      </c>
      <c r="I18" s="5">
        <f t="shared" si="4"/>
        <v>28862.211624931646</v>
      </c>
      <c r="J18" s="25">
        <f t="shared" si="5"/>
        <v>0.11427259935508538</v>
      </c>
      <c r="L18" s="22">
        <f t="shared" si="11"/>
        <v>26886.419885274943</v>
      </c>
      <c r="M18" s="5">
        <f>scrimecost*Meta!O15</f>
        <v>26468.27</v>
      </c>
      <c r="N18" s="5">
        <f>L18-Grade13!L18</f>
        <v>310.73337882780834</v>
      </c>
      <c r="O18" s="5">
        <f>Grade13!M18-M18</f>
        <v>206.29000000000087</v>
      </c>
      <c r="P18" s="22">
        <f t="shared" si="12"/>
        <v>28.879143262926831</v>
      </c>
      <c r="Q18" s="22"/>
      <c r="R18" s="22"/>
      <c r="S18" s="22">
        <f t="shared" si="6"/>
        <v>203.82568166486294</v>
      </c>
      <c r="T18" s="22">
        <f t="shared" si="7"/>
        <v>276.1986286935304</v>
      </c>
    </row>
    <row r="19" spans="1:20" x14ac:dyDescent="0.2">
      <c r="A19" s="5">
        <v>28</v>
      </c>
      <c r="B19" s="1">
        <f t="shared" si="8"/>
        <v>1.2184028975099177</v>
      </c>
      <c r="C19" s="5">
        <f t="shared" si="9"/>
        <v>24815.067437535712</v>
      </c>
      <c r="D19" s="5">
        <f t="shared" si="0"/>
        <v>24123.937379720533</v>
      </c>
      <c r="E19" s="5">
        <f t="shared" si="1"/>
        <v>14623.937379720533</v>
      </c>
      <c r="F19" s="5">
        <f t="shared" si="2"/>
        <v>5076.4655544787547</v>
      </c>
      <c r="G19" s="5">
        <f t="shared" si="3"/>
        <v>19047.471825241781</v>
      </c>
      <c r="H19" s="22">
        <f t="shared" si="10"/>
        <v>11293.61644898719</v>
      </c>
      <c r="I19" s="5">
        <f t="shared" si="4"/>
        <v>29494.067040554932</v>
      </c>
      <c r="J19" s="25">
        <f t="shared" si="5"/>
        <v>0.11695818153090187</v>
      </c>
      <c r="L19" s="22">
        <f t="shared" si="11"/>
        <v>27558.580382406813</v>
      </c>
      <c r="M19" s="5">
        <f>scrimecost*Meta!O16</f>
        <v>26468.27</v>
      </c>
      <c r="N19" s="5">
        <f>L19-Grade13!L19</f>
        <v>318.50171329850491</v>
      </c>
      <c r="O19" s="5">
        <f>Grade13!M19-M19</f>
        <v>206.29000000000087</v>
      </c>
      <c r="P19" s="22">
        <f t="shared" si="12"/>
        <v>29.331604341297403</v>
      </c>
      <c r="Q19" s="22"/>
      <c r="R19" s="22"/>
      <c r="S19" s="22">
        <f t="shared" si="6"/>
        <v>206.2242202573932</v>
      </c>
      <c r="T19" s="22">
        <f t="shared" si="7"/>
        <v>290.26696471699836</v>
      </c>
    </row>
    <row r="20" spans="1:20" x14ac:dyDescent="0.2">
      <c r="A20" s="5">
        <v>29</v>
      </c>
      <c r="B20" s="1">
        <f t="shared" si="8"/>
        <v>1.2488629699476654</v>
      </c>
      <c r="C20" s="5">
        <f t="shared" si="9"/>
        <v>25435.444123474103</v>
      </c>
      <c r="D20" s="5">
        <f t="shared" si="0"/>
        <v>24697.785814213545</v>
      </c>
      <c r="E20" s="5">
        <f t="shared" si="1"/>
        <v>15197.785814213545</v>
      </c>
      <c r="F20" s="5">
        <f t="shared" si="2"/>
        <v>5263.8270683407227</v>
      </c>
      <c r="G20" s="5">
        <f t="shared" si="3"/>
        <v>19433.95874587282</v>
      </c>
      <c r="H20" s="22">
        <f t="shared" si="10"/>
        <v>11575.956860211871</v>
      </c>
      <c r="I20" s="5">
        <f t="shared" si="4"/>
        <v>30141.7188415688</v>
      </c>
      <c r="J20" s="25">
        <f t="shared" si="5"/>
        <v>0.11957826170243011</v>
      </c>
      <c r="L20" s="22">
        <f t="shared" si="11"/>
        <v>28247.54489196698</v>
      </c>
      <c r="M20" s="5">
        <f>scrimecost*Meta!O17</f>
        <v>26468.27</v>
      </c>
      <c r="N20" s="5">
        <f>L20-Grade13!L20</f>
        <v>326.46425613096289</v>
      </c>
      <c r="O20" s="5">
        <f>Grade13!M20-M20</f>
        <v>206.29000000000087</v>
      </c>
      <c r="P20" s="22">
        <f t="shared" si="12"/>
        <v>29.795376946627236</v>
      </c>
      <c r="Q20" s="22"/>
      <c r="R20" s="22"/>
      <c r="S20" s="22">
        <f t="shared" si="6"/>
        <v>208.68272231473503</v>
      </c>
      <c r="T20" s="22">
        <f t="shared" si="7"/>
        <v>305.09828173956845</v>
      </c>
    </row>
    <row r="21" spans="1:20" x14ac:dyDescent="0.2">
      <c r="A21" s="5">
        <v>30</v>
      </c>
      <c r="B21" s="1">
        <f t="shared" si="8"/>
        <v>1.2800845441963571</v>
      </c>
      <c r="C21" s="5">
        <f t="shared" si="9"/>
        <v>26071.330226560953</v>
      </c>
      <c r="D21" s="5">
        <f t="shared" si="0"/>
        <v>25285.980459568884</v>
      </c>
      <c r="E21" s="5">
        <f t="shared" si="1"/>
        <v>15785.980459568884</v>
      </c>
      <c r="F21" s="5">
        <f t="shared" si="2"/>
        <v>5455.8726200492401</v>
      </c>
      <c r="G21" s="5">
        <f t="shared" si="3"/>
        <v>19830.107839519645</v>
      </c>
      <c r="H21" s="22">
        <f t="shared" si="10"/>
        <v>11865.355781717166</v>
      </c>
      <c r="I21" s="5">
        <f t="shared" si="4"/>
        <v>30805.561937608025</v>
      </c>
      <c r="J21" s="25">
        <f t="shared" si="5"/>
        <v>0.12213443747953089</v>
      </c>
      <c r="L21" s="22">
        <f t="shared" si="11"/>
        <v>28953.733514266154</v>
      </c>
      <c r="M21" s="5">
        <f>scrimecost*Meta!O18</f>
        <v>21338.078000000001</v>
      </c>
      <c r="N21" s="5">
        <f>L21-Grade13!L21</f>
        <v>334.62586253423797</v>
      </c>
      <c r="O21" s="5">
        <f>Grade13!M21-M21</f>
        <v>166.30600000000049</v>
      </c>
      <c r="P21" s="22">
        <f t="shared" si="12"/>
        <v>30.270743867090321</v>
      </c>
      <c r="Q21" s="22"/>
      <c r="R21" s="22"/>
      <c r="S21" s="22">
        <f t="shared" si="6"/>
        <v>191.33063892351183</v>
      </c>
      <c r="T21" s="22">
        <f t="shared" si="7"/>
        <v>290.55818689449575</v>
      </c>
    </row>
    <row r="22" spans="1:20" x14ac:dyDescent="0.2">
      <c r="A22" s="5">
        <v>31</v>
      </c>
      <c r="B22" s="1">
        <f t="shared" si="8"/>
        <v>1.312086657801266</v>
      </c>
      <c r="C22" s="5">
        <f t="shared" si="9"/>
        <v>26723.113482224977</v>
      </c>
      <c r="D22" s="5">
        <f t="shared" si="0"/>
        <v>25888.879971058104</v>
      </c>
      <c r="E22" s="5">
        <f t="shared" si="1"/>
        <v>16388.879971058104</v>
      </c>
      <c r="F22" s="5">
        <f t="shared" si="2"/>
        <v>5652.7193105504712</v>
      </c>
      <c r="G22" s="5">
        <f t="shared" si="3"/>
        <v>20236.160660507634</v>
      </c>
      <c r="H22" s="22">
        <f t="shared" si="10"/>
        <v>12161.989676260093</v>
      </c>
      <c r="I22" s="5">
        <f t="shared" si="4"/>
        <v>31486.001111048223</v>
      </c>
      <c r="J22" s="25">
        <f t="shared" si="5"/>
        <v>0.12462826750597064</v>
      </c>
      <c r="L22" s="22">
        <f t="shared" si="11"/>
        <v>29677.576852122806</v>
      </c>
      <c r="M22" s="5">
        <f>scrimecost*Meta!O19</f>
        <v>21338.078000000001</v>
      </c>
      <c r="N22" s="5">
        <f>L22-Grade13!L22</f>
        <v>342.99150909759192</v>
      </c>
      <c r="O22" s="5">
        <f>Grade13!M22-M22</f>
        <v>166.30600000000049</v>
      </c>
      <c r="P22" s="22">
        <f t="shared" si="12"/>
        <v>30.757994960564979</v>
      </c>
      <c r="Q22" s="22"/>
      <c r="R22" s="22"/>
      <c r="S22" s="22">
        <f t="shared" si="6"/>
        <v>193.91360264750733</v>
      </c>
      <c r="T22" s="22">
        <f t="shared" si="7"/>
        <v>305.88078557464559</v>
      </c>
    </row>
    <row r="23" spans="1:20" x14ac:dyDescent="0.2">
      <c r="A23" s="5">
        <v>32</v>
      </c>
      <c r="B23" s="1">
        <f t="shared" si="8"/>
        <v>1.3448888242462975</v>
      </c>
      <c r="C23" s="5">
        <f t="shared" si="9"/>
        <v>27391.191319280599</v>
      </c>
      <c r="D23" s="5">
        <f t="shared" si="0"/>
        <v>26506.851970334556</v>
      </c>
      <c r="E23" s="5">
        <f t="shared" si="1"/>
        <v>17006.851970334556</v>
      </c>
      <c r="F23" s="5">
        <f t="shared" si="2"/>
        <v>5854.4871683142319</v>
      </c>
      <c r="G23" s="5">
        <f t="shared" si="3"/>
        <v>20652.364802020325</v>
      </c>
      <c r="H23" s="22">
        <f t="shared" si="10"/>
        <v>12466.039418166594</v>
      </c>
      <c r="I23" s="5">
        <f t="shared" si="4"/>
        <v>32183.451263824427</v>
      </c>
      <c r="J23" s="25">
        <f t="shared" si="5"/>
        <v>0.12706127240981432</v>
      </c>
      <c r="L23" s="22">
        <f t="shared" si="11"/>
        <v>30419.516273425877</v>
      </c>
      <c r="M23" s="5">
        <f>scrimecost*Meta!O20</f>
        <v>21338.078000000001</v>
      </c>
      <c r="N23" s="5">
        <f>L23-Grade13!L23</f>
        <v>351.56629682503262</v>
      </c>
      <c r="O23" s="5">
        <f>Grade13!M23-M23</f>
        <v>166.30600000000049</v>
      </c>
      <c r="P23" s="22">
        <f t="shared" si="12"/>
        <v>31.257427331376508</v>
      </c>
      <c r="Q23" s="22"/>
      <c r="R23" s="22"/>
      <c r="S23" s="22">
        <f t="shared" si="6"/>
        <v>196.56114046460357</v>
      </c>
      <c r="T23" s="22">
        <f t="shared" si="7"/>
        <v>322.06009149661389</v>
      </c>
    </row>
    <row r="24" spans="1:20" x14ac:dyDescent="0.2">
      <c r="A24" s="5">
        <v>33</v>
      </c>
      <c r="B24" s="1">
        <f t="shared" si="8"/>
        <v>1.3785110448524549</v>
      </c>
      <c r="C24" s="5">
        <f t="shared" si="9"/>
        <v>28075.971102262611</v>
      </c>
      <c r="D24" s="5">
        <f t="shared" si="0"/>
        <v>27140.273269592915</v>
      </c>
      <c r="E24" s="5">
        <f t="shared" si="1"/>
        <v>17640.273269592915</v>
      </c>
      <c r="F24" s="5">
        <f t="shared" si="2"/>
        <v>6061.2992225220869</v>
      </c>
      <c r="G24" s="5">
        <f t="shared" si="3"/>
        <v>21078.974047070828</v>
      </c>
      <c r="H24" s="22">
        <f t="shared" si="10"/>
        <v>12777.69040362076</v>
      </c>
      <c r="I24" s="5">
        <f t="shared" si="4"/>
        <v>32898.337670420035</v>
      </c>
      <c r="J24" s="25">
        <f t="shared" si="5"/>
        <v>0.12943493573063738</v>
      </c>
      <c r="L24" s="22">
        <f t="shared" si="11"/>
        <v>31180.004180261523</v>
      </c>
      <c r="M24" s="5">
        <f>scrimecost*Meta!O21</f>
        <v>21338.078000000001</v>
      </c>
      <c r="N24" s="5">
        <f>L24-Grade13!L24</f>
        <v>360.35545424566226</v>
      </c>
      <c r="O24" s="5">
        <f>Grade13!M24-M24</f>
        <v>166.30600000000049</v>
      </c>
      <c r="P24" s="22">
        <f t="shared" si="12"/>
        <v>31.769345511458319</v>
      </c>
      <c r="Q24" s="22"/>
      <c r="R24" s="22"/>
      <c r="S24" s="22">
        <f t="shared" si="6"/>
        <v>199.274866727128</v>
      </c>
      <c r="T24" s="22">
        <f t="shared" si="7"/>
        <v>339.14631520588898</v>
      </c>
    </row>
    <row r="25" spans="1:20" x14ac:dyDescent="0.2">
      <c r="A25" s="5">
        <v>34</v>
      </c>
      <c r="B25" s="1">
        <f t="shared" si="8"/>
        <v>1.4129738209737661</v>
      </c>
      <c r="C25" s="5">
        <f t="shared" si="9"/>
        <v>28777.870379819175</v>
      </c>
      <c r="D25" s="5">
        <f t="shared" si="0"/>
        <v>27789.530101332737</v>
      </c>
      <c r="E25" s="5">
        <f t="shared" si="1"/>
        <v>18289.530101332737</v>
      </c>
      <c r="F25" s="5">
        <f t="shared" si="2"/>
        <v>6273.2815780851388</v>
      </c>
      <c r="G25" s="5">
        <f t="shared" si="3"/>
        <v>21516.248523247599</v>
      </c>
      <c r="H25" s="22">
        <f t="shared" si="10"/>
        <v>13097.132663711276</v>
      </c>
      <c r="I25" s="5">
        <f t="shared" si="4"/>
        <v>33631.096237180529</v>
      </c>
      <c r="J25" s="25">
        <f t="shared" si="5"/>
        <v>0.13175070482412335</v>
      </c>
      <c r="L25" s="22">
        <f t="shared" si="11"/>
        <v>31959.504284768056</v>
      </c>
      <c r="M25" s="5">
        <f>scrimecost*Meta!O22</f>
        <v>21338.078000000001</v>
      </c>
      <c r="N25" s="5">
        <f>L25-Grade13!L25</f>
        <v>369.36434060179454</v>
      </c>
      <c r="O25" s="5">
        <f>Grade13!M25-M25</f>
        <v>166.30600000000049</v>
      </c>
      <c r="P25" s="22">
        <f t="shared" si="12"/>
        <v>32.294061646042181</v>
      </c>
      <c r="Q25" s="22"/>
      <c r="R25" s="22"/>
      <c r="S25" s="22">
        <f t="shared" si="6"/>
        <v>202.05643614621192</v>
      </c>
      <c r="T25" s="22">
        <f t="shared" si="7"/>
        <v>357.19271351593505</v>
      </c>
    </row>
    <row r="26" spans="1:20" x14ac:dyDescent="0.2">
      <c r="A26" s="5">
        <v>35</v>
      </c>
      <c r="B26" s="1">
        <f t="shared" si="8"/>
        <v>1.4482981664981105</v>
      </c>
      <c r="C26" s="5">
        <f t="shared" si="9"/>
        <v>29497.317139314659</v>
      </c>
      <c r="D26" s="5">
        <f t="shared" si="0"/>
        <v>28455.01835386606</v>
      </c>
      <c r="E26" s="5">
        <f t="shared" si="1"/>
        <v>18955.01835386606</v>
      </c>
      <c r="F26" s="5">
        <f t="shared" si="2"/>
        <v>6490.5634925372688</v>
      </c>
      <c r="G26" s="5">
        <f t="shared" si="3"/>
        <v>21964.454861328792</v>
      </c>
      <c r="H26" s="22">
        <f t="shared" si="10"/>
        <v>13424.560980304062</v>
      </c>
      <c r="I26" s="5">
        <f t="shared" si="4"/>
        <v>34382.173768110049</v>
      </c>
      <c r="J26" s="25">
        <f t="shared" si="5"/>
        <v>0.13400999174459746</v>
      </c>
      <c r="L26" s="22">
        <f t="shared" si="11"/>
        <v>32758.491891887261</v>
      </c>
      <c r="M26" s="5">
        <f>scrimecost*Meta!O23</f>
        <v>16559.957999999999</v>
      </c>
      <c r="N26" s="5">
        <f>L26-Grade13!L26</f>
        <v>378.59844911684559</v>
      </c>
      <c r="O26" s="5">
        <f>Grade13!M26-M26</f>
        <v>129.06599999999889</v>
      </c>
      <c r="P26" s="22">
        <f t="shared" si="12"/>
        <v>32.831895683990638</v>
      </c>
      <c r="Q26" s="22"/>
      <c r="R26" s="22"/>
      <c r="S26" s="22">
        <f t="shared" si="6"/>
        <v>186.39926480077645</v>
      </c>
      <c r="T26" s="22">
        <f t="shared" si="7"/>
        <v>342.27046448460578</v>
      </c>
    </row>
    <row r="27" spans="1:20" x14ac:dyDescent="0.2">
      <c r="A27" s="5">
        <v>36</v>
      </c>
      <c r="B27" s="1">
        <f t="shared" si="8"/>
        <v>1.4845056206605631</v>
      </c>
      <c r="C27" s="5">
        <f t="shared" si="9"/>
        <v>30234.750067797526</v>
      </c>
      <c r="D27" s="5">
        <f t="shared" si="0"/>
        <v>29137.143812712711</v>
      </c>
      <c r="E27" s="5">
        <f t="shared" si="1"/>
        <v>19637.143812712711</v>
      </c>
      <c r="F27" s="5">
        <f t="shared" si="2"/>
        <v>6713.2774548507005</v>
      </c>
      <c r="G27" s="5">
        <f t="shared" si="3"/>
        <v>22423.866357862011</v>
      </c>
      <c r="H27" s="22">
        <f t="shared" si="10"/>
        <v>13760.175004811663</v>
      </c>
      <c r="I27" s="5">
        <f t="shared" si="4"/>
        <v>35152.028237312799</v>
      </c>
      <c r="J27" s="25">
        <f t="shared" si="5"/>
        <v>0.13621417410603559</v>
      </c>
      <c r="L27" s="22">
        <f t="shared" si="11"/>
        <v>33577.454189184442</v>
      </c>
      <c r="M27" s="5">
        <f>scrimecost*Meta!O24</f>
        <v>16559.957999999999</v>
      </c>
      <c r="N27" s="5">
        <f>L27-Grade13!L27</f>
        <v>388.06341034477373</v>
      </c>
      <c r="O27" s="5">
        <f>Grade13!M27-M27</f>
        <v>129.06599999999889</v>
      </c>
      <c r="P27" s="22">
        <f t="shared" si="12"/>
        <v>33.383175572887801</v>
      </c>
      <c r="Q27" s="22"/>
      <c r="R27" s="22"/>
      <c r="S27" s="22">
        <f t="shared" si="6"/>
        <v>189.32165117170618</v>
      </c>
      <c r="T27" s="22">
        <f t="shared" si="7"/>
        <v>361.09447169393707</v>
      </c>
    </row>
    <row r="28" spans="1:20" x14ac:dyDescent="0.2">
      <c r="A28" s="5">
        <v>37</v>
      </c>
      <c r="B28" s="1">
        <f t="shared" si="8"/>
        <v>1.521618261177077</v>
      </c>
      <c r="C28" s="5">
        <f t="shared" si="9"/>
        <v>30990.618819492458</v>
      </c>
      <c r="D28" s="5">
        <f t="shared" si="0"/>
        <v>29836.322408030526</v>
      </c>
      <c r="E28" s="5">
        <f t="shared" si="1"/>
        <v>20336.322408030526</v>
      </c>
      <c r="F28" s="5">
        <f t="shared" si="2"/>
        <v>6941.5592662219669</v>
      </c>
      <c r="G28" s="5">
        <f t="shared" si="3"/>
        <v>22894.763141808558</v>
      </c>
      <c r="H28" s="22">
        <f t="shared" si="10"/>
        <v>14104.179379931951</v>
      </c>
      <c r="I28" s="5">
        <f t="shared" si="4"/>
        <v>35941.129068245617</v>
      </c>
      <c r="J28" s="25">
        <f t="shared" si="5"/>
        <v>0.13836459592207281</v>
      </c>
      <c r="L28" s="22">
        <f t="shared" si="11"/>
        <v>34416.890543914044</v>
      </c>
      <c r="M28" s="5">
        <f>scrimecost*Meta!O25</f>
        <v>16559.957999999999</v>
      </c>
      <c r="N28" s="5">
        <f>L28-Grade13!L28</f>
        <v>397.76499560337834</v>
      </c>
      <c r="O28" s="5">
        <f>Grade13!M28-M28</f>
        <v>129.06599999999889</v>
      </c>
      <c r="P28" s="22">
        <f t="shared" si="12"/>
        <v>33.948237459007402</v>
      </c>
      <c r="Q28" s="22"/>
      <c r="R28" s="22"/>
      <c r="S28" s="22">
        <f t="shared" si="6"/>
        <v>192.31709720190304</v>
      </c>
      <c r="T28" s="22">
        <f t="shared" si="7"/>
        <v>381.00772222988525</v>
      </c>
    </row>
    <row r="29" spans="1:20" x14ac:dyDescent="0.2">
      <c r="A29" s="5">
        <v>38</v>
      </c>
      <c r="B29" s="1">
        <f t="shared" si="8"/>
        <v>1.559658717706504</v>
      </c>
      <c r="C29" s="5">
        <f t="shared" si="9"/>
        <v>31765.384289979771</v>
      </c>
      <c r="D29" s="5">
        <f t="shared" si="0"/>
        <v>30552.98046823129</v>
      </c>
      <c r="E29" s="5">
        <f t="shared" si="1"/>
        <v>21052.98046823129</v>
      </c>
      <c r="F29" s="5">
        <f t="shared" si="2"/>
        <v>7175.5481228775161</v>
      </c>
      <c r="G29" s="5">
        <f t="shared" si="3"/>
        <v>23377.432345353773</v>
      </c>
      <c r="H29" s="22">
        <f t="shared" si="10"/>
        <v>14456.783864430252</v>
      </c>
      <c r="I29" s="5">
        <f t="shared" si="4"/>
        <v>36749.957419951752</v>
      </c>
      <c r="J29" s="25">
        <f t="shared" si="5"/>
        <v>0.14046256842552374</v>
      </c>
      <c r="L29" s="22">
        <f t="shared" si="11"/>
        <v>35277.312807511902</v>
      </c>
      <c r="M29" s="5">
        <f>scrimecost*Meta!O26</f>
        <v>16559.957999999999</v>
      </c>
      <c r="N29" s="5">
        <f>L29-Grade13!L29</f>
        <v>407.7091204934768</v>
      </c>
      <c r="O29" s="5">
        <f>Grade13!M29-M29</f>
        <v>129.06599999999889</v>
      </c>
      <c r="P29" s="22">
        <f t="shared" si="12"/>
        <v>34.527425892279993</v>
      </c>
      <c r="Q29" s="22"/>
      <c r="R29" s="22"/>
      <c r="S29" s="22">
        <f t="shared" si="6"/>
        <v>195.38742938286285</v>
      </c>
      <c r="T29" s="22">
        <f t="shared" si="7"/>
        <v>402.07570188495515</v>
      </c>
    </row>
    <row r="30" spans="1:20" x14ac:dyDescent="0.2">
      <c r="A30" s="5">
        <v>39</v>
      </c>
      <c r="B30" s="1">
        <f t="shared" si="8"/>
        <v>1.5986501856491666</v>
      </c>
      <c r="C30" s="5">
        <f t="shared" si="9"/>
        <v>32559.518897229264</v>
      </c>
      <c r="D30" s="5">
        <f t="shared" si="0"/>
        <v>31287.554979937071</v>
      </c>
      <c r="E30" s="5">
        <f t="shared" si="1"/>
        <v>21787.554979937071</v>
      </c>
      <c r="F30" s="5">
        <f t="shared" si="2"/>
        <v>7415.3867009494534</v>
      </c>
      <c r="G30" s="5">
        <f t="shared" si="3"/>
        <v>23872.168278987618</v>
      </c>
      <c r="H30" s="22">
        <f t="shared" si="10"/>
        <v>14818.203461041006</v>
      </c>
      <c r="I30" s="5">
        <f t="shared" si="4"/>
        <v>37579.006480450553</v>
      </c>
      <c r="J30" s="25">
        <f t="shared" si="5"/>
        <v>0.14250937086791488</v>
      </c>
      <c r="L30" s="22">
        <f t="shared" si="11"/>
        <v>36159.245627699696</v>
      </c>
      <c r="M30" s="5">
        <f>scrimecost*Meta!O27</f>
        <v>16559.957999999999</v>
      </c>
      <c r="N30" s="5">
        <f>L30-Grade13!L30</f>
        <v>417.90184850581136</v>
      </c>
      <c r="O30" s="5">
        <f>Grade13!M30-M30</f>
        <v>129.06599999999889</v>
      </c>
      <c r="P30" s="22">
        <f t="shared" si="12"/>
        <v>35.121094036384385</v>
      </c>
      <c r="Q30" s="22"/>
      <c r="R30" s="22"/>
      <c r="S30" s="22">
        <f t="shared" si="6"/>
        <v>198.53451986834207</v>
      </c>
      <c r="T30" s="22">
        <f t="shared" si="7"/>
        <v>424.36793981422147</v>
      </c>
    </row>
    <row r="31" spans="1:20" x14ac:dyDescent="0.2">
      <c r="A31" s="5">
        <v>40</v>
      </c>
      <c r="B31" s="1">
        <f t="shared" si="8"/>
        <v>1.6386164402903955</v>
      </c>
      <c r="C31" s="5">
        <f t="shared" si="9"/>
        <v>33373.506869659992</v>
      </c>
      <c r="D31" s="5">
        <f t="shared" si="0"/>
        <v>32040.493854435495</v>
      </c>
      <c r="E31" s="5">
        <f t="shared" si="1"/>
        <v>22540.493854435495</v>
      </c>
      <c r="F31" s="5">
        <f t="shared" si="2"/>
        <v>7661.2212434731891</v>
      </c>
      <c r="G31" s="5">
        <f t="shared" si="3"/>
        <v>24379.272610962307</v>
      </c>
      <c r="H31" s="22">
        <f t="shared" si="10"/>
        <v>15188.658547567031</v>
      </c>
      <c r="I31" s="5">
        <f t="shared" si="4"/>
        <v>38428.781767461813</v>
      </c>
      <c r="J31" s="25">
        <f t="shared" si="5"/>
        <v>0.14450625129951603</v>
      </c>
      <c r="L31" s="22">
        <f t="shared" si="11"/>
        <v>37063.226768392189</v>
      </c>
      <c r="M31" s="5">
        <f>scrimecost*Meta!O28</f>
        <v>14485.248</v>
      </c>
      <c r="N31" s="5">
        <f>L31-Grade13!L31</f>
        <v>428.34939471845428</v>
      </c>
      <c r="O31" s="5">
        <f>Grade13!M31-M31</f>
        <v>112.89599999999882</v>
      </c>
      <c r="P31" s="22">
        <f t="shared" si="12"/>
        <v>35.729603884091404</v>
      </c>
      <c r="Q31" s="22"/>
      <c r="R31" s="22"/>
      <c r="S31" s="22">
        <f t="shared" si="6"/>
        <v>193.72379761595823</v>
      </c>
      <c r="T31" s="22">
        <f t="shared" si="7"/>
        <v>430.11524633095598</v>
      </c>
    </row>
    <row r="32" spans="1:20" x14ac:dyDescent="0.2">
      <c r="A32" s="5">
        <v>41</v>
      </c>
      <c r="B32" s="1">
        <f t="shared" si="8"/>
        <v>1.6795818512976552</v>
      </c>
      <c r="C32" s="5">
        <f t="shared" si="9"/>
        <v>34207.844541401486</v>
      </c>
      <c r="D32" s="5">
        <f t="shared" si="0"/>
        <v>32812.256200796372</v>
      </c>
      <c r="E32" s="5">
        <f t="shared" si="1"/>
        <v>23312.256200796372</v>
      </c>
      <c r="F32" s="5">
        <f t="shared" si="2"/>
        <v>7913.2016495600146</v>
      </c>
      <c r="G32" s="5">
        <f t="shared" si="3"/>
        <v>24899.054551236357</v>
      </c>
      <c r="H32" s="22">
        <f t="shared" si="10"/>
        <v>15568.375011256205</v>
      </c>
      <c r="I32" s="5">
        <f t="shared" si="4"/>
        <v>39299.801436648348</v>
      </c>
      <c r="J32" s="25">
        <f t="shared" si="5"/>
        <v>0.14645442733034633</v>
      </c>
      <c r="L32" s="22">
        <f t="shared" si="11"/>
        <v>37989.807437601979</v>
      </c>
      <c r="M32" s="5">
        <f>scrimecost*Meta!O29</f>
        <v>14485.248</v>
      </c>
      <c r="N32" s="5">
        <f>L32-Grade13!L32</f>
        <v>439.05812958640308</v>
      </c>
      <c r="O32" s="5">
        <f>Grade13!M32-M32</f>
        <v>112.89599999999882</v>
      </c>
      <c r="P32" s="22">
        <f t="shared" si="12"/>
        <v>36.353326477991075</v>
      </c>
      <c r="Q32" s="22"/>
      <c r="R32" s="22"/>
      <c r="S32" s="22">
        <f t="shared" si="6"/>
        <v>197.030209557262</v>
      </c>
      <c r="T32" s="22">
        <f t="shared" si="7"/>
        <v>454.39130184454592</v>
      </c>
    </row>
    <row r="33" spans="1:20" x14ac:dyDescent="0.2">
      <c r="A33" s="5">
        <v>42</v>
      </c>
      <c r="B33" s="1">
        <f t="shared" si="8"/>
        <v>1.7215713975800966</v>
      </c>
      <c r="C33" s="5">
        <f t="shared" si="9"/>
        <v>35063.040654936522</v>
      </c>
      <c r="D33" s="5">
        <f t="shared" si="0"/>
        <v>33603.312605816289</v>
      </c>
      <c r="E33" s="5">
        <f t="shared" si="1"/>
        <v>24103.312605816289</v>
      </c>
      <c r="F33" s="5">
        <f t="shared" si="2"/>
        <v>8171.4815657990184</v>
      </c>
      <c r="G33" s="5">
        <f t="shared" si="3"/>
        <v>25431.83104001727</v>
      </c>
      <c r="H33" s="22">
        <f t="shared" si="10"/>
        <v>15957.58438653761</v>
      </c>
      <c r="I33" s="5">
        <f t="shared" si="4"/>
        <v>40192.596597564559</v>
      </c>
      <c r="J33" s="25">
        <f t="shared" si="5"/>
        <v>0.14835508687261995</v>
      </c>
      <c r="L33" s="22">
        <f t="shared" si="11"/>
        <v>38939.552623542033</v>
      </c>
      <c r="M33" s="5">
        <f>scrimecost*Meta!O30</f>
        <v>14485.248</v>
      </c>
      <c r="N33" s="5">
        <f>L33-Grade13!L33</f>
        <v>450.03458282607608</v>
      </c>
      <c r="O33" s="5">
        <f>Grade13!M33-M33</f>
        <v>112.89599999999882</v>
      </c>
      <c r="P33" s="22">
        <f t="shared" si="12"/>
        <v>36.992642136738262</v>
      </c>
      <c r="Q33" s="22"/>
      <c r="R33" s="22"/>
      <c r="S33" s="22">
        <f t="shared" si="6"/>
        <v>200.41928179710547</v>
      </c>
      <c r="T33" s="22">
        <f t="shared" si="7"/>
        <v>480.1003453889719</v>
      </c>
    </row>
    <row r="34" spans="1:20" x14ac:dyDescent="0.2">
      <c r="A34" s="5">
        <v>43</v>
      </c>
      <c r="B34" s="1">
        <f t="shared" si="8"/>
        <v>1.7646106825195991</v>
      </c>
      <c r="C34" s="5">
        <f t="shared" si="9"/>
        <v>35939.616671309937</v>
      </c>
      <c r="D34" s="5">
        <f t="shared" si="0"/>
        <v>34414.145420961693</v>
      </c>
      <c r="E34" s="5">
        <f t="shared" si="1"/>
        <v>24914.145420961693</v>
      </c>
      <c r="F34" s="5">
        <f t="shared" si="2"/>
        <v>8436.2184799439929</v>
      </c>
      <c r="G34" s="5">
        <f t="shared" si="3"/>
        <v>25977.9269410177</v>
      </c>
      <c r="H34" s="22">
        <f t="shared" si="10"/>
        <v>16356.523996201051</v>
      </c>
      <c r="I34" s="5">
        <f t="shared" si="4"/>
        <v>41107.711637503671</v>
      </c>
      <c r="J34" s="25">
        <f t="shared" si="5"/>
        <v>0.15020938886508187</v>
      </c>
      <c r="L34" s="22">
        <f t="shared" si="11"/>
        <v>39913.041439130589</v>
      </c>
      <c r="M34" s="5">
        <f>scrimecost*Meta!O31</f>
        <v>14485.248</v>
      </c>
      <c r="N34" s="5">
        <f>L34-Grade13!L34</f>
        <v>461.28544739673089</v>
      </c>
      <c r="O34" s="5">
        <f>Grade13!M34-M34</f>
        <v>112.89599999999882</v>
      </c>
      <c r="P34" s="22">
        <f t="shared" si="12"/>
        <v>37.647940686954122</v>
      </c>
      <c r="Q34" s="22"/>
      <c r="R34" s="22"/>
      <c r="S34" s="22">
        <f t="shared" si="6"/>
        <v>203.89308084294228</v>
      </c>
      <c r="T34" s="22">
        <f t="shared" si="7"/>
        <v>507.32975189567594</v>
      </c>
    </row>
    <row r="35" spans="1:20" x14ac:dyDescent="0.2">
      <c r="A35" s="5">
        <v>44</v>
      </c>
      <c r="B35" s="1">
        <f t="shared" si="8"/>
        <v>1.8087259495825889</v>
      </c>
      <c r="C35" s="5">
        <f t="shared" si="9"/>
        <v>36838.107088092685</v>
      </c>
      <c r="D35" s="5">
        <f t="shared" si="0"/>
        <v>35245.249056485736</v>
      </c>
      <c r="E35" s="5">
        <f t="shared" si="1"/>
        <v>25745.249056485736</v>
      </c>
      <c r="F35" s="5">
        <f t="shared" si="2"/>
        <v>8707.5738169425931</v>
      </c>
      <c r="G35" s="5">
        <f t="shared" si="3"/>
        <v>26537.675239543143</v>
      </c>
      <c r="H35" s="22">
        <f t="shared" si="10"/>
        <v>16765.437096106074</v>
      </c>
      <c r="I35" s="5">
        <f t="shared" si="4"/>
        <v>42045.704553441261</v>
      </c>
      <c r="J35" s="25">
        <f t="shared" si="5"/>
        <v>0.15201846397967894</v>
      </c>
      <c r="L35" s="22">
        <f t="shared" si="11"/>
        <v>40910.867475108847</v>
      </c>
      <c r="M35" s="5">
        <f>scrimecost*Meta!O32</f>
        <v>14485.248</v>
      </c>
      <c r="N35" s="5">
        <f>L35-Grade13!L35</f>
        <v>472.81758358165098</v>
      </c>
      <c r="O35" s="5">
        <f>Grade13!M35-M35</f>
        <v>112.89599999999882</v>
      </c>
      <c r="P35" s="22">
        <f t="shared" si="12"/>
        <v>38.319621700925374</v>
      </c>
      <c r="Q35" s="22"/>
      <c r="R35" s="22"/>
      <c r="S35" s="22">
        <f t="shared" si="6"/>
        <v>207.45372486492465</v>
      </c>
      <c r="T35" s="22">
        <f t="shared" si="7"/>
        <v>536.17234212281642</v>
      </c>
    </row>
    <row r="36" spans="1:20" x14ac:dyDescent="0.2">
      <c r="A36" s="5">
        <v>45</v>
      </c>
      <c r="B36" s="1">
        <f t="shared" si="8"/>
        <v>1.8539440983221533</v>
      </c>
      <c r="C36" s="5">
        <f t="shared" si="9"/>
        <v>37759.059765294995</v>
      </c>
      <c r="D36" s="5">
        <f t="shared" si="0"/>
        <v>36097.130282897873</v>
      </c>
      <c r="E36" s="5">
        <f t="shared" si="1"/>
        <v>26597.130282897873</v>
      </c>
      <c r="F36" s="5">
        <f t="shared" si="2"/>
        <v>8985.7130373661566</v>
      </c>
      <c r="G36" s="5">
        <f t="shared" si="3"/>
        <v>27111.417245531717</v>
      </c>
      <c r="H36" s="22">
        <f t="shared" si="10"/>
        <v>17184.573023508725</v>
      </c>
      <c r="I36" s="5">
        <f t="shared" si="4"/>
        <v>43007.147292277288</v>
      </c>
      <c r="J36" s="25">
        <f t="shared" si="5"/>
        <v>0.15378341531099315</v>
      </c>
      <c r="L36" s="22">
        <f t="shared" si="11"/>
        <v>41933.639161986561</v>
      </c>
      <c r="M36" s="5">
        <f>scrimecost*Meta!O33</f>
        <v>11706.394</v>
      </c>
      <c r="N36" s="5">
        <f>L36-Grade13!L36</f>
        <v>484.63802317118825</v>
      </c>
      <c r="O36" s="5">
        <f>Grade13!M36-M36</f>
        <v>91.238000000001193</v>
      </c>
      <c r="P36" s="22">
        <f t="shared" si="12"/>
        <v>39.008094740245909</v>
      </c>
      <c r="Q36" s="22"/>
      <c r="R36" s="22"/>
      <c r="S36" s="22">
        <f t="shared" si="6"/>
        <v>200.33935898745614</v>
      </c>
      <c r="T36" s="22">
        <f t="shared" si="7"/>
        <v>537.82969515903881</v>
      </c>
    </row>
    <row r="37" spans="1:20" x14ac:dyDescent="0.2">
      <c r="A37" s="5">
        <v>46</v>
      </c>
      <c r="B37" s="1">
        <f t="shared" ref="B37:B56" si="13">(1+experiencepremium)^(A37-startage)</f>
        <v>1.9002927007802071</v>
      </c>
      <c r="C37" s="5">
        <f t="shared" ref="C37:C56" si="14">pretaxincome*B37/expnorm</f>
        <v>38703.036259427368</v>
      </c>
      <c r="D37" s="5">
        <f t="shared" ref="D37:D56" si="15">IF(A37&lt;startage,1,0)*(C37*(1-initialunempprob))+IF(A37=startage,1,0)*(C37*(1-unempprob))+IF(A37&gt;startage,1,0)*(C37*(1-unempprob)+unempprob*300*52)</f>
        <v>36970.30853997032</v>
      </c>
      <c r="E37" s="5">
        <f t="shared" si="1"/>
        <v>27470.30853997032</v>
      </c>
      <c r="F37" s="5">
        <f t="shared" si="2"/>
        <v>9270.8057383003088</v>
      </c>
      <c r="G37" s="5">
        <f t="shared" si="3"/>
        <v>27699.502801670009</v>
      </c>
      <c r="H37" s="22">
        <f t="shared" ref="H37:H56" si="16">benefits*B37/expnorm</f>
        <v>17614.187349096443</v>
      </c>
      <c r="I37" s="5">
        <f t="shared" ref="I37:I56" si="17">G37+IF(A37&lt;startage,1,0)*(H37*(1-initialunempprob))+IF(A37&gt;=startage,1,0)*(H37*(1-unempprob))</f>
        <v>43992.626099584217</v>
      </c>
      <c r="J37" s="25">
        <f t="shared" si="5"/>
        <v>0.15550531904886064</v>
      </c>
      <c r="L37" s="22">
        <f t="shared" ref="L37:L56" si="18">(sincome+sbenefits)*(1-sunemp)*B37/expnorm</f>
        <v>42981.980141036227</v>
      </c>
      <c r="M37" s="5">
        <f>scrimecost*Meta!O34</f>
        <v>11706.394</v>
      </c>
      <c r="N37" s="5">
        <f>L37-Grade13!L37</f>
        <v>496.75397375047032</v>
      </c>
      <c r="O37" s="5">
        <f>Grade13!M37-M37</f>
        <v>91.238000000001193</v>
      </c>
      <c r="P37" s="22">
        <f t="shared" si="12"/>
        <v>39.713779605549455</v>
      </c>
      <c r="Q37" s="22"/>
      <c r="R37" s="22"/>
      <c r="S37" s="22">
        <f t="shared" si="6"/>
        <v>204.08026061305151</v>
      </c>
      <c r="T37" s="22">
        <f t="shared" si="7"/>
        <v>569.08196757048711</v>
      </c>
    </row>
    <row r="38" spans="1:20" x14ac:dyDescent="0.2">
      <c r="A38" s="5">
        <v>47</v>
      </c>
      <c r="B38" s="1">
        <f t="shared" si="13"/>
        <v>1.9478000182997122</v>
      </c>
      <c r="C38" s="5">
        <f t="shared" si="14"/>
        <v>39670.612165913051</v>
      </c>
      <c r="D38" s="5">
        <f t="shared" si="15"/>
        <v>37865.316253469573</v>
      </c>
      <c r="E38" s="5">
        <f t="shared" si="1"/>
        <v>28365.316253469573</v>
      </c>
      <c r="F38" s="5">
        <f t="shared" si="2"/>
        <v>9563.0257567578155</v>
      </c>
      <c r="G38" s="5">
        <f t="shared" si="3"/>
        <v>28302.290496711757</v>
      </c>
      <c r="H38" s="22">
        <f t="shared" si="16"/>
        <v>18054.542032823854</v>
      </c>
      <c r="I38" s="5">
        <f t="shared" si="17"/>
        <v>45002.741877073822</v>
      </c>
      <c r="J38" s="25">
        <f t="shared" si="5"/>
        <v>0.15718522513458505</v>
      </c>
      <c r="L38" s="22">
        <f t="shared" si="18"/>
        <v>44056.529644562128</v>
      </c>
      <c r="M38" s="5">
        <f>scrimecost*Meta!O35</f>
        <v>11706.394</v>
      </c>
      <c r="N38" s="5">
        <f>L38-Grade13!L38</f>
        <v>509.17282309423172</v>
      </c>
      <c r="O38" s="5">
        <f>Grade13!M38-M38</f>
        <v>91.238000000001193</v>
      </c>
      <c r="P38" s="22">
        <f t="shared" si="12"/>
        <v>40.437106592485591</v>
      </c>
      <c r="Q38" s="22"/>
      <c r="R38" s="22"/>
      <c r="S38" s="22">
        <f t="shared" si="6"/>
        <v>207.91468477928598</v>
      </c>
      <c r="T38" s="22">
        <f t="shared" si="7"/>
        <v>602.21880833267426</v>
      </c>
    </row>
    <row r="39" spans="1:20" x14ac:dyDescent="0.2">
      <c r="A39" s="5">
        <v>48</v>
      </c>
      <c r="B39" s="1">
        <f t="shared" si="13"/>
        <v>1.9964950187572048</v>
      </c>
      <c r="C39" s="5">
        <f t="shared" si="14"/>
        <v>40662.37747006087</v>
      </c>
      <c r="D39" s="5">
        <f t="shared" si="15"/>
        <v>38782.699159806303</v>
      </c>
      <c r="E39" s="5">
        <f t="shared" si="1"/>
        <v>29282.699159806303</v>
      </c>
      <c r="F39" s="5">
        <f t="shared" si="2"/>
        <v>9862.5512756767585</v>
      </c>
      <c r="G39" s="5">
        <f t="shared" si="3"/>
        <v>28920.147884129547</v>
      </c>
      <c r="H39" s="22">
        <f t="shared" si="16"/>
        <v>18505.905583644446</v>
      </c>
      <c r="I39" s="5">
        <f t="shared" si="17"/>
        <v>46038.110549000659</v>
      </c>
      <c r="J39" s="25">
        <f t="shared" si="5"/>
        <v>0.1588241579011454</v>
      </c>
      <c r="L39" s="22">
        <f t="shared" si="18"/>
        <v>45157.942885676181</v>
      </c>
      <c r="M39" s="5">
        <f>scrimecost*Meta!O36</f>
        <v>11706.394</v>
      </c>
      <c r="N39" s="5">
        <f>L39-Grade13!L39</f>
        <v>521.90214367157751</v>
      </c>
      <c r="O39" s="5">
        <f>Grade13!M39-M39</f>
        <v>91.238000000001193</v>
      </c>
      <c r="P39" s="22">
        <f t="shared" si="12"/>
        <v>41.178516754095135</v>
      </c>
      <c r="Q39" s="22"/>
      <c r="R39" s="22"/>
      <c r="S39" s="22">
        <f t="shared" si="6"/>
        <v>211.84496954967364</v>
      </c>
      <c r="T39" s="22">
        <f t="shared" si="7"/>
        <v>637.35681451769676</v>
      </c>
    </row>
    <row r="40" spans="1:20" x14ac:dyDescent="0.2">
      <c r="A40" s="5">
        <v>49</v>
      </c>
      <c r="B40" s="1">
        <f t="shared" si="13"/>
        <v>2.0464073942261352</v>
      </c>
      <c r="C40" s="5">
        <f t="shared" si="14"/>
        <v>41678.9369068124</v>
      </c>
      <c r="D40" s="5">
        <f t="shared" si="15"/>
        <v>39723.01663880147</v>
      </c>
      <c r="E40" s="5">
        <f t="shared" si="1"/>
        <v>30223.01663880147</v>
      </c>
      <c r="F40" s="5">
        <f t="shared" si="2"/>
        <v>10169.564932568679</v>
      </c>
      <c r="G40" s="5">
        <f t="shared" si="3"/>
        <v>29553.45170623279</v>
      </c>
      <c r="H40" s="22">
        <f t="shared" si="16"/>
        <v>18968.553223235562</v>
      </c>
      <c r="I40" s="5">
        <f t="shared" si="17"/>
        <v>47099.363437725682</v>
      </c>
      <c r="J40" s="25">
        <f t="shared" si="5"/>
        <v>0.16042311669778972</v>
      </c>
      <c r="L40" s="22">
        <f t="shared" si="18"/>
        <v>46286.891457818092</v>
      </c>
      <c r="M40" s="5">
        <f>scrimecost*Meta!O37</f>
        <v>11706.394</v>
      </c>
      <c r="N40" s="5">
        <f>L40-Grade13!L40</f>
        <v>534.94969726338604</v>
      </c>
      <c r="O40" s="5">
        <f>Grade13!M40-M40</f>
        <v>91.238000000001193</v>
      </c>
      <c r="P40" s="22">
        <f t="shared" si="12"/>
        <v>41.938462169744916</v>
      </c>
      <c r="Q40" s="22"/>
      <c r="R40" s="22"/>
      <c r="S40" s="22">
        <f t="shared" si="6"/>
        <v>215.87351143932912</v>
      </c>
      <c r="T40" s="22">
        <f t="shared" si="7"/>
        <v>674.61991965429866</v>
      </c>
    </row>
    <row r="41" spans="1:20" x14ac:dyDescent="0.2">
      <c r="A41" s="5">
        <v>50</v>
      </c>
      <c r="B41" s="1">
        <f t="shared" si="13"/>
        <v>2.097567579081788</v>
      </c>
      <c r="C41" s="5">
        <f t="shared" si="14"/>
        <v>42720.9103294827</v>
      </c>
      <c r="D41" s="5">
        <f t="shared" si="15"/>
        <v>40686.8420547715</v>
      </c>
      <c r="E41" s="5">
        <f t="shared" si="1"/>
        <v>31186.8420547715</v>
      </c>
      <c r="F41" s="5">
        <f t="shared" si="2"/>
        <v>10484.253930882895</v>
      </c>
      <c r="G41" s="5">
        <f t="shared" si="3"/>
        <v>30202.588123888607</v>
      </c>
      <c r="H41" s="22">
        <f t="shared" si="16"/>
        <v>19442.767053816446</v>
      </c>
      <c r="I41" s="5">
        <f t="shared" si="17"/>
        <v>48187.147648668819</v>
      </c>
      <c r="J41" s="25">
        <f t="shared" si="5"/>
        <v>0.16198307649939392</v>
      </c>
      <c r="L41" s="22">
        <f t="shared" si="18"/>
        <v>47444.063744263527</v>
      </c>
      <c r="M41" s="5">
        <f>scrimecost*Meta!O38</f>
        <v>7821.0280000000002</v>
      </c>
      <c r="N41" s="5">
        <f>L41-Grade13!L41</f>
        <v>548.32343969493377</v>
      </c>
      <c r="O41" s="5">
        <f>Grade13!M41-M41</f>
        <v>60.956000000000131</v>
      </c>
      <c r="P41" s="22">
        <f t="shared" si="12"/>
        <v>42.717406220785932</v>
      </c>
      <c r="Q41" s="22"/>
      <c r="R41" s="22"/>
      <c r="S41" s="22">
        <f t="shared" si="6"/>
        <v>204.95261287620974</v>
      </c>
      <c r="T41" s="22">
        <f t="shared" si="7"/>
        <v>665.28631620574754</v>
      </c>
    </row>
    <row r="42" spans="1:20" x14ac:dyDescent="0.2">
      <c r="A42" s="5">
        <v>51</v>
      </c>
      <c r="B42" s="1">
        <f t="shared" si="13"/>
        <v>2.1500067685588333</v>
      </c>
      <c r="C42" s="5">
        <f t="shared" si="14"/>
        <v>43788.933087719779</v>
      </c>
      <c r="D42" s="5">
        <f t="shared" si="15"/>
        <v>41674.763106140796</v>
      </c>
      <c r="E42" s="5">
        <f t="shared" si="1"/>
        <v>32174.763106140796</v>
      </c>
      <c r="F42" s="5">
        <f t="shared" si="2"/>
        <v>10806.810154154969</v>
      </c>
      <c r="G42" s="5">
        <f t="shared" si="3"/>
        <v>30867.952951985826</v>
      </c>
      <c r="H42" s="22">
        <f t="shared" si="16"/>
        <v>19928.836230161858</v>
      </c>
      <c r="I42" s="5">
        <f t="shared" si="17"/>
        <v>49302.126464885543</v>
      </c>
      <c r="J42" s="25">
        <f t="shared" si="5"/>
        <v>0.16350498850095896</v>
      </c>
      <c r="L42" s="22">
        <f t="shared" si="18"/>
        <v>48630.16533787013</v>
      </c>
      <c r="M42" s="5">
        <f>scrimecost*Meta!O39</f>
        <v>7821.0280000000002</v>
      </c>
      <c r="N42" s="5">
        <f>L42-Grade13!L42</f>
        <v>562.0315256873364</v>
      </c>
      <c r="O42" s="5">
        <f>Grade13!M42-M42</f>
        <v>60.956000000000131</v>
      </c>
      <c r="P42" s="22">
        <f t="shared" si="12"/>
        <v>43.515823873102995</v>
      </c>
      <c r="Q42" s="22"/>
      <c r="R42" s="22"/>
      <c r="S42" s="22">
        <f t="shared" ref="S42:S69" si="19">IF(A42&lt;startage,1,0)*(N42-Q42-R42)+IF(A42&gt;=startage,1,0)*completionprob*(N42*spart+O42+P42)</f>
        <v>209.18509969903153</v>
      </c>
      <c r="T42" s="22">
        <f t="shared" ref="T42:T69" si="20">S42/sreturn^(A42-startage+1)</f>
        <v>705.31188927224753</v>
      </c>
    </row>
    <row r="43" spans="1:20" x14ac:dyDescent="0.2">
      <c r="A43" s="5">
        <v>52</v>
      </c>
      <c r="B43" s="1">
        <f t="shared" si="13"/>
        <v>2.2037569377728037</v>
      </c>
      <c r="C43" s="5">
        <f t="shared" si="14"/>
        <v>44883.656414912759</v>
      </c>
      <c r="D43" s="5">
        <f t="shared" si="15"/>
        <v>42687.382183794303</v>
      </c>
      <c r="E43" s="5">
        <f t="shared" si="1"/>
        <v>33187.382183794303</v>
      </c>
      <c r="F43" s="5">
        <f t="shared" si="2"/>
        <v>11137.43028300884</v>
      </c>
      <c r="G43" s="5">
        <f t="shared" si="3"/>
        <v>31549.951900785461</v>
      </c>
      <c r="H43" s="22">
        <f t="shared" si="16"/>
        <v>20427.0571359159</v>
      </c>
      <c r="I43" s="5">
        <f t="shared" si="17"/>
        <v>50444.979751507672</v>
      </c>
      <c r="J43" s="25">
        <f t="shared" si="5"/>
        <v>0.16498978069760778</v>
      </c>
      <c r="L43" s="22">
        <f t="shared" si="18"/>
        <v>49845.919471316869</v>
      </c>
      <c r="M43" s="5">
        <f>scrimecost*Meta!O40</f>
        <v>7821.0280000000002</v>
      </c>
      <c r="N43" s="5">
        <f>L43-Grade13!L43</f>
        <v>576.08231382951635</v>
      </c>
      <c r="O43" s="5">
        <f>Grade13!M43-M43</f>
        <v>60.956000000000131</v>
      </c>
      <c r="P43" s="22">
        <f t="shared" si="12"/>
        <v>44.33420196672796</v>
      </c>
      <c r="Q43" s="22"/>
      <c r="R43" s="22"/>
      <c r="S43" s="22">
        <f t="shared" si="19"/>
        <v>213.52339869241464</v>
      </c>
      <c r="T43" s="22">
        <f t="shared" si="20"/>
        <v>747.80998328803707</v>
      </c>
    </row>
    <row r="44" spans="1:20" x14ac:dyDescent="0.2">
      <c r="A44" s="5">
        <v>53</v>
      </c>
      <c r="B44" s="1">
        <f t="shared" si="13"/>
        <v>2.2588508612171236</v>
      </c>
      <c r="C44" s="5">
        <f t="shared" si="14"/>
        <v>46005.74782528558</v>
      </c>
      <c r="D44" s="5">
        <f t="shared" si="15"/>
        <v>43725.316738389163</v>
      </c>
      <c r="E44" s="5">
        <f t="shared" si="1"/>
        <v>34225.316738389163</v>
      </c>
      <c r="F44" s="5">
        <f t="shared" si="2"/>
        <v>11476.315915084062</v>
      </c>
      <c r="G44" s="5">
        <f t="shared" si="3"/>
        <v>32249.000823305101</v>
      </c>
      <c r="H44" s="22">
        <f t="shared" si="16"/>
        <v>20937.733564313799</v>
      </c>
      <c r="I44" s="5">
        <f t="shared" si="17"/>
        <v>51616.404370295364</v>
      </c>
      <c r="J44" s="25">
        <f t="shared" si="5"/>
        <v>0.16643835845043592</v>
      </c>
      <c r="L44" s="22">
        <f t="shared" si="18"/>
        <v>51092.067458099795</v>
      </c>
      <c r="M44" s="5">
        <f>scrimecost*Meta!O41</f>
        <v>7821.0280000000002</v>
      </c>
      <c r="N44" s="5">
        <f>L44-Grade13!L44</f>
        <v>590.48437167525117</v>
      </c>
      <c r="O44" s="5">
        <f>Grade13!M44-M44</f>
        <v>60.956000000000131</v>
      </c>
      <c r="P44" s="22">
        <f t="shared" si="12"/>
        <v>45.17303951269357</v>
      </c>
      <c r="Q44" s="22"/>
      <c r="R44" s="22"/>
      <c r="S44" s="22">
        <f t="shared" si="19"/>
        <v>217.97015516063246</v>
      </c>
      <c r="T44" s="22">
        <f t="shared" si="20"/>
        <v>792.9360175889268</v>
      </c>
    </row>
    <row r="45" spans="1:20" x14ac:dyDescent="0.2">
      <c r="A45" s="5">
        <v>54</v>
      </c>
      <c r="B45" s="1">
        <f t="shared" si="13"/>
        <v>2.3153221327475517</v>
      </c>
      <c r="C45" s="5">
        <f t="shared" si="14"/>
        <v>47155.891520917721</v>
      </c>
      <c r="D45" s="5">
        <f t="shared" si="15"/>
        <v>44789.199656848898</v>
      </c>
      <c r="E45" s="5">
        <f t="shared" si="1"/>
        <v>35289.199656848898</v>
      </c>
      <c r="F45" s="5">
        <f t="shared" si="2"/>
        <v>11902.593653646056</v>
      </c>
      <c r="G45" s="5">
        <f t="shared" si="3"/>
        <v>32886.60600320284</v>
      </c>
      <c r="H45" s="22">
        <f t="shared" si="16"/>
        <v>21461.176903421645</v>
      </c>
      <c r="I45" s="5">
        <f t="shared" si="17"/>
        <v>52738.194638867863</v>
      </c>
      <c r="J45" s="25">
        <f t="shared" si="5"/>
        <v>0.16909501114407802</v>
      </c>
      <c r="L45" s="22">
        <f t="shared" si="18"/>
        <v>52369.369144552285</v>
      </c>
      <c r="M45" s="5">
        <f>scrimecost*Meta!O42</f>
        <v>7821.0280000000002</v>
      </c>
      <c r="N45" s="5">
        <f>L45-Grade13!L45</f>
        <v>605.24648096713645</v>
      </c>
      <c r="O45" s="5">
        <f>Grade13!M45-M45</f>
        <v>60.956000000000131</v>
      </c>
      <c r="P45" s="22">
        <f t="shared" si="12"/>
        <v>46.228197177317547</v>
      </c>
      <c r="Q45" s="22"/>
      <c r="R45" s="22"/>
      <c r="S45" s="22">
        <f t="shared" si="19"/>
        <v>222.62516908302229</v>
      </c>
      <c r="T45" s="22">
        <f t="shared" si="20"/>
        <v>841.22215314124389</v>
      </c>
    </row>
    <row r="46" spans="1:20" x14ac:dyDescent="0.2">
      <c r="A46" s="5">
        <v>55</v>
      </c>
      <c r="B46" s="1">
        <f t="shared" si="13"/>
        <v>2.3732051860662402</v>
      </c>
      <c r="C46" s="5">
        <f t="shared" si="14"/>
        <v>48334.788808940655</v>
      </c>
      <c r="D46" s="5">
        <f t="shared" si="15"/>
        <v>45879.67964827011</v>
      </c>
      <c r="E46" s="5">
        <f t="shared" si="1"/>
        <v>36379.67964827011</v>
      </c>
      <c r="F46" s="5">
        <f t="shared" si="2"/>
        <v>12367.683369987204</v>
      </c>
      <c r="G46" s="5">
        <f t="shared" si="3"/>
        <v>33511.99627828291</v>
      </c>
      <c r="H46" s="22">
        <f t="shared" si="16"/>
        <v>21997.706326007185</v>
      </c>
      <c r="I46" s="5">
        <f t="shared" si="17"/>
        <v>53859.874629839556</v>
      </c>
      <c r="J46" s="25">
        <f t="shared" si="5"/>
        <v>0.17211963858245377</v>
      </c>
      <c r="L46" s="22">
        <f t="shared" si="18"/>
        <v>53678.603373166079</v>
      </c>
      <c r="M46" s="5">
        <f>scrimecost*Meta!O43</f>
        <v>4338.03</v>
      </c>
      <c r="N46" s="5">
        <f>L46-Grade13!L46</f>
        <v>620.37764299129776</v>
      </c>
      <c r="O46" s="5">
        <f>Grade13!M46-M46</f>
        <v>33.809999999999491</v>
      </c>
      <c r="P46" s="22">
        <f t="shared" si="12"/>
        <v>47.379425436598972</v>
      </c>
      <c r="Q46" s="22"/>
      <c r="R46" s="22"/>
      <c r="S46" s="22">
        <f t="shared" si="19"/>
        <v>213.93963310502744</v>
      </c>
      <c r="T46" s="22">
        <f t="shared" si="20"/>
        <v>839.69779405093016</v>
      </c>
    </row>
    <row r="47" spans="1:20" x14ac:dyDescent="0.2">
      <c r="A47" s="5">
        <v>56</v>
      </c>
      <c r="B47" s="1">
        <f t="shared" si="13"/>
        <v>2.4325353157178964</v>
      </c>
      <c r="C47" s="5">
        <f t="shared" si="14"/>
        <v>49543.158529164175</v>
      </c>
      <c r="D47" s="5">
        <f t="shared" si="15"/>
        <v>46997.421639476866</v>
      </c>
      <c r="E47" s="5">
        <f t="shared" si="1"/>
        <v>37497.421639476866</v>
      </c>
      <c r="F47" s="5">
        <f t="shared" si="2"/>
        <v>12844.400329236883</v>
      </c>
      <c r="G47" s="5">
        <f t="shared" si="3"/>
        <v>34153.021310239987</v>
      </c>
      <c r="H47" s="22">
        <f t="shared" si="16"/>
        <v>22547.648984157368</v>
      </c>
      <c r="I47" s="5">
        <f t="shared" si="17"/>
        <v>55009.596620585551</v>
      </c>
      <c r="J47" s="25">
        <f t="shared" si="5"/>
        <v>0.17507049461989349</v>
      </c>
      <c r="L47" s="22">
        <f t="shared" si="18"/>
        <v>55020.568457495239</v>
      </c>
      <c r="M47" s="5">
        <f>scrimecost*Meta!O44</f>
        <v>4338.03</v>
      </c>
      <c r="N47" s="5">
        <f>L47-Grade13!L47</f>
        <v>635.88708406609658</v>
      </c>
      <c r="O47" s="5">
        <f>Grade13!M47-M47</f>
        <v>33.809999999999491</v>
      </c>
      <c r="P47" s="22">
        <f t="shared" si="12"/>
        <v>48.559434402362449</v>
      </c>
      <c r="Q47" s="22"/>
      <c r="R47" s="22"/>
      <c r="S47" s="22">
        <f t="shared" si="19"/>
        <v>218.8658097775924</v>
      </c>
      <c r="T47" s="22">
        <f t="shared" si="20"/>
        <v>892.28792476005822</v>
      </c>
    </row>
    <row r="48" spans="1:20" x14ac:dyDescent="0.2">
      <c r="A48" s="5">
        <v>57</v>
      </c>
      <c r="B48" s="1">
        <f t="shared" si="13"/>
        <v>2.4933486986108435</v>
      </c>
      <c r="C48" s="5">
        <f t="shared" si="14"/>
        <v>50781.737492393273</v>
      </c>
      <c r="D48" s="5">
        <f t="shared" si="15"/>
        <v>48143.107180463783</v>
      </c>
      <c r="E48" s="5">
        <f t="shared" si="1"/>
        <v>38643.107180463783</v>
      </c>
      <c r="F48" s="5">
        <f t="shared" si="2"/>
        <v>13333.035212467805</v>
      </c>
      <c r="G48" s="5">
        <f t="shared" si="3"/>
        <v>34810.07196799598</v>
      </c>
      <c r="H48" s="22">
        <f t="shared" si="16"/>
        <v>23111.340208761296</v>
      </c>
      <c r="I48" s="5">
        <f t="shared" si="17"/>
        <v>56188.061661100175</v>
      </c>
      <c r="J48" s="25">
        <f t="shared" si="5"/>
        <v>0.1779493785588592</v>
      </c>
      <c r="L48" s="22">
        <f t="shared" si="18"/>
        <v>56396.08266893262</v>
      </c>
      <c r="M48" s="5">
        <f>scrimecost*Meta!O45</f>
        <v>4338.03</v>
      </c>
      <c r="N48" s="5">
        <f>L48-Grade13!L48</f>
        <v>651.78426116775518</v>
      </c>
      <c r="O48" s="5">
        <f>Grade13!M48-M48</f>
        <v>33.809999999999491</v>
      </c>
      <c r="P48" s="22">
        <f t="shared" si="12"/>
        <v>49.768943592270034</v>
      </c>
      <c r="Q48" s="22"/>
      <c r="R48" s="22"/>
      <c r="S48" s="22">
        <f t="shared" si="19"/>
        <v>223.91514086696867</v>
      </c>
      <c r="T48" s="22">
        <f t="shared" si="20"/>
        <v>948.21294554841984</v>
      </c>
    </row>
    <row r="49" spans="1:20" x14ac:dyDescent="0.2">
      <c r="A49" s="5">
        <v>58</v>
      </c>
      <c r="B49" s="1">
        <f t="shared" si="13"/>
        <v>2.555682416076114</v>
      </c>
      <c r="C49" s="5">
        <f t="shared" si="14"/>
        <v>52051.280929703091</v>
      </c>
      <c r="D49" s="5">
        <f t="shared" si="15"/>
        <v>49317.434859975365</v>
      </c>
      <c r="E49" s="5">
        <f t="shared" si="1"/>
        <v>39817.434859975365</v>
      </c>
      <c r="F49" s="5">
        <f t="shared" si="2"/>
        <v>13833.885967779494</v>
      </c>
      <c r="G49" s="5">
        <f t="shared" si="3"/>
        <v>35483.548892195875</v>
      </c>
      <c r="H49" s="22">
        <f t="shared" si="16"/>
        <v>23689.123713980323</v>
      </c>
      <c r="I49" s="5">
        <f t="shared" si="17"/>
        <v>57395.988327627674</v>
      </c>
      <c r="J49" s="25">
        <f t="shared" si="5"/>
        <v>0.1807580458163866</v>
      </c>
      <c r="L49" s="22">
        <f t="shared" si="18"/>
        <v>57805.984735655926</v>
      </c>
      <c r="M49" s="5">
        <f>scrimecost*Meta!O46</f>
        <v>4338.03</v>
      </c>
      <c r="N49" s="5">
        <f>L49-Grade13!L49</f>
        <v>668.07886769693869</v>
      </c>
      <c r="O49" s="5">
        <f>Grade13!M49-M49</f>
        <v>33.809999999999491</v>
      </c>
      <c r="P49" s="22">
        <f t="shared" si="12"/>
        <v>51.008690511925273</v>
      </c>
      <c r="Q49" s="22"/>
      <c r="R49" s="22"/>
      <c r="S49" s="22">
        <f t="shared" si="19"/>
        <v>229.09070523357471</v>
      </c>
      <c r="T49" s="22">
        <f t="shared" si="20"/>
        <v>1007.6859776333781</v>
      </c>
    </row>
    <row r="50" spans="1:20" x14ac:dyDescent="0.2">
      <c r="A50" s="5">
        <v>59</v>
      </c>
      <c r="B50" s="1">
        <f t="shared" si="13"/>
        <v>2.6195744764780171</v>
      </c>
      <c r="C50" s="5">
        <f t="shared" si="14"/>
        <v>53352.562952945678</v>
      </c>
      <c r="D50" s="5">
        <f t="shared" si="15"/>
        <v>50521.120731474752</v>
      </c>
      <c r="E50" s="5">
        <f t="shared" si="1"/>
        <v>41021.120731474752</v>
      </c>
      <c r="F50" s="5">
        <f t="shared" si="2"/>
        <v>14347.25799197398</v>
      </c>
      <c r="G50" s="5">
        <f t="shared" si="3"/>
        <v>36173.862739500772</v>
      </c>
      <c r="H50" s="22">
        <f t="shared" si="16"/>
        <v>24281.351806829833</v>
      </c>
      <c r="I50" s="5">
        <f t="shared" si="17"/>
        <v>58634.113160818364</v>
      </c>
      <c r="J50" s="25">
        <f t="shared" si="5"/>
        <v>0.18349820899446215</v>
      </c>
      <c r="L50" s="22">
        <f t="shared" si="18"/>
        <v>59251.134354047317</v>
      </c>
      <c r="M50" s="5">
        <f>scrimecost*Meta!O47</f>
        <v>4338.03</v>
      </c>
      <c r="N50" s="5">
        <f>L50-Grade13!L50</f>
        <v>684.7808393893647</v>
      </c>
      <c r="O50" s="5">
        <f>Grade13!M50-M50</f>
        <v>33.809999999999491</v>
      </c>
      <c r="P50" s="22">
        <f t="shared" si="12"/>
        <v>52.279431104571913</v>
      </c>
      <c r="Q50" s="22"/>
      <c r="R50" s="22"/>
      <c r="S50" s="22">
        <f t="shared" si="19"/>
        <v>234.3956587093495</v>
      </c>
      <c r="T50" s="22">
        <f t="shared" si="20"/>
        <v>1070.9338270748574</v>
      </c>
    </row>
    <row r="51" spans="1:20" x14ac:dyDescent="0.2">
      <c r="A51" s="5">
        <v>60</v>
      </c>
      <c r="B51" s="1">
        <f t="shared" si="13"/>
        <v>2.6850638383899672</v>
      </c>
      <c r="C51" s="5">
        <f t="shared" si="14"/>
        <v>54686.377026769311</v>
      </c>
      <c r="D51" s="5">
        <f t="shared" si="15"/>
        <v>51754.898749761618</v>
      </c>
      <c r="E51" s="5">
        <f t="shared" si="1"/>
        <v>42254.898749761618</v>
      </c>
      <c r="F51" s="5">
        <f t="shared" si="2"/>
        <v>14873.464316773332</v>
      </c>
      <c r="G51" s="5">
        <f t="shared" si="3"/>
        <v>36881.434432988288</v>
      </c>
      <c r="H51" s="22">
        <f t="shared" si="16"/>
        <v>24888.385602000577</v>
      </c>
      <c r="I51" s="5">
        <f t="shared" si="17"/>
        <v>59903.191114838824</v>
      </c>
      <c r="J51" s="25">
        <f t="shared" si="5"/>
        <v>0.18617153892429203</v>
      </c>
      <c r="L51" s="22">
        <f t="shared" si="18"/>
        <v>60732.412712898498</v>
      </c>
      <c r="M51" s="5">
        <f>scrimecost*Meta!O48</f>
        <v>2288.4679999999998</v>
      </c>
      <c r="N51" s="5">
        <f>L51-Grade13!L51</f>
        <v>701.90036037410027</v>
      </c>
      <c r="O51" s="5">
        <f>Grade13!M51-M51</f>
        <v>17.83600000000024</v>
      </c>
      <c r="P51" s="22">
        <f t="shared" si="12"/>
        <v>53.581940212034723</v>
      </c>
      <c r="Q51" s="22"/>
      <c r="R51" s="22"/>
      <c r="S51" s="22">
        <f t="shared" si="19"/>
        <v>231.89415802201873</v>
      </c>
      <c r="T51" s="22">
        <f t="shared" si="20"/>
        <v>1100.5206792324568</v>
      </c>
    </row>
    <row r="52" spans="1:20" x14ac:dyDescent="0.2">
      <c r="A52" s="5">
        <v>61</v>
      </c>
      <c r="B52" s="1">
        <f t="shared" si="13"/>
        <v>2.7521904343497163</v>
      </c>
      <c r="C52" s="5">
        <f t="shared" si="14"/>
        <v>56053.536452438544</v>
      </c>
      <c r="D52" s="5">
        <f t="shared" si="15"/>
        <v>53019.521218505659</v>
      </c>
      <c r="E52" s="5">
        <f t="shared" si="1"/>
        <v>43519.521218505659</v>
      </c>
      <c r="F52" s="5">
        <f t="shared" si="2"/>
        <v>15412.825799692662</v>
      </c>
      <c r="G52" s="5">
        <f t="shared" si="3"/>
        <v>37606.695418812997</v>
      </c>
      <c r="H52" s="22">
        <f t="shared" si="16"/>
        <v>25510.595242050589</v>
      </c>
      <c r="I52" s="5">
        <f t="shared" si="17"/>
        <v>61203.996017709796</v>
      </c>
      <c r="J52" s="25">
        <f t="shared" si="5"/>
        <v>0.18877966568510157</v>
      </c>
      <c r="L52" s="22">
        <f t="shared" si="18"/>
        <v>62250.723030720954</v>
      </c>
      <c r="M52" s="5">
        <f>scrimecost*Meta!O49</f>
        <v>2288.4679999999998</v>
      </c>
      <c r="N52" s="5">
        <f>L52-Grade13!L52</f>
        <v>719.44786938344623</v>
      </c>
      <c r="O52" s="5">
        <f>Grade13!M52-M52</f>
        <v>17.83600000000024</v>
      </c>
      <c r="P52" s="22">
        <f t="shared" si="12"/>
        <v>54.917012047184087</v>
      </c>
      <c r="Q52" s="22"/>
      <c r="R52" s="22"/>
      <c r="S52" s="22">
        <f t="shared" si="19"/>
        <v>237.46767476750205</v>
      </c>
      <c r="T52" s="22">
        <f t="shared" si="20"/>
        <v>1170.5992088632474</v>
      </c>
    </row>
    <row r="53" spans="1:20" x14ac:dyDescent="0.2">
      <c r="A53" s="5">
        <v>62</v>
      </c>
      <c r="B53" s="1">
        <f t="shared" si="13"/>
        <v>2.8209951952084591</v>
      </c>
      <c r="C53" s="5">
        <f t="shared" si="14"/>
        <v>57454.874863749501</v>
      </c>
      <c r="D53" s="5">
        <f t="shared" si="15"/>
        <v>54315.759248968294</v>
      </c>
      <c r="E53" s="5">
        <f t="shared" si="1"/>
        <v>44815.759248968294</v>
      </c>
      <c r="F53" s="5">
        <f t="shared" si="2"/>
        <v>15965.671319684978</v>
      </c>
      <c r="G53" s="5">
        <f t="shared" si="3"/>
        <v>38350.087929283312</v>
      </c>
      <c r="H53" s="22">
        <f t="shared" si="16"/>
        <v>26148.360123101851</v>
      </c>
      <c r="I53" s="5">
        <f t="shared" si="17"/>
        <v>62537.321043152522</v>
      </c>
      <c r="J53" s="25">
        <f t="shared" si="5"/>
        <v>0.19132417959808654</v>
      </c>
      <c r="L53" s="22">
        <f t="shared" si="18"/>
        <v>63806.991106488982</v>
      </c>
      <c r="M53" s="5">
        <f>scrimecost*Meta!O50</f>
        <v>2288.4679999999998</v>
      </c>
      <c r="N53" s="5">
        <f>L53-Grade13!L53</f>
        <v>737.43406611803221</v>
      </c>
      <c r="O53" s="5">
        <f>Grade13!M53-M53</f>
        <v>17.83600000000024</v>
      </c>
      <c r="P53" s="22">
        <f t="shared" si="12"/>
        <v>56.285460678212196</v>
      </c>
      <c r="Q53" s="22"/>
      <c r="R53" s="22"/>
      <c r="S53" s="22">
        <f t="shared" si="19"/>
        <v>243.18052943162428</v>
      </c>
      <c r="T53" s="22">
        <f t="shared" si="20"/>
        <v>1245.1677187450045</v>
      </c>
    </row>
    <row r="54" spans="1:20" x14ac:dyDescent="0.2">
      <c r="A54" s="5">
        <v>63</v>
      </c>
      <c r="B54" s="1">
        <f t="shared" si="13"/>
        <v>2.8915200750886707</v>
      </c>
      <c r="C54" s="5">
        <f t="shared" si="14"/>
        <v>58891.246735343244</v>
      </c>
      <c r="D54" s="5">
        <f t="shared" si="15"/>
        <v>55644.403230192504</v>
      </c>
      <c r="E54" s="5">
        <f t="shared" si="1"/>
        <v>46144.403230192504</v>
      </c>
      <c r="F54" s="5">
        <f t="shared" si="2"/>
        <v>16532.337977677103</v>
      </c>
      <c r="G54" s="5">
        <f t="shared" si="3"/>
        <v>39112.0652525154</v>
      </c>
      <c r="H54" s="22">
        <f t="shared" si="16"/>
        <v>26802.069126179402</v>
      </c>
      <c r="I54" s="5">
        <f t="shared" si="17"/>
        <v>63903.979194231346</v>
      </c>
      <c r="J54" s="25">
        <f t="shared" si="5"/>
        <v>0.19380663219612065</v>
      </c>
      <c r="L54" s="22">
        <f t="shared" si="18"/>
        <v>65402.165884151203</v>
      </c>
      <c r="M54" s="5">
        <f>scrimecost*Meta!O51</f>
        <v>2288.4679999999998</v>
      </c>
      <c r="N54" s="5">
        <f>L54-Grade13!L54</f>
        <v>755.86991777100047</v>
      </c>
      <c r="O54" s="5">
        <f>Grade13!M54-M54</f>
        <v>17.83600000000024</v>
      </c>
      <c r="P54" s="22">
        <f t="shared" si="12"/>
        <v>57.688120525016004</v>
      </c>
      <c r="Q54" s="22"/>
      <c r="R54" s="22"/>
      <c r="S54" s="22">
        <f t="shared" si="19"/>
        <v>249.03620546235447</v>
      </c>
      <c r="T54" s="22">
        <f t="shared" si="20"/>
        <v>1324.5149682362328</v>
      </c>
    </row>
    <row r="55" spans="1:20" x14ac:dyDescent="0.2">
      <c r="A55" s="5">
        <v>64</v>
      </c>
      <c r="B55" s="1">
        <f t="shared" si="13"/>
        <v>2.9638080769658868</v>
      </c>
      <c r="C55" s="5">
        <f t="shared" si="14"/>
        <v>60363.527903726812</v>
      </c>
      <c r="D55" s="5">
        <f t="shared" si="15"/>
        <v>57006.263310947303</v>
      </c>
      <c r="E55" s="5">
        <f t="shared" si="1"/>
        <v>47506.263310947303</v>
      </c>
      <c r="F55" s="5">
        <f t="shared" si="2"/>
        <v>17113.171302119026</v>
      </c>
      <c r="G55" s="5">
        <f t="shared" si="3"/>
        <v>39893.092008828273</v>
      </c>
      <c r="H55" s="22">
        <f t="shared" si="16"/>
        <v>27472.120854333876</v>
      </c>
      <c r="I55" s="5">
        <f t="shared" si="17"/>
        <v>65304.803799087109</v>
      </c>
      <c r="J55" s="25">
        <f t="shared" si="5"/>
        <v>0.19622853716981245</v>
      </c>
      <c r="L55" s="22">
        <f t="shared" si="18"/>
        <v>67037.220031254968</v>
      </c>
      <c r="M55" s="5">
        <f>scrimecost*Meta!O52</f>
        <v>2288.4679999999998</v>
      </c>
      <c r="N55" s="5">
        <f>L55-Grade13!L55</f>
        <v>774.76666571524402</v>
      </c>
      <c r="O55" s="5">
        <f>Grade13!M55-M55</f>
        <v>17.83600000000024</v>
      </c>
      <c r="P55" s="22">
        <f t="shared" si="12"/>
        <v>59.125846867989893</v>
      </c>
      <c r="Q55" s="22"/>
      <c r="R55" s="22"/>
      <c r="S55" s="22">
        <f t="shared" si="19"/>
        <v>255.03827339383923</v>
      </c>
      <c r="T55" s="22">
        <f t="shared" si="20"/>
        <v>1408.9483297029922</v>
      </c>
    </row>
    <row r="56" spans="1:20" x14ac:dyDescent="0.2">
      <c r="A56" s="5">
        <v>65</v>
      </c>
      <c r="B56" s="1">
        <f t="shared" si="13"/>
        <v>3.0379032788900342</v>
      </c>
      <c r="C56" s="5">
        <f t="shared" si="14"/>
        <v>61872.616101319989</v>
      </c>
      <c r="D56" s="5">
        <f t="shared" si="15"/>
        <v>58402.169893720995</v>
      </c>
      <c r="E56" s="5">
        <f t="shared" si="1"/>
        <v>48902.169893720995</v>
      </c>
      <c r="F56" s="5">
        <f t="shared" si="2"/>
        <v>17708.525459672004</v>
      </c>
      <c r="G56" s="5">
        <f t="shared" si="3"/>
        <v>40693.644434048991</v>
      </c>
      <c r="H56" s="22">
        <f t="shared" si="16"/>
        <v>28158.923875692231</v>
      </c>
      <c r="I56" s="5">
        <f t="shared" si="17"/>
        <v>66740.649019064309</v>
      </c>
      <c r="J56" s="25">
        <f t="shared" si="5"/>
        <v>0.19859137129048743</v>
      </c>
      <c r="L56" s="22">
        <f t="shared" si="18"/>
        <v>68713.15053203635</v>
      </c>
      <c r="M56" s="5">
        <f>scrimecost*Meta!O53</f>
        <v>691.57</v>
      </c>
      <c r="N56" s="5">
        <f>L56-Grade13!L56</f>
        <v>794.13583235815167</v>
      </c>
      <c r="O56" s="5">
        <f>Grade13!M56-M56</f>
        <v>5.3899999999999864</v>
      </c>
      <c r="P56" s="22">
        <f t="shared" si="12"/>
        <v>60.599516369538165</v>
      </c>
      <c r="Q56" s="22"/>
      <c r="R56" s="22"/>
      <c r="S56" s="22">
        <f t="shared" si="19"/>
        <v>255.00473102362722</v>
      </c>
      <c r="T56" s="22">
        <f t="shared" si="20"/>
        <v>1463.2996598512316</v>
      </c>
    </row>
    <row r="57" spans="1:20" x14ac:dyDescent="0.2">
      <c r="A57" s="5">
        <v>66</v>
      </c>
      <c r="C57" s="5"/>
      <c r="H57" s="21"/>
      <c r="I57" s="5"/>
      <c r="M57" s="5">
        <f>scrimecost*Meta!O54</f>
        <v>691.57</v>
      </c>
      <c r="N57" s="5">
        <f>L57-Grade13!L57</f>
        <v>0</v>
      </c>
      <c r="O57" s="5">
        <f>Grade13!M57-M57</f>
        <v>5.3899999999999864</v>
      </c>
      <c r="Q57" s="22"/>
      <c r="R57" s="22"/>
      <c r="S57" s="22">
        <f t="shared" si="19"/>
        <v>2.6788299999999934</v>
      </c>
      <c r="T57" s="22">
        <f t="shared" si="20"/>
        <v>15.967080489001267</v>
      </c>
    </row>
    <row r="58" spans="1:20" x14ac:dyDescent="0.2">
      <c r="A58" s="5">
        <v>67</v>
      </c>
      <c r="C58" s="5"/>
      <c r="H58" s="21"/>
      <c r="I58" s="5"/>
      <c r="M58" s="5">
        <f>scrimecost*Meta!O55</f>
        <v>691.57</v>
      </c>
      <c r="N58" s="5">
        <f>L58-Grade13!L58</f>
        <v>0</v>
      </c>
      <c r="O58" s="5">
        <f>Grade13!M58-M58</f>
        <v>5.3899999999999864</v>
      </c>
      <c r="Q58" s="22"/>
      <c r="R58" s="22"/>
      <c r="S58" s="22">
        <f t="shared" si="19"/>
        <v>2.6788299999999934</v>
      </c>
      <c r="T58" s="22">
        <f t="shared" si="20"/>
        <v>16.585204901467911</v>
      </c>
    </row>
    <row r="59" spans="1:20" x14ac:dyDescent="0.2">
      <c r="A59" s="5">
        <v>68</v>
      </c>
      <c r="H59" s="21"/>
      <c r="I59" s="5"/>
      <c r="M59" s="5">
        <f>scrimecost*Meta!O56</f>
        <v>691.57</v>
      </c>
      <c r="N59" s="5">
        <f>L59-Grade13!L59</f>
        <v>0</v>
      </c>
      <c r="O59" s="5">
        <f>Grade13!M59-M59</f>
        <v>5.3899999999999864</v>
      </c>
      <c r="Q59" s="22"/>
      <c r="R59" s="22"/>
      <c r="S59" s="22">
        <f t="shared" si="19"/>
        <v>2.6788299999999934</v>
      </c>
      <c r="T59" s="22">
        <f t="shared" si="20"/>
        <v>17.227258409147069</v>
      </c>
    </row>
    <row r="60" spans="1:20" x14ac:dyDescent="0.2">
      <c r="A60" s="5">
        <v>69</v>
      </c>
      <c r="H60" s="21"/>
      <c r="I60" s="5"/>
      <c r="M60" s="5">
        <f>scrimecost*Meta!O57</f>
        <v>691.57</v>
      </c>
      <c r="N60" s="5">
        <f>L60-Grade13!L60</f>
        <v>0</v>
      </c>
      <c r="O60" s="5">
        <f>Grade13!M60-M60</f>
        <v>5.3899999999999864</v>
      </c>
      <c r="Q60" s="22"/>
      <c r="R60" s="22"/>
      <c r="S60" s="22">
        <f t="shared" si="19"/>
        <v>2.6788299999999934</v>
      </c>
      <c r="T60" s="22">
        <f t="shared" si="20"/>
        <v>17.894167365352324</v>
      </c>
    </row>
    <row r="61" spans="1:20" x14ac:dyDescent="0.2">
      <c r="A61" s="5">
        <v>70</v>
      </c>
      <c r="H61" s="21"/>
      <c r="I61" s="5"/>
      <c r="M61" s="5">
        <f>scrimecost*Meta!O58</f>
        <v>691.57</v>
      </c>
      <c r="N61" s="5">
        <f>L61-Grade13!L61</f>
        <v>0</v>
      </c>
      <c r="O61" s="5">
        <f>Grade13!M61-M61</f>
        <v>5.3899999999999864</v>
      </c>
      <c r="Q61" s="22"/>
      <c r="R61" s="22"/>
      <c r="S61" s="22">
        <f t="shared" si="19"/>
        <v>2.6788299999999934</v>
      </c>
      <c r="T61" s="22">
        <f t="shared" si="20"/>
        <v>18.586893984780794</v>
      </c>
    </row>
    <row r="62" spans="1:20" x14ac:dyDescent="0.2">
      <c r="A62" s="5">
        <v>71</v>
      </c>
      <c r="H62" s="21"/>
      <c r="I62" s="5"/>
      <c r="M62" s="5">
        <f>scrimecost*Meta!O59</f>
        <v>691.57</v>
      </c>
      <c r="N62" s="5">
        <f>L62-Grade13!L62</f>
        <v>0</v>
      </c>
      <c r="O62" s="5">
        <f>Grade13!M62-M62</f>
        <v>5.3899999999999864</v>
      </c>
      <c r="Q62" s="22"/>
      <c r="R62" s="22"/>
      <c r="S62" s="22">
        <f t="shared" si="19"/>
        <v>2.6788299999999934</v>
      </c>
      <c r="T62" s="22">
        <f t="shared" si="20"/>
        <v>19.306437731794315</v>
      </c>
    </row>
    <row r="63" spans="1:20" x14ac:dyDescent="0.2">
      <c r="A63" s="5">
        <v>72</v>
      </c>
      <c r="H63" s="21"/>
      <c r="M63" s="5">
        <f>scrimecost*Meta!O60</f>
        <v>691.57</v>
      </c>
      <c r="N63" s="5">
        <f>L63-Grade13!L63</f>
        <v>0</v>
      </c>
      <c r="O63" s="5">
        <f>Grade13!M63-M63</f>
        <v>5.3899999999999864</v>
      </c>
      <c r="Q63" s="22"/>
      <c r="R63" s="22"/>
      <c r="S63" s="22">
        <f t="shared" si="19"/>
        <v>2.6788299999999934</v>
      </c>
      <c r="T63" s="22">
        <f t="shared" si="20"/>
        <v>20.053836762444256</v>
      </c>
    </row>
    <row r="64" spans="1:20" x14ac:dyDescent="0.2">
      <c r="A64" s="5">
        <v>73</v>
      </c>
      <c r="H64" s="21"/>
      <c r="M64" s="5">
        <f>scrimecost*Meta!O61</f>
        <v>691.57</v>
      </c>
      <c r="N64" s="5">
        <f>L64-Grade13!L64</f>
        <v>0</v>
      </c>
      <c r="O64" s="5">
        <f>Grade13!M64-M64</f>
        <v>5.3899999999999864</v>
      </c>
      <c r="Q64" s="22"/>
      <c r="R64" s="22"/>
      <c r="S64" s="22">
        <f t="shared" si="19"/>
        <v>2.6788299999999934</v>
      </c>
      <c r="T64" s="22">
        <f t="shared" si="20"/>
        <v>20.830169422320711</v>
      </c>
    </row>
    <row r="65" spans="1:20" x14ac:dyDescent="0.2">
      <c r="A65" s="5">
        <v>74</v>
      </c>
      <c r="H65" s="21"/>
      <c r="M65" s="5">
        <f>scrimecost*Meta!O62</f>
        <v>691.57</v>
      </c>
      <c r="N65" s="5">
        <f>L65-Grade13!L65</f>
        <v>0</v>
      </c>
      <c r="O65" s="5">
        <f>Grade13!M65-M65</f>
        <v>5.3899999999999864</v>
      </c>
      <c r="Q65" s="22"/>
      <c r="R65" s="22"/>
      <c r="S65" s="22">
        <f t="shared" si="19"/>
        <v>2.6788299999999934</v>
      </c>
      <c r="T65" s="22">
        <f t="shared" si="20"/>
        <v>21.63655580238699</v>
      </c>
    </row>
    <row r="66" spans="1:20" x14ac:dyDescent="0.2">
      <c r="A66" s="5">
        <v>75</v>
      </c>
      <c r="H66" s="21"/>
      <c r="M66" s="5">
        <f>scrimecost*Meta!O63</f>
        <v>691.57</v>
      </c>
      <c r="N66" s="5">
        <f>L66-Grade13!L66</f>
        <v>0</v>
      </c>
      <c r="O66" s="5">
        <f>Grade13!M66-M66</f>
        <v>5.3899999999999864</v>
      </c>
      <c r="Q66" s="22"/>
      <c r="R66" s="22"/>
      <c r="S66" s="22">
        <f t="shared" si="19"/>
        <v>2.6788299999999934</v>
      </c>
      <c r="T66" s="22">
        <f t="shared" si="20"/>
        <v>22.474159355044275</v>
      </c>
    </row>
    <row r="67" spans="1:20" x14ac:dyDescent="0.2">
      <c r="A67" s="5">
        <v>76</v>
      </c>
      <c r="H67" s="21"/>
      <c r="M67" s="5">
        <f>scrimecost*Meta!O64</f>
        <v>691.57</v>
      </c>
      <c r="N67" s="5">
        <f>L67-Grade13!L67</f>
        <v>0</v>
      </c>
      <c r="O67" s="5">
        <f>Grade13!M67-M67</f>
        <v>5.3899999999999864</v>
      </c>
      <c r="Q67" s="22"/>
      <c r="R67" s="22"/>
      <c r="S67" s="22">
        <f t="shared" si="19"/>
        <v>2.6788299999999934</v>
      </c>
      <c r="T67" s="22">
        <f t="shared" si="20"/>
        <v>23.344188572758036</v>
      </c>
    </row>
    <row r="68" spans="1:20" x14ac:dyDescent="0.2">
      <c r="A68" s="5">
        <v>77</v>
      </c>
      <c r="H68" s="21"/>
      <c r="M68" s="5">
        <f>scrimecost*Meta!O65</f>
        <v>691.57</v>
      </c>
      <c r="N68" s="5">
        <f>L68-Grade13!L68</f>
        <v>0</v>
      </c>
      <c r="O68" s="5">
        <f>Grade13!M68-M68</f>
        <v>5.3899999999999864</v>
      </c>
      <c r="Q68" s="22"/>
      <c r="R68" s="22"/>
      <c r="S68" s="22">
        <f t="shared" si="19"/>
        <v>2.6788299999999934</v>
      </c>
      <c r="T68" s="22">
        <f t="shared" si="20"/>
        <v>24.247898731668187</v>
      </c>
    </row>
    <row r="69" spans="1:20" x14ac:dyDescent="0.2">
      <c r="A69" s="5">
        <v>78</v>
      </c>
      <c r="H69" s="21"/>
      <c r="M69" s="5">
        <f>scrimecost*Meta!O66</f>
        <v>691.57</v>
      </c>
      <c r="N69" s="5">
        <f>L69-Grade13!L69</f>
        <v>0</v>
      </c>
      <c r="O69" s="5">
        <f>Grade13!M69-M69</f>
        <v>5.3899999999999864</v>
      </c>
      <c r="Q69" s="22"/>
      <c r="R69" s="22"/>
      <c r="S69" s="22">
        <f t="shared" si="19"/>
        <v>2.6788299999999934</v>
      </c>
      <c r="T69" s="22">
        <f t="shared" si="20"/>
        <v>25.186593702698588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1.4094254652263771E-9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272</vt:i4>
      </vt:variant>
    </vt:vector>
  </HeadingPairs>
  <TitlesOfParts>
    <vt:vector size="285" baseType="lpstr">
      <vt:lpstr>Meta</vt:lpstr>
      <vt:lpstr>Output</vt:lpstr>
      <vt:lpstr>Grade8</vt:lpstr>
      <vt:lpstr>Grade9</vt:lpstr>
      <vt:lpstr>Grade10</vt:lpstr>
      <vt:lpstr>Grade11</vt:lpstr>
      <vt:lpstr>Grade12</vt:lpstr>
      <vt:lpstr>Grade13</vt:lpstr>
      <vt:lpstr>Grade14</vt:lpstr>
      <vt:lpstr>Grade15</vt:lpstr>
      <vt:lpstr>Grade16</vt:lpstr>
      <vt:lpstr>Grade17</vt:lpstr>
      <vt:lpstr>Grade18</vt:lpstr>
      <vt:lpstr>Meta!_edn1</vt:lpstr>
      <vt:lpstr>Output!_edn1</vt:lpstr>
      <vt:lpstr>Meta!_ednref1</vt:lpstr>
      <vt:lpstr>Output!_ednref1</vt:lpstr>
      <vt:lpstr>Meta!baseincome</vt:lpstr>
      <vt:lpstr>Grade10!benefits</vt:lpstr>
      <vt:lpstr>Grade11!benefits</vt:lpstr>
      <vt:lpstr>Grade12!benefits</vt:lpstr>
      <vt:lpstr>Grade13!benefits</vt:lpstr>
      <vt:lpstr>Grade14!benefits</vt:lpstr>
      <vt:lpstr>Grade15!benefits</vt:lpstr>
      <vt:lpstr>Grade16!benefits</vt:lpstr>
      <vt:lpstr>Grade17!benefits</vt:lpstr>
      <vt:lpstr>Grade18!benefits</vt:lpstr>
      <vt:lpstr>Grade9!benefits</vt:lpstr>
      <vt:lpstr>benefits</vt:lpstr>
      <vt:lpstr>Grade10!benrat</vt:lpstr>
      <vt:lpstr>Grade11!benrat</vt:lpstr>
      <vt:lpstr>Grade12!benrat</vt:lpstr>
      <vt:lpstr>Grade13!benrat</vt:lpstr>
      <vt:lpstr>Grade14!benrat</vt:lpstr>
      <vt:lpstr>Grade15!benrat</vt:lpstr>
      <vt:lpstr>Grade16!benrat</vt:lpstr>
      <vt:lpstr>Grade17!benrat</vt:lpstr>
      <vt:lpstr>Grade18!benrat</vt:lpstr>
      <vt:lpstr>Grade9!benrat</vt:lpstr>
      <vt:lpstr>benrat</vt:lpstr>
      <vt:lpstr>coltuition</vt:lpstr>
      <vt:lpstr>Grade10!completionprob</vt:lpstr>
      <vt:lpstr>Grade11!completionprob</vt:lpstr>
      <vt:lpstr>Grade12!completionprob</vt:lpstr>
      <vt:lpstr>Grade13!completionprob</vt:lpstr>
      <vt:lpstr>Grade14!completionprob</vt:lpstr>
      <vt:lpstr>Grade15!completionprob</vt:lpstr>
      <vt:lpstr>Grade16!completionprob</vt:lpstr>
      <vt:lpstr>Grade17!completionprob</vt:lpstr>
      <vt:lpstr>Grade18!completionprob</vt:lpstr>
      <vt:lpstr>completionprob</vt:lpstr>
      <vt:lpstr>Grade10!comprat</vt:lpstr>
      <vt:lpstr>Grade11!comprat</vt:lpstr>
      <vt:lpstr>Grade12!comprat</vt:lpstr>
      <vt:lpstr>Grade13!comprat</vt:lpstr>
      <vt:lpstr>Grade14!comprat</vt:lpstr>
      <vt:lpstr>Grade15!comprat</vt:lpstr>
      <vt:lpstr>Grade16!comprat</vt:lpstr>
      <vt:lpstr>Grade17!comprat</vt:lpstr>
      <vt:lpstr>Grade18!comprat</vt:lpstr>
      <vt:lpstr>Grade9!comprat</vt:lpstr>
      <vt:lpstr>comprat</vt:lpstr>
      <vt:lpstr>experiencepremium</vt:lpstr>
      <vt:lpstr>Grade10!expnorm</vt:lpstr>
      <vt:lpstr>Grade11!expnorm</vt:lpstr>
      <vt:lpstr>Grade12!expnorm</vt:lpstr>
      <vt:lpstr>Grade13!expnorm</vt:lpstr>
      <vt:lpstr>Grade14!expnorm</vt:lpstr>
      <vt:lpstr>Grade15!expnorm</vt:lpstr>
      <vt:lpstr>Grade16!expnorm</vt:lpstr>
      <vt:lpstr>Grade17!expnorm</vt:lpstr>
      <vt:lpstr>Grade18!expnorm</vt:lpstr>
      <vt:lpstr>Grade9!expnorm</vt:lpstr>
      <vt:lpstr>expnorm</vt:lpstr>
      <vt:lpstr>Grade10!expnorm8</vt:lpstr>
      <vt:lpstr>Grade11!expnorm8</vt:lpstr>
      <vt:lpstr>Grade12!expnorm8</vt:lpstr>
      <vt:lpstr>Grade13!expnorm8</vt:lpstr>
      <vt:lpstr>Grade14!expnorm8</vt:lpstr>
      <vt:lpstr>Grade15!expnorm8</vt:lpstr>
      <vt:lpstr>Grade16!expnorm8</vt:lpstr>
      <vt:lpstr>Grade17!expnorm8</vt:lpstr>
      <vt:lpstr>Grade18!expnorm8</vt:lpstr>
      <vt:lpstr>Grade9!expnorm8</vt:lpstr>
      <vt:lpstr>expnorm8</vt:lpstr>
      <vt:lpstr>feel</vt:lpstr>
      <vt:lpstr>hstuition</vt:lpstr>
      <vt:lpstr>Meta!incomeindex</vt:lpstr>
      <vt:lpstr>Grade10!initialbenrat</vt:lpstr>
      <vt:lpstr>Grade11!initialbenrat</vt:lpstr>
      <vt:lpstr>Grade12!initialbenrat</vt:lpstr>
      <vt:lpstr>Grade13!initialbenrat</vt:lpstr>
      <vt:lpstr>Grade14!initialbenrat</vt:lpstr>
      <vt:lpstr>Grade15!initialbenrat</vt:lpstr>
      <vt:lpstr>Grade16!initialbenrat</vt:lpstr>
      <vt:lpstr>Grade17!initialbenrat</vt:lpstr>
      <vt:lpstr>Grade18!initialbenrat</vt:lpstr>
      <vt:lpstr>Grade9!initialbenrat</vt:lpstr>
      <vt:lpstr>initialbenrat</vt:lpstr>
      <vt:lpstr>Grade10!initialpart</vt:lpstr>
      <vt:lpstr>Grade11!initialpart</vt:lpstr>
      <vt:lpstr>Grade12!initialpart</vt:lpstr>
      <vt:lpstr>Grade13!initialpart</vt:lpstr>
      <vt:lpstr>Grade14!initialpart</vt:lpstr>
      <vt:lpstr>Grade15!initialpart</vt:lpstr>
      <vt:lpstr>Grade16!initialpart</vt:lpstr>
      <vt:lpstr>Grade17!initialpart</vt:lpstr>
      <vt:lpstr>Grade18!initialpart</vt:lpstr>
      <vt:lpstr>initialpart</vt:lpstr>
      <vt:lpstr>Grade10!initialspart</vt:lpstr>
      <vt:lpstr>Grade11!initialspart</vt:lpstr>
      <vt:lpstr>Grade12!initialspart</vt:lpstr>
      <vt:lpstr>Grade13!initialspart</vt:lpstr>
      <vt:lpstr>Grade14!initialspart</vt:lpstr>
      <vt:lpstr>Grade15!initialspart</vt:lpstr>
      <vt:lpstr>Grade16!initialspart</vt:lpstr>
      <vt:lpstr>Grade17!initialspart</vt:lpstr>
      <vt:lpstr>Grade18!initialspart</vt:lpstr>
      <vt:lpstr>initialspart</vt:lpstr>
      <vt:lpstr>Grade10!initialunempprob</vt:lpstr>
      <vt:lpstr>Grade11!initialunempprob</vt:lpstr>
      <vt:lpstr>Grade12!initialunempprob</vt:lpstr>
      <vt:lpstr>Grade13!initialunempprob</vt:lpstr>
      <vt:lpstr>Grade14!initialunempprob</vt:lpstr>
      <vt:lpstr>Grade15!initialunempprob</vt:lpstr>
      <vt:lpstr>Grade16!initialunempprob</vt:lpstr>
      <vt:lpstr>Grade17!initialunempprob</vt:lpstr>
      <vt:lpstr>Grade18!initialunempprob</vt:lpstr>
      <vt:lpstr>Grade9!initialunempprob</vt:lpstr>
      <vt:lpstr>initialunempprob</vt:lpstr>
      <vt:lpstr>nptrans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  <vt:lpstr>part8</vt:lpstr>
      <vt:lpstr>part9</vt:lpstr>
      <vt:lpstr>Grade10!pretaxincome</vt:lpstr>
      <vt:lpstr>Grade11!pretaxincome</vt:lpstr>
      <vt:lpstr>Grade12!pretaxincome</vt:lpstr>
      <vt:lpstr>Grade13!pretaxincome</vt:lpstr>
      <vt:lpstr>Grade14!pretaxincome</vt:lpstr>
      <vt:lpstr>Grade15!pretaxincome</vt:lpstr>
      <vt:lpstr>Grade16!pretaxincome</vt:lpstr>
      <vt:lpstr>Grade17!pretaxincome</vt:lpstr>
      <vt:lpstr>Grade18!pretaxincome</vt:lpstr>
      <vt:lpstr>Grade9!pretaxincome</vt:lpstr>
      <vt:lpstr>pretaxincome</vt:lpstr>
      <vt:lpstr>Grade10!pretaxincome8</vt:lpstr>
      <vt:lpstr>Grade11!pretaxincome8</vt:lpstr>
      <vt:lpstr>Grade12!pretaxincome8</vt:lpstr>
      <vt:lpstr>Grade13!pretaxincome8</vt:lpstr>
      <vt:lpstr>Grade14!pretaxincome8</vt:lpstr>
      <vt:lpstr>Grade15!pretaxincome8</vt:lpstr>
      <vt:lpstr>Grade16!pretaxincome8</vt:lpstr>
      <vt:lpstr>Grade17!pretaxincome8</vt:lpstr>
      <vt:lpstr>Grade18!pretaxincome8</vt:lpstr>
      <vt:lpstr>Grade9!pretaxincome8</vt:lpstr>
      <vt:lpstr>pretaxincome8</vt:lpstr>
      <vt:lpstr>Grade10!pretaxincomey8</vt:lpstr>
      <vt:lpstr>Grade11!pretaxincomey8</vt:lpstr>
      <vt:lpstr>Grade12!pretaxincomey8</vt:lpstr>
      <vt:lpstr>Grade13!pretaxincomey8</vt:lpstr>
      <vt:lpstr>Grade14!pretaxincomey8</vt:lpstr>
      <vt:lpstr>Grade15!pretaxincomey8</vt:lpstr>
      <vt:lpstr>Grade16!pretaxincomey8</vt:lpstr>
      <vt:lpstr>Grade17!pretaxincomey8</vt:lpstr>
      <vt:lpstr>Grade18!pretaxincomey8</vt:lpstr>
      <vt:lpstr>Grade9!pretaxincomey8</vt:lpstr>
      <vt:lpstr>pretaxincomey8</vt:lpstr>
      <vt:lpstr>returntoexperience</vt:lpstr>
      <vt:lpstr>Grade10!sbenefits</vt:lpstr>
      <vt:lpstr>Grade11!sbenefits</vt:lpstr>
      <vt:lpstr>Grade12!sbenefits</vt:lpstr>
      <vt:lpstr>Grade13!sbenefits</vt:lpstr>
      <vt:lpstr>Grade14!sbenefits</vt:lpstr>
      <vt:lpstr>Grade15!sbenefits</vt:lpstr>
      <vt:lpstr>Grade16!sbenefits</vt:lpstr>
      <vt:lpstr>Grade17!sbenefits</vt:lpstr>
      <vt:lpstr>Grade18!sbenefits</vt:lpstr>
      <vt:lpstr>Grade9!sbenefits</vt:lpstr>
      <vt:lpstr>sbenefits</vt:lpstr>
      <vt:lpstr>Grade10!scrimecost</vt:lpstr>
      <vt:lpstr>Grade11!scrimecost</vt:lpstr>
      <vt:lpstr>Grade12!scrimecost</vt:lpstr>
      <vt:lpstr>Grade13!scrimecost</vt:lpstr>
      <vt:lpstr>Grade14!scrimecost</vt:lpstr>
      <vt:lpstr>Grade15!scrimecost</vt:lpstr>
      <vt:lpstr>Grade16!scrimecost</vt:lpstr>
      <vt:lpstr>Grade17!scrimecost</vt:lpstr>
      <vt:lpstr>Grade18!scrimecost</vt:lpstr>
      <vt:lpstr>Grade9!scrimecost</vt:lpstr>
      <vt:lpstr>scrimecost</vt:lpstr>
      <vt:lpstr>Grade10!sincome</vt:lpstr>
      <vt:lpstr>Grade11!sincome</vt:lpstr>
      <vt:lpstr>Grade12!sincome</vt:lpstr>
      <vt:lpstr>Grade13!sincome</vt:lpstr>
      <vt:lpstr>Grade14!sincome</vt:lpstr>
      <vt:lpstr>Grade15!sincome</vt:lpstr>
      <vt:lpstr>Grade16!sincome</vt:lpstr>
      <vt:lpstr>Grade17!sincome</vt:lpstr>
      <vt:lpstr>Grade18!sincome</vt:lpstr>
      <vt:lpstr>Grade9!sincome</vt:lpstr>
      <vt:lpstr>sincome</vt:lpstr>
      <vt:lpstr>Grade10!spart</vt:lpstr>
      <vt:lpstr>Grade11!spart</vt:lpstr>
      <vt:lpstr>Grade12!spart</vt:lpstr>
      <vt:lpstr>Grade13!spart</vt:lpstr>
      <vt:lpstr>Grade14!spart</vt:lpstr>
      <vt:lpstr>Grade15!spart</vt:lpstr>
      <vt:lpstr>Grade16!spart</vt:lpstr>
      <vt:lpstr>Grade17!spart</vt:lpstr>
      <vt:lpstr>Grade18!spart</vt:lpstr>
      <vt:lpstr>Grade9!spart</vt:lpstr>
      <vt:lpstr>spart</vt:lpstr>
      <vt:lpstr>Grade10!sreturn</vt:lpstr>
      <vt:lpstr>Grade11!sreturn</vt:lpstr>
      <vt:lpstr>Grade12!sreturn</vt:lpstr>
      <vt:lpstr>Grade13!sreturn</vt:lpstr>
      <vt:lpstr>Grade14!sreturn</vt:lpstr>
      <vt:lpstr>Grade15!sreturn</vt:lpstr>
      <vt:lpstr>Grade16!sreturn</vt:lpstr>
      <vt:lpstr>Grade17!sreturn</vt:lpstr>
      <vt:lpstr>Grade18!sreturn</vt:lpstr>
      <vt:lpstr>sreturn</vt:lpstr>
      <vt:lpstr>Grade10!startage</vt:lpstr>
      <vt:lpstr>Grade11!startage</vt:lpstr>
      <vt:lpstr>Grade12!startage</vt:lpstr>
      <vt:lpstr>Grade13!startage</vt:lpstr>
      <vt:lpstr>Grade14!startage</vt:lpstr>
      <vt:lpstr>Grade15!startage</vt:lpstr>
      <vt:lpstr>Grade16!startage</vt:lpstr>
      <vt:lpstr>Grade17!startage</vt:lpstr>
      <vt:lpstr>Grade18!startage</vt:lpstr>
      <vt:lpstr>Grade9!startage</vt:lpstr>
      <vt:lpstr>startage</vt:lpstr>
      <vt:lpstr>Grade10!sunemp</vt:lpstr>
      <vt:lpstr>Grade11!sunemp</vt:lpstr>
      <vt:lpstr>Grade12!sunemp</vt:lpstr>
      <vt:lpstr>Grade13!sunemp</vt:lpstr>
      <vt:lpstr>Grade14!sunemp</vt:lpstr>
      <vt:lpstr>Grade15!sunemp</vt:lpstr>
      <vt:lpstr>Grade16!sunemp</vt:lpstr>
      <vt:lpstr>Grade17!sunemp</vt:lpstr>
      <vt:lpstr>Grade18!sunemp</vt:lpstr>
      <vt:lpstr>Grade9!sunemp</vt:lpstr>
      <vt:lpstr>sunemp</vt:lpstr>
      <vt:lpstr>Grade10!unempprob</vt:lpstr>
      <vt:lpstr>Grade11!unempprob</vt:lpstr>
      <vt:lpstr>Grade12!unempprob</vt:lpstr>
      <vt:lpstr>Grade13!unempprob</vt:lpstr>
      <vt:lpstr>Grade14!unempprob</vt:lpstr>
      <vt:lpstr>Grade15!unempprob</vt:lpstr>
      <vt:lpstr>Grade16!unempprob</vt:lpstr>
      <vt:lpstr>Grade17!unempprob</vt:lpstr>
      <vt:lpstr>Grade18!unempprob</vt:lpstr>
      <vt:lpstr>Grade9!unempprob</vt:lpstr>
      <vt:lpstr>unempprob</vt:lpstr>
      <vt:lpstr>Grade10!unempprob8</vt:lpstr>
      <vt:lpstr>Grade11!unempprob8</vt:lpstr>
      <vt:lpstr>Grade12!unempprob8</vt:lpstr>
      <vt:lpstr>Grade13!unempprob8</vt:lpstr>
      <vt:lpstr>Grade14!unempprob8</vt:lpstr>
      <vt:lpstr>Grade15!unempprob8</vt:lpstr>
      <vt:lpstr>Grade16!unempprob8</vt:lpstr>
      <vt:lpstr>Grade17!unempprob8</vt:lpstr>
      <vt:lpstr>Grade18!unempprob8</vt:lpstr>
      <vt:lpstr>Grade9!unempprob8</vt:lpstr>
      <vt:lpstr>unempprob8</vt:lpstr>
      <vt:lpstr>Grade10!unempproby8</vt:lpstr>
      <vt:lpstr>Grade11!unempproby8</vt:lpstr>
      <vt:lpstr>Grade12!unempproby8</vt:lpstr>
      <vt:lpstr>Grade13!unempproby8</vt:lpstr>
      <vt:lpstr>Grade14!unempproby8</vt:lpstr>
      <vt:lpstr>Grade15!unempproby8</vt:lpstr>
      <vt:lpstr>Grade16!unempproby8</vt:lpstr>
      <vt:lpstr>Grade17!unempproby8</vt:lpstr>
      <vt:lpstr>Grade18!unempproby8</vt:lpstr>
      <vt:lpstr>Grade9!unempproby8</vt:lpstr>
      <vt:lpstr>unempproby8</vt:lpstr>
    </vt:vector>
  </TitlesOfParts>
  <Company>GMU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bcaplan</dc:creator>
  <cp:lastModifiedBy>Caleb</cp:lastModifiedBy>
  <dcterms:created xsi:type="dcterms:W3CDTF">2014-05-28T17:05:58Z</dcterms:created>
  <dcterms:modified xsi:type="dcterms:W3CDTF">2015-04-20T18:56:29Z</dcterms:modified>
</cp:coreProperties>
</file>