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W_IV\RF_Performance\5G_Gen4 Gluon\AEWB A102\"/>
    </mc:Choice>
  </mc:AlternateContent>
  <xr:revisionPtr revIDLastSave="0" documentId="8_{DF47DD8F-22E6-4100-9A20-0193D3CAA60B}" xr6:coauthVersionLast="41" xr6:coauthVersionMax="41" xr10:uidLastSave="{00000000-0000-0000-0000-000000000000}"/>
  <bookViews>
    <workbookView xWindow="-108" yWindow="-108" windowWidth="23256" windowHeight="12576" xr2:uid="{146AB412-8138-4454-807C-3C9EB72C015E}"/>
  </bookViews>
  <sheets>
    <sheet name="OBUE Calc" sheetId="1" r:id="rId1"/>
  </sheets>
  <externalReferences>
    <externalReference r:id="rId2"/>
    <externalReference r:id="rId3"/>
  </externalReferences>
  <definedNames>
    <definedName name="dddd">#REF!</definedName>
    <definedName name="Feature_Column">#REF!</definedName>
    <definedName name="IO">#REF!</definedName>
    <definedName name="Missing_GNL">#REF!</definedName>
    <definedName name="Missing_IO">#REF!</definedName>
    <definedName name="Missing_RX">#REF!</definedName>
    <definedName name="Missing_TOP">#REF!</definedName>
    <definedName name="Missing_TX">#REF!</definedName>
    <definedName name="prodReqFile">'[2]Revisions (GAIA and GAIA+)'!#REF!</definedName>
    <definedName name="RX">#REF!</definedName>
    <definedName name="RX_Al">#REF!</definedName>
    <definedName name="TopLevel">#REF!</definedName>
    <definedName name="TX">#REF!</definedName>
    <definedName name="Verification_Fi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Q14" i="1" s="1"/>
  <c r="S14" i="1" s="1"/>
  <c r="T14" i="1" s="1"/>
  <c r="U13" i="1"/>
  <c r="W12" i="1"/>
  <c r="O12" i="1"/>
  <c r="T13" i="1" s="1"/>
  <c r="W11" i="1"/>
  <c r="W15" i="1" s="1"/>
  <c r="W10" i="1"/>
  <c r="W14" i="1" s="1"/>
  <c r="O10" i="1"/>
  <c r="Q10" i="1" s="1"/>
  <c r="S10" i="1" s="1"/>
  <c r="T10" i="1" s="1"/>
  <c r="W9" i="1"/>
  <c r="W13" i="1" s="1"/>
  <c r="U9" i="1"/>
  <c r="W8" i="1"/>
  <c r="U8" i="1"/>
  <c r="U12" i="1" s="1"/>
  <c r="O8" i="1"/>
  <c r="W7" i="1"/>
  <c r="U7" i="1"/>
  <c r="U11" i="1" s="1"/>
  <c r="U15" i="1" s="1"/>
  <c r="T7" i="1"/>
  <c r="W6" i="1"/>
  <c r="U6" i="1"/>
  <c r="U10" i="1" s="1"/>
  <c r="U14" i="1" s="1"/>
  <c r="O6" i="1"/>
  <c r="Q6" i="1" s="1"/>
  <c r="S6" i="1" s="1"/>
  <c r="T6" i="1" s="1"/>
  <c r="S4" i="1"/>
  <c r="S8" i="1" s="1"/>
  <c r="O4" i="1"/>
  <c r="T4" i="1" s="1"/>
  <c r="AB4" i="1" s="1"/>
  <c r="AC4" i="1" s="1"/>
  <c r="I4" i="1"/>
  <c r="J4" i="1" s="1"/>
  <c r="G4" i="1"/>
  <c r="Q4" i="1" l="1"/>
  <c r="Q12" i="1"/>
  <c r="T5" i="1"/>
  <c r="V9" i="1"/>
  <c r="V4" i="1"/>
  <c r="V8" i="1"/>
  <c r="V5" i="1"/>
  <c r="V13" i="1"/>
  <c r="V12" i="1"/>
  <c r="S7" i="1"/>
  <c r="AB7" i="1" s="1"/>
  <c r="AC7" i="1" s="1"/>
  <c r="AB6" i="1"/>
  <c r="AC6" i="1" s="1"/>
  <c r="T11" i="1"/>
  <c r="Q8" i="1"/>
  <c r="T9" i="1"/>
  <c r="AB10" i="1"/>
  <c r="AC10" i="1" s="1"/>
  <c r="S11" i="1"/>
  <c r="S5" i="1"/>
  <c r="S15" i="1"/>
  <c r="AB14" i="1"/>
  <c r="AC14" i="1" s="1"/>
  <c r="T8" i="1"/>
  <c r="S12" i="1"/>
  <c r="T12" i="1"/>
  <c r="AB5" i="1" l="1"/>
  <c r="AC5" i="1" s="1"/>
  <c r="X5" i="1"/>
  <c r="Z5" i="1" s="1"/>
  <c r="V6" i="1"/>
  <c r="X6" i="1" s="1"/>
  <c r="Z6" i="1" s="1"/>
  <c r="V11" i="1"/>
  <c r="X11" i="1" s="1"/>
  <c r="Z11" i="1" s="1"/>
  <c r="X8" i="1"/>
  <c r="Z8" i="1" s="1"/>
  <c r="AB8" i="1"/>
  <c r="AC8" i="1" s="1"/>
  <c r="S9" i="1"/>
  <c r="AB9" i="1" s="1"/>
  <c r="AC9" i="1" s="1"/>
  <c r="V15" i="1"/>
  <c r="X15" i="1" s="1"/>
  <c r="Z15" i="1" s="1"/>
  <c r="X12" i="1"/>
  <c r="Z12" i="1" s="1"/>
  <c r="V7" i="1"/>
  <c r="X7" i="1" s="1"/>
  <c r="Z7" i="1" s="1"/>
  <c r="X4" i="1"/>
  <c r="Z4" i="1" s="1"/>
  <c r="S13" i="1"/>
  <c r="AB13" i="1" s="1"/>
  <c r="AC13" i="1" s="1"/>
  <c r="AB12" i="1"/>
  <c r="AC12" i="1" s="1"/>
  <c r="T15" i="1"/>
  <c r="AB15" i="1" s="1"/>
  <c r="AC15" i="1" s="1"/>
  <c r="AB11" i="1"/>
  <c r="AC11" i="1" s="1"/>
  <c r="X13" i="1"/>
  <c r="Z13" i="1" s="1"/>
  <c r="V14" i="1"/>
  <c r="X14" i="1" s="1"/>
  <c r="Z14" i="1" s="1"/>
  <c r="V10" i="1"/>
  <c r="X10" i="1" s="1"/>
  <c r="Z10" i="1" s="1"/>
  <c r="X9" i="1"/>
  <c r="Z9" i="1" s="1"/>
</calcChain>
</file>

<file path=xl/sharedStrings.xml><?xml version="1.0" encoding="utf-8"?>
<sst xmlns="http://schemas.openxmlformats.org/spreadsheetml/2006/main" count="57" uniqueCount="45">
  <si>
    <t>OBUE Calculator</t>
  </si>
  <si>
    <t>Freq Offset of
Measurement Filter
-3dB Points</t>
  </si>
  <si>
    <t>Freq Offset of
Measurement Filter
Center</t>
  </si>
  <si>
    <t>Meas.
BW</t>
  </si>
  <si>
    <t>Rated
EIRP</t>
  </si>
  <si>
    <t>Element
Qty</t>
  </si>
  <si>
    <t>Antenna
Gain</t>
  </si>
  <si>
    <t>Element
Gain</t>
  </si>
  <si>
    <t>Array
Gain</t>
  </si>
  <si>
    <t>RF DL Span</t>
  </si>
  <si>
    <t>Channel
BW</t>
  </si>
  <si>
    <t>Channel
Start</t>
  </si>
  <si>
    <t>Carrier
Frequency</t>
  </si>
  <si>
    <t>Channel
Stop</t>
  </si>
  <si>
    <t>Description</t>
  </si>
  <si>
    <t>Measurement Span</t>
  </si>
  <si>
    <t>Total
USL</t>
  </si>
  <si>
    <t>Per Antenna
Adjustment</t>
  </si>
  <si>
    <t>Single Antenna USL</t>
  </si>
  <si>
    <t>Min.
# of pts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</si>
  <si>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</t>
    </r>
  </si>
  <si>
    <t>f_offset</t>
  </si>
  <si>
    <t>Limit</t>
  </si>
  <si>
    <t>TRP</t>
  </si>
  <si>
    <t>Start</t>
  </si>
  <si>
    <t>Stop</t>
  </si>
  <si>
    <t>Start Freq</t>
  </si>
  <si>
    <t>Stop Freq</t>
  </si>
  <si>
    <t>USL Possibilities</t>
  </si>
  <si>
    <t>Span</t>
  </si>
  <si>
    <r>
      <t xml:space="preserve">0 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 &lt; 0.1*BW</t>
    </r>
    <r>
      <rPr>
        <vertAlign val="subscript"/>
        <sz val="11"/>
        <color theme="1"/>
        <rFont val="Calibri"/>
        <family val="2"/>
        <scheme val="minor"/>
      </rPr>
      <t>Contiguous</t>
    </r>
  </si>
  <si>
    <r>
      <t xml:space="preserve">0.5 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f_offset &lt; 0.1*BW</t>
    </r>
    <r>
      <rPr>
        <vertAlign val="subscript"/>
        <sz val="11"/>
        <color theme="1"/>
        <rFont val="Calibri"/>
        <family val="2"/>
        <scheme val="minor"/>
      </rPr>
      <t xml:space="preserve">Contiguous </t>
    </r>
    <r>
      <rPr>
        <sz val="11"/>
        <color theme="1"/>
        <rFont val="Calibri"/>
        <family val="2"/>
        <scheme val="minor"/>
      </rPr>
      <t>+0.5 MHz</t>
    </r>
  </si>
  <si>
    <r>
      <t>MIN[-5dBm, MAX(P</t>
    </r>
    <r>
      <rPr>
        <vertAlign val="subscript"/>
        <sz val="11"/>
        <color theme="1"/>
        <rFont val="Calibri"/>
        <family val="2"/>
        <scheme val="minor"/>
      </rPr>
      <t>rated_TRP</t>
    </r>
    <r>
      <rPr>
        <sz val="11"/>
        <color theme="1"/>
        <rFont val="Calibri"/>
        <family val="2"/>
        <scheme val="minor"/>
      </rPr>
      <t xml:space="preserve"> - 33dB, -12dBm)]</t>
    </r>
  </si>
  <si>
    <t>Offset 1</t>
  </si>
  <si>
    <r>
      <t>0.1*BW</t>
    </r>
    <r>
      <rPr>
        <vertAlign val="subscript"/>
        <sz val="11"/>
        <color theme="1"/>
        <rFont val="Calibri"/>
        <family val="2"/>
        <scheme val="minor"/>
      </rPr>
      <t>Contiguous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f &lt;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</si>
  <si>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0.1*BW</t>
    </r>
    <r>
      <rPr>
        <vertAlign val="subscript"/>
        <sz val="11"/>
        <color theme="1"/>
        <rFont val="Calibri"/>
        <family val="2"/>
        <scheme val="minor"/>
      </rPr>
      <t xml:space="preserve">Contiguous </t>
    </r>
    <r>
      <rPr>
        <sz val="11"/>
        <color theme="1"/>
        <rFont val="Calibri"/>
        <family val="2"/>
        <scheme val="minor"/>
      </rPr>
      <t xml:space="preserve">+ 0.5 MHz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f_offset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Calibri"/>
        <family val="2"/>
        <scheme val="minor"/>
      </rPr>
      <t>&lt; f_offset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</si>
  <si>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MIN[-13dBm, MAX(P</t>
    </r>
    <r>
      <rPr>
        <vertAlign val="subscript"/>
        <sz val="11"/>
        <color theme="1"/>
        <rFont val="Calibri"/>
        <family val="2"/>
        <scheme val="minor"/>
      </rPr>
      <t>rated_TRP</t>
    </r>
    <r>
      <rPr>
        <sz val="11"/>
        <color theme="1"/>
        <rFont val="Calibri"/>
        <family val="2"/>
        <scheme val="minor"/>
      </rPr>
      <t xml:space="preserve"> -41dB, -20dBm)]</t>
    </r>
  </si>
  <si>
    <t>Offset 2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</si>
  <si>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OBUE</t>
    </r>
  </si>
  <si>
    <t>Offset 3</t>
  </si>
  <si>
    <t>Offset 4</t>
  </si>
  <si>
    <t>CC1</t>
  </si>
  <si>
    <t>Carrier</t>
  </si>
  <si>
    <t>CCn*</t>
  </si>
  <si>
    <t>*n = {2 to 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</si>
</sst>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 MHz&quot;"/>
    <numFmt numFmtId="165" formatCode="0.0&quot; dBm&quot;"/>
    <numFmt numFmtId="166" formatCode="0.0&quot; dB&quot;"/>
    <numFmt numFmtId="167" formatCode="0.00&quot; MHz&quot;"/>
    <numFmt numFmtId="168" formatCode="0.0&quot; MHz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Nokia Pure Headline"/>
      <family val="2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rgb="FFFF0000"/>
      </left>
      <right style="medium">
        <color rgb="FFFF0000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1" fillId="3" borderId="6" xfId="0" applyFont="1" applyFill="1" applyBorder="1" applyAlignment="1">
      <alignment horizontal="center" wrapText="1"/>
    </xf>
    <xf numFmtId="0" fontId="0" fillId="3" borderId="7" xfId="0" applyFill="1" applyBorder="1"/>
    <xf numFmtId="0" fontId="1" fillId="3" borderId="0" xfId="0" applyFont="1" applyFill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0" fillId="2" borderId="14" xfId="0" applyFill="1" applyBorder="1"/>
    <xf numFmtId="165" fontId="0" fillId="4" borderId="14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0" fillId="4" borderId="15" xfId="0" applyNumberForma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165" fontId="9" fillId="2" borderId="14" xfId="0" applyNumberFormat="1" applyFont="1" applyFill="1" applyBorder="1" applyAlignment="1">
      <alignment horizontal="center"/>
    </xf>
    <xf numFmtId="167" fontId="0" fillId="4" borderId="16" xfId="0" applyNumberFormat="1" applyFill="1" applyBorder="1"/>
    <xf numFmtId="167" fontId="0" fillId="4" borderId="15" xfId="0" applyNumberFormat="1" applyFill="1" applyBorder="1"/>
    <xf numFmtId="168" fontId="0" fillId="2" borderId="14" xfId="0" applyNumberFormat="1" applyFill="1" applyBorder="1" applyAlignment="1">
      <alignment horizontal="center"/>
    </xf>
    <xf numFmtId="167" fontId="0" fillId="2" borderId="16" xfId="0" applyNumberFormat="1" applyFill="1" applyBorder="1" applyAlignment="1">
      <alignment horizontal="center"/>
    </xf>
    <xf numFmtId="167" fontId="0" fillId="2" borderId="17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14" xfId="0" applyNumberFormat="1" applyFill="1" applyBorder="1" applyAlignment="1">
      <alignment horizontal="right"/>
    </xf>
    <xf numFmtId="167" fontId="0" fillId="2" borderId="0" xfId="0" applyNumberFormat="1" applyFill="1" applyBorder="1"/>
    <xf numFmtId="167" fontId="0" fillId="2" borderId="15" xfId="0" applyNumberFormat="1" applyFill="1" applyBorder="1"/>
    <xf numFmtId="165" fontId="0" fillId="4" borderId="16" xfId="0" applyNumberForma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9" fillId="2" borderId="15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5" fontId="3" fillId="2" borderId="18" xfId="0" applyNumberFormat="1" applyFont="1" applyFill="1" applyBorder="1" applyAlignment="1">
      <alignment horizontal="center"/>
    </xf>
    <xf numFmtId="167" fontId="0" fillId="2" borderId="7" xfId="0" applyNumberFormat="1" applyFill="1" applyBorder="1" applyAlignment="1"/>
    <xf numFmtId="0" fontId="0" fillId="2" borderId="0" xfId="0" applyFill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6" fontId="0" fillId="2" borderId="15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15" xfId="0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right"/>
    </xf>
    <xf numFmtId="167" fontId="0" fillId="2" borderId="23" xfId="0" applyNumberFormat="1" applyFill="1" applyBorder="1"/>
    <xf numFmtId="167" fontId="0" fillId="2" borderId="21" xfId="0" applyNumberFormat="1" applyFill="1" applyBorder="1"/>
    <xf numFmtId="165" fontId="0" fillId="4" borderId="19" xfId="0" applyNumberFormat="1" applyFill="1" applyBorder="1" applyAlignment="1">
      <alignment horizontal="center"/>
    </xf>
    <xf numFmtId="165" fontId="9" fillId="2" borderId="23" xfId="0" applyNumberFormat="1" applyFont="1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165" fontId="9" fillId="2" borderId="21" xfId="0" applyNumberFormat="1" applyFont="1" applyFill="1" applyBorder="1" applyAlignment="1">
      <alignment horizontal="center"/>
    </xf>
    <xf numFmtId="166" fontId="0" fillId="2" borderId="23" xfId="0" applyNumberFormat="1" applyFont="1" applyFill="1" applyBorder="1" applyAlignment="1">
      <alignment horizontal="center"/>
    </xf>
    <xf numFmtId="165" fontId="3" fillId="2" borderId="24" xfId="0" applyNumberFormat="1" applyFont="1" applyFill="1" applyBorder="1" applyAlignment="1">
      <alignment horizontal="center"/>
    </xf>
    <xf numFmtId="0" fontId="10" fillId="4" borderId="25" xfId="0" applyFont="1" applyFill="1" applyBorder="1" applyAlignment="1">
      <alignment horizontal="right"/>
    </xf>
    <xf numFmtId="168" fontId="0" fillId="4" borderId="25" xfId="0" applyNumberFormat="1" applyFill="1" applyBorder="1" applyAlignment="1">
      <alignment horizontal="left"/>
    </xf>
    <xf numFmtId="0" fontId="0" fillId="2" borderId="14" xfId="0" applyFill="1" applyBorder="1" applyAlignment="1">
      <alignment horizontal="right"/>
    </xf>
    <xf numFmtId="165" fontId="0" fillId="2" borderId="1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167" fontId="0" fillId="2" borderId="11" xfId="0" applyNumberFormat="1" applyFill="1" applyBorder="1"/>
    <xf numFmtId="167" fontId="11" fillId="2" borderId="9" xfId="0" applyNumberFormat="1" applyFont="1" applyFill="1" applyBorder="1"/>
    <xf numFmtId="165" fontId="0" fillId="2" borderId="10" xfId="0" applyNumberFormat="1" applyFill="1" applyBorder="1" applyAlignment="1">
      <alignment horizontal="center"/>
    </xf>
    <xf numFmtId="165" fontId="9" fillId="2" borderId="11" xfId="0" applyNumberFormat="1" applyFon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9" fillId="2" borderId="9" xfId="0" applyNumberFormat="1" applyFont="1" applyFill="1" applyBorder="1" applyAlignment="1">
      <alignment horizontal="center"/>
    </xf>
    <xf numFmtId="166" fontId="0" fillId="2" borderId="11" xfId="0" applyNumberFormat="1" applyFont="1" applyFill="1" applyBorder="1" applyAlignment="1">
      <alignment horizontal="center"/>
    </xf>
    <xf numFmtId="165" fontId="3" fillId="2" borderId="13" xfId="0" applyNumberFormat="1" applyFont="1" applyFill="1" applyBorder="1" applyAlignment="1">
      <alignment horizontal="center"/>
    </xf>
    <xf numFmtId="167" fontId="0" fillId="2" borderId="26" xfId="0" applyNumberFormat="1" applyFill="1" applyBorder="1" applyAlignment="1"/>
    <xf numFmtId="165" fontId="0" fillId="2" borderId="19" xfId="0" applyNumberFormat="1" applyFill="1" applyBorder="1" applyAlignment="1">
      <alignment horizontal="center"/>
    </xf>
    <xf numFmtId="165" fontId="0" fillId="2" borderId="21" xfId="0" applyNumberForma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165" fontId="0" fillId="2" borderId="8" xfId="0" applyNumberFormat="1" applyFill="1" applyBorder="1" applyAlignment="1">
      <alignment horizontal="center"/>
    </xf>
    <xf numFmtId="166" fontId="9" fillId="2" borderId="11" xfId="0" applyNumberFormat="1" applyFon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5" fontId="9" fillId="2" borderId="8" xfId="0" applyNumberFormat="1" applyFont="1" applyFill="1" applyBorder="1" applyAlignment="1">
      <alignment horizontal="center"/>
    </xf>
    <xf numFmtId="0" fontId="0" fillId="2" borderId="10" xfId="0" applyFill="1" applyBorder="1"/>
    <xf numFmtId="165" fontId="3" fillId="2" borderId="27" xfId="0" applyNumberFormat="1" applyFont="1" applyFill="1" applyBorder="1" applyAlignment="1">
      <alignment horizontal="center"/>
    </xf>
    <xf numFmtId="168" fontId="0" fillId="2" borderId="16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FV%20Units/Reports/AEWB%20AH192900499%20RFV%204CC%20FCC%20Report%2010Sep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net-ims.inside.nokiasiemensnetworks.com/livelink/livelink/419716366/Gaia+Implementation+Requirement+Specification+4.6.xls?func=doc.Fetch&amp;nodeId=419716366&amp;vernum=1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TOC"/>
      <sheetName val="Summary HPOL"/>
      <sheetName val="Summary VPOL"/>
      <sheetName val="Test Comments"/>
      <sheetName val="Current Load"/>
      <sheetName val="Unit Cal Info"/>
      <sheetName val="HPOL EIRP_SR"/>
      <sheetName val="TX64QAMEVM HPOL"/>
      <sheetName val="VPOL EIRP_SR"/>
      <sheetName val="TX64QAMEVM VPOL"/>
      <sheetName val="OBW"/>
      <sheetName val="OBUE Results"/>
      <sheetName val="OBUE Calc"/>
      <sheetName val="GenSE"/>
      <sheetName val="SE Coexist"/>
      <sheetName val="4CC Test Freqs"/>
      <sheetName val="Watts_dB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GAIA and GAIA+)"/>
      <sheetName val="Revisions (GAIA and GAIA+)"/>
      <sheetName val="Reqs (GAIA and GAIA+)"/>
      <sheetName val="Guide (GAIA and GAIA+)"/>
      <sheetName val="Bundle modes (GAIA and GAIA+)"/>
      <sheetName val="Clip perf.reqs (GAIA and GAIA+)"/>
      <sheetName val="UL perf. reqs (GAIA and GAIA+)"/>
      <sheetName val="Timing reqs (GAIA and GAIA+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3407-EA28-4651-B870-23DF515392C4}">
  <sheetPr>
    <pageSetUpPr fitToPage="1"/>
  </sheetPr>
  <dimension ref="A1:AC16"/>
  <sheetViews>
    <sheetView tabSelected="1" topLeftCell="K1" workbookViewId="0">
      <selection activeCell="O4" sqref="O4"/>
    </sheetView>
  </sheetViews>
  <sheetFormatPr defaultRowHeight="14.4"/>
  <cols>
    <col min="1" max="1" width="24.77734375" style="2" bestFit="1" customWidth="1"/>
    <col min="2" max="2" width="43" style="2" bestFit="1" customWidth="1"/>
    <col min="3" max="3" width="6.109375" style="2" bestFit="1" customWidth="1"/>
    <col min="4" max="4" width="37.5546875" style="2" bestFit="1" customWidth="1"/>
    <col min="5" max="5" width="11.21875" style="2" customWidth="1"/>
    <col min="6" max="9" width="8.88671875" style="2"/>
    <col min="10" max="10" width="9.33203125" style="2" bestFit="1" customWidth="1"/>
    <col min="11" max="12" width="12.6640625" style="2" bestFit="1" customWidth="1"/>
    <col min="13" max="13" width="9.6640625" style="2" bestFit="1" customWidth="1"/>
    <col min="14" max="14" width="6.5546875" style="2" bestFit="1" customWidth="1"/>
    <col min="15" max="17" width="12.6640625" style="2" bestFit="1" customWidth="1"/>
    <col min="18" max="18" width="10.44140625" style="2" bestFit="1" customWidth="1"/>
    <col min="19" max="20" width="12.6640625" style="2" bestFit="1" customWidth="1"/>
    <col min="21" max="23" width="9.33203125" style="2" bestFit="1" customWidth="1"/>
    <col min="24" max="24" width="9.33203125" style="2" customWidth="1"/>
    <col min="25" max="25" width="11.44140625" style="2" bestFit="1" customWidth="1"/>
    <col min="26" max="26" width="13.88671875" style="2" customWidth="1"/>
    <col min="27" max="27" width="1.77734375" style="2" customWidth="1"/>
    <col min="28" max="28" width="11.6640625" style="2" bestFit="1" customWidth="1"/>
    <col min="29" max="16384" width="8.88671875" style="2"/>
  </cols>
  <sheetData>
    <row r="1" spans="1:29" ht="16.8" thickBot="1">
      <c r="A1" s="1" t="s">
        <v>0</v>
      </c>
    </row>
    <row r="2" spans="1:29" ht="14.4" customHeight="1">
      <c r="A2" s="3" t="s">
        <v>1</v>
      </c>
      <c r="B2" s="3" t="s">
        <v>2</v>
      </c>
      <c r="C2" s="4" t="s">
        <v>3</v>
      </c>
      <c r="D2" s="5"/>
      <c r="E2" s="6" t="s">
        <v>4</v>
      </c>
      <c r="F2" s="7" t="s">
        <v>5</v>
      </c>
      <c r="G2" s="8" t="s">
        <v>6</v>
      </c>
      <c r="H2" s="4" t="s">
        <v>7</v>
      </c>
      <c r="I2" s="9" t="s">
        <v>8</v>
      </c>
      <c r="J2" s="5"/>
      <c r="K2" s="10" t="s">
        <v>9</v>
      </c>
      <c r="L2" s="11"/>
      <c r="M2" s="6" t="s">
        <v>10</v>
      </c>
      <c r="N2" s="112" t="s">
        <v>42</v>
      </c>
      <c r="O2" s="7" t="s">
        <v>11</v>
      </c>
      <c r="P2" s="12" t="s">
        <v>12</v>
      </c>
      <c r="Q2" s="13" t="s">
        <v>13</v>
      </c>
      <c r="R2" s="6" t="s">
        <v>14</v>
      </c>
      <c r="S2" s="14" t="s">
        <v>15</v>
      </c>
      <c r="T2" s="11"/>
      <c r="U2" s="15"/>
      <c r="V2" s="16"/>
      <c r="W2" s="17"/>
      <c r="X2" s="6" t="s">
        <v>16</v>
      </c>
      <c r="Y2" s="7" t="s">
        <v>17</v>
      </c>
      <c r="Z2" s="18" t="s">
        <v>18</v>
      </c>
      <c r="AB2" s="19"/>
      <c r="AC2" s="20" t="s">
        <v>19</v>
      </c>
    </row>
    <row r="3" spans="1:29">
      <c r="A3" s="21" t="s">
        <v>20</v>
      </c>
      <c r="B3" s="22" t="s">
        <v>21</v>
      </c>
      <c r="C3" s="23"/>
      <c r="D3" s="22" t="s">
        <v>22</v>
      </c>
      <c r="E3" s="24"/>
      <c r="F3" s="25"/>
      <c r="G3" s="26"/>
      <c r="H3" s="23"/>
      <c r="I3" s="27"/>
      <c r="J3" s="28" t="s">
        <v>23</v>
      </c>
      <c r="K3" s="29" t="s">
        <v>24</v>
      </c>
      <c r="L3" s="30" t="s">
        <v>25</v>
      </c>
      <c r="M3" s="24"/>
      <c r="N3" s="24"/>
      <c r="O3" s="25"/>
      <c r="P3" s="31"/>
      <c r="Q3" s="32"/>
      <c r="R3" s="33"/>
      <c r="S3" s="34" t="s">
        <v>26</v>
      </c>
      <c r="T3" s="30" t="s">
        <v>27</v>
      </c>
      <c r="U3" s="25" t="s">
        <v>28</v>
      </c>
      <c r="V3" s="32"/>
      <c r="W3" s="35"/>
      <c r="X3" s="24"/>
      <c r="Y3" s="36"/>
      <c r="Z3" s="37"/>
      <c r="AB3" s="38" t="s">
        <v>29</v>
      </c>
      <c r="AC3" s="39"/>
    </row>
    <row r="4" spans="1:29" ht="15.6">
      <c r="A4" s="40" t="s">
        <v>30</v>
      </c>
      <c r="B4" s="40" t="s">
        <v>31</v>
      </c>
      <c r="C4" s="41">
        <v>1</v>
      </c>
      <c r="D4" s="42" t="s">
        <v>32</v>
      </c>
      <c r="E4" s="43">
        <v>57</v>
      </c>
      <c r="F4" s="44">
        <v>252</v>
      </c>
      <c r="G4" s="45">
        <f>10*LOG(F4)</f>
        <v>24.014005407815443</v>
      </c>
      <c r="H4" s="46">
        <v>5</v>
      </c>
      <c r="I4" s="47">
        <f>G4+H4</f>
        <v>29.014005407815443</v>
      </c>
      <c r="J4" s="48">
        <f>E4-I4</f>
        <v>27.985994592184557</v>
      </c>
      <c r="K4" s="49">
        <v>37000</v>
      </c>
      <c r="L4" s="50">
        <v>40000</v>
      </c>
      <c r="M4" s="51">
        <v>100</v>
      </c>
      <c r="N4" s="111" t="s">
        <v>41</v>
      </c>
      <c r="O4" s="52">
        <f>P4-($M$4/2)</f>
        <v>37194.100000000006</v>
      </c>
      <c r="P4" s="53">
        <v>37244.100000000006</v>
      </c>
      <c r="Q4" s="54">
        <f>O4+$M$4</f>
        <v>37294.100000000006</v>
      </c>
      <c r="R4" s="55" t="s">
        <v>33</v>
      </c>
      <c r="S4" s="56">
        <f>K4-B6</f>
        <v>35500</v>
      </c>
      <c r="T4" s="57">
        <f>O4-((0.1*$M$4))+0.5</f>
        <v>37184.600000000006</v>
      </c>
      <c r="U4" s="58">
        <v>-5</v>
      </c>
      <c r="V4" s="59">
        <f>$J$4-33</f>
        <v>-5.0140054078154428</v>
      </c>
      <c r="W4" s="60">
        <v>-12</v>
      </c>
      <c r="X4" s="61">
        <f>MIN(U4,MAX(V4:W4))</f>
        <v>-5.0140054078154428</v>
      </c>
      <c r="Y4" s="62">
        <v>-3</v>
      </c>
      <c r="Z4" s="63">
        <f>X4+Y4</f>
        <v>-8.0140054078154428</v>
      </c>
      <c r="AB4" s="64">
        <f t="shared" ref="AB4:AB15" si="0">ROUND(T4-S4,2)</f>
        <v>1684.6</v>
      </c>
      <c r="AC4" s="65">
        <f>INT(2*(AB4/$C$4))</f>
        <v>3369</v>
      </c>
    </row>
    <row r="5" spans="1:29" ht="15.6">
      <c r="A5" s="40" t="s">
        <v>34</v>
      </c>
      <c r="B5" s="40" t="s">
        <v>35</v>
      </c>
      <c r="C5" s="41">
        <v>1</v>
      </c>
      <c r="D5" s="42" t="s">
        <v>36</v>
      </c>
      <c r="E5" s="66"/>
      <c r="F5" s="67"/>
      <c r="G5" s="45"/>
      <c r="H5" s="68"/>
      <c r="I5" s="68"/>
      <c r="J5" s="48"/>
      <c r="K5" s="69"/>
      <c r="L5" s="70"/>
      <c r="M5" s="42"/>
      <c r="N5" s="113"/>
      <c r="O5" s="71"/>
      <c r="P5" s="72"/>
      <c r="Q5" s="73"/>
      <c r="R5" s="74" t="s">
        <v>37</v>
      </c>
      <c r="S5" s="75">
        <f>T4</f>
        <v>37184.600000000006</v>
      </c>
      <c r="T5" s="76">
        <f>O4-0.5</f>
        <v>37193.600000000006</v>
      </c>
      <c r="U5" s="77">
        <v>-13</v>
      </c>
      <c r="V5" s="78">
        <f>$J$4-41</f>
        <v>-13.014005407815443</v>
      </c>
      <c r="W5" s="79">
        <v>-20</v>
      </c>
      <c r="X5" s="80">
        <f t="shared" ref="X5:X15" si="1">MIN(U5,MAX(V5:W5))</f>
        <v>-13.014005407815443</v>
      </c>
      <c r="Y5" s="81">
        <v>-3</v>
      </c>
      <c r="Z5" s="82">
        <f t="shared" ref="Z5:Z15" si="2">X5+Y5</f>
        <v>-16.014005407815443</v>
      </c>
      <c r="AB5" s="64">
        <f t="shared" si="0"/>
        <v>9</v>
      </c>
      <c r="AC5" s="65">
        <f>INT(2*(AB5/$C$4))</f>
        <v>18</v>
      </c>
    </row>
    <row r="6" spans="1:29" ht="15.6">
      <c r="A6" s="83" t="s">
        <v>38</v>
      </c>
      <c r="B6" s="84">
        <v>1500</v>
      </c>
      <c r="C6" s="70"/>
      <c r="D6" s="42"/>
      <c r="E6" s="66"/>
      <c r="F6" s="67"/>
      <c r="G6" s="45"/>
      <c r="H6" s="68"/>
      <c r="I6" s="68"/>
      <c r="J6" s="48"/>
      <c r="K6" s="69"/>
      <c r="L6" s="70"/>
      <c r="M6" s="42"/>
      <c r="N6" s="67" t="s">
        <v>43</v>
      </c>
      <c r="O6" s="52">
        <f>P6-($M$4/2)</f>
        <v>37493.980000000003</v>
      </c>
      <c r="P6" s="53">
        <v>37543.980000000003</v>
      </c>
      <c r="Q6" s="54">
        <f>O6+$M$4</f>
        <v>37593.980000000003</v>
      </c>
      <c r="R6" s="85" t="s">
        <v>39</v>
      </c>
      <c r="S6" s="56">
        <f>Q6+0.5</f>
        <v>37594.480000000003</v>
      </c>
      <c r="T6" s="57">
        <f>S6+((0.1*$M$4)+0.5)</f>
        <v>37604.980000000003</v>
      </c>
      <c r="U6" s="86">
        <f>U5</f>
        <v>-13</v>
      </c>
      <c r="V6" s="59">
        <f t="shared" ref="V6" si="3">V5</f>
        <v>-13.014005407815443</v>
      </c>
      <c r="W6" s="87">
        <f>W5</f>
        <v>-20</v>
      </c>
      <c r="X6" s="61">
        <f t="shared" si="1"/>
        <v>-13.014005407815443</v>
      </c>
      <c r="Y6" s="62">
        <v>-3</v>
      </c>
      <c r="Z6" s="63">
        <f t="shared" si="2"/>
        <v>-16.014005407815443</v>
      </c>
      <c r="AB6" s="64">
        <f t="shared" si="0"/>
        <v>10.5</v>
      </c>
      <c r="AC6" s="65">
        <f t="shared" ref="AC6:AC15" si="4">INT(2*(AB6/$C$4))</f>
        <v>21</v>
      </c>
    </row>
    <row r="7" spans="1:29">
      <c r="A7" s="42"/>
      <c r="B7" s="42"/>
      <c r="C7" s="70"/>
      <c r="D7" s="42"/>
      <c r="E7" s="66"/>
      <c r="F7" s="67"/>
      <c r="G7" s="45"/>
      <c r="H7" s="68"/>
      <c r="I7" s="68"/>
      <c r="J7" s="48"/>
      <c r="K7" s="69"/>
      <c r="L7" s="70"/>
      <c r="M7" s="42"/>
      <c r="N7" s="103"/>
      <c r="O7" s="88"/>
      <c r="P7" s="89"/>
      <c r="Q7" s="90"/>
      <c r="R7" s="91" t="s">
        <v>40</v>
      </c>
      <c r="S7" s="92">
        <f>T6</f>
        <v>37604.980000000003</v>
      </c>
      <c r="T7" s="93">
        <f>$L$4+$B$6</f>
        <v>41500</v>
      </c>
      <c r="U7" s="94">
        <f>U4</f>
        <v>-5</v>
      </c>
      <c r="V7" s="95">
        <f>V4</f>
        <v>-5.0140054078154428</v>
      </c>
      <c r="W7" s="96">
        <f>W4</f>
        <v>-12</v>
      </c>
      <c r="X7" s="97">
        <f t="shared" si="1"/>
        <v>-5.0140054078154428</v>
      </c>
      <c r="Y7" s="98">
        <v>-3</v>
      </c>
      <c r="Z7" s="99">
        <f t="shared" si="2"/>
        <v>-8.0140054078154428</v>
      </c>
      <c r="AB7" s="100">
        <f t="shared" si="0"/>
        <v>3895.02</v>
      </c>
      <c r="AC7" s="90">
        <f t="shared" si="4"/>
        <v>7790</v>
      </c>
    </row>
    <row r="8" spans="1:29">
      <c r="A8" s="42"/>
      <c r="B8" s="42"/>
      <c r="C8" s="70"/>
      <c r="D8" s="42"/>
      <c r="E8" s="66"/>
      <c r="F8" s="67"/>
      <c r="G8" s="45"/>
      <c r="H8" s="68"/>
      <c r="I8" s="68"/>
      <c r="J8" s="48"/>
      <c r="K8" s="69"/>
      <c r="L8" s="70"/>
      <c r="M8" s="42"/>
      <c r="N8" s="111" t="s">
        <v>41</v>
      </c>
      <c r="O8" s="52">
        <f>P8-($M$4/2)</f>
        <v>38300.020000000004</v>
      </c>
      <c r="P8" s="53">
        <v>38350.020000000004</v>
      </c>
      <c r="Q8" s="54">
        <f>O8+$M$4</f>
        <v>38400.020000000004</v>
      </c>
      <c r="R8" s="55" t="s">
        <v>33</v>
      </c>
      <c r="S8" s="56">
        <f>S4</f>
        <v>35500</v>
      </c>
      <c r="T8" s="57">
        <f>O8-((0.1*$M$4))+0.5</f>
        <v>38290.520000000004</v>
      </c>
      <c r="U8" s="86">
        <f>U4</f>
        <v>-5</v>
      </c>
      <c r="V8" s="59">
        <f>$J$4-33</f>
        <v>-5.0140054078154428</v>
      </c>
      <c r="W8" s="87">
        <f>W4</f>
        <v>-12</v>
      </c>
      <c r="X8" s="61">
        <f t="shared" si="1"/>
        <v>-5.0140054078154428</v>
      </c>
      <c r="Y8" s="62">
        <v>-3</v>
      </c>
      <c r="Z8" s="63">
        <f t="shared" si="2"/>
        <v>-8.0140054078154428</v>
      </c>
      <c r="AB8" s="64">
        <f t="shared" si="0"/>
        <v>2790.52</v>
      </c>
      <c r="AC8" s="65">
        <f t="shared" si="4"/>
        <v>5581</v>
      </c>
    </row>
    <row r="9" spans="1:29">
      <c r="A9" s="42"/>
      <c r="B9" s="42"/>
      <c r="C9" s="70"/>
      <c r="D9" s="42"/>
      <c r="E9" s="66"/>
      <c r="F9" s="67"/>
      <c r="G9" s="45"/>
      <c r="H9" s="68"/>
      <c r="I9" s="68"/>
      <c r="J9" s="48"/>
      <c r="K9" s="69"/>
      <c r="L9" s="70"/>
      <c r="M9" s="42"/>
      <c r="N9" s="113"/>
      <c r="O9" s="71"/>
      <c r="P9" s="72"/>
      <c r="Q9" s="73"/>
      <c r="R9" s="74" t="s">
        <v>37</v>
      </c>
      <c r="S9" s="75">
        <f>T8</f>
        <v>38290.520000000004</v>
      </c>
      <c r="T9" s="76">
        <f>O8-0.5</f>
        <v>38299.520000000004</v>
      </c>
      <c r="U9" s="101">
        <f>U5</f>
        <v>-13</v>
      </c>
      <c r="V9" s="78">
        <f>$J$4-41</f>
        <v>-13.014005407815443</v>
      </c>
      <c r="W9" s="102">
        <f>W5</f>
        <v>-20</v>
      </c>
      <c r="X9" s="80">
        <f t="shared" si="1"/>
        <v>-13.014005407815443</v>
      </c>
      <c r="Y9" s="81">
        <v>-3</v>
      </c>
      <c r="Z9" s="82">
        <f t="shared" si="2"/>
        <v>-16.014005407815443</v>
      </c>
      <c r="AB9" s="64">
        <f t="shared" si="0"/>
        <v>9</v>
      </c>
      <c r="AC9" s="65">
        <f t="shared" si="4"/>
        <v>18</v>
      </c>
    </row>
    <row r="10" spans="1:29">
      <c r="A10" s="42"/>
      <c r="B10" s="42"/>
      <c r="C10" s="70"/>
      <c r="D10" s="42"/>
      <c r="E10" s="66"/>
      <c r="F10" s="67"/>
      <c r="G10" s="45"/>
      <c r="H10" s="68"/>
      <c r="I10" s="68"/>
      <c r="J10" s="48"/>
      <c r="K10" s="69"/>
      <c r="L10" s="70"/>
      <c r="M10" s="42"/>
      <c r="N10" s="67" t="s">
        <v>43</v>
      </c>
      <c r="O10" s="52">
        <f>P10-($M$4/2)</f>
        <v>38599.9</v>
      </c>
      <c r="P10" s="53">
        <v>38649.9</v>
      </c>
      <c r="Q10" s="54">
        <f>O10+$M$4</f>
        <v>38699.9</v>
      </c>
      <c r="R10" s="85" t="s">
        <v>39</v>
      </c>
      <c r="S10" s="56">
        <f>Q10+0.5</f>
        <v>38700.400000000001</v>
      </c>
      <c r="T10" s="57">
        <f>S10+((0.1*$M$4)+0.5)</f>
        <v>38710.9</v>
      </c>
      <c r="U10" s="86">
        <f t="shared" ref="U10:W15" si="5">U6</f>
        <v>-13</v>
      </c>
      <c r="V10" s="59">
        <f t="shared" ref="V10" si="6">V9</f>
        <v>-13.014005407815443</v>
      </c>
      <c r="W10" s="87">
        <f t="shared" si="5"/>
        <v>-20</v>
      </c>
      <c r="X10" s="61">
        <f t="shared" si="1"/>
        <v>-13.014005407815443</v>
      </c>
      <c r="Y10" s="62">
        <v>-3</v>
      </c>
      <c r="Z10" s="63">
        <f t="shared" si="2"/>
        <v>-16.014005407815443</v>
      </c>
      <c r="AB10" s="64">
        <f t="shared" si="0"/>
        <v>10.5</v>
      </c>
      <c r="AC10" s="65">
        <f t="shared" si="4"/>
        <v>21</v>
      </c>
    </row>
    <row r="11" spans="1:29">
      <c r="A11" s="42"/>
      <c r="B11" s="42"/>
      <c r="C11" s="70"/>
      <c r="D11" s="42"/>
      <c r="E11" s="66"/>
      <c r="F11" s="67"/>
      <c r="G11" s="45"/>
      <c r="H11" s="68"/>
      <c r="I11" s="68"/>
      <c r="J11" s="48"/>
      <c r="K11" s="69"/>
      <c r="L11" s="70"/>
      <c r="M11" s="42"/>
      <c r="N11" s="103"/>
      <c r="O11" s="88"/>
      <c r="P11" s="89"/>
      <c r="Q11" s="90"/>
      <c r="R11" s="91" t="s">
        <v>40</v>
      </c>
      <c r="S11" s="92">
        <f>T10</f>
        <v>38710.9</v>
      </c>
      <c r="T11" s="93">
        <f>T7</f>
        <v>41500</v>
      </c>
      <c r="U11" s="94">
        <f t="shared" si="5"/>
        <v>-5</v>
      </c>
      <c r="V11" s="95">
        <f>V8</f>
        <v>-5.0140054078154428</v>
      </c>
      <c r="W11" s="96">
        <f t="shared" si="5"/>
        <v>-12</v>
      </c>
      <c r="X11" s="97">
        <f t="shared" si="1"/>
        <v>-5.0140054078154428</v>
      </c>
      <c r="Y11" s="98">
        <v>-3</v>
      </c>
      <c r="Z11" s="99">
        <f t="shared" si="2"/>
        <v>-8.0140054078154428</v>
      </c>
      <c r="AB11" s="100">
        <f t="shared" si="0"/>
        <v>2789.1</v>
      </c>
      <c r="AC11" s="90">
        <f t="shared" si="4"/>
        <v>5578</v>
      </c>
    </row>
    <row r="12" spans="1:29">
      <c r="A12" s="42"/>
      <c r="B12" s="42"/>
      <c r="C12" s="70"/>
      <c r="D12" s="42"/>
      <c r="E12" s="66"/>
      <c r="F12" s="67"/>
      <c r="G12" s="45"/>
      <c r="H12" s="68"/>
      <c r="I12" s="68"/>
      <c r="J12" s="48"/>
      <c r="K12" s="69"/>
      <c r="L12" s="70"/>
      <c r="M12" s="42"/>
      <c r="N12" s="111" t="s">
        <v>41</v>
      </c>
      <c r="O12" s="52">
        <f>P12-($M$4/2)</f>
        <v>39395.700000000004</v>
      </c>
      <c r="P12" s="53">
        <v>39445.700000000004</v>
      </c>
      <c r="Q12" s="54">
        <f>O12+$M$4</f>
        <v>39495.700000000004</v>
      </c>
      <c r="R12" s="55" t="s">
        <v>33</v>
      </c>
      <c r="S12" s="56">
        <f>S4</f>
        <v>35500</v>
      </c>
      <c r="T12" s="57">
        <f>O12-((0.1*$M$4))+0.5</f>
        <v>39386.200000000004</v>
      </c>
      <c r="U12" s="86">
        <f t="shared" si="5"/>
        <v>-5</v>
      </c>
      <c r="V12" s="59">
        <f>$J$4-33</f>
        <v>-5.0140054078154428</v>
      </c>
      <c r="W12" s="87">
        <f t="shared" si="5"/>
        <v>-12</v>
      </c>
      <c r="X12" s="61">
        <f t="shared" si="1"/>
        <v>-5.0140054078154428</v>
      </c>
      <c r="Y12" s="62">
        <v>-3</v>
      </c>
      <c r="Z12" s="63">
        <f t="shared" si="2"/>
        <v>-8.0140054078154428</v>
      </c>
      <c r="AB12" s="64">
        <f t="shared" si="0"/>
        <v>3886.2</v>
      </c>
      <c r="AC12" s="65">
        <f t="shared" si="4"/>
        <v>7772</v>
      </c>
    </row>
    <row r="13" spans="1:29">
      <c r="A13" s="42"/>
      <c r="B13" s="42"/>
      <c r="C13" s="70"/>
      <c r="D13" s="42"/>
      <c r="E13" s="66"/>
      <c r="F13" s="67"/>
      <c r="G13" s="45"/>
      <c r="H13" s="68"/>
      <c r="I13" s="68"/>
      <c r="J13" s="48"/>
      <c r="K13" s="69"/>
      <c r="L13" s="70"/>
      <c r="M13" s="42"/>
      <c r="N13" s="113"/>
      <c r="O13" s="71"/>
      <c r="P13" s="72"/>
      <c r="Q13" s="73"/>
      <c r="R13" s="74" t="s">
        <v>37</v>
      </c>
      <c r="S13" s="75">
        <f>T12</f>
        <v>39386.200000000004</v>
      </c>
      <c r="T13" s="76">
        <f>O12+0.5</f>
        <v>39396.200000000004</v>
      </c>
      <c r="U13" s="101">
        <f t="shared" si="5"/>
        <v>-13</v>
      </c>
      <c r="V13" s="78">
        <f>$J$4-41</f>
        <v>-13.014005407815443</v>
      </c>
      <c r="W13" s="102">
        <f t="shared" si="5"/>
        <v>-20</v>
      </c>
      <c r="X13" s="80">
        <f t="shared" si="1"/>
        <v>-13.014005407815443</v>
      </c>
      <c r="Y13" s="81">
        <v>-3</v>
      </c>
      <c r="Z13" s="82">
        <f t="shared" si="2"/>
        <v>-16.014005407815443</v>
      </c>
      <c r="AB13" s="64">
        <f t="shared" si="0"/>
        <v>10</v>
      </c>
      <c r="AC13" s="65">
        <f t="shared" si="4"/>
        <v>20</v>
      </c>
    </row>
    <row r="14" spans="1:29">
      <c r="A14" s="42"/>
      <c r="B14" s="42"/>
      <c r="C14" s="70"/>
      <c r="D14" s="42"/>
      <c r="E14" s="66"/>
      <c r="F14" s="67"/>
      <c r="G14" s="45"/>
      <c r="H14" s="68"/>
      <c r="I14" s="68"/>
      <c r="J14" s="48"/>
      <c r="K14" s="69"/>
      <c r="L14" s="70"/>
      <c r="M14" s="42"/>
      <c r="N14" s="67" t="s">
        <v>43</v>
      </c>
      <c r="O14" s="52">
        <f>P14-($M$4/2)</f>
        <v>39695.58</v>
      </c>
      <c r="P14" s="53">
        <v>39745.58</v>
      </c>
      <c r="Q14" s="54">
        <f>O14+$M$4</f>
        <v>39795.58</v>
      </c>
      <c r="R14" s="85" t="s">
        <v>39</v>
      </c>
      <c r="S14" s="56">
        <f>Q14+0.5</f>
        <v>39796.080000000002</v>
      </c>
      <c r="T14" s="57">
        <f>S14+((0.1*$M$4)+0.5)</f>
        <v>39806.58</v>
      </c>
      <c r="U14" s="86">
        <f t="shared" si="5"/>
        <v>-13</v>
      </c>
      <c r="V14" s="59">
        <f t="shared" ref="V14" si="7">V13</f>
        <v>-13.014005407815443</v>
      </c>
      <c r="W14" s="87">
        <f t="shared" si="5"/>
        <v>-20</v>
      </c>
      <c r="X14" s="61">
        <f t="shared" si="1"/>
        <v>-13.014005407815443</v>
      </c>
      <c r="Y14" s="62">
        <v>-3</v>
      </c>
      <c r="Z14" s="63">
        <f t="shared" si="2"/>
        <v>-16.014005407815443</v>
      </c>
      <c r="AB14" s="64">
        <f t="shared" si="0"/>
        <v>10.5</v>
      </c>
      <c r="AC14" s="65">
        <f t="shared" si="4"/>
        <v>21</v>
      </c>
    </row>
    <row r="15" spans="1:29" ht="15" thickBot="1">
      <c r="A15" s="103"/>
      <c r="B15" s="103"/>
      <c r="C15" s="104"/>
      <c r="D15" s="103"/>
      <c r="E15" s="105"/>
      <c r="F15" s="88"/>
      <c r="G15" s="106"/>
      <c r="H15" s="107"/>
      <c r="I15" s="107"/>
      <c r="J15" s="108"/>
      <c r="K15" s="109"/>
      <c r="L15" s="104"/>
      <c r="M15" s="103"/>
      <c r="N15" s="103"/>
      <c r="O15" s="88"/>
      <c r="P15" s="89"/>
      <c r="Q15" s="90"/>
      <c r="R15" s="91" t="s">
        <v>40</v>
      </c>
      <c r="S15" s="92">
        <f>T14</f>
        <v>39806.58</v>
      </c>
      <c r="T15" s="93">
        <f>T11</f>
        <v>41500</v>
      </c>
      <c r="U15" s="94">
        <f t="shared" si="5"/>
        <v>-5</v>
      </c>
      <c r="V15" s="95">
        <f>V12</f>
        <v>-5.0140054078154428</v>
      </c>
      <c r="W15" s="96">
        <f t="shared" si="5"/>
        <v>-12</v>
      </c>
      <c r="X15" s="97">
        <f t="shared" si="1"/>
        <v>-5.0140054078154428</v>
      </c>
      <c r="Y15" s="98">
        <v>-3</v>
      </c>
      <c r="Z15" s="110">
        <f t="shared" si="2"/>
        <v>-8.0140054078154428</v>
      </c>
      <c r="AB15" s="64">
        <f t="shared" si="0"/>
        <v>1693.42</v>
      </c>
      <c r="AC15" s="65">
        <f t="shared" si="4"/>
        <v>3386</v>
      </c>
    </row>
    <row r="16" spans="1:29">
      <c r="K16" s="2" t="s">
        <v>44</v>
      </c>
    </row>
  </sheetData>
  <mergeCells count="19">
    <mergeCell ref="S2:T2"/>
    <mergeCell ref="X2:X3"/>
    <mergeCell ref="Y2:Y3"/>
    <mergeCell ref="Z2:Z3"/>
    <mergeCell ref="AC2:AC3"/>
    <mergeCell ref="U3:W3"/>
    <mergeCell ref="K2:L2"/>
    <mergeCell ref="M2:M3"/>
    <mergeCell ref="O2:O3"/>
    <mergeCell ref="P2:P3"/>
    <mergeCell ref="Q2:Q3"/>
    <mergeCell ref="R2:R3"/>
    <mergeCell ref="N2:N3"/>
    <mergeCell ref="C2:C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OBUE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Warriner, Tim (Nokia - US/Irving)</dc:creator>
  <cp:lastModifiedBy>Warriner, Tim (Nokia - US/Irving)</cp:lastModifiedBy>
  <dcterms:created xsi:type="dcterms:W3CDTF">2019-10-28T18:25:28Z</dcterms:created>
  <dcterms:modified xsi:type="dcterms:W3CDTF">2019-10-28T18:30:17Z</dcterms:modified>
</cp:coreProperties>
</file>