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W_IV\RF_Performance\5G_Gen4 Gluon\AEWB A102\"/>
    </mc:Choice>
  </mc:AlternateContent>
  <xr:revisionPtr revIDLastSave="0" documentId="13_ncr:1_{E41BDEB0-0AD6-40C4-BA76-35ECD0B24907}" xr6:coauthVersionLast="41" xr6:coauthVersionMax="41" xr10:uidLastSave="{00000000-0000-0000-0000-000000000000}"/>
  <bookViews>
    <workbookView xWindow="-108" yWindow="-108" windowWidth="23256" windowHeight="12576" xr2:uid="{96755BC1-E943-4E4A-9F11-98E41696B944}"/>
  </bookViews>
  <sheets>
    <sheet name="OBUE Calc" sheetId="2" r:id="rId1"/>
    <sheet name="OBUE Result" sheetId="1" r:id="rId2"/>
  </sheets>
  <externalReferences>
    <externalReference r:id="rId3"/>
  </externalReferences>
  <definedNames>
    <definedName name="dddd">#REF!</definedName>
    <definedName name="Feature_Column">#REF!</definedName>
    <definedName name="IO">#REF!</definedName>
    <definedName name="Missing_GNL">#REF!</definedName>
    <definedName name="Missing_IO">#REF!</definedName>
    <definedName name="Missing_RX">#REF!</definedName>
    <definedName name="Missing_TOP">#REF!</definedName>
    <definedName name="Missing_TX">#REF!</definedName>
    <definedName name="prodReqFile">'[1]Revisions (GAIA and GAIA+)'!#REF!</definedName>
    <definedName name="RX">#REF!</definedName>
    <definedName name="RX_Al">#REF!</definedName>
    <definedName name="TopLevel">#REF!</definedName>
    <definedName name="TX">#REF!</definedName>
    <definedName name="Verification_Fi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26" i="1" s="1"/>
  <c r="D14" i="1"/>
  <c r="C14" i="1"/>
  <c r="E10" i="1"/>
  <c r="E22" i="1" s="1"/>
  <c r="C10" i="1"/>
  <c r="D10" i="1"/>
  <c r="C6" i="1"/>
  <c r="M4" i="2"/>
  <c r="N12" i="2" s="1"/>
  <c r="P12" i="2" s="1"/>
  <c r="V12" i="2"/>
  <c r="R12" i="2"/>
  <c r="F14" i="1" s="1"/>
  <c r="F26" i="1" s="1"/>
  <c r="T11" i="2"/>
  <c r="T15" i="2" s="1"/>
  <c r="V9" i="2"/>
  <c r="V13" i="2" s="1"/>
  <c r="T9" i="2"/>
  <c r="T13" i="2" s="1"/>
  <c r="V8" i="2"/>
  <c r="T8" i="2"/>
  <c r="T12" i="2" s="1"/>
  <c r="V7" i="2"/>
  <c r="V11" i="2" s="1"/>
  <c r="V15" i="2" s="1"/>
  <c r="T7" i="2"/>
  <c r="S7" i="2"/>
  <c r="S11" i="2" s="1"/>
  <c r="S15" i="2" s="1"/>
  <c r="V6" i="2"/>
  <c r="V10" i="2" s="1"/>
  <c r="V14" i="2" s="1"/>
  <c r="T6" i="2"/>
  <c r="T10" i="2" s="1"/>
  <c r="T14" i="2" s="1"/>
  <c r="R4" i="2"/>
  <c r="R8" i="2" s="1"/>
  <c r="F10" i="1" s="1"/>
  <c r="F22" i="1" s="1"/>
  <c r="I4" i="2"/>
  <c r="J25" i="1" s="1"/>
  <c r="G4" i="2"/>
  <c r="G29" i="1"/>
  <c r="J27" i="1"/>
  <c r="B26" i="1"/>
  <c r="G25" i="1"/>
  <c r="J22" i="1"/>
  <c r="B22" i="1"/>
  <c r="G21" i="1"/>
  <c r="B18" i="1"/>
  <c r="J17" i="1"/>
  <c r="B14" i="1"/>
  <c r="J13" i="1"/>
  <c r="H13" i="1"/>
  <c r="H17" i="1" s="1"/>
  <c r="H21" i="1" s="1"/>
  <c r="H25" i="1" s="1"/>
  <c r="H29" i="1" s="1"/>
  <c r="H12" i="1"/>
  <c r="H16" i="1" s="1"/>
  <c r="H20" i="1" s="1"/>
  <c r="H24" i="1" s="1"/>
  <c r="H28" i="1" s="1"/>
  <c r="H11" i="1"/>
  <c r="H15" i="1" s="1"/>
  <c r="H19" i="1" s="1"/>
  <c r="H23" i="1" s="1"/>
  <c r="H27" i="1" s="1"/>
  <c r="H10" i="1"/>
  <c r="H14" i="1" s="1"/>
  <c r="H18" i="1" s="1"/>
  <c r="H22" i="1" s="1"/>
  <c r="H26" i="1" s="1"/>
  <c r="B10" i="1"/>
  <c r="J9" i="1"/>
  <c r="J8" i="1"/>
  <c r="F6" i="1"/>
  <c r="F18" i="1" s="1"/>
  <c r="C26" i="1" l="1"/>
  <c r="N4" i="2"/>
  <c r="P4" i="2" s="1"/>
  <c r="E6" i="1" s="1"/>
  <c r="E18" i="1" s="1"/>
  <c r="N8" i="2"/>
  <c r="P8" i="2" s="1"/>
  <c r="R10" i="2" s="1"/>
  <c r="D6" i="1"/>
  <c r="C18" i="1"/>
  <c r="J29" i="1"/>
  <c r="J11" i="1"/>
  <c r="J15" i="1"/>
  <c r="J19" i="1"/>
  <c r="J21" i="1"/>
  <c r="C22" i="1"/>
  <c r="J24" i="1"/>
  <c r="J26" i="1"/>
  <c r="J4" i="2"/>
  <c r="J6" i="1"/>
  <c r="J10" i="1"/>
  <c r="J14" i="1"/>
  <c r="J18" i="1"/>
  <c r="J28" i="1"/>
  <c r="J7" i="1"/>
  <c r="J12" i="1"/>
  <c r="J16" i="1"/>
  <c r="J20" i="1"/>
  <c r="J23" i="1"/>
  <c r="R14" i="2" l="1"/>
  <c r="F12" i="1"/>
  <c r="F24" i="1" s="1"/>
  <c r="S10" i="2"/>
  <c r="Z10" i="2" s="1"/>
  <c r="AA10" i="2" s="1"/>
  <c r="O12" i="1" s="1"/>
  <c r="O24" i="1" s="1"/>
  <c r="R6" i="2"/>
  <c r="D18" i="1"/>
  <c r="D26" i="1"/>
  <c r="U12" i="2"/>
  <c r="U9" i="2"/>
  <c r="U13" i="2"/>
  <c r="U8" i="2"/>
  <c r="U5" i="2"/>
  <c r="U4" i="2"/>
  <c r="D22" i="1"/>
  <c r="U10" i="2" l="1"/>
  <c r="W10" i="2" s="1"/>
  <c r="Y10" i="2" s="1"/>
  <c r="W9" i="2"/>
  <c r="Y9" i="2" s="1"/>
  <c r="R11" i="2"/>
  <c r="G12" i="1"/>
  <c r="G24" i="1" s="1"/>
  <c r="U15" i="2"/>
  <c r="W15" i="2" s="1"/>
  <c r="Y15" i="2" s="1"/>
  <c r="W12" i="2"/>
  <c r="Y12" i="2" s="1"/>
  <c r="S4" i="2"/>
  <c r="Z4" i="2" s="1"/>
  <c r="AA4" i="2" s="1"/>
  <c r="O6" i="1" s="1"/>
  <c r="O18" i="1" s="1"/>
  <c r="S5" i="2"/>
  <c r="S8" i="2"/>
  <c r="Z8" i="2" s="1"/>
  <c r="AA8" i="2" s="1"/>
  <c r="O10" i="1" s="1"/>
  <c r="O22" i="1" s="1"/>
  <c r="S9" i="2"/>
  <c r="W8" i="2"/>
  <c r="Y8" i="2" s="1"/>
  <c r="U11" i="2"/>
  <c r="W11" i="2" s="1"/>
  <c r="Y11" i="2" s="1"/>
  <c r="F8" i="1"/>
  <c r="F20" i="1" s="1"/>
  <c r="S6" i="2"/>
  <c r="Z6" i="2" s="1"/>
  <c r="AA6" i="2" s="1"/>
  <c r="O8" i="1" s="1"/>
  <c r="O20" i="1" s="1"/>
  <c r="U7" i="2"/>
  <c r="W7" i="2" s="1"/>
  <c r="Y7" i="2" s="1"/>
  <c r="M9" i="1" s="1"/>
  <c r="W4" i="2"/>
  <c r="Y4" i="2" s="1"/>
  <c r="M6" i="1" s="1"/>
  <c r="U6" i="2"/>
  <c r="W6" i="2" s="1"/>
  <c r="Y6" i="2" s="1"/>
  <c r="M8" i="1" s="1"/>
  <c r="W5" i="2"/>
  <c r="Y5" i="2" s="1"/>
  <c r="M7" i="1" s="1"/>
  <c r="W13" i="2"/>
  <c r="Y13" i="2" s="1"/>
  <c r="U14" i="2"/>
  <c r="W14" i="2" s="1"/>
  <c r="Y14" i="2" s="1"/>
  <c r="S12" i="2"/>
  <c r="Z12" i="2" s="1"/>
  <c r="AA12" i="2" s="1"/>
  <c r="O14" i="1" s="1"/>
  <c r="O26" i="1" s="1"/>
  <c r="S13" i="2"/>
  <c r="S14" i="2"/>
  <c r="Z14" i="2" s="1"/>
  <c r="AA14" i="2" s="1"/>
  <c r="O16" i="1" s="1"/>
  <c r="O28" i="1" s="1"/>
  <c r="F16" i="1"/>
  <c r="F28" i="1" s="1"/>
  <c r="G7" i="1" l="1"/>
  <c r="G19" i="1" s="1"/>
  <c r="F13" i="1"/>
  <c r="F25" i="1" s="1"/>
  <c r="Z11" i="2"/>
  <c r="AA11" i="2" s="1"/>
  <c r="O13" i="1" s="1"/>
  <c r="O25" i="1" s="1"/>
  <c r="G15" i="1"/>
  <c r="G27" i="1" s="1"/>
  <c r="G11" i="1"/>
  <c r="G23" i="1" s="1"/>
  <c r="K6" i="1"/>
  <c r="M10" i="1"/>
  <c r="R15" i="2"/>
  <c r="G16" i="1"/>
  <c r="G28" i="1" s="1"/>
  <c r="M13" i="1"/>
  <c r="K9" i="1"/>
  <c r="R5" i="2"/>
  <c r="F7" i="1" s="1"/>
  <c r="F19" i="1" s="1"/>
  <c r="G6" i="1"/>
  <c r="G18" i="1" s="1"/>
  <c r="M11" i="1"/>
  <c r="K7" i="1"/>
  <c r="R7" i="2"/>
  <c r="G8" i="1"/>
  <c r="G20" i="1" s="1"/>
  <c r="R13" i="2"/>
  <c r="F15" i="1" s="1"/>
  <c r="F27" i="1" s="1"/>
  <c r="G14" i="1"/>
  <c r="G26" i="1" s="1"/>
  <c r="M12" i="1"/>
  <c r="K8" i="1"/>
  <c r="G10" i="1"/>
  <c r="G22" i="1" s="1"/>
  <c r="R9" i="2"/>
  <c r="F11" i="1" s="1"/>
  <c r="F23" i="1" s="1"/>
  <c r="Z9" i="2" l="1"/>
  <c r="AA9" i="2" s="1"/>
  <c r="O11" i="1" s="1"/>
  <c r="O23" i="1" s="1"/>
  <c r="F9" i="1"/>
  <c r="F21" i="1" s="1"/>
  <c r="Z7" i="2"/>
  <c r="AA7" i="2" s="1"/>
  <c r="O9" i="1" s="1"/>
  <c r="O21" i="1" s="1"/>
  <c r="F17" i="1"/>
  <c r="F29" i="1" s="1"/>
  <c r="Z15" i="2"/>
  <c r="AA15" i="2" s="1"/>
  <c r="O17" i="1" s="1"/>
  <c r="O29" i="1" s="1"/>
  <c r="Z13" i="2"/>
  <c r="AA13" i="2" s="1"/>
  <c r="O15" i="1" s="1"/>
  <c r="O27" i="1" s="1"/>
  <c r="Z5" i="2"/>
  <c r="AA5" i="2" s="1"/>
  <c r="O7" i="1" s="1"/>
  <c r="O19" i="1" s="1"/>
  <c r="M16" i="1"/>
  <c r="K12" i="1"/>
  <c r="K10" i="1"/>
  <c r="M14" i="1"/>
  <c r="M15" i="1"/>
  <c r="K11" i="1"/>
  <c r="M17" i="1"/>
  <c r="K13" i="1"/>
  <c r="K14" i="1" l="1"/>
  <c r="M18" i="1"/>
  <c r="M21" i="1"/>
  <c r="K17" i="1"/>
  <c r="M19" i="1"/>
  <c r="K15" i="1"/>
  <c r="K16" i="1"/>
  <c r="M20" i="1"/>
  <c r="K21" i="1" l="1"/>
  <c r="M25" i="1"/>
  <c r="K18" i="1"/>
  <c r="M22" i="1"/>
  <c r="M24" i="1"/>
  <c r="K20" i="1"/>
  <c r="K19" i="1"/>
  <c r="M23" i="1"/>
  <c r="K24" i="1" l="1"/>
  <c r="M28" i="1"/>
  <c r="K28" i="1" s="1"/>
  <c r="M27" i="1"/>
  <c r="K27" i="1" s="1"/>
  <c r="K23" i="1"/>
  <c r="M26" i="1"/>
  <c r="K26" i="1" s="1"/>
  <c r="K22" i="1"/>
  <c r="M29" i="1"/>
  <c r="K29" i="1" s="1"/>
  <c r="K25" i="1"/>
</calcChain>
</file>

<file path=xl/sharedStrings.xml><?xml version="1.0" encoding="utf-8"?>
<sst xmlns="http://schemas.openxmlformats.org/spreadsheetml/2006/main" count="169" uniqueCount="56">
  <si>
    <t>OBUE (TRP Based)</t>
  </si>
  <si>
    <r>
      <t>Beam Angle:  0</t>
    </r>
    <r>
      <rPr>
        <b/>
        <vertAlign val="superscript"/>
        <sz val="11"/>
        <color theme="1"/>
        <rFont val="Calibri Light"/>
        <family val="2"/>
        <scheme val="major"/>
      </rPr>
      <t>o</t>
    </r>
    <r>
      <rPr>
        <b/>
        <sz val="11"/>
        <color theme="1"/>
        <rFont val="Calibri Light"/>
        <family val="2"/>
        <scheme val="major"/>
      </rPr>
      <t>, 0</t>
    </r>
    <r>
      <rPr>
        <b/>
        <vertAlign val="superscript"/>
        <sz val="11"/>
        <color theme="1"/>
        <rFont val="Calibri Light"/>
        <family val="2"/>
        <scheme val="major"/>
      </rPr>
      <t>o</t>
    </r>
  </si>
  <si>
    <t>Ch BW:  100MHz</t>
  </si>
  <si>
    <t>Antenna</t>
  </si>
  <si>
    <t>Carrier
Frequency</t>
  </si>
  <si>
    <t>Channel
BW</t>
  </si>
  <si>
    <t>Channel Band Edge</t>
  </si>
  <si>
    <t>Frequency Offset</t>
  </si>
  <si>
    <t>OTA
Level</t>
  </si>
  <si>
    <t>TRP
Level</t>
  </si>
  <si>
    <t>TPR
USL</t>
  </si>
  <si>
    <t>Max.
EIRP</t>
  </si>
  <si>
    <t>Start</t>
  </si>
  <si>
    <t>Stop</t>
  </si>
  <si>
    <t>RBW</t>
  </si>
  <si>
    <t>Margin</t>
  </si>
  <si>
    <t>HPOL</t>
  </si>
  <si>
    <t>VPOL</t>
  </si>
  <si>
    <t>TRP</t>
  </si>
  <si>
    <t>OBUE Calculator</t>
  </si>
  <si>
    <t>Freq Offset of
Measurement Filter
-3dB Points</t>
  </si>
  <si>
    <t>Freq Offset of
Measurement Filter
Center</t>
  </si>
  <si>
    <t>Meas.
BW</t>
  </si>
  <si>
    <t>Rated
EIRP</t>
  </si>
  <si>
    <t>Element
Qty</t>
  </si>
  <si>
    <t>Antenna
Gain</t>
  </si>
  <si>
    <t>Element
Gain</t>
  </si>
  <si>
    <t>Array
Gain</t>
  </si>
  <si>
    <t>RF DL Span</t>
  </si>
  <si>
    <t>Channel
Start</t>
  </si>
  <si>
    <t>Channel
Stop</t>
  </si>
  <si>
    <t>Offset
Description</t>
  </si>
  <si>
    <t>Measurement Span</t>
  </si>
  <si>
    <t>Total
USL</t>
  </si>
  <si>
    <t>Per Antenna
Adjustment</t>
  </si>
  <si>
    <t>Single Antenna USL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</si>
  <si>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f</t>
    </r>
  </si>
  <si>
    <t>f_offset</t>
  </si>
  <si>
    <t>Limit</t>
  </si>
  <si>
    <t>Start Freq</t>
  </si>
  <si>
    <t>Stop Freq</t>
  </si>
  <si>
    <t>USL Possibilities</t>
  </si>
  <si>
    <r>
      <t xml:space="preserve">0 MHz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f &lt; 0.1*BW</t>
    </r>
    <r>
      <rPr>
        <vertAlign val="subscript"/>
        <sz val="11"/>
        <color theme="1"/>
        <rFont val="Calibri"/>
        <family val="2"/>
        <scheme val="minor"/>
      </rPr>
      <t>Contiguous</t>
    </r>
  </si>
  <si>
    <r>
      <t xml:space="preserve">0.5 MHz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f_offset &lt; 0.1*BW</t>
    </r>
    <r>
      <rPr>
        <vertAlign val="subscript"/>
        <sz val="11"/>
        <color theme="1"/>
        <rFont val="Calibri"/>
        <family val="2"/>
        <scheme val="minor"/>
      </rPr>
      <t xml:space="preserve">Contiguous </t>
    </r>
    <r>
      <rPr>
        <sz val="11"/>
        <color theme="1"/>
        <rFont val="Calibri"/>
        <family val="2"/>
        <scheme val="minor"/>
      </rPr>
      <t>+0.5 MHz</t>
    </r>
  </si>
  <si>
    <r>
      <t>MIN[-5dBm, MAX(P</t>
    </r>
    <r>
      <rPr>
        <vertAlign val="subscript"/>
        <sz val="11"/>
        <color theme="1"/>
        <rFont val="Calibri"/>
        <family val="2"/>
        <scheme val="minor"/>
      </rPr>
      <t>rated_TRP</t>
    </r>
    <r>
      <rPr>
        <sz val="11"/>
        <color theme="1"/>
        <rFont val="Calibri"/>
        <family val="2"/>
        <scheme val="minor"/>
      </rPr>
      <t xml:space="preserve"> - 33dB, -12dBm)]</t>
    </r>
  </si>
  <si>
    <t>Span 1</t>
  </si>
  <si>
    <r>
      <t>0.1*BW</t>
    </r>
    <r>
      <rPr>
        <vertAlign val="subscript"/>
        <sz val="11"/>
        <color theme="1"/>
        <rFont val="Calibri"/>
        <family val="2"/>
        <scheme val="minor"/>
      </rPr>
      <t>Contiguous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f &lt;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</si>
  <si>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0.1*BW</t>
    </r>
    <r>
      <rPr>
        <vertAlign val="subscript"/>
        <sz val="11"/>
        <color theme="1"/>
        <rFont val="Calibri"/>
        <family val="2"/>
        <scheme val="minor"/>
      </rPr>
      <t xml:space="preserve">Contiguous </t>
    </r>
    <r>
      <rPr>
        <sz val="11"/>
        <color theme="1"/>
        <rFont val="Calibri"/>
        <family val="2"/>
        <scheme val="minor"/>
      </rPr>
      <t xml:space="preserve">+ 0.5 MHz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f_offset</t>
    </r>
    <r>
      <rPr>
        <sz val="11"/>
        <color theme="1"/>
        <rFont val="Symbol"/>
        <family val="1"/>
        <charset val="2"/>
      </rPr>
      <t xml:space="preserve"> </t>
    </r>
    <r>
      <rPr>
        <sz val="11"/>
        <color theme="1"/>
        <rFont val="Calibri"/>
        <family val="2"/>
        <scheme val="minor"/>
      </rPr>
      <t>&lt; f_offset</t>
    </r>
    <r>
      <rPr>
        <vertAlign val="subscript"/>
        <sz val="11"/>
        <color theme="1"/>
        <rFont val="Calibri"/>
        <family val="2"/>
        <scheme val="minor"/>
      </rPr>
      <t>max</t>
    </r>
  </si>
  <si>
    <r>
      <t>MIN[-13dBm, MAX(P</t>
    </r>
    <r>
      <rPr>
        <vertAlign val="subscript"/>
        <sz val="11"/>
        <color theme="1"/>
        <rFont val="Calibri"/>
        <family val="2"/>
        <scheme val="minor"/>
      </rPr>
      <t>rated_TRP</t>
    </r>
    <r>
      <rPr>
        <sz val="11"/>
        <color theme="1"/>
        <rFont val="Calibri"/>
        <family val="2"/>
        <scheme val="minor"/>
      </rPr>
      <t xml:space="preserve"> -41dB, -20dBm)]</t>
    </r>
  </si>
  <si>
    <t>Span 2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</si>
  <si>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OBUE</t>
    </r>
  </si>
  <si>
    <t>Span 3</t>
  </si>
  <si>
    <t>Span 4</t>
  </si>
  <si>
    <t>Span</t>
  </si>
  <si>
    <t>Min. Points</t>
  </si>
  <si>
    <t>Peak
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</si>
</sst>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&quot; GHz&quot;"/>
    <numFmt numFmtId="165" formatCode="0.00&quot; GHz&quot;"/>
    <numFmt numFmtId="166" formatCode="0.0&quot; dBm&quot;"/>
    <numFmt numFmtId="167" formatCode="0.0&quot; dB&quot;"/>
    <numFmt numFmtId="168" formatCode="0.00&quot; MHz&quot;"/>
    <numFmt numFmtId="169" formatCode="0.0&quot; MHz&quot;"/>
    <numFmt numFmtId="170" formatCode="0&quot; MHz&quot;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Nokia Pure Text"/>
      <family val="2"/>
    </font>
    <font>
      <b/>
      <sz val="11"/>
      <color theme="1"/>
      <name val="Calibri Light"/>
      <family val="2"/>
      <scheme val="major"/>
    </font>
    <font>
      <b/>
      <vertAlign val="superscript"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theme="1"/>
      <name val="Nokia Pure Headline"/>
      <family val="2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  <font>
      <u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1"/>
      <name val="Calibri"/>
      <family val="2"/>
      <scheme val="minor"/>
    </font>
    <font>
      <sz val="11"/>
      <color rgb="FF0033CC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2499465926084170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medium">
        <color rgb="FFFF0000"/>
      </left>
      <right style="medium">
        <color rgb="FFFF0000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06">
    <xf numFmtId="0" fontId="0" fillId="0" borderId="0" xfId="0"/>
    <xf numFmtId="0" fontId="3" fillId="2" borderId="0" xfId="0" applyFont="1" applyFill="1" applyBorder="1" applyAlignment="1">
      <alignment vertical="center"/>
    </xf>
    <xf numFmtId="0" fontId="0" fillId="2" borderId="0" xfId="0" applyFill="1"/>
    <xf numFmtId="0" fontId="4" fillId="2" borderId="0" xfId="0" applyFont="1" applyFill="1" applyBorder="1" applyAlignment="1">
      <alignment horizontal="left" vertical="center"/>
    </xf>
    <xf numFmtId="0" fontId="6" fillId="2" borderId="0" xfId="0" applyFont="1" applyFill="1"/>
    <xf numFmtId="0" fontId="11" fillId="2" borderId="0" xfId="0" applyFont="1" applyFill="1"/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164" fontId="12" fillId="2" borderId="1" xfId="1" applyNumberFormat="1" applyFont="1" applyFill="1" applyBorder="1" applyAlignment="1">
      <alignment horizontal="center"/>
    </xf>
    <xf numFmtId="164" fontId="12" fillId="2" borderId="2" xfId="1" applyNumberFormat="1" applyFont="1" applyFill="1" applyBorder="1" applyAlignment="1">
      <alignment horizontal="center"/>
    </xf>
    <xf numFmtId="164" fontId="11" fillId="2" borderId="12" xfId="0" applyNumberFormat="1" applyFont="1" applyFill="1" applyBorder="1" applyAlignment="1">
      <alignment horizontal="right"/>
    </xf>
    <xf numFmtId="164" fontId="11" fillId="2" borderId="13" xfId="0" applyNumberFormat="1" applyFont="1" applyFill="1" applyBorder="1" applyAlignment="1">
      <alignment horizontal="right"/>
    </xf>
    <xf numFmtId="166" fontId="12" fillId="2" borderId="15" xfId="0" applyNumberFormat="1" applyFont="1" applyFill="1" applyBorder="1" applyAlignment="1">
      <alignment horizontal="center"/>
    </xf>
    <xf numFmtId="166" fontId="13" fillId="2" borderId="3" xfId="0" applyNumberFormat="1" applyFont="1" applyFill="1" applyBorder="1" applyAlignment="1">
      <alignment horizontal="center"/>
    </xf>
    <xf numFmtId="167" fontId="13" fillId="2" borderId="1" xfId="0" applyNumberFormat="1" applyFont="1" applyFill="1" applyBorder="1" applyAlignment="1">
      <alignment horizontal="center"/>
    </xf>
    <xf numFmtId="164" fontId="11" fillId="2" borderId="3" xfId="0" applyNumberFormat="1" applyFont="1" applyFill="1" applyBorder="1" applyAlignment="1">
      <alignment horizontal="center"/>
    </xf>
    <xf numFmtId="166" fontId="12" fillId="2" borderId="16" xfId="0" applyNumberFormat="1" applyFont="1" applyFill="1" applyBorder="1" applyAlignment="1">
      <alignment horizontal="center"/>
    </xf>
    <xf numFmtId="166" fontId="12" fillId="2" borderId="1" xfId="0" applyNumberFormat="1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 vertical="center"/>
    </xf>
    <xf numFmtId="166" fontId="11" fillId="2" borderId="18" xfId="0" applyNumberFormat="1" applyFont="1" applyFill="1" applyBorder="1"/>
    <xf numFmtId="165" fontId="11" fillId="2" borderId="18" xfId="0" applyNumberFormat="1" applyFont="1" applyFill="1" applyBorder="1"/>
    <xf numFmtId="164" fontId="11" fillId="2" borderId="19" xfId="0" applyNumberFormat="1" applyFont="1" applyFill="1" applyBorder="1" applyAlignment="1">
      <alignment horizontal="right"/>
    </xf>
    <xf numFmtId="164" fontId="11" fillId="2" borderId="20" xfId="0" applyNumberFormat="1" applyFont="1" applyFill="1" applyBorder="1" applyAlignment="1">
      <alignment horizontal="right"/>
    </xf>
    <xf numFmtId="166" fontId="12" fillId="2" borderId="22" xfId="0" applyNumberFormat="1" applyFont="1" applyFill="1" applyBorder="1" applyAlignment="1">
      <alignment horizontal="center"/>
    </xf>
    <xf numFmtId="166" fontId="13" fillId="2" borderId="23" xfId="0" applyNumberFormat="1" applyFont="1" applyFill="1" applyBorder="1" applyAlignment="1">
      <alignment horizontal="center"/>
    </xf>
    <xf numFmtId="167" fontId="13" fillId="2" borderId="24" xfId="0" applyNumberFormat="1" applyFont="1" applyFill="1" applyBorder="1" applyAlignment="1">
      <alignment horizontal="center"/>
    </xf>
    <xf numFmtId="164" fontId="11" fillId="2" borderId="24" xfId="0" applyNumberFormat="1" applyFont="1" applyFill="1" applyBorder="1" applyAlignment="1">
      <alignment horizontal="center"/>
    </xf>
    <xf numFmtId="166" fontId="12" fillId="2" borderId="25" xfId="0" applyNumberFormat="1" applyFont="1" applyFill="1" applyBorder="1" applyAlignment="1">
      <alignment horizontal="center"/>
    </xf>
    <xf numFmtId="166" fontId="12" fillId="2" borderId="17" xfId="0" applyNumberFormat="1" applyFont="1" applyFill="1" applyBorder="1" applyAlignment="1">
      <alignment horizontal="center"/>
    </xf>
    <xf numFmtId="166" fontId="11" fillId="2" borderId="7" xfId="0" applyNumberFormat="1" applyFont="1" applyFill="1" applyBorder="1"/>
    <xf numFmtId="165" fontId="11" fillId="2" borderId="7" xfId="0" applyNumberFormat="1" applyFont="1" applyFill="1" applyBorder="1"/>
    <xf numFmtId="164" fontId="11" fillId="2" borderId="8" xfId="0" applyNumberFormat="1" applyFont="1" applyFill="1" applyBorder="1" applyAlignment="1">
      <alignment horizontal="right"/>
    </xf>
    <xf numFmtId="164" fontId="12" fillId="2" borderId="26" xfId="0" applyNumberFormat="1" applyFont="1" applyFill="1" applyBorder="1" applyAlignment="1">
      <alignment horizontal="right"/>
    </xf>
    <xf numFmtId="166" fontId="12" fillId="2" borderId="8" xfId="0" applyNumberFormat="1" applyFont="1" applyFill="1" applyBorder="1" applyAlignment="1">
      <alignment horizontal="center"/>
    </xf>
    <xf numFmtId="166" fontId="13" fillId="2" borderId="9" xfId="0" applyNumberFormat="1" applyFont="1" applyFill="1" applyBorder="1" applyAlignment="1">
      <alignment horizontal="center"/>
    </xf>
    <xf numFmtId="167" fontId="13" fillId="2" borderId="6" xfId="0" applyNumberFormat="1" applyFont="1" applyFill="1" applyBorder="1" applyAlignment="1">
      <alignment horizontal="center"/>
    </xf>
    <xf numFmtId="164" fontId="11" fillId="2" borderId="27" xfId="0" applyNumberFormat="1" applyFont="1" applyFill="1" applyBorder="1" applyAlignment="1">
      <alignment horizontal="center"/>
    </xf>
    <xf numFmtId="166" fontId="12" fillId="2" borderId="9" xfId="0" applyNumberFormat="1" applyFont="1" applyFill="1" applyBorder="1" applyAlignment="1">
      <alignment horizontal="center"/>
    </xf>
    <xf numFmtId="166" fontId="12" fillId="2" borderId="6" xfId="0" applyNumberFormat="1" applyFont="1" applyFill="1" applyBorder="1" applyAlignment="1">
      <alignment horizontal="center"/>
    </xf>
    <xf numFmtId="164" fontId="12" fillId="2" borderId="18" xfId="1" applyNumberFormat="1" applyFont="1" applyFill="1" applyBorder="1" applyAlignment="1">
      <alignment horizontal="center"/>
    </xf>
    <xf numFmtId="166" fontId="12" fillId="2" borderId="28" xfId="0" applyNumberFormat="1" applyFont="1" applyFill="1" applyBorder="1" applyAlignment="1">
      <alignment horizontal="center"/>
    </xf>
    <xf numFmtId="166" fontId="13" fillId="2" borderId="29" xfId="0" applyNumberFormat="1" applyFont="1" applyFill="1" applyBorder="1" applyAlignment="1">
      <alignment horizontal="center"/>
    </xf>
    <xf numFmtId="167" fontId="13" fillId="2" borderId="17" xfId="0" applyNumberFormat="1" applyFont="1" applyFill="1" applyBorder="1" applyAlignment="1">
      <alignment horizontal="center"/>
    </xf>
    <xf numFmtId="164" fontId="11" fillId="2" borderId="29" xfId="0" applyNumberFormat="1" applyFont="1" applyFill="1" applyBorder="1" applyAlignment="1">
      <alignment horizontal="center"/>
    </xf>
    <xf numFmtId="0" fontId="11" fillId="4" borderId="30" xfId="0" applyFont="1" applyFill="1" applyBorder="1" applyAlignment="1">
      <alignment horizontal="center" vertical="center"/>
    </xf>
    <xf numFmtId="166" fontId="11" fillId="2" borderId="31" xfId="0" applyNumberFormat="1" applyFont="1" applyFill="1" applyBorder="1"/>
    <xf numFmtId="165" fontId="11" fillId="2" borderId="31" xfId="0" applyNumberFormat="1" applyFont="1" applyFill="1" applyBorder="1"/>
    <xf numFmtId="164" fontId="11" fillId="2" borderId="32" xfId="0" applyNumberFormat="1" applyFont="1" applyFill="1" applyBorder="1" applyAlignment="1">
      <alignment horizontal="right"/>
    </xf>
    <xf numFmtId="164" fontId="12" fillId="2" borderId="33" xfId="0" applyNumberFormat="1" applyFont="1" applyFill="1" applyBorder="1" applyAlignment="1">
      <alignment horizontal="right"/>
    </xf>
    <xf numFmtId="166" fontId="12" fillId="2" borderId="32" xfId="0" applyNumberFormat="1" applyFont="1" applyFill="1" applyBorder="1" applyAlignment="1">
      <alignment horizontal="center"/>
    </xf>
    <xf numFmtId="166" fontId="13" fillId="2" borderId="34" xfId="0" applyNumberFormat="1" applyFont="1" applyFill="1" applyBorder="1" applyAlignment="1">
      <alignment horizontal="center"/>
    </xf>
    <xf numFmtId="167" fontId="13" fillId="2" borderId="30" xfId="0" applyNumberFormat="1" applyFont="1" applyFill="1" applyBorder="1" applyAlignment="1">
      <alignment horizontal="center"/>
    </xf>
    <xf numFmtId="164" fontId="11" fillId="2" borderId="35" xfId="0" applyNumberFormat="1" applyFont="1" applyFill="1" applyBorder="1" applyAlignment="1">
      <alignment horizontal="center"/>
    </xf>
    <xf numFmtId="166" fontId="12" fillId="2" borderId="34" xfId="0" applyNumberFormat="1" applyFont="1" applyFill="1" applyBorder="1" applyAlignment="1">
      <alignment horizontal="center"/>
    </xf>
    <xf numFmtId="166" fontId="12" fillId="2" borderId="30" xfId="0" applyNumberFormat="1" applyFont="1" applyFill="1" applyBorder="1" applyAlignment="1">
      <alignment horizontal="center"/>
    </xf>
    <xf numFmtId="0" fontId="11" fillId="5" borderId="36" xfId="0" applyFont="1" applyFill="1" applyBorder="1" applyAlignment="1">
      <alignment horizontal="center" vertical="center"/>
    </xf>
    <xf numFmtId="164" fontId="12" fillId="2" borderId="36" xfId="1" applyNumberFormat="1" applyFont="1" applyFill="1" applyBorder="1" applyAlignment="1">
      <alignment horizontal="center"/>
    </xf>
    <xf numFmtId="164" fontId="12" fillId="2" borderId="37" xfId="1" applyNumberFormat="1" applyFont="1" applyFill="1" applyBorder="1" applyAlignment="1">
      <alignment horizontal="center"/>
    </xf>
    <xf numFmtId="164" fontId="11" fillId="2" borderId="38" xfId="0" applyNumberFormat="1" applyFont="1" applyFill="1" applyBorder="1" applyAlignment="1">
      <alignment horizontal="right"/>
    </xf>
    <xf numFmtId="164" fontId="11" fillId="2" borderId="39" xfId="0" applyNumberFormat="1" applyFont="1" applyFill="1" applyBorder="1" applyAlignment="1">
      <alignment horizontal="right"/>
    </xf>
    <xf numFmtId="166" fontId="12" fillId="2" borderId="41" xfId="0" applyNumberFormat="1" applyFont="1" applyFill="1" applyBorder="1" applyAlignment="1">
      <alignment horizontal="center"/>
    </xf>
    <xf numFmtId="166" fontId="13" fillId="2" borderId="42" xfId="0" applyNumberFormat="1" applyFont="1" applyFill="1" applyBorder="1" applyAlignment="1">
      <alignment horizontal="center"/>
    </xf>
    <xf numFmtId="167" fontId="13" fillId="2" borderId="36" xfId="0" applyNumberFormat="1" applyFont="1" applyFill="1" applyBorder="1" applyAlignment="1">
      <alignment horizontal="center"/>
    </xf>
    <xf numFmtId="164" fontId="11" fillId="2" borderId="42" xfId="0" applyNumberFormat="1" applyFont="1" applyFill="1" applyBorder="1" applyAlignment="1">
      <alignment horizontal="center"/>
    </xf>
    <xf numFmtId="166" fontId="12" fillId="2" borderId="43" xfId="0" applyNumberFormat="1" applyFont="1" applyFill="1" applyBorder="1" applyAlignment="1">
      <alignment horizontal="center"/>
    </xf>
    <xf numFmtId="166" fontId="12" fillId="2" borderId="36" xfId="0" applyNumberFormat="1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4" fillId="2" borderId="0" xfId="0" applyFont="1" applyFill="1"/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/>
    <xf numFmtId="0" fontId="0" fillId="3" borderId="2" xfId="0" applyFill="1" applyBorder="1"/>
    <xf numFmtId="0" fontId="0" fillId="3" borderId="44" xfId="0" applyFill="1" applyBorder="1"/>
    <xf numFmtId="0" fontId="0" fillId="3" borderId="3" xfId="0" applyFill="1" applyBorder="1"/>
    <xf numFmtId="0" fontId="16" fillId="3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7" xfId="0" applyFill="1" applyBorder="1"/>
    <xf numFmtId="166" fontId="0" fillId="6" borderId="17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67" fontId="21" fillId="2" borderId="0" xfId="0" applyNumberFormat="1" applyFont="1" applyFill="1" applyBorder="1" applyAlignment="1">
      <alignment horizontal="center"/>
    </xf>
    <xf numFmtId="167" fontId="0" fillId="6" borderId="29" xfId="0" applyNumberFormat="1" applyFill="1" applyBorder="1" applyAlignment="1">
      <alignment horizontal="center"/>
    </xf>
    <xf numFmtId="167" fontId="21" fillId="2" borderId="29" xfId="0" applyNumberFormat="1" applyFont="1" applyFill="1" applyBorder="1" applyAlignment="1">
      <alignment horizontal="center"/>
    </xf>
    <xf numFmtId="166" fontId="21" fillId="2" borderId="17" xfId="0" applyNumberFormat="1" applyFont="1" applyFill="1" applyBorder="1" applyAlignment="1">
      <alignment horizontal="center"/>
    </xf>
    <xf numFmtId="168" fontId="0" fillId="6" borderId="18" xfId="0" applyNumberFormat="1" applyFill="1" applyBorder="1"/>
    <xf numFmtId="168" fontId="0" fillId="6" borderId="29" xfId="0" applyNumberFormat="1" applyFill="1" applyBorder="1"/>
    <xf numFmtId="168" fontId="0" fillId="2" borderId="18" xfId="0" applyNumberFormat="1" applyFill="1" applyBorder="1" applyAlignment="1">
      <alignment horizontal="center"/>
    </xf>
    <xf numFmtId="168" fontId="0" fillId="2" borderId="49" xfId="0" applyNumberFormat="1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168" fontId="0" fillId="2" borderId="17" xfId="0" applyNumberFormat="1" applyFill="1" applyBorder="1" applyAlignment="1">
      <alignment horizontal="right"/>
    </xf>
    <xf numFmtId="168" fontId="0" fillId="2" borderId="0" xfId="0" applyNumberFormat="1" applyFill="1" applyBorder="1"/>
    <xf numFmtId="168" fontId="0" fillId="2" borderId="29" xfId="0" applyNumberFormat="1" applyFill="1" applyBorder="1"/>
    <xf numFmtId="166" fontId="0" fillId="6" borderId="18" xfId="0" applyNumberFormat="1" applyFill="1" applyBorder="1" applyAlignment="1">
      <alignment horizontal="center"/>
    </xf>
    <xf numFmtId="166" fontId="21" fillId="2" borderId="0" xfId="0" applyNumberFormat="1" applyFont="1" applyFill="1" applyBorder="1" applyAlignment="1">
      <alignment horizontal="center"/>
    </xf>
    <xf numFmtId="166" fontId="0" fillId="6" borderId="29" xfId="0" applyNumberFormat="1" applyFill="1" applyBorder="1" applyAlignment="1">
      <alignment horizontal="center"/>
    </xf>
    <xf numFmtId="166" fontId="21" fillId="2" borderId="29" xfId="0" applyNumberFormat="1" applyFont="1" applyFill="1" applyBorder="1" applyAlignment="1">
      <alignment horizontal="center"/>
    </xf>
    <xf numFmtId="167" fontId="0" fillId="2" borderId="0" xfId="0" applyNumberFormat="1" applyFont="1" applyFill="1" applyBorder="1" applyAlignment="1">
      <alignment horizontal="center"/>
    </xf>
    <xf numFmtId="166" fontId="15" fillId="2" borderId="50" xfId="0" applyNumberFormat="1" applyFont="1" applyFill="1" applyBorder="1" applyAlignment="1">
      <alignment horizontal="center"/>
    </xf>
    <xf numFmtId="166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67" fontId="0" fillId="2" borderId="29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29" xfId="0" applyFill="1" applyBorder="1"/>
    <xf numFmtId="0" fontId="0" fillId="2" borderId="4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1" xfId="0" applyFill="1" applyBorder="1" applyAlignment="1">
      <alignment horizontal="right"/>
    </xf>
    <xf numFmtId="168" fontId="0" fillId="2" borderId="52" xfId="0" applyNumberFormat="1" applyFill="1" applyBorder="1"/>
    <xf numFmtId="168" fontId="0" fillId="2" borderId="53" xfId="0" applyNumberFormat="1" applyFill="1" applyBorder="1"/>
    <xf numFmtId="166" fontId="0" fillId="6" borderId="54" xfId="0" applyNumberFormat="1" applyFill="1" applyBorder="1" applyAlignment="1">
      <alignment horizontal="center"/>
    </xf>
    <xf numFmtId="166" fontId="21" fillId="2" borderId="52" xfId="0" applyNumberFormat="1" applyFont="1" applyFill="1" applyBorder="1" applyAlignment="1">
      <alignment horizontal="center"/>
    </xf>
    <xf numFmtId="166" fontId="0" fillId="6" borderId="53" xfId="0" applyNumberFormat="1" applyFill="1" applyBorder="1" applyAlignment="1">
      <alignment horizontal="center"/>
    </xf>
    <xf numFmtId="166" fontId="21" fillId="2" borderId="53" xfId="0" applyNumberFormat="1" applyFont="1" applyFill="1" applyBorder="1" applyAlignment="1">
      <alignment horizontal="center"/>
    </xf>
    <xf numFmtId="167" fontId="0" fillId="2" borderId="52" xfId="0" applyNumberFormat="1" applyFont="1" applyFill="1" applyBorder="1" applyAlignment="1">
      <alignment horizontal="center"/>
    </xf>
    <xf numFmtId="166" fontId="15" fillId="2" borderId="55" xfId="0" applyNumberFormat="1" applyFont="1" applyFill="1" applyBorder="1" applyAlignment="1">
      <alignment horizontal="center"/>
    </xf>
    <xf numFmtId="0" fontId="22" fillId="6" borderId="56" xfId="0" applyFont="1" applyFill="1" applyBorder="1" applyAlignment="1">
      <alignment horizontal="right"/>
    </xf>
    <xf numFmtId="169" fontId="0" fillId="6" borderId="56" xfId="0" applyNumberFormat="1" applyFill="1" applyBorder="1" applyAlignment="1">
      <alignment horizontal="left"/>
    </xf>
    <xf numFmtId="0" fontId="0" fillId="2" borderId="17" xfId="0" applyFill="1" applyBorder="1" applyAlignment="1">
      <alignment horizontal="right"/>
    </xf>
    <xf numFmtId="166" fontId="0" fillId="2" borderId="18" xfId="0" applyNumberFormat="1" applyFill="1" applyBorder="1" applyAlignment="1">
      <alignment horizontal="center"/>
    </xf>
    <xf numFmtId="166" fontId="0" fillId="2" borderId="29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6" xfId="0" applyFill="1" applyBorder="1" applyAlignment="1">
      <alignment horizontal="right"/>
    </xf>
    <xf numFmtId="168" fontId="0" fillId="2" borderId="26" xfId="0" applyNumberFormat="1" applyFill="1" applyBorder="1"/>
    <xf numFmtId="168" fontId="23" fillId="2" borderId="9" xfId="0" applyNumberFormat="1" applyFont="1" applyFill="1" applyBorder="1"/>
    <xf numFmtId="166" fontId="0" fillId="2" borderId="7" xfId="0" applyNumberFormat="1" applyFill="1" applyBorder="1" applyAlignment="1">
      <alignment horizontal="center"/>
    </xf>
    <xf numFmtId="166" fontId="21" fillId="2" borderId="26" xfId="0" applyNumberFormat="1" applyFont="1" applyFill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6" fontId="21" fillId="2" borderId="9" xfId="0" applyNumberFormat="1" applyFont="1" applyFill="1" applyBorder="1" applyAlignment="1">
      <alignment horizontal="center"/>
    </xf>
    <xf numFmtId="167" fontId="0" fillId="2" borderId="26" xfId="0" applyNumberFormat="1" applyFont="1" applyFill="1" applyBorder="1" applyAlignment="1">
      <alignment horizontal="center"/>
    </xf>
    <xf numFmtId="166" fontId="15" fillId="2" borderId="48" xfId="0" applyNumberFormat="1" applyFont="1" applyFill="1" applyBorder="1" applyAlignment="1">
      <alignment horizontal="center"/>
    </xf>
    <xf numFmtId="166" fontId="0" fillId="2" borderId="54" xfId="0" applyNumberFormat="1" applyFill="1" applyBorder="1" applyAlignment="1">
      <alignment horizontal="center"/>
    </xf>
    <xf numFmtId="166" fontId="0" fillId="2" borderId="53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9" xfId="0" applyFill="1" applyBorder="1"/>
    <xf numFmtId="166" fontId="0" fillId="2" borderId="6" xfId="0" applyNumberFormat="1" applyFill="1" applyBorder="1" applyAlignment="1">
      <alignment horizontal="center"/>
    </xf>
    <xf numFmtId="167" fontId="21" fillId="2" borderId="26" xfId="0" applyNumberFormat="1" applyFont="1" applyFill="1" applyBorder="1" applyAlignment="1">
      <alignment horizontal="center"/>
    </xf>
    <xf numFmtId="167" fontId="0" fillId="2" borderId="9" xfId="0" applyNumberFormat="1" applyFill="1" applyBorder="1" applyAlignment="1">
      <alignment horizontal="center"/>
    </xf>
    <xf numFmtId="166" fontId="21" fillId="2" borderId="6" xfId="0" applyNumberFormat="1" applyFont="1" applyFill="1" applyBorder="1" applyAlignment="1">
      <alignment horizontal="center"/>
    </xf>
    <xf numFmtId="0" fontId="0" fillId="2" borderId="7" xfId="0" applyFill="1" applyBorder="1"/>
    <xf numFmtId="166" fontId="15" fillId="2" borderId="57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70" fontId="12" fillId="2" borderId="2" xfId="1" applyNumberFormat="1" applyFont="1" applyFill="1" applyBorder="1" applyAlignment="1">
      <alignment horizontal="center"/>
    </xf>
    <xf numFmtId="170" fontId="0" fillId="2" borderId="17" xfId="0" applyNumberFormat="1" applyFill="1" applyBorder="1" applyAlignment="1">
      <alignment horizontal="center"/>
    </xf>
    <xf numFmtId="170" fontId="0" fillId="2" borderId="29" xfId="0" applyNumberForma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170" fontId="11" fillId="2" borderId="14" xfId="0" applyNumberFormat="1" applyFont="1" applyFill="1" applyBorder="1" applyAlignment="1">
      <alignment horizontal="center"/>
    </xf>
    <xf numFmtId="170" fontId="11" fillId="2" borderId="21" xfId="0" applyNumberFormat="1" applyFont="1" applyFill="1" applyBorder="1" applyAlignment="1">
      <alignment horizontal="center"/>
    </xf>
    <xf numFmtId="170" fontId="11" fillId="2" borderId="7" xfId="0" applyNumberFormat="1" applyFont="1" applyFill="1" applyBorder="1" applyAlignment="1">
      <alignment horizontal="center"/>
    </xf>
    <xf numFmtId="170" fontId="11" fillId="2" borderId="31" xfId="0" applyNumberFormat="1" applyFont="1" applyFill="1" applyBorder="1" applyAlignment="1">
      <alignment horizontal="center"/>
    </xf>
    <xf numFmtId="170" fontId="11" fillId="2" borderId="40" xfId="0" applyNumberFormat="1" applyFont="1" applyFill="1" applyBorder="1" applyAlignment="1">
      <alignment horizontal="center"/>
    </xf>
    <xf numFmtId="0" fontId="1" fillId="3" borderId="4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46" xfId="0" applyFont="1" applyFill="1" applyBorder="1" applyAlignment="1">
      <alignment horizontal="center" wrapText="1"/>
    </xf>
    <xf numFmtId="0" fontId="1" fillId="3" borderId="48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5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 wrapText="1"/>
    </xf>
    <xf numFmtId="0" fontId="1" fillId="3" borderId="47" xfId="0" applyFont="1" applyFill="1" applyBorder="1" applyAlignment="1">
      <alignment horizontal="center" wrapText="1"/>
    </xf>
    <xf numFmtId="0" fontId="1" fillId="3" borderId="44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5" fillId="3" borderId="44" xfId="0" applyFont="1" applyFill="1" applyBorder="1" applyAlignment="1">
      <alignment horizontal="center" wrapText="1"/>
    </xf>
    <xf numFmtId="0" fontId="15" fillId="3" borderId="26" xfId="0" applyFont="1" applyFill="1" applyBorder="1" applyAlignment="1">
      <alignment horizontal="center" wrapText="1"/>
    </xf>
    <xf numFmtId="0" fontId="15" fillId="3" borderId="1" xfId="0" applyFont="1" applyFill="1" applyBorder="1" applyAlignment="1">
      <alignment horizontal="center" wrapText="1"/>
    </xf>
    <xf numFmtId="0" fontId="15" fillId="3" borderId="6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169" fontId="24" fillId="2" borderId="0" xfId="0" applyNumberFormat="1" applyFont="1" applyFill="1"/>
    <xf numFmtId="0" fontId="24" fillId="2" borderId="0" xfId="0" applyFont="1" applyFill="1" applyAlignment="1">
      <alignment horizontal="center"/>
    </xf>
    <xf numFmtId="169" fontId="24" fillId="2" borderId="59" xfId="0" applyNumberFormat="1" applyFont="1" applyFill="1" applyBorder="1"/>
    <xf numFmtId="0" fontId="24" fillId="2" borderId="26" xfId="0" applyFont="1" applyFill="1" applyBorder="1" applyAlignment="1">
      <alignment horizontal="center"/>
    </xf>
  </cellXfs>
  <cellStyles count="2">
    <cellStyle name="Normal" xfId="0" builtinId="0"/>
    <cellStyle name="Normal 2 2" xfId="1" xr:uid="{D131D92C-036E-42C5-A1E4-0BD6D6C857D9}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net-ims.inside.nokiasiemensnetworks.com/livelink/livelink/419716366/Gaia+Implementation+Requirement+Specification+4.6.xls?func=doc.Fetch&amp;nodeId=419716366&amp;vernum=1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(GAIA and GAIA+)"/>
      <sheetName val="Revisions (GAIA and GAIA+)"/>
      <sheetName val="Reqs (GAIA and GAIA+)"/>
      <sheetName val="Guide (GAIA and GAIA+)"/>
      <sheetName val="Bundle modes (GAIA and GAIA+)"/>
      <sheetName val="Clip perf.reqs (GAIA and GAIA+)"/>
      <sheetName val="UL perf. reqs (GAIA and GAIA+)"/>
      <sheetName val="Timing reqs (GAIA and GAIA+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F4E8-0BA5-4BF6-949D-9C2915FB4A13}">
  <sheetPr>
    <pageSetUpPr fitToPage="1"/>
  </sheetPr>
  <dimension ref="A1:AA15"/>
  <sheetViews>
    <sheetView tabSelected="1" topLeftCell="K1" workbookViewId="0">
      <selection activeCell="W4" sqref="W4"/>
    </sheetView>
  </sheetViews>
  <sheetFormatPr defaultRowHeight="14.4"/>
  <cols>
    <col min="1" max="1" width="24.77734375" style="2" bestFit="1" customWidth="1"/>
    <col min="2" max="2" width="43" style="2" bestFit="1" customWidth="1"/>
    <col min="3" max="3" width="7.21875" style="2" customWidth="1"/>
    <col min="4" max="4" width="37.5546875" style="2" bestFit="1" customWidth="1"/>
    <col min="5" max="5" width="11.21875" style="2" customWidth="1"/>
    <col min="6" max="9" width="8.88671875" style="2"/>
    <col min="10" max="10" width="9.33203125" style="2" bestFit="1" customWidth="1"/>
    <col min="11" max="12" width="12.6640625" style="2" bestFit="1" customWidth="1"/>
    <col min="13" max="13" width="11.109375" style="2" customWidth="1"/>
    <col min="14" max="16" width="13.77734375" style="2" bestFit="1" customWidth="1"/>
    <col min="17" max="17" width="10.44140625" style="2" bestFit="1" customWidth="1"/>
    <col min="18" max="19" width="13.77734375" style="2" bestFit="1" customWidth="1"/>
    <col min="20" max="22" width="9.33203125" style="2" bestFit="1" customWidth="1"/>
    <col min="23" max="23" width="9.33203125" style="2" customWidth="1"/>
    <col min="24" max="24" width="11.44140625" style="2" bestFit="1" customWidth="1"/>
    <col min="25" max="25" width="13.88671875" style="2" customWidth="1"/>
    <col min="26" max="26" width="10.6640625" style="2" bestFit="1" customWidth="1"/>
    <col min="27" max="16384" width="8.88671875" style="2"/>
  </cols>
  <sheetData>
    <row r="1" spans="1:27" ht="16.8" thickBot="1">
      <c r="A1" s="70" t="s">
        <v>19</v>
      </c>
    </row>
    <row r="2" spans="1:27" ht="14.4" customHeight="1">
      <c r="A2" s="71" t="s">
        <v>20</v>
      </c>
      <c r="B2" s="71" t="s">
        <v>21</v>
      </c>
      <c r="C2" s="178" t="s">
        <v>22</v>
      </c>
      <c r="D2" s="72"/>
      <c r="E2" s="162" t="s">
        <v>23</v>
      </c>
      <c r="F2" s="164" t="s">
        <v>24</v>
      </c>
      <c r="G2" s="180" t="s">
        <v>25</v>
      </c>
      <c r="H2" s="178" t="s">
        <v>26</v>
      </c>
      <c r="I2" s="182" t="s">
        <v>27</v>
      </c>
      <c r="J2" s="72"/>
      <c r="K2" s="173" t="s">
        <v>28</v>
      </c>
      <c r="L2" s="161"/>
      <c r="M2" s="162" t="s">
        <v>5</v>
      </c>
      <c r="N2" s="164" t="s">
        <v>29</v>
      </c>
      <c r="O2" s="174" t="s">
        <v>4</v>
      </c>
      <c r="P2" s="176" t="s">
        <v>30</v>
      </c>
      <c r="Q2" s="162" t="s">
        <v>31</v>
      </c>
      <c r="R2" s="160" t="s">
        <v>32</v>
      </c>
      <c r="S2" s="161"/>
      <c r="T2" s="73"/>
      <c r="U2" s="74"/>
      <c r="V2" s="75"/>
      <c r="W2" s="162" t="s">
        <v>33</v>
      </c>
      <c r="X2" s="164" t="s">
        <v>34</v>
      </c>
      <c r="Y2" s="166" t="s">
        <v>35</v>
      </c>
      <c r="Z2" s="172" t="s">
        <v>53</v>
      </c>
      <c r="AA2" s="171" t="s">
        <v>54</v>
      </c>
    </row>
    <row r="3" spans="1:27">
      <c r="A3" s="76" t="s">
        <v>36</v>
      </c>
      <c r="B3" s="77" t="s">
        <v>37</v>
      </c>
      <c r="C3" s="179"/>
      <c r="D3" s="77" t="s">
        <v>38</v>
      </c>
      <c r="E3" s="163"/>
      <c r="F3" s="168"/>
      <c r="G3" s="181"/>
      <c r="H3" s="179"/>
      <c r="I3" s="183"/>
      <c r="J3" s="78" t="s">
        <v>18</v>
      </c>
      <c r="K3" s="79" t="s">
        <v>12</v>
      </c>
      <c r="L3" s="80" t="s">
        <v>13</v>
      </c>
      <c r="M3" s="163"/>
      <c r="N3" s="168"/>
      <c r="O3" s="175"/>
      <c r="P3" s="169"/>
      <c r="Q3" s="177"/>
      <c r="R3" s="81" t="s">
        <v>39</v>
      </c>
      <c r="S3" s="80" t="s">
        <v>40</v>
      </c>
      <c r="T3" s="168" t="s">
        <v>41</v>
      </c>
      <c r="U3" s="169"/>
      <c r="V3" s="170"/>
      <c r="W3" s="163"/>
      <c r="X3" s="165"/>
      <c r="Y3" s="167"/>
      <c r="Z3" s="172"/>
      <c r="AA3" s="171"/>
    </row>
    <row r="4" spans="1:27" ht="15.6">
      <c r="A4" s="82" t="s">
        <v>42</v>
      </c>
      <c r="B4" s="82" t="s">
        <v>43</v>
      </c>
      <c r="C4" s="151">
        <v>1</v>
      </c>
      <c r="D4" s="83" t="s">
        <v>44</v>
      </c>
      <c r="E4" s="84">
        <v>57</v>
      </c>
      <c r="F4" s="85">
        <v>252</v>
      </c>
      <c r="G4" s="86">
        <f>10*LOG(F4)</f>
        <v>24.014005407815443</v>
      </c>
      <c r="H4" s="87">
        <v>5</v>
      </c>
      <c r="I4" s="88">
        <f>G4+H4</f>
        <v>29.014005407815443</v>
      </c>
      <c r="J4" s="89">
        <f>E4-I4</f>
        <v>27.985994592184557</v>
      </c>
      <c r="K4" s="90">
        <v>37000</v>
      </c>
      <c r="L4" s="91">
        <v>40000</v>
      </c>
      <c r="M4" s="150">
        <f>'OBUE Result'!B6</f>
        <v>100</v>
      </c>
      <c r="N4" s="92">
        <f>O4-($M$4/2)</f>
        <v>37450.199999999997</v>
      </c>
      <c r="O4" s="93">
        <v>37500.199999999997</v>
      </c>
      <c r="P4" s="94">
        <f>N4+$M$4</f>
        <v>37550.199999999997</v>
      </c>
      <c r="Q4" s="95" t="s">
        <v>45</v>
      </c>
      <c r="R4" s="96">
        <f>K4-B6</f>
        <v>35500</v>
      </c>
      <c r="S4" s="97">
        <f>N4-((0.1*$M$4))+0.5</f>
        <v>37440.699999999997</v>
      </c>
      <c r="T4" s="98">
        <v>-5</v>
      </c>
      <c r="U4" s="99">
        <f>$J$4-33</f>
        <v>-5.0140054078154428</v>
      </c>
      <c r="V4" s="100">
        <v>-12</v>
      </c>
      <c r="W4" s="101">
        <f>MIN(T4,MAX(U4:V4))</f>
        <v>-5.0140054078154428</v>
      </c>
      <c r="X4" s="102">
        <v>-3</v>
      </c>
      <c r="Y4" s="103">
        <f>W4+X4</f>
        <v>-8.0140054078154428</v>
      </c>
      <c r="Z4" s="202">
        <f>S4-R4</f>
        <v>1940.6999999999971</v>
      </c>
      <c r="AA4" s="203">
        <f>INT(2*(Z4/$C$4))</f>
        <v>3881</v>
      </c>
    </row>
    <row r="5" spans="1:27" ht="15.6">
      <c r="A5" s="82" t="s">
        <v>46</v>
      </c>
      <c r="B5" s="82" t="s">
        <v>47</v>
      </c>
      <c r="C5" s="151">
        <v>1</v>
      </c>
      <c r="D5" s="83" t="s">
        <v>48</v>
      </c>
      <c r="E5" s="104"/>
      <c r="F5" s="105"/>
      <c r="G5" s="86"/>
      <c r="H5" s="106"/>
      <c r="I5" s="106"/>
      <c r="J5" s="89"/>
      <c r="K5" s="107"/>
      <c r="L5" s="108"/>
      <c r="M5" s="83"/>
      <c r="N5" s="105"/>
      <c r="O5" s="109"/>
      <c r="P5" s="110"/>
      <c r="Q5" s="111" t="s">
        <v>49</v>
      </c>
      <c r="R5" s="112">
        <f>S4</f>
        <v>37440.699999999997</v>
      </c>
      <c r="S5" s="113">
        <f>N4-0.5</f>
        <v>37449.699999999997</v>
      </c>
      <c r="T5" s="114">
        <v>-13</v>
      </c>
      <c r="U5" s="115">
        <f>$J$4-41</f>
        <v>-13.014005407815443</v>
      </c>
      <c r="V5" s="116">
        <v>-20</v>
      </c>
      <c r="W5" s="117">
        <f t="shared" ref="W5:W15" si="0">MIN(T5,MAX(U5:V5))</f>
        <v>-13.014005407815443</v>
      </c>
      <c r="X5" s="118">
        <v>-3</v>
      </c>
      <c r="Y5" s="119">
        <f t="shared" ref="Y5:Y15" si="1">W5+X5</f>
        <v>-16.014005407815443</v>
      </c>
      <c r="Z5" s="202">
        <f t="shared" ref="Z5:Z15" si="2">S5-R5</f>
        <v>9</v>
      </c>
      <c r="AA5" s="203">
        <f t="shared" ref="AA5:AA15" si="3">INT(2*(Z5/$C$4))</f>
        <v>18</v>
      </c>
    </row>
    <row r="6" spans="1:27" ht="15.6">
      <c r="A6" s="120" t="s">
        <v>50</v>
      </c>
      <c r="B6" s="121">
        <v>1500</v>
      </c>
      <c r="C6" s="151">
        <v>1</v>
      </c>
      <c r="D6" s="83"/>
      <c r="E6" s="104"/>
      <c r="F6" s="105"/>
      <c r="G6" s="86"/>
      <c r="H6" s="106"/>
      <c r="I6" s="106"/>
      <c r="J6" s="89"/>
      <c r="K6" s="107"/>
      <c r="L6" s="108"/>
      <c r="M6" s="83"/>
      <c r="N6" s="105"/>
      <c r="O6" s="109"/>
      <c r="P6" s="110"/>
      <c r="Q6" s="122" t="s">
        <v>51</v>
      </c>
      <c r="R6" s="96">
        <f>P4+0.5</f>
        <v>37550.699999999997</v>
      </c>
      <c r="S6" s="97">
        <f>R6+((0.1*$M$4)+0.5)</f>
        <v>37561.199999999997</v>
      </c>
      <c r="T6" s="123">
        <f>T5</f>
        <v>-13</v>
      </c>
      <c r="U6" s="99">
        <f t="shared" ref="U6" si="4">U5</f>
        <v>-13.014005407815443</v>
      </c>
      <c r="V6" s="124">
        <f>V5</f>
        <v>-20</v>
      </c>
      <c r="W6" s="101">
        <f t="shared" si="0"/>
        <v>-13.014005407815443</v>
      </c>
      <c r="X6" s="102">
        <v>-3</v>
      </c>
      <c r="Y6" s="103">
        <f t="shared" si="1"/>
        <v>-16.014005407815443</v>
      </c>
      <c r="Z6" s="202">
        <f t="shared" si="2"/>
        <v>10.5</v>
      </c>
      <c r="AA6" s="203">
        <f t="shared" si="3"/>
        <v>21</v>
      </c>
    </row>
    <row r="7" spans="1:27">
      <c r="A7" s="83"/>
      <c r="B7" s="83"/>
      <c r="C7" s="108"/>
      <c r="D7" s="83"/>
      <c r="E7" s="104"/>
      <c r="F7" s="105"/>
      <c r="G7" s="86"/>
      <c r="H7" s="106"/>
      <c r="I7" s="106"/>
      <c r="J7" s="89"/>
      <c r="K7" s="107"/>
      <c r="L7" s="108"/>
      <c r="M7" s="83"/>
      <c r="N7" s="125"/>
      <c r="O7" s="126"/>
      <c r="P7" s="127"/>
      <c r="Q7" s="128" t="s">
        <v>52</v>
      </c>
      <c r="R7" s="129">
        <f>S6</f>
        <v>37561.199999999997</v>
      </c>
      <c r="S7" s="130">
        <f>$L$4+$B$6</f>
        <v>41500</v>
      </c>
      <c r="T7" s="131">
        <f>T4</f>
        <v>-5</v>
      </c>
      <c r="U7" s="132">
        <f>U4</f>
        <v>-5.0140054078154428</v>
      </c>
      <c r="V7" s="133">
        <f>V4</f>
        <v>-12</v>
      </c>
      <c r="W7" s="134">
        <f t="shared" si="0"/>
        <v>-5.0140054078154428</v>
      </c>
      <c r="X7" s="135">
        <v>-3</v>
      </c>
      <c r="Y7" s="136">
        <f t="shared" si="1"/>
        <v>-8.0140054078154428</v>
      </c>
      <c r="Z7" s="204">
        <f t="shared" si="2"/>
        <v>3938.8000000000029</v>
      </c>
      <c r="AA7" s="205">
        <f t="shared" si="3"/>
        <v>7877</v>
      </c>
    </row>
    <row r="8" spans="1:27">
      <c r="A8" s="83"/>
      <c r="B8" s="83"/>
      <c r="C8" s="108"/>
      <c r="D8" s="83"/>
      <c r="E8" s="104"/>
      <c r="F8" s="105"/>
      <c r="G8" s="86"/>
      <c r="H8" s="106"/>
      <c r="I8" s="106"/>
      <c r="J8" s="89"/>
      <c r="K8" s="107"/>
      <c r="L8" s="108"/>
      <c r="M8" s="83"/>
      <c r="N8" s="92">
        <f>O8-($M$4/2)</f>
        <v>38949.4</v>
      </c>
      <c r="O8" s="93">
        <v>38999.4</v>
      </c>
      <c r="P8" s="94">
        <f>N8+$M$4</f>
        <v>39049.4</v>
      </c>
      <c r="Q8" s="95" t="s">
        <v>45</v>
      </c>
      <c r="R8" s="96">
        <f>R4</f>
        <v>35500</v>
      </c>
      <c r="S8" s="97">
        <f>N8-((0.1*$M$4))+0.5</f>
        <v>38939.9</v>
      </c>
      <c r="T8" s="123">
        <f>T4</f>
        <v>-5</v>
      </c>
      <c r="U8" s="99">
        <f>$J$4-33</f>
        <v>-5.0140054078154428</v>
      </c>
      <c r="V8" s="124">
        <f>V4</f>
        <v>-12</v>
      </c>
      <c r="W8" s="101">
        <f t="shared" si="0"/>
        <v>-5.0140054078154428</v>
      </c>
      <c r="X8" s="102">
        <v>-3</v>
      </c>
      <c r="Y8" s="103">
        <f t="shared" si="1"/>
        <v>-8.0140054078154428</v>
      </c>
      <c r="Z8" s="202">
        <f t="shared" si="2"/>
        <v>3439.9000000000015</v>
      </c>
      <c r="AA8" s="203">
        <f t="shared" si="3"/>
        <v>6879</v>
      </c>
    </row>
    <row r="9" spans="1:27">
      <c r="A9" s="83"/>
      <c r="B9" s="83"/>
      <c r="C9" s="108"/>
      <c r="D9" s="83"/>
      <c r="E9" s="104"/>
      <c r="F9" s="105"/>
      <c r="G9" s="86"/>
      <c r="H9" s="106"/>
      <c r="I9" s="106"/>
      <c r="J9" s="89"/>
      <c r="K9" s="107"/>
      <c r="L9" s="108"/>
      <c r="M9" s="83"/>
      <c r="N9" s="105"/>
      <c r="O9" s="109"/>
      <c r="P9" s="110"/>
      <c r="Q9" s="111" t="s">
        <v>49</v>
      </c>
      <c r="R9" s="112">
        <f>S8</f>
        <v>38939.9</v>
      </c>
      <c r="S9" s="113">
        <f>N8-0.5</f>
        <v>38948.9</v>
      </c>
      <c r="T9" s="137">
        <f>T5</f>
        <v>-13</v>
      </c>
      <c r="U9" s="115">
        <f>$J$4-41</f>
        <v>-13.014005407815443</v>
      </c>
      <c r="V9" s="138">
        <f>V5</f>
        <v>-20</v>
      </c>
      <c r="W9" s="117">
        <f t="shared" si="0"/>
        <v>-13.014005407815443</v>
      </c>
      <c r="X9" s="118">
        <v>-3</v>
      </c>
      <c r="Y9" s="119">
        <f t="shared" si="1"/>
        <v>-16.014005407815443</v>
      </c>
      <c r="Z9" s="202">
        <f t="shared" si="2"/>
        <v>9</v>
      </c>
      <c r="AA9" s="203">
        <f t="shared" si="3"/>
        <v>18</v>
      </c>
    </row>
    <row r="10" spans="1:27">
      <c r="A10" s="83"/>
      <c r="B10" s="83"/>
      <c r="C10" s="108"/>
      <c r="D10" s="83"/>
      <c r="E10" s="104"/>
      <c r="F10" s="105"/>
      <c r="G10" s="86"/>
      <c r="H10" s="106"/>
      <c r="I10" s="106"/>
      <c r="J10" s="89"/>
      <c r="K10" s="107"/>
      <c r="L10" s="108"/>
      <c r="M10" s="83"/>
      <c r="N10" s="105"/>
      <c r="O10" s="109"/>
      <c r="P10" s="110"/>
      <c r="Q10" s="122" t="s">
        <v>51</v>
      </c>
      <c r="R10" s="96">
        <f>P8+0.5</f>
        <v>39049.9</v>
      </c>
      <c r="S10" s="97">
        <f>R10+((0.1*$M$4)+0.5)</f>
        <v>39060.400000000001</v>
      </c>
      <c r="T10" s="123">
        <f t="shared" ref="T10:V15" si="5">T6</f>
        <v>-13</v>
      </c>
      <c r="U10" s="99">
        <f t="shared" ref="U10" si="6">U9</f>
        <v>-13.014005407815443</v>
      </c>
      <c r="V10" s="124">
        <f t="shared" si="5"/>
        <v>-20</v>
      </c>
      <c r="W10" s="101">
        <f t="shared" si="0"/>
        <v>-13.014005407815443</v>
      </c>
      <c r="X10" s="102">
        <v>-3</v>
      </c>
      <c r="Y10" s="103">
        <f t="shared" si="1"/>
        <v>-16.014005407815443</v>
      </c>
      <c r="Z10" s="202">
        <f t="shared" si="2"/>
        <v>10.5</v>
      </c>
      <c r="AA10" s="203">
        <f t="shared" si="3"/>
        <v>21</v>
      </c>
    </row>
    <row r="11" spans="1:27">
      <c r="A11" s="83"/>
      <c r="B11" s="83"/>
      <c r="C11" s="108"/>
      <c r="D11" s="83"/>
      <c r="E11" s="104"/>
      <c r="F11" s="105"/>
      <c r="G11" s="86"/>
      <c r="H11" s="106"/>
      <c r="I11" s="106"/>
      <c r="J11" s="89"/>
      <c r="K11" s="107"/>
      <c r="L11" s="108"/>
      <c r="M11" s="83"/>
      <c r="N11" s="125"/>
      <c r="O11" s="126"/>
      <c r="P11" s="127"/>
      <c r="Q11" s="128" t="s">
        <v>52</v>
      </c>
      <c r="R11" s="129">
        <f>S10</f>
        <v>39060.400000000001</v>
      </c>
      <c r="S11" s="130">
        <f>S7</f>
        <v>41500</v>
      </c>
      <c r="T11" s="131">
        <f t="shared" si="5"/>
        <v>-5</v>
      </c>
      <c r="U11" s="132">
        <f>U8</f>
        <v>-5.0140054078154428</v>
      </c>
      <c r="V11" s="133">
        <f t="shared" si="5"/>
        <v>-12</v>
      </c>
      <c r="W11" s="134">
        <f t="shared" si="0"/>
        <v>-5.0140054078154428</v>
      </c>
      <c r="X11" s="135">
        <v>-3</v>
      </c>
      <c r="Y11" s="136">
        <f t="shared" si="1"/>
        <v>-8.0140054078154428</v>
      </c>
      <c r="Z11" s="204">
        <f t="shared" si="2"/>
        <v>2439.5999999999985</v>
      </c>
      <c r="AA11" s="205">
        <f t="shared" si="3"/>
        <v>4879</v>
      </c>
    </row>
    <row r="12" spans="1:27">
      <c r="A12" s="83"/>
      <c r="B12" s="83"/>
      <c r="C12" s="108"/>
      <c r="D12" s="83"/>
      <c r="E12" s="104"/>
      <c r="F12" s="105"/>
      <c r="G12" s="86"/>
      <c r="H12" s="106"/>
      <c r="I12" s="106"/>
      <c r="J12" s="89"/>
      <c r="K12" s="107"/>
      <c r="L12" s="108"/>
      <c r="M12" s="83"/>
      <c r="N12" s="92">
        <f>O12-($M$4/2)</f>
        <v>39728.5</v>
      </c>
      <c r="O12" s="93">
        <v>39778.5</v>
      </c>
      <c r="P12" s="94">
        <f>N12+$M$4</f>
        <v>39828.5</v>
      </c>
      <c r="Q12" s="95" t="s">
        <v>45</v>
      </c>
      <c r="R12" s="96">
        <f>R4</f>
        <v>35500</v>
      </c>
      <c r="S12" s="97">
        <f>N12-((0.1*$M$4))+0.5</f>
        <v>39719</v>
      </c>
      <c r="T12" s="123">
        <f t="shared" si="5"/>
        <v>-5</v>
      </c>
      <c r="U12" s="99">
        <f>$J$4-33</f>
        <v>-5.0140054078154428</v>
      </c>
      <c r="V12" s="124">
        <f t="shared" si="5"/>
        <v>-12</v>
      </c>
      <c r="W12" s="101">
        <f t="shared" si="0"/>
        <v>-5.0140054078154428</v>
      </c>
      <c r="X12" s="102">
        <v>-3</v>
      </c>
      <c r="Y12" s="103">
        <f t="shared" si="1"/>
        <v>-8.0140054078154428</v>
      </c>
      <c r="Z12" s="202">
        <f t="shared" si="2"/>
        <v>4219</v>
      </c>
      <c r="AA12" s="203">
        <f t="shared" si="3"/>
        <v>8438</v>
      </c>
    </row>
    <row r="13" spans="1:27">
      <c r="A13" s="83"/>
      <c r="B13" s="83"/>
      <c r="C13" s="108"/>
      <c r="D13" s="83"/>
      <c r="E13" s="104"/>
      <c r="F13" s="105"/>
      <c r="G13" s="86"/>
      <c r="H13" s="106"/>
      <c r="I13" s="106"/>
      <c r="J13" s="89"/>
      <c r="K13" s="107"/>
      <c r="L13" s="108"/>
      <c r="M13" s="83"/>
      <c r="N13" s="105"/>
      <c r="O13" s="109"/>
      <c r="P13" s="110"/>
      <c r="Q13" s="111" t="s">
        <v>49</v>
      </c>
      <c r="R13" s="112">
        <f>S12</f>
        <v>39719</v>
      </c>
      <c r="S13" s="113">
        <f>N12+0.5</f>
        <v>39729</v>
      </c>
      <c r="T13" s="137">
        <f t="shared" si="5"/>
        <v>-13</v>
      </c>
      <c r="U13" s="115">
        <f>$J$4-41</f>
        <v>-13.014005407815443</v>
      </c>
      <c r="V13" s="138">
        <f t="shared" si="5"/>
        <v>-20</v>
      </c>
      <c r="W13" s="117">
        <f t="shared" si="0"/>
        <v>-13.014005407815443</v>
      </c>
      <c r="X13" s="118">
        <v>-3</v>
      </c>
      <c r="Y13" s="119">
        <f t="shared" si="1"/>
        <v>-16.014005407815443</v>
      </c>
      <c r="Z13" s="202">
        <f t="shared" si="2"/>
        <v>10</v>
      </c>
      <c r="AA13" s="203">
        <f t="shared" si="3"/>
        <v>20</v>
      </c>
    </row>
    <row r="14" spans="1:27">
      <c r="A14" s="83"/>
      <c r="B14" s="83"/>
      <c r="C14" s="108"/>
      <c r="D14" s="83"/>
      <c r="E14" s="104"/>
      <c r="F14" s="105"/>
      <c r="G14" s="86"/>
      <c r="H14" s="106"/>
      <c r="I14" s="106"/>
      <c r="J14" s="89"/>
      <c r="K14" s="107"/>
      <c r="L14" s="108"/>
      <c r="M14" s="83"/>
      <c r="N14" s="105"/>
      <c r="O14" s="109"/>
      <c r="P14" s="110"/>
      <c r="Q14" s="122" t="s">
        <v>51</v>
      </c>
      <c r="R14" s="96">
        <f>P12+0.5</f>
        <v>39829</v>
      </c>
      <c r="S14" s="97">
        <f>R14+((0.1*$M$4)+0.5)</f>
        <v>39839.5</v>
      </c>
      <c r="T14" s="123">
        <f t="shared" si="5"/>
        <v>-13</v>
      </c>
      <c r="U14" s="99">
        <f t="shared" ref="U14" si="7">U13</f>
        <v>-13.014005407815443</v>
      </c>
      <c r="V14" s="124">
        <f t="shared" si="5"/>
        <v>-20</v>
      </c>
      <c r="W14" s="101">
        <f t="shared" si="0"/>
        <v>-13.014005407815443</v>
      </c>
      <c r="X14" s="102">
        <v>-3</v>
      </c>
      <c r="Y14" s="103">
        <f t="shared" si="1"/>
        <v>-16.014005407815443</v>
      </c>
      <c r="Z14" s="202">
        <f t="shared" si="2"/>
        <v>10.5</v>
      </c>
      <c r="AA14" s="203">
        <f t="shared" si="3"/>
        <v>21</v>
      </c>
    </row>
    <row r="15" spans="1:27" ht="15" thickBot="1">
      <c r="A15" s="139"/>
      <c r="B15" s="139"/>
      <c r="C15" s="140"/>
      <c r="D15" s="139"/>
      <c r="E15" s="141"/>
      <c r="F15" s="125"/>
      <c r="G15" s="142"/>
      <c r="H15" s="143"/>
      <c r="I15" s="143"/>
      <c r="J15" s="144"/>
      <c r="K15" s="145"/>
      <c r="L15" s="140"/>
      <c r="M15" s="139"/>
      <c r="N15" s="125"/>
      <c r="O15" s="126"/>
      <c r="P15" s="127"/>
      <c r="Q15" s="128" t="s">
        <v>52</v>
      </c>
      <c r="R15" s="129">
        <f>S14</f>
        <v>39839.5</v>
      </c>
      <c r="S15" s="130">
        <f>S11</f>
        <v>41500</v>
      </c>
      <c r="T15" s="131">
        <f t="shared" si="5"/>
        <v>-5</v>
      </c>
      <c r="U15" s="132">
        <f>U12</f>
        <v>-5.0140054078154428</v>
      </c>
      <c r="V15" s="133">
        <f t="shared" si="5"/>
        <v>-12</v>
      </c>
      <c r="W15" s="134">
        <f t="shared" si="0"/>
        <v>-5.0140054078154428</v>
      </c>
      <c r="X15" s="135">
        <v>-3</v>
      </c>
      <c r="Y15" s="146">
        <f t="shared" si="1"/>
        <v>-8.0140054078154428</v>
      </c>
      <c r="Z15" s="204">
        <f t="shared" si="2"/>
        <v>1660.5</v>
      </c>
      <c r="AA15" s="205">
        <f t="shared" si="3"/>
        <v>3321</v>
      </c>
    </row>
  </sheetData>
  <mergeCells count="19">
    <mergeCell ref="I2:I3"/>
    <mergeCell ref="C2:C3"/>
    <mergeCell ref="E2:E3"/>
    <mergeCell ref="F2:F3"/>
    <mergeCell ref="G2:G3"/>
    <mergeCell ref="H2:H3"/>
    <mergeCell ref="AA2:AA3"/>
    <mergeCell ref="Z2:Z3"/>
    <mergeCell ref="K2:L2"/>
    <mergeCell ref="M2:M3"/>
    <mergeCell ref="N2:N3"/>
    <mergeCell ref="O2:O3"/>
    <mergeCell ref="P2:P3"/>
    <mergeCell ref="Q2:Q3"/>
    <mergeCell ref="R2:S2"/>
    <mergeCell ref="W2:W3"/>
    <mergeCell ref="X2:X3"/>
    <mergeCell ref="Y2:Y3"/>
    <mergeCell ref="T3:V3"/>
  </mergeCells>
  <pageMargins left="0.7" right="0.7" top="0.75" bottom="0.75" header="0.3" footer="0.3"/>
  <pageSetup paperSize="9" scale="2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4D506-E316-4D1D-A4B3-4807AD288778}">
  <dimension ref="A1:O29"/>
  <sheetViews>
    <sheetView workbookViewId="0">
      <selection activeCell="N6" sqref="N6"/>
    </sheetView>
  </sheetViews>
  <sheetFormatPr defaultRowHeight="14.4"/>
  <cols>
    <col min="1" max="1" width="8.88671875" style="2"/>
    <col min="2" max="2" width="10.109375" style="2" bestFit="1" customWidth="1"/>
    <col min="3" max="3" width="15.21875" style="2" bestFit="1" customWidth="1"/>
    <col min="4" max="5" width="12.109375" style="2" customWidth="1"/>
    <col min="6" max="7" width="12.109375" style="2" bestFit="1" customWidth="1"/>
    <col min="8" max="8" width="6.88671875" style="2" bestFit="1" customWidth="1"/>
    <col min="9" max="9" width="9" style="2" bestFit="1" customWidth="1"/>
    <col min="10" max="11" width="8.88671875" style="2"/>
    <col min="12" max="12" width="12.109375" style="2" bestFit="1" customWidth="1"/>
    <col min="13" max="16384" width="8.88671875" style="2"/>
  </cols>
  <sheetData>
    <row r="1" spans="1:15" ht="18.600000000000001">
      <c r="A1" s="148" t="s">
        <v>0</v>
      </c>
      <c r="B1" s="148"/>
      <c r="C1" s="148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s="4" customFormat="1" ht="16.2">
      <c r="A2" s="147" t="s">
        <v>1</v>
      </c>
      <c r="B2" s="147"/>
      <c r="C2" s="147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5" s="4" customFormat="1">
      <c r="A3" s="147" t="s">
        <v>2</v>
      </c>
      <c r="B3" s="147"/>
      <c r="C3" s="147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5" s="5" customFormat="1" ht="13.8" customHeight="1">
      <c r="A4" s="199" t="s">
        <v>3</v>
      </c>
      <c r="B4" s="200" t="s">
        <v>5</v>
      </c>
      <c r="C4" s="200" t="s">
        <v>4</v>
      </c>
      <c r="D4" s="189" t="s">
        <v>6</v>
      </c>
      <c r="E4" s="190"/>
      <c r="F4" s="191" t="s">
        <v>7</v>
      </c>
      <c r="G4" s="192"/>
      <c r="H4" s="188" t="s">
        <v>14</v>
      </c>
      <c r="I4" s="193" t="s">
        <v>8</v>
      </c>
      <c r="J4" s="195" t="s">
        <v>9</v>
      </c>
      <c r="K4" s="184" t="s">
        <v>15</v>
      </c>
      <c r="L4" s="186" t="s">
        <v>55</v>
      </c>
      <c r="M4" s="186" t="s">
        <v>10</v>
      </c>
      <c r="N4" s="197" t="s">
        <v>11</v>
      </c>
      <c r="O4" s="162" t="s">
        <v>54</v>
      </c>
    </row>
    <row r="5" spans="1:15" s="5" customFormat="1" ht="13.8" customHeight="1">
      <c r="A5" s="163"/>
      <c r="B5" s="201"/>
      <c r="C5" s="201"/>
      <c r="D5" s="6" t="s">
        <v>12</v>
      </c>
      <c r="E5" s="6" t="s">
        <v>13</v>
      </c>
      <c r="F5" s="7" t="s">
        <v>12</v>
      </c>
      <c r="G5" s="8" t="s">
        <v>13</v>
      </c>
      <c r="H5" s="187"/>
      <c r="I5" s="194"/>
      <c r="J5" s="196"/>
      <c r="K5" s="185"/>
      <c r="L5" s="187"/>
      <c r="M5" s="187"/>
      <c r="N5" s="198"/>
      <c r="O5" s="177"/>
    </row>
    <row r="6" spans="1:15" s="5" customFormat="1" ht="13.8" customHeight="1">
      <c r="A6" s="9" t="s">
        <v>16</v>
      </c>
      <c r="B6" s="149">
        <v>100</v>
      </c>
      <c r="C6" s="10">
        <f>('OBUE Calc'!O4)/1000</f>
        <v>37.5002</v>
      </c>
      <c r="D6" s="11">
        <f>'OBUE Calc'!N4/1000</f>
        <v>37.450199999999995</v>
      </c>
      <c r="E6" s="11">
        <f>'OBUE Calc'!P4/1000</f>
        <v>37.550199999999997</v>
      </c>
      <c r="F6" s="12">
        <f>'OBUE Calc'!R4/1000</f>
        <v>35.5</v>
      </c>
      <c r="G6" s="13">
        <f>'OBUE Calc'!S4/1000</f>
        <v>37.4407</v>
      </c>
      <c r="H6" s="155">
        <v>1</v>
      </c>
      <c r="I6" s="14"/>
      <c r="J6" s="15" t="str">
        <f>IF(ISBLANK(I6),"--",I6-'OBUE Calc'!$I$4)</f>
        <v>--</v>
      </c>
      <c r="K6" s="16" t="str">
        <f>IF(ISBLANK(I6),"--",$M6-J6)</f>
        <v>--</v>
      </c>
      <c r="L6" s="17"/>
      <c r="M6" s="18">
        <f>'OBUE Calc'!Y4</f>
        <v>-8.0140054078154428</v>
      </c>
      <c r="N6" s="19"/>
      <c r="O6" s="152">
        <f>'OBUE Calc'!AA4</f>
        <v>3881</v>
      </c>
    </row>
    <row r="7" spans="1:15" s="5" customFormat="1" ht="14.4" customHeight="1">
      <c r="A7" s="20"/>
      <c r="B7" s="22"/>
      <c r="C7" s="21"/>
      <c r="D7" s="21"/>
      <c r="E7" s="21"/>
      <c r="F7" s="23">
        <f>'OBUE Calc'!R5/1000</f>
        <v>37.4407</v>
      </c>
      <c r="G7" s="24">
        <f>'OBUE Calc'!S5/1000</f>
        <v>37.4497</v>
      </c>
      <c r="H7" s="156">
        <v>1</v>
      </c>
      <c r="I7" s="25"/>
      <c r="J7" s="26" t="str">
        <f>IF(ISBLANK(I7),"--",I7-'OBUE Calc'!$I$4)</f>
        <v>--</v>
      </c>
      <c r="K7" s="27" t="str">
        <f t="shared" ref="K7:K29" si="0">IF(ISBLANK(I7),"--",$M7-J7)</f>
        <v>--</v>
      </c>
      <c r="L7" s="28"/>
      <c r="M7" s="29">
        <f>'OBUE Calc'!Y5</f>
        <v>-16.014005407815443</v>
      </c>
      <c r="N7" s="30"/>
      <c r="O7" s="152">
        <f>'OBUE Calc'!AA5</f>
        <v>18</v>
      </c>
    </row>
    <row r="8" spans="1:15" s="5" customFormat="1" ht="14.4" customHeight="1">
      <c r="A8" s="20"/>
      <c r="B8" s="22"/>
      <c r="C8" s="21"/>
      <c r="D8" s="21"/>
      <c r="E8" s="21"/>
      <c r="F8" s="23">
        <f>'OBUE Calc'!R6/1000</f>
        <v>37.550699999999999</v>
      </c>
      <c r="G8" s="24">
        <f>'OBUE Calc'!S6/1000</f>
        <v>37.561199999999999</v>
      </c>
      <c r="H8" s="156">
        <v>1</v>
      </c>
      <c r="I8" s="25"/>
      <c r="J8" s="26" t="str">
        <f>IF(ISBLANK(I8),"--",I8-'OBUE Calc'!$I$4)</f>
        <v>--</v>
      </c>
      <c r="K8" s="27" t="str">
        <f t="shared" si="0"/>
        <v>--</v>
      </c>
      <c r="L8" s="28"/>
      <c r="M8" s="29">
        <f>'OBUE Calc'!Y6</f>
        <v>-16.014005407815443</v>
      </c>
      <c r="N8" s="30"/>
      <c r="O8" s="152">
        <f>'OBUE Calc'!AA6</f>
        <v>21</v>
      </c>
    </row>
    <row r="9" spans="1:15" s="5" customFormat="1" ht="14.4" customHeight="1">
      <c r="A9" s="20"/>
      <c r="B9" s="32"/>
      <c r="C9" s="31"/>
      <c r="D9" s="31"/>
      <c r="E9" s="31"/>
      <c r="F9" s="33">
        <f>'OBUE Calc'!R7/1000</f>
        <v>37.561199999999999</v>
      </c>
      <c r="G9" s="34">
        <v>41.5</v>
      </c>
      <c r="H9" s="157">
        <v>1</v>
      </c>
      <c r="I9" s="35"/>
      <c r="J9" s="36" t="str">
        <f>IF(ISBLANK(I9),"--",I9-'OBUE Calc'!$I$4)</f>
        <v>--</v>
      </c>
      <c r="K9" s="37" t="str">
        <f t="shared" si="0"/>
        <v>--</v>
      </c>
      <c r="L9" s="38"/>
      <c r="M9" s="39">
        <f>'OBUE Calc'!Y7</f>
        <v>-8.0140054078154428</v>
      </c>
      <c r="N9" s="40"/>
      <c r="O9" s="153">
        <f>'OBUE Calc'!AA7</f>
        <v>7877</v>
      </c>
    </row>
    <row r="10" spans="1:15" s="5" customFormat="1" ht="14.4" customHeight="1">
      <c r="A10" s="20"/>
      <c r="B10" s="149">
        <f>B6</f>
        <v>100</v>
      </c>
      <c r="C10" s="10">
        <f>'OBUE Calc'!O8/1000</f>
        <v>38.999400000000001</v>
      </c>
      <c r="D10" s="41">
        <f>'OBUE Calc'!N8/1000</f>
        <v>38.949400000000004</v>
      </c>
      <c r="E10" s="41">
        <f>'OBUE Calc'!P8/1000</f>
        <v>39.049399999999999</v>
      </c>
      <c r="F10" s="23">
        <f>'OBUE Calc'!R8/1000</f>
        <v>35.5</v>
      </c>
      <c r="G10" s="24">
        <f>'OBUE Calc'!S8/1000</f>
        <v>38.939900000000002</v>
      </c>
      <c r="H10" s="156">
        <f>H6</f>
        <v>1</v>
      </c>
      <c r="I10" s="42"/>
      <c r="J10" s="43" t="str">
        <f>IF(ISBLANK(I10),"--",I10-'OBUE Calc'!$I$4)</f>
        <v>--</v>
      </c>
      <c r="K10" s="44" t="str">
        <f t="shared" si="0"/>
        <v>--</v>
      </c>
      <c r="L10" s="45"/>
      <c r="M10" s="29">
        <f t="shared" ref="M10:M29" si="1">M6</f>
        <v>-8.0140054078154428</v>
      </c>
      <c r="N10" s="30"/>
      <c r="O10" s="152">
        <f>'OBUE Calc'!AA8</f>
        <v>6879</v>
      </c>
    </row>
    <row r="11" spans="1:15" s="5" customFormat="1" ht="14.4" customHeight="1">
      <c r="A11" s="20"/>
      <c r="B11" s="22"/>
      <c r="C11" s="21"/>
      <c r="D11" s="21"/>
      <c r="E11" s="21"/>
      <c r="F11" s="23">
        <f>'OBUE Calc'!R9/1000</f>
        <v>38.939900000000002</v>
      </c>
      <c r="G11" s="24">
        <f>'OBUE Calc'!S9/1000</f>
        <v>38.948900000000002</v>
      </c>
      <c r="H11" s="156">
        <f t="shared" ref="H11:H29" si="2">H7</f>
        <v>1</v>
      </c>
      <c r="I11" s="25"/>
      <c r="J11" s="26" t="str">
        <f>IF(ISBLANK(I11),"--",I11-'OBUE Calc'!$I$4)</f>
        <v>--</v>
      </c>
      <c r="K11" s="27" t="str">
        <f t="shared" si="0"/>
        <v>--</v>
      </c>
      <c r="L11" s="28"/>
      <c r="M11" s="29">
        <f t="shared" si="1"/>
        <v>-16.014005407815443</v>
      </c>
      <c r="N11" s="30"/>
      <c r="O11" s="152">
        <f>'OBUE Calc'!AA9</f>
        <v>18</v>
      </c>
    </row>
    <row r="12" spans="1:15" s="5" customFormat="1" ht="14.4" customHeight="1">
      <c r="A12" s="20"/>
      <c r="B12" s="22"/>
      <c r="C12" s="21"/>
      <c r="D12" s="21"/>
      <c r="E12" s="21"/>
      <c r="F12" s="23">
        <f>'OBUE Calc'!R10/1000</f>
        <v>39.049900000000001</v>
      </c>
      <c r="G12" s="24">
        <f>'OBUE Calc'!S10/1000</f>
        <v>39.060400000000001</v>
      </c>
      <c r="H12" s="156">
        <f t="shared" si="2"/>
        <v>1</v>
      </c>
      <c r="I12" s="25"/>
      <c r="J12" s="26" t="str">
        <f>IF(ISBLANK(I12),"--",I12-'OBUE Calc'!$I$4)</f>
        <v>--</v>
      </c>
      <c r="K12" s="27" t="str">
        <f t="shared" si="0"/>
        <v>--</v>
      </c>
      <c r="L12" s="28"/>
      <c r="M12" s="29">
        <f t="shared" si="1"/>
        <v>-16.014005407815443</v>
      </c>
      <c r="N12" s="30"/>
      <c r="O12" s="152">
        <f>'OBUE Calc'!AA10</f>
        <v>21</v>
      </c>
    </row>
    <row r="13" spans="1:15" s="5" customFormat="1" ht="14.4" customHeight="1">
      <c r="A13" s="20"/>
      <c r="B13" s="32"/>
      <c r="C13" s="31"/>
      <c r="D13" s="31"/>
      <c r="E13" s="31"/>
      <c r="F13" s="33">
        <f>'OBUE Calc'!R11/1000</f>
        <v>39.060400000000001</v>
      </c>
      <c r="G13" s="34">
        <v>41.5</v>
      </c>
      <c r="H13" s="157">
        <f t="shared" si="2"/>
        <v>1</v>
      </c>
      <c r="I13" s="35"/>
      <c r="J13" s="36" t="str">
        <f>IF(ISBLANK(I13),"--",I13-'OBUE Calc'!$I$4)</f>
        <v>--</v>
      </c>
      <c r="K13" s="37" t="str">
        <f t="shared" si="0"/>
        <v>--</v>
      </c>
      <c r="L13" s="38"/>
      <c r="M13" s="39">
        <f t="shared" si="1"/>
        <v>-8.0140054078154428</v>
      </c>
      <c r="N13" s="40"/>
      <c r="O13" s="153">
        <f>'OBUE Calc'!AA11</f>
        <v>4879</v>
      </c>
    </row>
    <row r="14" spans="1:15" s="5" customFormat="1" ht="14.4" customHeight="1">
      <c r="A14" s="20"/>
      <c r="B14" s="149">
        <f>B6</f>
        <v>100</v>
      </c>
      <c r="C14" s="10">
        <f>'OBUE Calc'!O12/1000</f>
        <v>39.778500000000001</v>
      </c>
      <c r="D14" s="41">
        <f>'OBUE Calc'!N12/1000</f>
        <v>39.728499999999997</v>
      </c>
      <c r="E14" s="41">
        <f>'OBUE Calc'!P12/1000</f>
        <v>39.828499999999998</v>
      </c>
      <c r="F14" s="23">
        <f>'OBUE Calc'!R12/1000</f>
        <v>35.5</v>
      </c>
      <c r="G14" s="24">
        <f>'OBUE Calc'!S12/1000</f>
        <v>39.719000000000001</v>
      </c>
      <c r="H14" s="156">
        <f t="shared" si="2"/>
        <v>1</v>
      </c>
      <c r="I14" s="42"/>
      <c r="J14" s="43" t="str">
        <f>IF(ISBLANK(I14),"--",I14-'OBUE Calc'!$I$4)</f>
        <v>--</v>
      </c>
      <c r="K14" s="44" t="str">
        <f t="shared" si="0"/>
        <v>--</v>
      </c>
      <c r="L14" s="45"/>
      <c r="M14" s="29">
        <f t="shared" si="1"/>
        <v>-8.0140054078154428</v>
      </c>
      <c r="N14" s="30"/>
      <c r="O14" s="152">
        <f>'OBUE Calc'!AA12</f>
        <v>8438</v>
      </c>
    </row>
    <row r="15" spans="1:15" s="5" customFormat="1" ht="14.4" customHeight="1">
      <c r="A15" s="20"/>
      <c r="B15" s="22"/>
      <c r="C15" s="21"/>
      <c r="D15" s="21"/>
      <c r="E15" s="21"/>
      <c r="F15" s="23">
        <f>'OBUE Calc'!R13/1000</f>
        <v>39.719000000000001</v>
      </c>
      <c r="G15" s="24">
        <f>'OBUE Calc'!S13/1000</f>
        <v>39.728999999999999</v>
      </c>
      <c r="H15" s="156">
        <f t="shared" si="2"/>
        <v>1</v>
      </c>
      <c r="I15" s="25"/>
      <c r="J15" s="26" t="str">
        <f>IF(ISBLANK(I15),"--",I15-'OBUE Calc'!$I$4)</f>
        <v>--</v>
      </c>
      <c r="K15" s="27" t="str">
        <f t="shared" si="0"/>
        <v>--</v>
      </c>
      <c r="L15" s="28"/>
      <c r="M15" s="29">
        <f t="shared" si="1"/>
        <v>-16.014005407815443</v>
      </c>
      <c r="N15" s="30"/>
      <c r="O15" s="152">
        <f>'OBUE Calc'!AA13</f>
        <v>20</v>
      </c>
    </row>
    <row r="16" spans="1:15" s="5" customFormat="1" ht="14.4" customHeight="1">
      <c r="A16" s="20"/>
      <c r="B16" s="22"/>
      <c r="C16" s="21"/>
      <c r="D16" s="21"/>
      <c r="E16" s="21"/>
      <c r="F16" s="23">
        <f>'OBUE Calc'!R14/1000</f>
        <v>39.829000000000001</v>
      </c>
      <c r="G16" s="24">
        <f>'OBUE Calc'!S14/1000</f>
        <v>39.839500000000001</v>
      </c>
      <c r="H16" s="156">
        <f t="shared" si="2"/>
        <v>1</v>
      </c>
      <c r="I16" s="25"/>
      <c r="J16" s="26" t="str">
        <f>IF(ISBLANK(I16),"--",I16-'OBUE Calc'!$I$4)</f>
        <v>--</v>
      </c>
      <c r="K16" s="27" t="str">
        <f t="shared" si="0"/>
        <v>--</v>
      </c>
      <c r="L16" s="28"/>
      <c r="M16" s="29">
        <f t="shared" si="1"/>
        <v>-16.014005407815443</v>
      </c>
      <c r="N16" s="30"/>
      <c r="O16" s="152">
        <f>'OBUE Calc'!AA14</f>
        <v>21</v>
      </c>
    </row>
    <row r="17" spans="1:15" s="5" customFormat="1" ht="15" customHeight="1" thickBot="1">
      <c r="A17" s="46"/>
      <c r="B17" s="48"/>
      <c r="C17" s="47"/>
      <c r="D17" s="47"/>
      <c r="E17" s="47"/>
      <c r="F17" s="49">
        <f>'OBUE Calc'!R15/1000</f>
        <v>39.839500000000001</v>
      </c>
      <c r="G17" s="50">
        <v>41.5</v>
      </c>
      <c r="H17" s="158">
        <f t="shared" si="2"/>
        <v>1</v>
      </c>
      <c r="I17" s="51"/>
      <c r="J17" s="52" t="str">
        <f>IF(ISBLANK(I17),"--",I17-'OBUE Calc'!$I$4)</f>
        <v>--</v>
      </c>
      <c r="K17" s="53" t="str">
        <f t="shared" si="0"/>
        <v>--</v>
      </c>
      <c r="L17" s="54"/>
      <c r="M17" s="55">
        <f t="shared" si="1"/>
        <v>-8.0140054078154428</v>
      </c>
      <c r="N17" s="56"/>
      <c r="O17" s="154">
        <f>'OBUE Calc'!AA15</f>
        <v>3321</v>
      </c>
    </row>
    <row r="18" spans="1:15" s="5" customFormat="1" ht="13.8">
      <c r="A18" s="57" t="s">
        <v>17</v>
      </c>
      <c r="B18" s="149">
        <f>B6</f>
        <v>100</v>
      </c>
      <c r="C18" s="58">
        <f>C6</f>
        <v>37.5002</v>
      </c>
      <c r="D18" s="59">
        <f t="shared" ref="D18:G22" si="3">D6</f>
        <v>37.450199999999995</v>
      </c>
      <c r="E18" s="59">
        <f t="shared" si="3"/>
        <v>37.550199999999997</v>
      </c>
      <c r="F18" s="60">
        <f t="shared" si="3"/>
        <v>35.5</v>
      </c>
      <c r="G18" s="61">
        <f t="shared" si="3"/>
        <v>37.4407</v>
      </c>
      <c r="H18" s="159">
        <f t="shared" si="2"/>
        <v>1</v>
      </c>
      <c r="I18" s="62"/>
      <c r="J18" s="63" t="str">
        <f>IF(ISBLANK(I18),"--",I18-'OBUE Calc'!$I$4)</f>
        <v>--</v>
      </c>
      <c r="K18" s="64" t="str">
        <f t="shared" si="0"/>
        <v>--</v>
      </c>
      <c r="L18" s="65"/>
      <c r="M18" s="66">
        <f t="shared" si="1"/>
        <v>-8.0140054078154428</v>
      </c>
      <c r="N18" s="67"/>
      <c r="O18" s="152">
        <f>O6</f>
        <v>3881</v>
      </c>
    </row>
    <row r="19" spans="1:15" s="5" customFormat="1" ht="13.8">
      <c r="A19" s="68"/>
      <c r="B19" s="22"/>
      <c r="C19" s="21"/>
      <c r="D19" s="21"/>
      <c r="E19" s="21"/>
      <c r="F19" s="23">
        <f t="shared" si="3"/>
        <v>37.4407</v>
      </c>
      <c r="G19" s="24">
        <f t="shared" si="3"/>
        <v>37.4497</v>
      </c>
      <c r="H19" s="156">
        <f t="shared" si="2"/>
        <v>1</v>
      </c>
      <c r="I19" s="25"/>
      <c r="J19" s="26" t="str">
        <f>IF(ISBLANK(I19),"--",I19-'OBUE Calc'!$I$4)</f>
        <v>--</v>
      </c>
      <c r="K19" s="27" t="str">
        <f t="shared" si="0"/>
        <v>--</v>
      </c>
      <c r="L19" s="28"/>
      <c r="M19" s="29">
        <f t="shared" si="1"/>
        <v>-16.014005407815443</v>
      </c>
      <c r="N19" s="30"/>
      <c r="O19" s="152">
        <f t="shared" ref="O19:O29" si="4">O7</f>
        <v>18</v>
      </c>
    </row>
    <row r="20" spans="1:15" s="5" customFormat="1" ht="13.8">
      <c r="A20" s="68"/>
      <c r="B20" s="22"/>
      <c r="C20" s="21"/>
      <c r="D20" s="21"/>
      <c r="E20" s="21"/>
      <c r="F20" s="23">
        <f t="shared" si="3"/>
        <v>37.550699999999999</v>
      </c>
      <c r="G20" s="24">
        <f t="shared" si="3"/>
        <v>37.561199999999999</v>
      </c>
      <c r="H20" s="156">
        <f t="shared" si="2"/>
        <v>1</v>
      </c>
      <c r="I20" s="25"/>
      <c r="J20" s="26" t="str">
        <f>IF(ISBLANK(I20),"--",I20-'OBUE Calc'!$I$4)</f>
        <v>--</v>
      </c>
      <c r="K20" s="27" t="str">
        <f t="shared" si="0"/>
        <v>--</v>
      </c>
      <c r="L20" s="28"/>
      <c r="M20" s="29">
        <f t="shared" si="1"/>
        <v>-16.014005407815443</v>
      </c>
      <c r="N20" s="30"/>
      <c r="O20" s="152">
        <f t="shared" si="4"/>
        <v>21</v>
      </c>
    </row>
    <row r="21" spans="1:15" s="5" customFormat="1" ht="13.8">
      <c r="A21" s="68"/>
      <c r="B21" s="32"/>
      <c r="C21" s="31"/>
      <c r="D21" s="31"/>
      <c r="E21" s="31"/>
      <c r="F21" s="33">
        <f t="shared" si="3"/>
        <v>37.561199999999999</v>
      </c>
      <c r="G21" s="34">
        <f t="shared" si="3"/>
        <v>41.5</v>
      </c>
      <c r="H21" s="157">
        <f t="shared" si="2"/>
        <v>1</v>
      </c>
      <c r="I21" s="35"/>
      <c r="J21" s="36" t="str">
        <f>IF(ISBLANK(I21),"--",I21-'OBUE Calc'!$I$4)</f>
        <v>--</v>
      </c>
      <c r="K21" s="37" t="str">
        <f t="shared" si="0"/>
        <v>--</v>
      </c>
      <c r="L21" s="38"/>
      <c r="M21" s="39">
        <f t="shared" si="1"/>
        <v>-8.0140054078154428</v>
      </c>
      <c r="N21" s="40"/>
      <c r="O21" s="153">
        <f t="shared" si="4"/>
        <v>7877</v>
      </c>
    </row>
    <row r="22" spans="1:15" s="5" customFormat="1" ht="13.8">
      <c r="A22" s="68"/>
      <c r="B22" s="149">
        <f>B6</f>
        <v>100</v>
      </c>
      <c r="C22" s="10">
        <f>C10</f>
        <v>38.999400000000001</v>
      </c>
      <c r="D22" s="41">
        <f t="shared" ref="D22:G25" si="5">D10</f>
        <v>38.949400000000004</v>
      </c>
      <c r="E22" s="41">
        <f t="shared" si="3"/>
        <v>39.049399999999999</v>
      </c>
      <c r="F22" s="23">
        <f t="shared" si="5"/>
        <v>35.5</v>
      </c>
      <c r="G22" s="24">
        <f t="shared" si="5"/>
        <v>38.939900000000002</v>
      </c>
      <c r="H22" s="156">
        <f t="shared" si="2"/>
        <v>1</v>
      </c>
      <c r="I22" s="42"/>
      <c r="J22" s="43" t="str">
        <f>IF(ISBLANK(I22),"--",I22-'OBUE Calc'!$I$4)</f>
        <v>--</v>
      </c>
      <c r="K22" s="44" t="str">
        <f t="shared" si="0"/>
        <v>--</v>
      </c>
      <c r="L22" s="45"/>
      <c r="M22" s="29">
        <f t="shared" si="1"/>
        <v>-8.0140054078154428</v>
      </c>
      <c r="N22" s="30"/>
      <c r="O22" s="152">
        <f t="shared" si="4"/>
        <v>6879</v>
      </c>
    </row>
    <row r="23" spans="1:15" s="5" customFormat="1" ht="13.8">
      <c r="A23" s="68"/>
      <c r="B23" s="22"/>
      <c r="C23" s="21"/>
      <c r="D23" s="21"/>
      <c r="E23" s="21"/>
      <c r="F23" s="23">
        <f t="shared" si="5"/>
        <v>38.939900000000002</v>
      </c>
      <c r="G23" s="24">
        <f t="shared" si="5"/>
        <v>38.948900000000002</v>
      </c>
      <c r="H23" s="156">
        <f t="shared" si="2"/>
        <v>1</v>
      </c>
      <c r="I23" s="25"/>
      <c r="J23" s="26" t="str">
        <f>IF(ISBLANK(I23),"--",I23-'OBUE Calc'!$I$4)</f>
        <v>--</v>
      </c>
      <c r="K23" s="27" t="str">
        <f t="shared" si="0"/>
        <v>--</v>
      </c>
      <c r="L23" s="28"/>
      <c r="M23" s="29">
        <f t="shared" si="1"/>
        <v>-16.014005407815443</v>
      </c>
      <c r="N23" s="30"/>
      <c r="O23" s="152">
        <f t="shared" si="4"/>
        <v>18</v>
      </c>
    </row>
    <row r="24" spans="1:15" s="5" customFormat="1" ht="13.8">
      <c r="A24" s="68"/>
      <c r="B24" s="22"/>
      <c r="C24" s="21"/>
      <c r="D24" s="21"/>
      <c r="E24" s="21"/>
      <c r="F24" s="23">
        <f t="shared" si="5"/>
        <v>39.049900000000001</v>
      </c>
      <c r="G24" s="24">
        <f t="shared" si="5"/>
        <v>39.060400000000001</v>
      </c>
      <c r="H24" s="156">
        <f t="shared" si="2"/>
        <v>1</v>
      </c>
      <c r="I24" s="25"/>
      <c r="J24" s="26" t="str">
        <f>IF(ISBLANK(I24),"--",I24-'OBUE Calc'!$I$4)</f>
        <v>--</v>
      </c>
      <c r="K24" s="27" t="str">
        <f t="shared" si="0"/>
        <v>--</v>
      </c>
      <c r="L24" s="28"/>
      <c r="M24" s="29">
        <f t="shared" si="1"/>
        <v>-16.014005407815443</v>
      </c>
      <c r="N24" s="30"/>
      <c r="O24" s="152">
        <f t="shared" si="4"/>
        <v>21</v>
      </c>
    </row>
    <row r="25" spans="1:15" s="5" customFormat="1" ht="13.8">
      <c r="A25" s="68"/>
      <c r="B25" s="32"/>
      <c r="C25" s="31"/>
      <c r="D25" s="31"/>
      <c r="E25" s="31"/>
      <c r="F25" s="33">
        <f t="shared" si="5"/>
        <v>39.060400000000001</v>
      </c>
      <c r="G25" s="34">
        <f t="shared" si="5"/>
        <v>41.5</v>
      </c>
      <c r="H25" s="157">
        <f t="shared" si="2"/>
        <v>1</v>
      </c>
      <c r="I25" s="35"/>
      <c r="J25" s="36" t="str">
        <f>IF(ISBLANK(I25),"--",I25-'OBUE Calc'!$I$4)</f>
        <v>--</v>
      </c>
      <c r="K25" s="37" t="str">
        <f t="shared" si="0"/>
        <v>--</v>
      </c>
      <c r="L25" s="38"/>
      <c r="M25" s="39">
        <f t="shared" si="1"/>
        <v>-8.0140054078154428</v>
      </c>
      <c r="N25" s="40"/>
      <c r="O25" s="153">
        <f t="shared" si="4"/>
        <v>4879</v>
      </c>
    </row>
    <row r="26" spans="1:15" s="5" customFormat="1" ht="13.8">
      <c r="A26" s="68"/>
      <c r="B26" s="149">
        <f>B6</f>
        <v>100</v>
      </c>
      <c r="C26" s="10">
        <f>C14</f>
        <v>39.778500000000001</v>
      </c>
      <c r="D26" s="41">
        <f t="shared" ref="D26:G29" si="6">D14</f>
        <v>39.728499999999997</v>
      </c>
      <c r="E26" s="41">
        <f t="shared" si="6"/>
        <v>39.828499999999998</v>
      </c>
      <c r="F26" s="23">
        <f t="shared" si="6"/>
        <v>35.5</v>
      </c>
      <c r="G26" s="24">
        <f t="shared" si="6"/>
        <v>39.719000000000001</v>
      </c>
      <c r="H26" s="156">
        <f t="shared" si="2"/>
        <v>1</v>
      </c>
      <c r="I26" s="42"/>
      <c r="J26" s="43" t="str">
        <f>IF(ISBLANK(I26),"--",I26-'OBUE Calc'!$I$4)</f>
        <v>--</v>
      </c>
      <c r="K26" s="44" t="str">
        <f t="shared" si="0"/>
        <v>--</v>
      </c>
      <c r="L26" s="45"/>
      <c r="M26" s="29">
        <f t="shared" si="1"/>
        <v>-8.0140054078154428</v>
      </c>
      <c r="N26" s="30"/>
      <c r="O26" s="152">
        <f t="shared" si="4"/>
        <v>8438</v>
      </c>
    </row>
    <row r="27" spans="1:15" s="5" customFormat="1" ht="13.8">
      <c r="A27" s="68"/>
      <c r="B27" s="22"/>
      <c r="C27" s="21"/>
      <c r="D27" s="21"/>
      <c r="E27" s="21"/>
      <c r="F27" s="23">
        <f t="shared" si="6"/>
        <v>39.719000000000001</v>
      </c>
      <c r="G27" s="24">
        <f t="shared" si="6"/>
        <v>39.728999999999999</v>
      </c>
      <c r="H27" s="156">
        <f t="shared" si="2"/>
        <v>1</v>
      </c>
      <c r="I27" s="25"/>
      <c r="J27" s="26" t="str">
        <f>IF(ISBLANK(I27),"--",I27-'OBUE Calc'!$I$4)</f>
        <v>--</v>
      </c>
      <c r="K27" s="27" t="str">
        <f t="shared" si="0"/>
        <v>--</v>
      </c>
      <c r="L27" s="28"/>
      <c r="M27" s="29">
        <f t="shared" si="1"/>
        <v>-16.014005407815443</v>
      </c>
      <c r="N27" s="30"/>
      <c r="O27" s="152">
        <f t="shared" si="4"/>
        <v>20</v>
      </c>
    </row>
    <row r="28" spans="1:15" s="5" customFormat="1" ht="13.8">
      <c r="A28" s="68"/>
      <c r="B28" s="22"/>
      <c r="C28" s="21"/>
      <c r="D28" s="21"/>
      <c r="E28" s="21"/>
      <c r="F28" s="23">
        <f t="shared" si="6"/>
        <v>39.829000000000001</v>
      </c>
      <c r="G28" s="24">
        <f t="shared" si="6"/>
        <v>39.839500000000001</v>
      </c>
      <c r="H28" s="156">
        <f t="shared" si="2"/>
        <v>1</v>
      </c>
      <c r="I28" s="25"/>
      <c r="J28" s="26" t="str">
        <f>IF(ISBLANK(I28),"--",I28-'OBUE Calc'!$I$4)</f>
        <v>--</v>
      </c>
      <c r="K28" s="27" t="str">
        <f t="shared" si="0"/>
        <v>--</v>
      </c>
      <c r="L28" s="28"/>
      <c r="M28" s="29">
        <f t="shared" si="1"/>
        <v>-16.014005407815443</v>
      </c>
      <c r="N28" s="30"/>
      <c r="O28" s="152">
        <f t="shared" si="4"/>
        <v>21</v>
      </c>
    </row>
    <row r="29" spans="1:15" s="5" customFormat="1" ht="13.8">
      <c r="A29" s="69"/>
      <c r="B29" s="32"/>
      <c r="C29" s="31"/>
      <c r="D29" s="31"/>
      <c r="E29" s="31"/>
      <c r="F29" s="33">
        <f t="shared" si="6"/>
        <v>39.839500000000001</v>
      </c>
      <c r="G29" s="34">
        <f t="shared" si="6"/>
        <v>41.5</v>
      </c>
      <c r="H29" s="157">
        <f t="shared" si="2"/>
        <v>1</v>
      </c>
      <c r="I29" s="35"/>
      <c r="J29" s="36" t="str">
        <f>IF(ISBLANK(I29),"--",I29-'OBUE Calc'!$I$4)</f>
        <v>--</v>
      </c>
      <c r="K29" s="37" t="str">
        <f t="shared" si="0"/>
        <v>--</v>
      </c>
      <c r="L29" s="38"/>
      <c r="M29" s="39">
        <f t="shared" si="1"/>
        <v>-8.0140054078154428</v>
      </c>
      <c r="N29" s="40"/>
      <c r="O29" s="153">
        <f t="shared" si="4"/>
        <v>3321</v>
      </c>
    </row>
  </sheetData>
  <mergeCells count="13">
    <mergeCell ref="A4:A5"/>
    <mergeCell ref="C4:C5"/>
    <mergeCell ref="B4:B5"/>
    <mergeCell ref="O4:O5"/>
    <mergeCell ref="K4:K5"/>
    <mergeCell ref="L4:L5"/>
    <mergeCell ref="H4:H5"/>
    <mergeCell ref="D4:E4"/>
    <mergeCell ref="F4:G4"/>
    <mergeCell ref="I4:I5"/>
    <mergeCell ref="J4:J5"/>
    <mergeCell ref="M4:M5"/>
    <mergeCell ref="N4:N5"/>
  </mergeCells>
  <conditionalFormatting sqref="K6:K29">
    <cfRule type="cellIs" dxfId="3" priority="5" operator="lessThan">
      <formula>0</formula>
    </cfRule>
  </conditionalFormatting>
  <conditionalFormatting sqref="J6:K29">
    <cfRule type="cellIs" dxfId="2" priority="6" operator="equal">
      <formula>0</formula>
    </cfRule>
  </conditionalFormatting>
  <conditionalFormatting sqref="L6:L29">
    <cfRule type="cellIs" dxfId="1" priority="4" operator="equal">
      <formula>0</formula>
    </cfRule>
  </conditionalFormatting>
  <conditionalFormatting sqref="I6:I29">
    <cfRule type="cellIs" dxfId="0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OBUE Calc</vt:lpstr>
      <vt:lpstr>OBUE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Warriner, Tim (Nokia - US/Irving)</dc:creator>
  <cp:lastModifiedBy>Warriner, Tim (Nokia - US/Irving)</cp:lastModifiedBy>
  <dcterms:created xsi:type="dcterms:W3CDTF">2019-09-16T14:29:01Z</dcterms:created>
  <dcterms:modified xsi:type="dcterms:W3CDTF">2019-10-28T18:31:45Z</dcterms:modified>
</cp:coreProperties>
</file>