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arrine\Desktop\5G mmWave\Gen4 Gluon\RFV Testing\"/>
    </mc:Choice>
  </mc:AlternateContent>
  <xr:revisionPtr revIDLastSave="0" documentId="13_ncr:1_{36979574-AD30-4612-B0C7-2337319AD4C9}" xr6:coauthVersionLast="36" xr6:coauthVersionMax="36" xr10:uidLastSave="{00000000-0000-0000-0000-000000000000}"/>
  <bookViews>
    <workbookView xWindow="0" yWindow="0" windowWidth="23040" windowHeight="9060" xr2:uid="{2BC7C800-5ED8-4878-9A97-E271D8284E3C}"/>
  </bookViews>
  <sheets>
    <sheet name="SC OBUE" sheetId="1" r:id="rId1"/>
    <sheet name="IF_AMLO_RF" sheetId="2" r:id="rId2"/>
  </sheets>
  <externalReferences>
    <externalReference r:id="rId3"/>
    <externalReference r:id="rId4"/>
  </externalReferences>
  <definedNames>
    <definedName name="dddd">#REF!</definedName>
    <definedName name="Feature_Column">#REF!</definedName>
    <definedName name="IO">#REF!</definedName>
    <definedName name="Missing_GNL">#REF!</definedName>
    <definedName name="Missing_IO">#REF!</definedName>
    <definedName name="Missing_RX">#REF!</definedName>
    <definedName name="Missing_TOP">#REF!</definedName>
    <definedName name="Missing_TX">#REF!</definedName>
    <definedName name="prodReqFile">'[2]Revisions (GAIA and GAIA+)'!#REF!</definedName>
    <definedName name="RX">#REF!</definedName>
    <definedName name="RX_Al">#REF!</definedName>
    <definedName name="TopLevel">#REF!</definedName>
    <definedName name="TX">#REF!</definedName>
    <definedName name="Verification_Fi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42" i="1" l="1"/>
  <c r="S41" i="1"/>
  <c r="S40" i="1"/>
  <c r="S39" i="1"/>
  <c r="S37" i="1"/>
  <c r="S36" i="1"/>
  <c r="S35" i="1"/>
  <c r="S34" i="1"/>
  <c r="S32" i="1"/>
  <c r="S31" i="1"/>
  <c r="S30" i="1"/>
  <c r="S29" i="1"/>
  <c r="Q42" i="1"/>
  <c r="R42" i="1" s="1"/>
  <c r="P42" i="1"/>
  <c r="Q41" i="1"/>
  <c r="P41" i="1"/>
  <c r="R41" i="1" s="1"/>
  <c r="Q40" i="1"/>
  <c r="P40" i="1"/>
  <c r="R40" i="1" s="1"/>
  <c r="R39" i="1"/>
  <c r="Q39" i="1"/>
  <c r="P39" i="1"/>
  <c r="P37" i="1"/>
  <c r="P36" i="1"/>
  <c r="Q35" i="1"/>
  <c r="R35" i="1" s="1"/>
  <c r="P35" i="1"/>
  <c r="Q34" i="1"/>
  <c r="Q36" i="1" s="1"/>
  <c r="R36" i="1" s="1"/>
  <c r="P34" i="1"/>
  <c r="R34" i="1" s="1"/>
  <c r="Q32" i="1"/>
  <c r="Q31" i="1"/>
  <c r="R31" i="1" s="1"/>
  <c r="Q30" i="1"/>
  <c r="P32" i="1"/>
  <c r="P31" i="1"/>
  <c r="P30" i="1"/>
  <c r="R30" i="1" s="1"/>
  <c r="R29" i="1"/>
  <c r="Q29" i="1"/>
  <c r="P29" i="1"/>
  <c r="E54" i="2"/>
  <c r="D54" i="2"/>
  <c r="B54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D41" i="2"/>
  <c r="E41" i="2" s="1"/>
  <c r="B41" i="2"/>
  <c r="B49" i="2" s="1"/>
  <c r="D40" i="2"/>
  <c r="B40" i="2"/>
  <c r="E40" i="2" s="1"/>
  <c r="D39" i="2"/>
  <c r="D38" i="2"/>
  <c r="D37" i="2"/>
  <c r="E37" i="2" s="1"/>
  <c r="B37" i="2"/>
  <c r="B45" i="2" s="1"/>
  <c r="D36" i="2"/>
  <c r="B36" i="2"/>
  <c r="E36" i="2" s="1"/>
  <c r="D35" i="2"/>
  <c r="D34" i="2"/>
  <c r="C33" i="2"/>
  <c r="D33" i="2" s="1"/>
  <c r="E33" i="2" s="1"/>
  <c r="B33" i="2"/>
  <c r="C32" i="2"/>
  <c r="D32" i="2" s="1"/>
  <c r="E32" i="2" s="1"/>
  <c r="B32" i="2"/>
  <c r="C31" i="2"/>
  <c r="D31" i="2" s="1"/>
  <c r="E31" i="2" s="1"/>
  <c r="B31" i="2"/>
  <c r="B39" i="2" s="1"/>
  <c r="C30" i="2"/>
  <c r="D30" i="2" s="1"/>
  <c r="E30" i="2" s="1"/>
  <c r="B30" i="2"/>
  <c r="B38" i="2" s="1"/>
  <c r="B46" i="2" s="1"/>
  <c r="C29" i="2"/>
  <c r="D29" i="2" s="1"/>
  <c r="E29" i="2" s="1"/>
  <c r="B29" i="2"/>
  <c r="C28" i="2"/>
  <c r="D28" i="2" s="1"/>
  <c r="E28" i="2" s="1"/>
  <c r="B28" i="2"/>
  <c r="C27" i="2"/>
  <c r="D27" i="2" s="1"/>
  <c r="E27" i="2" s="1"/>
  <c r="B27" i="2"/>
  <c r="B35" i="2" s="1"/>
  <c r="D26" i="2"/>
  <c r="E26" i="2" s="1"/>
  <c r="B26" i="2"/>
  <c r="B34" i="2" s="1"/>
  <c r="B42" i="2" s="1"/>
  <c r="C22" i="2"/>
  <c r="D22" i="2" s="1"/>
  <c r="C21" i="2"/>
  <c r="D21" i="2" s="1"/>
  <c r="C20" i="2"/>
  <c r="D20" i="2" s="1"/>
  <c r="D19" i="2"/>
  <c r="D18" i="2"/>
  <c r="D17" i="2"/>
  <c r="D16" i="2"/>
  <c r="E16" i="2" s="1"/>
  <c r="B16" i="2"/>
  <c r="B20" i="2" s="1"/>
  <c r="D15" i="2"/>
  <c r="G14" i="2"/>
  <c r="C14" i="2"/>
  <c r="D14" i="2" s="1"/>
  <c r="E14" i="2" s="1"/>
  <c r="B14" i="2"/>
  <c r="B18" i="2" s="1"/>
  <c r="G13" i="2"/>
  <c r="C13" i="2"/>
  <c r="D13" i="2" s="1"/>
  <c r="E13" i="2" s="1"/>
  <c r="B13" i="2"/>
  <c r="B17" i="2" s="1"/>
  <c r="B21" i="2" s="1"/>
  <c r="C12" i="2"/>
  <c r="D12" i="2" s="1"/>
  <c r="E12" i="2" s="1"/>
  <c r="B12" i="2"/>
  <c r="D11" i="2"/>
  <c r="E11" i="2" s="1"/>
  <c r="B11" i="2"/>
  <c r="B15" i="2" s="1"/>
  <c r="D7" i="2"/>
  <c r="B7" i="2"/>
  <c r="E7" i="2" s="1"/>
  <c r="C39" i="1" s="1"/>
  <c r="D6" i="2"/>
  <c r="D5" i="2"/>
  <c r="E5" i="2" s="1"/>
  <c r="C29" i="1" s="1"/>
  <c r="C47" i="1" s="1"/>
  <c r="B47" i="1" s="1"/>
  <c r="B5" i="2"/>
  <c r="B6" i="2" s="1"/>
  <c r="E6" i="2" s="1"/>
  <c r="C34" i="1" s="1"/>
  <c r="M60" i="1"/>
  <c r="K60" i="1"/>
  <c r="M59" i="1"/>
  <c r="K59" i="1"/>
  <c r="M58" i="1"/>
  <c r="K58" i="1"/>
  <c r="M57" i="1"/>
  <c r="K57" i="1"/>
  <c r="G57" i="1"/>
  <c r="M55" i="1"/>
  <c r="K55" i="1"/>
  <c r="M54" i="1"/>
  <c r="K54" i="1"/>
  <c r="M53" i="1"/>
  <c r="K53" i="1"/>
  <c r="M52" i="1"/>
  <c r="K52" i="1"/>
  <c r="G52" i="1"/>
  <c r="M50" i="1"/>
  <c r="K50" i="1"/>
  <c r="M49" i="1"/>
  <c r="K49" i="1"/>
  <c r="M48" i="1"/>
  <c r="K48" i="1"/>
  <c r="M47" i="1"/>
  <c r="K47" i="1"/>
  <c r="G47" i="1"/>
  <c r="M42" i="1"/>
  <c r="K42" i="1"/>
  <c r="M41" i="1"/>
  <c r="K41" i="1"/>
  <c r="M40" i="1"/>
  <c r="K40" i="1"/>
  <c r="M39" i="1"/>
  <c r="K39" i="1"/>
  <c r="G39" i="1"/>
  <c r="M37" i="1"/>
  <c r="K37" i="1"/>
  <c r="M36" i="1"/>
  <c r="K36" i="1"/>
  <c r="M35" i="1"/>
  <c r="K35" i="1"/>
  <c r="M34" i="1"/>
  <c r="K34" i="1"/>
  <c r="G34" i="1"/>
  <c r="M32" i="1"/>
  <c r="K32" i="1"/>
  <c r="H32" i="1"/>
  <c r="H37" i="1" s="1"/>
  <c r="H42" i="1" s="1"/>
  <c r="H50" i="1" s="1"/>
  <c r="H55" i="1" s="1"/>
  <c r="H60" i="1" s="1"/>
  <c r="M31" i="1"/>
  <c r="K31" i="1"/>
  <c r="M30" i="1"/>
  <c r="K30" i="1"/>
  <c r="M29" i="1"/>
  <c r="K29" i="1"/>
  <c r="G29" i="1"/>
  <c r="B29" i="1"/>
  <c r="E20" i="1"/>
  <c r="B20" i="1"/>
  <c r="D20" i="1" s="1"/>
  <c r="A20" i="1"/>
  <c r="B19" i="1"/>
  <c r="D19" i="1" s="1"/>
  <c r="R37" i="1" l="1"/>
  <c r="Q37" i="1"/>
  <c r="R32" i="1"/>
  <c r="B34" i="1"/>
  <c r="C52" i="1"/>
  <c r="B52" i="1" s="1"/>
  <c r="F19" i="1"/>
  <c r="T52" i="1"/>
  <c r="H30" i="1"/>
  <c r="D29" i="1"/>
  <c r="D47" i="1"/>
  <c r="H48" i="1"/>
  <c r="H47" i="1"/>
  <c r="G48" i="1" s="1"/>
  <c r="E15" i="2"/>
  <c r="B19" i="2"/>
  <c r="E19" i="2" s="1"/>
  <c r="E20" i="2"/>
  <c r="E17" i="2"/>
  <c r="E21" i="2"/>
  <c r="E35" i="2"/>
  <c r="B43" i="2"/>
  <c r="E43" i="2" s="1"/>
  <c r="B47" i="2"/>
  <c r="E39" i="2"/>
  <c r="E38" i="2"/>
  <c r="E45" i="2"/>
  <c r="E47" i="2"/>
  <c r="E49" i="2"/>
  <c r="H29" i="1"/>
  <c r="G30" i="1" s="1"/>
  <c r="C57" i="1"/>
  <c r="B57" i="1" s="1"/>
  <c r="B39" i="1"/>
  <c r="F20" i="1"/>
  <c r="E18" i="2"/>
  <c r="B22" i="2"/>
  <c r="E22" i="2" s="1"/>
  <c r="E34" i="2"/>
  <c r="E42" i="2"/>
  <c r="E46" i="2"/>
  <c r="B44" i="2"/>
  <c r="E44" i="2" s="1"/>
  <c r="B48" i="2"/>
  <c r="E48" i="2" s="1"/>
  <c r="H49" i="1" l="1"/>
  <c r="G50" i="1" s="1"/>
  <c r="G49" i="1"/>
  <c r="R6" i="1"/>
  <c r="R5" i="1"/>
  <c r="G31" i="1"/>
  <c r="H31" i="1"/>
  <c r="G32" i="1" s="1"/>
  <c r="H53" i="1"/>
  <c r="D52" i="1"/>
  <c r="H52" i="1"/>
  <c r="G53" i="1" s="1"/>
  <c r="H40" i="1"/>
  <c r="H39" i="1"/>
  <c r="G40" i="1" s="1"/>
  <c r="D39" i="1"/>
  <c r="H58" i="1"/>
  <c r="D57" i="1"/>
  <c r="H57" i="1"/>
  <c r="G58" i="1" s="1"/>
  <c r="H34" i="1"/>
  <c r="G35" i="1" s="1"/>
  <c r="D34" i="1"/>
  <c r="H35" i="1"/>
  <c r="I53" i="1" l="1"/>
  <c r="I54" i="1" s="1"/>
  <c r="I48" i="1"/>
  <c r="I49" i="1" s="1"/>
  <c r="I35" i="1"/>
  <c r="I36" i="1" s="1"/>
  <c r="I40" i="1"/>
  <c r="I41" i="1" s="1"/>
  <c r="I58" i="1"/>
  <c r="I59" i="1" s="1"/>
  <c r="I30" i="1"/>
  <c r="I31" i="1" s="1"/>
  <c r="G41" i="1"/>
  <c r="H41" i="1"/>
  <c r="G42" i="1" s="1"/>
  <c r="H54" i="1"/>
  <c r="G55" i="1" s="1"/>
  <c r="G54" i="1"/>
  <c r="H59" i="1"/>
  <c r="G60" i="1" s="1"/>
  <c r="G59" i="1"/>
  <c r="I39" i="1"/>
  <c r="I42" i="1" s="1"/>
  <c r="I52" i="1"/>
  <c r="I55" i="1" s="1"/>
  <c r="I29" i="1"/>
  <c r="I32" i="1" s="1"/>
  <c r="I47" i="1"/>
  <c r="I50" i="1" s="1"/>
  <c r="I57" i="1"/>
  <c r="I60" i="1" s="1"/>
  <c r="I34" i="1"/>
  <c r="I37" i="1" s="1"/>
  <c r="H36" i="1"/>
  <c r="G37" i="1" s="1"/>
  <c r="G36" i="1"/>
</calcChain>
</file>

<file path=xl/sharedStrings.xml><?xml version="1.0" encoding="utf-8"?>
<sst xmlns="http://schemas.openxmlformats.org/spreadsheetml/2006/main" count="154" uniqueCount="93">
  <si>
    <t>Nokia Confidential</t>
  </si>
  <si>
    <t>1x100MHz Operating Band Unwanted Emissions</t>
  </si>
  <si>
    <t>For calculating P/F limits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</si>
  <si>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f</t>
    </r>
  </si>
  <si>
    <t>f_offset</t>
  </si>
  <si>
    <t>Limit (TRP-based)</t>
  </si>
  <si>
    <t>k1</t>
  </si>
  <si>
    <t>k2</t>
  </si>
  <si>
    <t>k3</t>
  </si>
  <si>
    <t>P/F Limit</t>
  </si>
  <si>
    <r>
      <t xml:space="preserve">0MHz &lt;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f &lt; 0.1*BW</t>
    </r>
    <r>
      <rPr>
        <vertAlign val="subscript"/>
        <sz val="11"/>
        <color theme="1"/>
        <rFont val="Calibri"/>
        <family val="2"/>
        <scheme val="minor"/>
      </rPr>
      <t>contiguous</t>
    </r>
  </si>
  <si>
    <r>
      <t xml:space="preserve">0.5MHz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f_offset &lt; 0.1*BW</t>
    </r>
    <r>
      <rPr>
        <vertAlign val="subscript"/>
        <sz val="11"/>
        <color theme="1"/>
        <rFont val="Calibri"/>
        <family val="2"/>
        <scheme val="minor"/>
      </rPr>
      <t>contiguous</t>
    </r>
    <r>
      <rPr>
        <sz val="11"/>
        <color theme="1"/>
        <rFont val="Calibri"/>
        <family val="2"/>
        <scheme val="minor"/>
      </rPr>
      <t xml:space="preserve"> + 0.5MHz</t>
    </r>
  </si>
  <si>
    <r>
      <t>MIN[-5dBm, MAX(P</t>
    </r>
    <r>
      <rPr>
        <vertAlign val="subscript"/>
        <sz val="11"/>
        <color theme="1"/>
        <rFont val="Calibri"/>
        <family val="2"/>
        <scheme val="minor"/>
      </rPr>
      <t>rated t,TRP</t>
    </r>
    <r>
      <rPr>
        <sz val="11"/>
        <color theme="1"/>
        <rFont val="Calibri"/>
        <family val="2"/>
        <scheme val="minor"/>
      </rPr>
      <t xml:space="preserve"> - 33dB, -12dBm)]</t>
    </r>
  </si>
  <si>
    <r>
      <t>0.1*BW</t>
    </r>
    <r>
      <rPr>
        <vertAlign val="subscript"/>
        <sz val="11"/>
        <color theme="1"/>
        <rFont val="Calibri"/>
        <family val="2"/>
        <scheme val="minor"/>
      </rPr>
      <t>contiguous</t>
    </r>
    <r>
      <rPr>
        <sz val="11"/>
        <color theme="1"/>
        <rFont val="Calibri"/>
        <family val="2"/>
        <scheme val="minor"/>
      </rPr>
      <t xml:space="preserve"> &lt;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f &lt;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fmax</t>
    </r>
  </si>
  <si>
    <r>
      <t>0.1*BW</t>
    </r>
    <r>
      <rPr>
        <vertAlign val="subscript"/>
        <sz val="11"/>
        <color theme="1"/>
        <rFont val="Calibri"/>
        <family val="2"/>
        <scheme val="minor"/>
      </rPr>
      <t>contiguous</t>
    </r>
    <r>
      <rPr>
        <sz val="11"/>
        <color theme="1"/>
        <rFont val="Calibri"/>
        <family val="2"/>
        <scheme val="minor"/>
      </rPr>
      <t xml:space="preserve"> + 0.5MHz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f_offset &lt; f_offset</t>
    </r>
    <r>
      <rPr>
        <vertAlign val="subscript"/>
        <sz val="11"/>
        <color theme="1"/>
        <rFont val="Calibri"/>
        <family val="2"/>
        <scheme val="minor"/>
      </rPr>
      <t>max</t>
    </r>
  </si>
  <si>
    <r>
      <t>MIN[-13dBm, MAX(P</t>
    </r>
    <r>
      <rPr>
        <vertAlign val="subscript"/>
        <sz val="11"/>
        <color theme="1"/>
        <rFont val="Calibri"/>
        <family val="2"/>
        <scheme val="minor"/>
      </rPr>
      <t>rated t,TRP</t>
    </r>
    <r>
      <rPr>
        <sz val="11"/>
        <color theme="1"/>
        <rFont val="Calibri"/>
        <family val="2"/>
        <scheme val="minor"/>
      </rPr>
      <t xml:space="preserve"> - 41dB, -20dBm)]</t>
    </r>
  </si>
  <si>
    <t>Note:  For non-contiguous spectrum operation within any operating band, the limit in the sub-block gaps is calculated as a cumulative sum of contributions from adjacent sub blocks on each side of the sub-block gap.</t>
  </si>
  <si>
    <t>DEFINTIONS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</si>
  <si>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f:  Frequency offset of measurement filter's -3dB point.</t>
    </r>
  </si>
  <si>
    <t>f_offset:  Frequency offset of measurement filter's center frequency</t>
  </si>
  <si>
    <r>
      <t>f_offset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:  Maximum frequency offset 1.5GHz from lower/upper edge of RF band.</t>
    </r>
  </si>
  <si>
    <r>
      <t>P</t>
    </r>
    <r>
      <rPr>
        <vertAlign val="subscript"/>
        <sz val="11"/>
        <color theme="1"/>
        <rFont val="Calibri"/>
        <family val="2"/>
        <scheme val="minor"/>
      </rPr>
      <t>rated t, TRP</t>
    </r>
    <r>
      <rPr>
        <sz val="11"/>
        <color theme="1"/>
        <rFont val="Calibri"/>
        <family val="2"/>
        <scheme val="minor"/>
      </rPr>
      <t>:  Rated total TRP output power declared per RIB</t>
    </r>
  </si>
  <si>
    <t>Antenna Characteristics</t>
  </si>
  <si>
    <t>Power Result</t>
  </si>
  <si>
    <t>Array
Qty</t>
  </si>
  <si>
    <t>Array Gain</t>
  </si>
  <si>
    <t>Element Gain</t>
  </si>
  <si>
    <t>Total Gain</t>
  </si>
  <si>
    <r>
      <t>EIRP</t>
    </r>
    <r>
      <rPr>
        <b/>
        <vertAlign val="subscript"/>
        <sz val="11"/>
        <color theme="1"/>
        <rFont val="Calibri"/>
        <family val="2"/>
        <scheme val="minor"/>
      </rPr>
      <t>rated</t>
    </r>
  </si>
  <si>
    <r>
      <t>TRP</t>
    </r>
    <r>
      <rPr>
        <b/>
        <vertAlign val="subscript"/>
        <sz val="11"/>
        <color theme="1"/>
        <rFont val="Calibri"/>
        <family val="2"/>
        <scheme val="minor"/>
      </rPr>
      <t>rated</t>
    </r>
  </si>
  <si>
    <t>Values for one antenna panel (1 Tx path)</t>
  </si>
  <si>
    <t>Full Array Results</t>
  </si>
  <si>
    <t>RF Start</t>
  </si>
  <si>
    <t>RF Stop</t>
  </si>
  <si>
    <t>HPOL Antenna</t>
  </si>
  <si>
    <t>Ch BW</t>
  </si>
  <si>
    <t>Channel
Start</t>
  </si>
  <si>
    <t>fc</t>
  </si>
  <si>
    <t>Channel
Stop</t>
  </si>
  <si>
    <t>RBW</t>
  </si>
  <si>
    <t>Span
Name</t>
  </si>
  <si>
    <t>Span</t>
  </si>
  <si>
    <t>TRP
USL</t>
  </si>
  <si>
    <t>EIRP-based
Result</t>
  </si>
  <si>
    <t>TRP-based
Result</t>
  </si>
  <si>
    <t>Pk
Freq.</t>
  </si>
  <si>
    <t>Margin</t>
  </si>
  <si>
    <t>Measured
EIRP</t>
  </si>
  <si>
    <t>Start</t>
  </si>
  <si>
    <t>Stop</t>
  </si>
  <si>
    <t>Span 1</t>
  </si>
  <si>
    <t>Span 2</t>
  </si>
  <si>
    <t>Span 3</t>
  </si>
  <si>
    <t>Span 4</t>
  </si>
  <si>
    <t>VPOL Antenna</t>
  </si>
  <si>
    <t>EIRP</t>
  </si>
  <si>
    <t>TRP</t>
  </si>
  <si>
    <t>Small spur at 37.51723GHz</t>
  </si>
  <si>
    <t>TRX IF VALUES</t>
  </si>
  <si>
    <t>Single Carrier</t>
  </si>
  <si>
    <t>1CC</t>
  </si>
  <si>
    <t>4CC</t>
  </si>
  <si>
    <t>8CC</t>
  </si>
  <si>
    <t>AM LO File Name</t>
  </si>
  <si>
    <t>Mid IF</t>
  </si>
  <si>
    <t>AM LO</t>
  </si>
  <si>
    <t>RF LO</t>
  </si>
  <si>
    <t>LO IF</t>
  </si>
  <si>
    <t>MID IF</t>
  </si>
  <si>
    <t>HI IF</t>
  </si>
  <si>
    <t>AMLO8135pt68MHz_devmem.sh</t>
  </si>
  <si>
    <t>CC0</t>
  </si>
  <si>
    <t>AMLO8412.16MHz_devmem.sh</t>
  </si>
  <si>
    <t>CC1</t>
  </si>
  <si>
    <t>AMLO8686.08MHz_devmem.sh</t>
  </si>
  <si>
    <t>CC2</t>
  </si>
  <si>
    <t>CC3</t>
  </si>
  <si>
    <t>Four Carrier</t>
  </si>
  <si>
    <t>CC4</t>
  </si>
  <si>
    <t>CC5</t>
  </si>
  <si>
    <t>AMLO8135.68MHz_devmem.sh</t>
  </si>
  <si>
    <t>CC6</t>
  </si>
  <si>
    <t>CC7</t>
  </si>
  <si>
    <t>Eight Carrier</t>
  </si>
  <si>
    <t>AMLO_8611pt84MHz_devmem.sh</t>
  </si>
  <si>
    <t>Initial RX test frequency.</t>
  </si>
  <si>
    <t>Lo IF</t>
  </si>
  <si>
    <t>Measurement Span</t>
  </si>
  <si>
    <t>Min. Pnts</t>
  </si>
  <si>
    <t>Actual Pnts</t>
  </si>
  <si>
    <t>IF Min. Pnts &lt; 1000, Actual Pnts = 1001</t>
  </si>
  <si>
    <t>Min. Pnts = 2x [RBW (Hz)/Span (Hz)]</t>
  </si>
  <si>
    <t>Span = Stop Frequency - Start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</si>
</sst>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&quot; dBm&quot;"/>
    <numFmt numFmtId="165" formatCode="0.0&quot; dB&quot;"/>
    <numFmt numFmtId="166" formatCode="0.0&quot; GHz&quot;"/>
    <numFmt numFmtId="167" formatCode="0&quot; MHz&quot;"/>
    <numFmt numFmtId="168" formatCode="0.00000&quot; GHz&quot;"/>
    <numFmt numFmtId="169" formatCode="0.00&quot; MHz&quot;"/>
    <numFmt numFmtId="182" formatCode="0.0&quot; Hz&quot;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Nokia Pure Headline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1"/>
      <charset val="2"/>
      <scheme val="minor"/>
    </font>
    <font>
      <b/>
      <sz val="11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 style="thin">
        <color rgb="FFFF0000"/>
      </left>
      <right style="thin">
        <color rgb="FFFF0000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0" fontId="3" fillId="2" borderId="0" xfId="0" applyFont="1" applyFill="1" applyAlignment="1">
      <alignment horizontal="left"/>
    </xf>
    <xf numFmtId="0" fontId="4" fillId="2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4" fontId="0" fillId="2" borderId="7" xfId="0" applyNumberFormat="1" applyFill="1" applyBorder="1"/>
    <xf numFmtId="165" fontId="0" fillId="2" borderId="8" xfId="0" applyNumberFormat="1" applyFill="1" applyBorder="1" applyAlignment="1">
      <alignment horizontal="center"/>
    </xf>
    <xf numFmtId="164" fontId="0" fillId="2" borderId="8" xfId="0" applyNumberFormat="1" applyFill="1" applyBorder="1"/>
    <xf numFmtId="164" fontId="11" fillId="2" borderId="9" xfId="0" applyNumberFormat="1" applyFont="1" applyFill="1" applyBorder="1"/>
    <xf numFmtId="0" fontId="0" fillId="2" borderId="10" xfId="0" applyFill="1" applyBorder="1" applyAlignment="1">
      <alignment horizontal="center"/>
    </xf>
    <xf numFmtId="164" fontId="0" fillId="2" borderId="11" xfId="0" applyNumberFormat="1" applyFill="1" applyBorder="1"/>
    <xf numFmtId="165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/>
    <xf numFmtId="164" fontId="11" fillId="2" borderId="12" xfId="0" applyNumberFormat="1" applyFont="1" applyFill="1" applyBorder="1"/>
    <xf numFmtId="0" fontId="0" fillId="2" borderId="0" xfId="0" applyFill="1" applyAlignment="1">
      <alignment horizontal="left" vertical="top" wrapText="1"/>
    </xf>
    <xf numFmtId="0" fontId="12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/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0" fillId="2" borderId="6" xfId="0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4" fontId="0" fillId="2" borderId="6" xfId="0" applyNumberFormat="1" applyFont="1" applyFill="1" applyBorder="1" applyAlignment="1">
      <alignment horizontal="center"/>
    </xf>
    <xf numFmtId="164" fontId="11" fillId="2" borderId="6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65" fontId="11" fillId="2" borderId="10" xfId="0" applyNumberFormat="1" applyFont="1" applyFill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164" fontId="11" fillId="2" borderId="10" xfId="0" applyNumberFormat="1" applyFont="1" applyFill="1" applyBorder="1" applyAlignment="1">
      <alignment horizontal="center"/>
    </xf>
    <xf numFmtId="0" fontId="15" fillId="4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166" fontId="0" fillId="2" borderId="0" xfId="0" applyNumberFormat="1" applyFill="1" applyAlignment="1">
      <alignment horizontal="left"/>
    </xf>
    <xf numFmtId="0" fontId="15" fillId="2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 wrapText="1"/>
    </xf>
    <xf numFmtId="0" fontId="1" fillId="3" borderId="16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 wrapText="1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 wrapText="1"/>
    </xf>
    <xf numFmtId="0" fontId="1" fillId="4" borderId="14" xfId="0" applyFont="1" applyFill="1" applyBorder="1" applyAlignment="1">
      <alignment horizontal="center" wrapText="1"/>
    </xf>
    <xf numFmtId="0" fontId="1" fillId="4" borderId="18" xfId="0" applyFont="1" applyFill="1" applyBorder="1" applyAlignment="1">
      <alignment horizontal="center" wrapText="1"/>
    </xf>
    <xf numFmtId="0" fontId="1" fillId="4" borderId="17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 wrapText="1"/>
    </xf>
    <xf numFmtId="167" fontId="0" fillId="2" borderId="0" xfId="0" applyNumberFormat="1" applyFill="1" applyAlignment="1">
      <alignment horizontal="center"/>
    </xf>
    <xf numFmtId="168" fontId="11" fillId="2" borderId="21" xfId="0" applyNumberFormat="1" applyFont="1" applyFill="1" applyBorder="1" applyAlignment="1">
      <alignment horizontal="center"/>
    </xf>
    <xf numFmtId="168" fontId="0" fillId="2" borderId="22" xfId="0" applyNumberFormat="1" applyFill="1" applyBorder="1" applyAlignment="1">
      <alignment horizontal="center"/>
    </xf>
    <xf numFmtId="168" fontId="11" fillId="2" borderId="0" xfId="0" applyNumberFormat="1" applyFont="1" applyFill="1"/>
    <xf numFmtId="167" fontId="0" fillId="2" borderId="23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68" fontId="11" fillId="2" borderId="0" xfId="0" applyNumberFormat="1" applyFont="1" applyFill="1" applyBorder="1"/>
    <xf numFmtId="168" fontId="11" fillId="2" borderId="24" xfId="0" applyNumberFormat="1" applyFont="1" applyFill="1" applyBorder="1"/>
    <xf numFmtId="164" fontId="0" fillId="2" borderId="24" xfId="0" applyNumberFormat="1" applyFill="1" applyBorder="1"/>
    <xf numFmtId="164" fontId="0" fillId="2" borderId="0" xfId="0" applyNumberFormat="1" applyFill="1" applyAlignment="1">
      <alignment horizontal="center"/>
    </xf>
    <xf numFmtId="164" fontId="11" fillId="2" borderId="0" xfId="0" applyNumberFormat="1" applyFont="1" applyFill="1" applyAlignment="1">
      <alignment horizontal="center"/>
    </xf>
    <xf numFmtId="168" fontId="0" fillId="2" borderId="24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4" fontId="16" fillId="2" borderId="17" xfId="0" applyNumberFormat="1" applyFont="1" applyFill="1" applyBorder="1" applyAlignment="1">
      <alignment horizontal="center"/>
    </xf>
    <xf numFmtId="168" fontId="0" fillId="2" borderId="0" xfId="0" applyNumberFormat="1" applyFill="1"/>
    <xf numFmtId="0" fontId="0" fillId="2" borderId="21" xfId="0" applyFill="1" applyBorder="1"/>
    <xf numFmtId="168" fontId="0" fillId="2" borderId="22" xfId="0" applyNumberFormat="1" applyFill="1" applyBorder="1"/>
    <xf numFmtId="0" fontId="0" fillId="2" borderId="23" xfId="0" applyFill="1" applyBorder="1"/>
    <xf numFmtId="0" fontId="0" fillId="2" borderId="25" xfId="0" applyFill="1" applyBorder="1" applyAlignment="1">
      <alignment horizontal="center"/>
    </xf>
    <xf numFmtId="168" fontId="11" fillId="2" borderId="25" xfId="0" applyNumberFormat="1" applyFont="1" applyFill="1" applyBorder="1"/>
    <xf numFmtId="168" fontId="11" fillId="2" borderId="26" xfId="0" applyNumberFormat="1" applyFont="1" applyFill="1" applyBorder="1"/>
    <xf numFmtId="164" fontId="0" fillId="2" borderId="26" xfId="0" applyNumberFormat="1" applyFill="1" applyBorder="1"/>
    <xf numFmtId="164" fontId="0" fillId="2" borderId="25" xfId="0" applyNumberFormat="1" applyFill="1" applyBorder="1" applyAlignment="1">
      <alignment horizontal="center"/>
    </xf>
    <xf numFmtId="164" fontId="11" fillId="2" borderId="25" xfId="0" applyNumberFormat="1" applyFont="1" applyFill="1" applyBorder="1" applyAlignment="1">
      <alignment horizontal="center"/>
    </xf>
    <xf numFmtId="168" fontId="0" fillId="2" borderId="26" xfId="0" applyNumberFormat="1" applyFill="1" applyBorder="1" applyAlignment="1">
      <alignment horizontal="center"/>
    </xf>
    <xf numFmtId="165" fontId="0" fillId="2" borderId="27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11" xfId="0" applyFill="1" applyBorder="1"/>
    <xf numFmtId="168" fontId="0" fillId="2" borderId="19" xfId="0" applyNumberFormat="1" applyFill="1" applyBorder="1"/>
    <xf numFmtId="168" fontId="0" fillId="2" borderId="1" xfId="0" applyNumberFormat="1" applyFill="1" applyBorder="1"/>
    <xf numFmtId="0" fontId="0" fillId="2" borderId="10" xfId="0" applyFill="1" applyBorder="1"/>
    <xf numFmtId="0" fontId="0" fillId="2" borderId="1" xfId="0" applyFill="1" applyBorder="1" applyAlignment="1">
      <alignment horizontal="center"/>
    </xf>
    <xf numFmtId="168" fontId="11" fillId="2" borderId="1" xfId="0" applyNumberFormat="1" applyFont="1" applyFill="1" applyBorder="1"/>
    <xf numFmtId="168" fontId="17" fillId="2" borderId="20" xfId="0" applyNumberFormat="1" applyFont="1" applyFill="1" applyBorder="1"/>
    <xf numFmtId="164" fontId="0" fillId="2" borderId="20" xfId="0" applyNumberFormat="1" applyFill="1" applyBorder="1"/>
    <xf numFmtId="164" fontId="0" fillId="2" borderId="1" xfId="0" applyNumberFormat="1" applyFill="1" applyBorder="1" applyAlignment="1">
      <alignment horizontal="center"/>
    </xf>
    <xf numFmtId="164" fontId="11" fillId="2" borderId="1" xfId="0" applyNumberFormat="1" applyFont="1" applyFill="1" applyBorder="1" applyAlignment="1">
      <alignment horizontal="center"/>
    </xf>
    <xf numFmtId="168" fontId="0" fillId="2" borderId="20" xfId="0" applyNumberFormat="1" applyFill="1" applyBorder="1" applyAlignment="1">
      <alignment horizontal="center"/>
    </xf>
    <xf numFmtId="0" fontId="0" fillId="2" borderId="24" xfId="0" applyFill="1" applyBorder="1"/>
    <xf numFmtId="167" fontId="0" fillId="2" borderId="14" xfId="0" applyNumberFormat="1" applyFill="1" applyBorder="1" applyAlignment="1">
      <alignment horizontal="center"/>
    </xf>
    <xf numFmtId="168" fontId="11" fillId="2" borderId="15" xfId="0" applyNumberFormat="1" applyFont="1" applyFill="1" applyBorder="1" applyAlignment="1">
      <alignment horizontal="center"/>
    </xf>
    <xf numFmtId="168" fontId="0" fillId="2" borderId="16" xfId="0" applyNumberFormat="1" applyFill="1" applyBorder="1" applyAlignment="1">
      <alignment horizontal="center"/>
    </xf>
    <xf numFmtId="168" fontId="11" fillId="2" borderId="14" xfId="0" applyNumberFormat="1" applyFont="1" applyFill="1" applyBorder="1"/>
    <xf numFmtId="167" fontId="0" fillId="2" borderId="17" xfId="0" applyNumberForma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68" fontId="11" fillId="2" borderId="18" xfId="0" applyNumberFormat="1" applyFont="1" applyFill="1" applyBorder="1"/>
    <xf numFmtId="164" fontId="0" fillId="2" borderId="18" xfId="0" applyNumberFormat="1" applyFill="1" applyBorder="1"/>
    <xf numFmtId="164" fontId="0" fillId="2" borderId="8" xfId="0" applyNumberFormat="1" applyFill="1" applyBorder="1" applyAlignment="1">
      <alignment horizontal="center"/>
    </xf>
    <xf numFmtId="164" fontId="11" fillId="2" borderId="8" xfId="0" applyNumberFormat="1" applyFont="1" applyFill="1" applyBorder="1" applyAlignment="1">
      <alignment horizontal="center"/>
    </xf>
    <xf numFmtId="168" fontId="0" fillId="2" borderId="18" xfId="0" applyNumberFormat="1" applyFill="1" applyBorder="1" applyAlignment="1">
      <alignment horizontal="center"/>
    </xf>
    <xf numFmtId="0" fontId="0" fillId="2" borderId="0" xfId="0" applyFill="1" applyAlignment="1">
      <alignment horizontal="right"/>
    </xf>
    <xf numFmtId="164" fontId="0" fillId="2" borderId="17" xfId="0" applyNumberForma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2" borderId="0" xfId="0" applyFont="1" applyFill="1" applyBorder="1" applyAlignment="1"/>
    <xf numFmtId="0" fontId="1" fillId="7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0" fillId="0" borderId="3" xfId="0" applyFont="1" applyBorder="1"/>
    <xf numFmtId="169" fontId="0" fillId="2" borderId="17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2" borderId="17" xfId="0" applyFill="1" applyBorder="1"/>
    <xf numFmtId="169" fontId="11" fillId="2" borderId="17" xfId="0" applyNumberFormat="1" applyFont="1" applyFill="1" applyBorder="1" applyAlignment="1">
      <alignment horizontal="center"/>
    </xf>
    <xf numFmtId="169" fontId="0" fillId="8" borderId="18" xfId="0" applyNumberFormat="1" applyFont="1" applyFill="1" applyBorder="1" applyAlignment="1">
      <alignment horizontal="center"/>
    </xf>
    <xf numFmtId="168" fontId="18" fillId="2" borderId="18" xfId="0" applyNumberFormat="1" applyFont="1" applyFill="1" applyBorder="1"/>
    <xf numFmtId="0" fontId="1" fillId="0" borderId="3" xfId="0" applyFont="1" applyBorder="1"/>
    <xf numFmtId="169" fontId="1" fillId="2" borderId="17" xfId="0" applyNumberFormat="1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9" borderId="17" xfId="0" applyFill="1" applyBorder="1"/>
    <xf numFmtId="169" fontId="0" fillId="2" borderId="15" xfId="0" applyNumberFormat="1" applyFont="1" applyFill="1" applyBorder="1" applyAlignment="1">
      <alignment horizontal="center"/>
    </xf>
    <xf numFmtId="169" fontId="1" fillId="2" borderId="15" xfId="0" applyNumberFormat="1" applyFont="1" applyFill="1" applyBorder="1" applyAlignment="1">
      <alignment horizontal="center"/>
    </xf>
    <xf numFmtId="0" fontId="0" fillId="2" borderId="27" xfId="0" applyFill="1" applyBorder="1"/>
    <xf numFmtId="169" fontId="11" fillId="2" borderId="27" xfId="0" applyNumberFormat="1" applyFont="1" applyFill="1" applyBorder="1" applyAlignment="1">
      <alignment horizontal="center"/>
    </xf>
    <xf numFmtId="169" fontId="0" fillId="8" borderId="26" xfId="0" applyNumberFormat="1" applyFill="1" applyBorder="1" applyAlignment="1">
      <alignment horizontal="center"/>
    </xf>
    <xf numFmtId="168" fontId="18" fillId="2" borderId="26" xfId="0" applyNumberFormat="1" applyFont="1" applyFill="1" applyBorder="1"/>
    <xf numFmtId="0" fontId="0" fillId="0" borderId="2" xfId="0" applyFont="1" applyBorder="1"/>
    <xf numFmtId="169" fontId="0" fillId="2" borderId="2" xfId="0" applyNumberFormat="1" applyFont="1" applyFill="1" applyBorder="1" applyAlignment="1">
      <alignment horizontal="center"/>
    </xf>
    <xf numFmtId="0" fontId="0" fillId="2" borderId="26" xfId="0" applyFill="1" applyBorder="1" applyAlignment="1">
      <alignment horizontal="right"/>
    </xf>
    <xf numFmtId="0" fontId="0" fillId="9" borderId="27" xfId="0" applyFill="1" applyBorder="1"/>
    <xf numFmtId="169" fontId="0" fillId="2" borderId="28" xfId="0" applyNumberFormat="1" applyFont="1" applyFill="1" applyBorder="1" applyAlignment="1">
      <alignment horizontal="center"/>
    </xf>
    <xf numFmtId="169" fontId="1" fillId="2" borderId="28" xfId="0" applyNumberFormat="1" applyFont="1" applyFill="1" applyBorder="1" applyAlignment="1">
      <alignment horizontal="center"/>
    </xf>
    <xf numFmtId="169" fontId="0" fillId="2" borderId="27" xfId="0" applyNumberFormat="1" applyFont="1" applyFill="1" applyBorder="1" applyAlignment="1">
      <alignment horizontal="center"/>
    </xf>
    <xf numFmtId="169" fontId="11" fillId="2" borderId="10" xfId="0" applyNumberFormat="1" applyFont="1" applyFill="1" applyBorder="1" applyAlignment="1">
      <alignment horizontal="center"/>
    </xf>
    <xf numFmtId="169" fontId="0" fillId="8" borderId="20" xfId="0" applyNumberFormat="1" applyFont="1" applyFill="1" applyBorder="1" applyAlignment="1">
      <alignment horizontal="center"/>
    </xf>
    <xf numFmtId="168" fontId="18" fillId="2" borderId="20" xfId="0" applyNumberFormat="1" applyFont="1" applyFill="1" applyBorder="1"/>
    <xf numFmtId="169" fontId="0" fillId="2" borderId="11" xfId="0" applyNumberFormat="1" applyFont="1" applyFill="1" applyBorder="1" applyAlignment="1">
      <alignment horizontal="center"/>
    </xf>
    <xf numFmtId="169" fontId="1" fillId="2" borderId="11" xfId="0" applyNumberFormat="1" applyFont="1" applyFill="1" applyBorder="1" applyAlignment="1">
      <alignment horizontal="center"/>
    </xf>
    <xf numFmtId="169" fontId="0" fillId="2" borderId="10" xfId="0" applyNumberFormat="1" applyFont="1" applyFill="1" applyBorder="1" applyAlignment="1">
      <alignment horizontal="center"/>
    </xf>
    <xf numFmtId="0" fontId="0" fillId="2" borderId="29" xfId="0" applyFill="1" applyBorder="1"/>
    <xf numFmtId="169" fontId="11" fillId="2" borderId="30" xfId="0" applyNumberFormat="1" applyFont="1" applyFill="1" applyBorder="1" applyAlignment="1">
      <alignment horizontal="center"/>
    </xf>
    <xf numFmtId="169" fontId="0" fillId="8" borderId="31" xfId="0" applyNumberFormat="1" applyFont="1" applyFill="1" applyBorder="1" applyAlignment="1">
      <alignment horizontal="center"/>
    </xf>
    <xf numFmtId="168" fontId="18" fillId="2" borderId="31" xfId="0" applyNumberFormat="1" applyFont="1" applyFill="1" applyBorder="1"/>
    <xf numFmtId="169" fontId="11" fillId="2" borderId="23" xfId="0" applyNumberFormat="1" applyFont="1" applyFill="1" applyBorder="1" applyAlignment="1">
      <alignment horizontal="center"/>
    </xf>
    <xf numFmtId="169" fontId="0" fillId="8" borderId="24" xfId="0" applyNumberFormat="1" applyFont="1" applyFill="1" applyBorder="1" applyAlignment="1">
      <alignment horizontal="center"/>
    </xf>
    <xf numFmtId="168" fontId="18" fillId="2" borderId="24" xfId="0" applyNumberFormat="1" applyFont="1" applyFill="1" applyBorder="1"/>
    <xf numFmtId="0" fontId="0" fillId="2" borderId="20" xfId="0" applyFill="1" applyBorder="1"/>
    <xf numFmtId="169" fontId="11" fillId="2" borderId="2" xfId="0" applyNumberFormat="1" applyFont="1" applyFill="1" applyBorder="1" applyAlignment="1">
      <alignment horizontal="center"/>
    </xf>
    <xf numFmtId="169" fontId="0" fillId="8" borderId="13" xfId="0" applyNumberFormat="1" applyFont="1" applyFill="1" applyBorder="1" applyAlignment="1">
      <alignment horizontal="center"/>
    </xf>
    <xf numFmtId="168" fontId="18" fillId="2" borderId="13" xfId="0" applyNumberFormat="1" applyFont="1" applyFill="1" applyBorder="1"/>
    <xf numFmtId="0" fontId="1" fillId="3" borderId="15" xfId="0" applyFont="1" applyFill="1" applyBorder="1" applyAlignment="1">
      <alignment horizontal="center"/>
    </xf>
    <xf numFmtId="169" fontId="16" fillId="2" borderId="15" xfId="0" applyNumberFormat="1" applyFont="1" applyFill="1" applyBorder="1" applyAlignment="1">
      <alignment horizontal="center"/>
    </xf>
    <xf numFmtId="169" fontId="16" fillId="8" borderId="18" xfId="0" applyNumberFormat="1" applyFont="1" applyFill="1" applyBorder="1" applyAlignment="1">
      <alignment horizontal="center"/>
    </xf>
    <xf numFmtId="169" fontId="16" fillId="2" borderId="17" xfId="0" applyNumberFormat="1" applyFont="1" applyFill="1" applyBorder="1" applyAlignment="1">
      <alignment horizontal="center"/>
    </xf>
    <xf numFmtId="168" fontId="16" fillId="2" borderId="18" xfId="0" applyNumberFormat="1" applyFont="1" applyFill="1" applyBorder="1"/>
    <xf numFmtId="0" fontId="0" fillId="2" borderId="0" xfId="0" applyFill="1"/>
    <xf numFmtId="182" fontId="0" fillId="2" borderId="0" xfId="0" applyNumberFormat="1" applyFill="1" applyAlignment="1"/>
    <xf numFmtId="0" fontId="12" fillId="2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4" fillId="2" borderId="0" xfId="0" applyFont="1" applyFill="1" applyAlignment="1">
      <alignment horizontal="left" vertical="center"/>
    </xf>
  </cellXfs>
  <cellStyles count="1">
    <cellStyle name="Normal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HW_IV\RF_Performance\5G_Gen4%20Gluon\AEWB%20X21_X31%20Files\RFV%20Reports\AEWB%20X31_AMx32_Jun05_RFV%20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net-ims.inside.nokiasiemensnetworks.com/livelink/livelink/419716366/Gaia+Implementation+Requirement+Specification+4.6.xls?func=doc.Fetch&amp;nodeId=419716366&amp;vernum=10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1C_4C Test Matrix"/>
      <sheetName val="8C Test Matrix"/>
      <sheetName val="SC EIRP_EVM_FreqErr"/>
      <sheetName val="SC OBUE"/>
      <sheetName val="SC RX EVM"/>
      <sheetName val="4C EIRP_EVM_FreqErr"/>
      <sheetName val="4C OBUE"/>
      <sheetName val="8C EIRP_EVM_FreqErr"/>
      <sheetName val="8C OBUE"/>
      <sheetName val="Current Load"/>
      <sheetName val="IF_AMLO_RF"/>
      <sheetName val="Scratc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(GAIA and GAIA+)"/>
      <sheetName val="Revisions (GAIA and GAIA+)"/>
      <sheetName val="Reqs (GAIA and GAIA+)"/>
      <sheetName val="Guide (GAIA and GAIA+)"/>
      <sheetName val="Bundle modes (GAIA and GAIA+)"/>
      <sheetName val="Clip perf.reqs (GAIA and GAIA+)"/>
      <sheetName val="UL perf. reqs (GAIA and GAIA+)"/>
      <sheetName val="Timing reqs (GAIA and GAIA+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60D23-7CCC-4048-B381-4191C2498291}">
  <sheetPr>
    <pageSetUpPr fitToPage="1"/>
  </sheetPr>
  <dimension ref="A1:T60"/>
  <sheetViews>
    <sheetView tabSelected="1" topLeftCell="A13" workbookViewId="0">
      <selection activeCell="P25" sqref="P25:S27"/>
    </sheetView>
  </sheetViews>
  <sheetFormatPr defaultColWidth="8.88671875" defaultRowHeight="14.4"/>
  <cols>
    <col min="1" max="1" width="8.88671875" style="2"/>
    <col min="2" max="2" width="12.88671875" style="2" bestFit="1" customWidth="1"/>
    <col min="3" max="4" width="12.33203125" style="2" bestFit="1" customWidth="1"/>
    <col min="5" max="6" width="8.88671875" style="2"/>
    <col min="7" max="8" width="12.33203125" style="2" bestFit="1" customWidth="1"/>
    <col min="9" max="9" width="9.33203125" style="2" bestFit="1" customWidth="1"/>
    <col min="10" max="10" width="11.88671875" style="2" customWidth="1"/>
    <col min="11" max="11" width="13.33203125" style="2" customWidth="1"/>
    <col min="12" max="12" width="12.33203125" style="2" bestFit="1" customWidth="1"/>
    <col min="13" max="13" width="7.77734375" style="2" customWidth="1"/>
    <col min="14" max="14" width="10.33203125" style="2" customWidth="1"/>
    <col min="15" max="15" width="9.33203125" style="2" bestFit="1" customWidth="1"/>
    <col min="16" max="16" width="15.109375" style="2" bestFit="1" customWidth="1"/>
    <col min="17" max="17" width="12" style="2" bestFit="1" customWidth="1"/>
    <col min="18" max="18" width="9.33203125" style="2" bestFit="1" customWidth="1"/>
    <col min="19" max="19" width="10.44140625" style="2" bestFit="1" customWidth="1"/>
    <col min="20" max="20" width="9.33203125" style="2" bestFit="1" customWidth="1"/>
    <col min="21" max="16384" width="8.88671875" style="2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6.2">
      <c r="A2" s="3" t="s">
        <v>1</v>
      </c>
      <c r="B2" s="3"/>
      <c r="C2" s="3"/>
      <c r="D2" s="3"/>
      <c r="E2" s="3"/>
    </row>
    <row r="3" spans="1:18">
      <c r="O3" s="4" t="s">
        <v>2</v>
      </c>
      <c r="P3" s="4"/>
      <c r="Q3" s="4"/>
    </row>
    <row r="4" spans="1:18">
      <c r="A4" s="5" t="s">
        <v>3</v>
      </c>
      <c r="B4" s="6"/>
      <c r="C4" s="6"/>
      <c r="D4" s="6"/>
      <c r="E4" s="6" t="s">
        <v>4</v>
      </c>
      <c r="F4" s="6"/>
      <c r="G4" s="6"/>
      <c r="H4" s="6"/>
      <c r="I4" s="6"/>
      <c r="J4" s="6" t="s">
        <v>5</v>
      </c>
      <c r="K4" s="6"/>
      <c r="L4" s="6"/>
      <c r="M4" s="6"/>
      <c r="N4" s="6"/>
      <c r="O4" s="7" t="s">
        <v>6</v>
      </c>
      <c r="P4" s="8" t="s">
        <v>7</v>
      </c>
      <c r="Q4" s="8" t="s">
        <v>8</v>
      </c>
      <c r="R4" s="9" t="s">
        <v>9</v>
      </c>
    </row>
    <row r="5" spans="1:18" ht="15.6">
      <c r="A5" s="10" t="s">
        <v>10</v>
      </c>
      <c r="B5" s="10"/>
      <c r="C5" s="10"/>
      <c r="D5" s="10"/>
      <c r="E5" s="10" t="s">
        <v>11</v>
      </c>
      <c r="F5" s="10"/>
      <c r="G5" s="10"/>
      <c r="H5" s="10"/>
      <c r="I5" s="10"/>
      <c r="J5" s="10" t="s">
        <v>12</v>
      </c>
      <c r="K5" s="10"/>
      <c r="L5" s="10"/>
      <c r="M5" s="10"/>
      <c r="N5" s="10"/>
      <c r="O5" s="11">
        <v>-5</v>
      </c>
      <c r="P5" s="12">
        <v>33</v>
      </c>
      <c r="Q5" s="13">
        <v>-12</v>
      </c>
      <c r="R5" s="14">
        <f>MIN( O5, MAX($F$19-P5,Q5))</f>
        <v>-5.1000000000000014</v>
      </c>
    </row>
    <row r="6" spans="1:18" ht="15.6">
      <c r="A6" s="15" t="s">
        <v>13</v>
      </c>
      <c r="B6" s="15"/>
      <c r="C6" s="15"/>
      <c r="D6" s="15"/>
      <c r="E6" s="15" t="s">
        <v>14</v>
      </c>
      <c r="F6" s="15"/>
      <c r="G6" s="15"/>
      <c r="H6" s="15"/>
      <c r="I6" s="15"/>
      <c r="J6" s="15" t="s">
        <v>15</v>
      </c>
      <c r="K6" s="15"/>
      <c r="L6" s="15"/>
      <c r="M6" s="15"/>
      <c r="N6" s="15"/>
      <c r="O6" s="16">
        <v>-13</v>
      </c>
      <c r="P6" s="17">
        <v>41</v>
      </c>
      <c r="Q6" s="18">
        <v>-20</v>
      </c>
      <c r="R6" s="19">
        <f>MIN( O6, MAX($F$19-P6,Q6))</f>
        <v>-13.100000000000001</v>
      </c>
    </row>
    <row r="7" spans="1:18">
      <c r="A7" s="20" t="s">
        <v>16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</row>
    <row r="8" spans="1:1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</row>
    <row r="10" spans="1:18">
      <c r="A10" s="21" t="s">
        <v>17</v>
      </c>
      <c r="B10" s="21"/>
      <c r="C10" s="21"/>
      <c r="D10" s="21"/>
      <c r="E10" s="21"/>
      <c r="F10" s="21"/>
      <c r="G10" s="21"/>
      <c r="H10" s="21"/>
    </row>
    <row r="11" spans="1:18">
      <c r="A11" s="22" t="s">
        <v>18</v>
      </c>
      <c r="B11" s="22"/>
      <c r="C11" s="22"/>
      <c r="D11" s="22"/>
      <c r="E11" s="22"/>
      <c r="F11" s="22"/>
      <c r="G11" s="22"/>
      <c r="H11" s="22"/>
      <c r="I11" s="22"/>
    </row>
    <row r="12" spans="1:18">
      <c r="A12" s="23" t="s">
        <v>19</v>
      </c>
      <c r="B12" s="23"/>
      <c r="C12" s="23"/>
      <c r="D12" s="23"/>
      <c r="E12" s="23"/>
      <c r="F12" s="23"/>
      <c r="G12" s="23"/>
      <c r="H12" s="23"/>
      <c r="I12" s="23"/>
    </row>
    <row r="13" spans="1:18" ht="15.6">
      <c r="A13" s="23" t="s">
        <v>20</v>
      </c>
      <c r="B13" s="23"/>
      <c r="C13" s="23"/>
      <c r="D13" s="23"/>
      <c r="E13" s="23"/>
      <c r="F13" s="23"/>
      <c r="G13" s="23"/>
      <c r="H13" s="23"/>
      <c r="I13" s="23"/>
    </row>
    <row r="14" spans="1:18" ht="15.6">
      <c r="A14" s="23" t="s">
        <v>21</v>
      </c>
      <c r="B14" s="23"/>
      <c r="C14" s="23"/>
      <c r="D14" s="23"/>
      <c r="E14" s="23"/>
      <c r="F14" s="23"/>
      <c r="G14" s="23"/>
      <c r="H14" s="23"/>
      <c r="I14" s="23"/>
    </row>
    <row r="15" spans="1:18">
      <c r="A15" s="24"/>
      <c r="B15" s="24"/>
      <c r="C15" s="24"/>
      <c r="D15" s="24"/>
      <c r="E15" s="24"/>
      <c r="F15" s="24"/>
    </row>
    <row r="16" spans="1:18">
      <c r="A16" s="25" t="s">
        <v>22</v>
      </c>
      <c r="B16" s="26"/>
      <c r="C16" s="26"/>
      <c r="D16" s="27"/>
      <c r="E16" s="25" t="s">
        <v>23</v>
      </c>
      <c r="F16" s="27"/>
    </row>
    <row r="17" spans="1:20">
      <c r="A17" s="28" t="s">
        <v>24</v>
      </c>
      <c r="B17" s="28" t="s">
        <v>25</v>
      </c>
      <c r="C17" s="28" t="s">
        <v>26</v>
      </c>
      <c r="D17" s="28" t="s">
        <v>27</v>
      </c>
      <c r="E17" s="6" t="s">
        <v>28</v>
      </c>
      <c r="F17" s="6" t="s">
        <v>29</v>
      </c>
    </row>
    <row r="18" spans="1:20">
      <c r="A18" s="28"/>
      <c r="B18" s="28"/>
      <c r="C18" s="28"/>
      <c r="D18" s="28"/>
      <c r="E18" s="6"/>
      <c r="F18" s="6"/>
    </row>
    <row r="19" spans="1:20">
      <c r="A19" s="29">
        <v>256</v>
      </c>
      <c r="B19" s="30">
        <f>ROUND(10*LOG(A19),1)</f>
        <v>24.1</v>
      </c>
      <c r="C19" s="31">
        <v>5</v>
      </c>
      <c r="D19" s="30">
        <f>B19+C19</f>
        <v>29.1</v>
      </c>
      <c r="E19" s="32">
        <v>57</v>
      </c>
      <c r="F19" s="33">
        <f>E19-D19</f>
        <v>27.9</v>
      </c>
    </row>
    <row r="20" spans="1:20">
      <c r="A20" s="34">
        <f>A19/4</f>
        <v>64</v>
      </c>
      <c r="B20" s="35">
        <f>ROUND(10*LOG(A20),1)</f>
        <v>18.100000000000001</v>
      </c>
      <c r="C20" s="36">
        <v>5</v>
      </c>
      <c r="D20" s="35">
        <f>B20+C20</f>
        <v>23.1</v>
      </c>
      <c r="E20" s="37">
        <f>E19-6</f>
        <v>51</v>
      </c>
      <c r="F20" s="37">
        <f>E20-D20</f>
        <v>27.9</v>
      </c>
    </row>
    <row r="21" spans="1:20">
      <c r="A21" s="23" t="s">
        <v>30</v>
      </c>
      <c r="B21" s="23"/>
      <c r="C21" s="23"/>
      <c r="D21" s="23"/>
      <c r="E21" s="23"/>
      <c r="F21" s="23"/>
    </row>
    <row r="23" spans="1:20" ht="15.6">
      <c r="A23" s="38" t="s">
        <v>31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</row>
    <row r="24" spans="1:20" ht="15.6">
      <c r="A24" s="39" t="s">
        <v>32</v>
      </c>
      <c r="B24" s="40">
        <v>37</v>
      </c>
      <c r="C24" s="41"/>
      <c r="D24" s="41"/>
      <c r="E24" s="41"/>
      <c r="F24" s="41"/>
      <c r="G24" s="41"/>
      <c r="H24" s="41"/>
      <c r="I24" s="41"/>
    </row>
    <row r="25" spans="1:20" ht="15.6">
      <c r="A25" s="39" t="s">
        <v>33</v>
      </c>
      <c r="B25" s="40">
        <v>40</v>
      </c>
      <c r="C25" s="41"/>
      <c r="D25" s="41"/>
      <c r="E25" s="41"/>
      <c r="F25" s="41"/>
      <c r="G25" s="41"/>
      <c r="H25" s="41"/>
      <c r="I25" s="41"/>
      <c r="P25" s="181" t="s">
        <v>92</v>
      </c>
      <c r="Q25" s="181"/>
      <c r="R25" s="181"/>
      <c r="S25" s="181"/>
    </row>
    <row r="26" spans="1:20" ht="15.6" customHeight="1">
      <c r="A26" s="42" t="s">
        <v>34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P26" s="181" t="s">
        <v>91</v>
      </c>
      <c r="Q26" s="181"/>
      <c r="R26" s="181"/>
      <c r="S26" s="181"/>
    </row>
    <row r="27" spans="1:20">
      <c r="A27" s="43" t="s">
        <v>35</v>
      </c>
      <c r="B27" s="44" t="s">
        <v>36</v>
      </c>
      <c r="C27" s="45" t="s">
        <v>37</v>
      </c>
      <c r="D27" s="46" t="s">
        <v>38</v>
      </c>
      <c r="E27" s="47" t="s">
        <v>39</v>
      </c>
      <c r="F27" s="46" t="s">
        <v>40</v>
      </c>
      <c r="G27" s="43" t="s">
        <v>87</v>
      </c>
      <c r="H27" s="48"/>
      <c r="I27" s="49" t="s">
        <v>42</v>
      </c>
      <c r="J27" s="50" t="s">
        <v>43</v>
      </c>
      <c r="K27" s="50" t="s">
        <v>44</v>
      </c>
      <c r="L27" s="51" t="s">
        <v>45</v>
      </c>
      <c r="M27" s="52" t="s">
        <v>46</v>
      </c>
      <c r="N27" s="53" t="s">
        <v>47</v>
      </c>
      <c r="P27" s="181" t="s">
        <v>90</v>
      </c>
      <c r="Q27" s="181"/>
      <c r="R27" s="181"/>
      <c r="S27" s="181"/>
    </row>
    <row r="28" spans="1:20">
      <c r="A28" s="54"/>
      <c r="B28" s="55"/>
      <c r="C28" s="56"/>
      <c r="D28" s="54"/>
      <c r="E28" s="57"/>
      <c r="F28" s="54"/>
      <c r="G28" s="58" t="s">
        <v>48</v>
      </c>
      <c r="H28" s="59" t="s">
        <v>49</v>
      </c>
      <c r="I28" s="60"/>
      <c r="J28" s="61"/>
      <c r="K28" s="61"/>
      <c r="L28" s="62"/>
      <c r="M28" s="63"/>
      <c r="N28" s="64"/>
      <c r="P28" s="177" t="s">
        <v>41</v>
      </c>
      <c r="Q28" s="177" t="s">
        <v>39</v>
      </c>
      <c r="R28" s="177" t="s">
        <v>88</v>
      </c>
      <c r="S28" s="178" t="s">
        <v>89</v>
      </c>
    </row>
    <row r="29" spans="1:20">
      <c r="A29" s="65">
        <v>100</v>
      </c>
      <c r="B29" s="66">
        <f>C29-((A29/1000)/2)</f>
        <v>37.350340000000003</v>
      </c>
      <c r="C29" s="67">
        <f>IF_AMLO_RF!E5</f>
        <v>37.40034</v>
      </c>
      <c r="D29" s="68">
        <f>B29+(A29/1000)</f>
        <v>37.450340000000004</v>
      </c>
      <c r="E29" s="69">
        <v>1</v>
      </c>
      <c r="F29" s="70" t="s">
        <v>50</v>
      </c>
      <c r="G29" s="71">
        <f>$B$24-1.5</f>
        <v>35.5</v>
      </c>
      <c r="H29" s="72">
        <f>B29-(0.1*(A29/1000))+(0.5/1000)</f>
        <v>37.340840000000007</v>
      </c>
      <c r="I29" s="73">
        <f>$R$5</f>
        <v>-5.1000000000000014</v>
      </c>
      <c r="J29" s="74"/>
      <c r="K29" s="75" t="str">
        <f>IF(ISBLANK(J29),"--",J29-$D$19)</f>
        <v>--</v>
      </c>
      <c r="L29" s="76"/>
      <c r="M29" s="77" t="str">
        <f>IF(ISBLANK(J29),"--",I29-K29)</f>
        <v>--</v>
      </c>
      <c r="N29" s="78"/>
      <c r="O29" s="79"/>
      <c r="P29" s="176">
        <f>ROUND(H29-G29,5)*1000000000</f>
        <v>1840840000</v>
      </c>
      <c r="Q29" s="176">
        <f>E29*1000000</f>
        <v>1000000</v>
      </c>
      <c r="R29" s="70">
        <f>ROUND(2*(P29/Q29),0)</f>
        <v>3682</v>
      </c>
      <c r="S29" s="179">
        <f>IF(R29&lt;1000,1001,R29)</f>
        <v>3682</v>
      </c>
    </row>
    <row r="30" spans="1:20">
      <c r="B30" s="80"/>
      <c r="C30" s="81"/>
      <c r="D30" s="79"/>
      <c r="E30" s="82"/>
      <c r="F30" s="83" t="s">
        <v>51</v>
      </c>
      <c r="G30" s="84">
        <f>H29</f>
        <v>37.340840000000007</v>
      </c>
      <c r="H30" s="85">
        <f>B29-(0.5/1000)</f>
        <v>37.34984</v>
      </c>
      <c r="I30" s="86">
        <f>$R$6</f>
        <v>-13.100000000000001</v>
      </c>
      <c r="J30" s="87"/>
      <c r="K30" s="88" t="str">
        <f t="shared" ref="K30:K32" si="0">IF(ISBLANK(J30),"--",J30-$D$19)</f>
        <v>--</v>
      </c>
      <c r="L30" s="89"/>
      <c r="M30" s="90" t="str">
        <f t="shared" ref="M30:M32" si="1">IF(ISBLANK(J30),"--",I30-K30)</f>
        <v>--</v>
      </c>
      <c r="N30" s="82"/>
      <c r="O30" s="79"/>
      <c r="P30" s="176">
        <f t="shared" ref="P30:P32" si="2">ROUND(H30-G30,5)*1000000000</f>
        <v>9000000</v>
      </c>
      <c r="Q30" s="176">
        <f>Q29</f>
        <v>1000000</v>
      </c>
      <c r="R30" s="70">
        <f t="shared" ref="R30:R32" si="3">ROUND(2*(P30/Q30),0)</f>
        <v>18</v>
      </c>
      <c r="S30" s="179">
        <f t="shared" ref="S30:S32" si="4">IF(R30&lt;1000,1001,R30)</f>
        <v>1001</v>
      </c>
    </row>
    <row r="31" spans="1:20">
      <c r="B31" s="80"/>
      <c r="C31" s="81"/>
      <c r="D31" s="79"/>
      <c r="E31" s="82"/>
      <c r="F31" s="83" t="s">
        <v>52</v>
      </c>
      <c r="G31" s="84">
        <f>D29+(0.5/1000)</f>
        <v>37.450840000000007</v>
      </c>
      <c r="H31" s="85">
        <f>D29+(0.1*(A29/1000))+(0.5/1000)</f>
        <v>37.460840000000005</v>
      </c>
      <c r="I31" s="86">
        <f>I30</f>
        <v>-13.100000000000001</v>
      </c>
      <c r="J31" s="87"/>
      <c r="K31" s="88" t="str">
        <f t="shared" si="0"/>
        <v>--</v>
      </c>
      <c r="L31" s="89"/>
      <c r="M31" s="90" t="str">
        <f t="shared" si="1"/>
        <v>--</v>
      </c>
      <c r="N31" s="82"/>
      <c r="O31" s="79"/>
      <c r="P31" s="176">
        <f t="shared" si="2"/>
        <v>10000000</v>
      </c>
      <c r="Q31" s="176">
        <f>Q29</f>
        <v>1000000</v>
      </c>
      <c r="R31" s="70">
        <f t="shared" si="3"/>
        <v>20</v>
      </c>
      <c r="S31" s="179">
        <f t="shared" si="4"/>
        <v>1001</v>
      </c>
      <c r="T31" s="175"/>
    </row>
    <row r="32" spans="1:20">
      <c r="A32" s="91"/>
      <c r="B32" s="92"/>
      <c r="C32" s="93"/>
      <c r="D32" s="94"/>
      <c r="E32" s="95"/>
      <c r="F32" s="96" t="s">
        <v>53</v>
      </c>
      <c r="G32" s="97">
        <f>H31</f>
        <v>37.460840000000005</v>
      </c>
      <c r="H32" s="98">
        <f>B25</f>
        <v>40</v>
      </c>
      <c r="I32" s="99">
        <f>I29</f>
        <v>-5.1000000000000014</v>
      </c>
      <c r="J32" s="100"/>
      <c r="K32" s="101" t="str">
        <f t="shared" si="0"/>
        <v>--</v>
      </c>
      <c r="L32" s="102"/>
      <c r="M32" s="36" t="str">
        <f t="shared" si="1"/>
        <v>--</v>
      </c>
      <c r="N32" s="95"/>
      <c r="O32" s="79"/>
      <c r="P32" s="176">
        <f t="shared" si="2"/>
        <v>2539160000</v>
      </c>
      <c r="Q32" s="176">
        <f>Q29</f>
        <v>1000000</v>
      </c>
      <c r="R32" s="70">
        <f t="shared" si="3"/>
        <v>5078</v>
      </c>
      <c r="S32" s="179">
        <f t="shared" si="4"/>
        <v>5078</v>
      </c>
      <c r="T32" s="175"/>
    </row>
    <row r="33" spans="1:20">
      <c r="I33" s="103"/>
      <c r="J33" s="70"/>
      <c r="P33" s="24"/>
      <c r="Q33" s="24"/>
      <c r="S33" s="179"/>
      <c r="T33" s="70"/>
    </row>
    <row r="34" spans="1:20">
      <c r="A34" s="104">
        <v>100</v>
      </c>
      <c r="B34" s="105">
        <f>C34-((A34/1000)/2)</f>
        <v>38.45626</v>
      </c>
      <c r="C34" s="106">
        <f>IF_AMLO_RF!E6</f>
        <v>38.506259999999997</v>
      </c>
      <c r="D34" s="107">
        <f>B34+(A34/1000)</f>
        <v>38.556260000000002</v>
      </c>
      <c r="E34" s="108">
        <v>1</v>
      </c>
      <c r="F34" s="109" t="s">
        <v>50</v>
      </c>
      <c r="G34" s="107">
        <f>$B$24-1.5</f>
        <v>35.5</v>
      </c>
      <c r="H34" s="110">
        <f>B34-(0.1*(A34/1000))+(0.5/1000)</f>
        <v>38.446760000000005</v>
      </c>
      <c r="I34" s="111">
        <f>$R$5</f>
        <v>-5.1000000000000014</v>
      </c>
      <c r="J34" s="112"/>
      <c r="K34" s="113" t="str">
        <f t="shared" ref="K34:K37" si="5">IF(ISBLANK(J34),"--",J34-$D$19)</f>
        <v>--</v>
      </c>
      <c r="L34" s="114"/>
      <c r="M34" s="77" t="str">
        <f>IF(ISBLANK(J34),"--",I34-K34)</f>
        <v>--</v>
      </c>
      <c r="N34" s="78"/>
      <c r="O34" s="79"/>
      <c r="P34" s="176">
        <f>ROUND(H34-G34,5)*1000000000</f>
        <v>2946760000</v>
      </c>
      <c r="Q34" s="176">
        <f>E34*1000000</f>
        <v>1000000</v>
      </c>
      <c r="R34" s="70">
        <f>ROUND(2*(P34/Q34),0)</f>
        <v>5894</v>
      </c>
      <c r="S34" s="179">
        <f t="shared" ref="S34:S37" si="6">IF(R34&lt;1000,1001,R34)</f>
        <v>5894</v>
      </c>
      <c r="T34" s="175"/>
    </row>
    <row r="35" spans="1:20">
      <c r="B35" s="80"/>
      <c r="C35" s="81"/>
      <c r="D35" s="79"/>
      <c r="E35" s="82"/>
      <c r="F35" s="83" t="s">
        <v>51</v>
      </c>
      <c r="G35" s="84">
        <f>H34</f>
        <v>38.446760000000005</v>
      </c>
      <c r="H35" s="85">
        <f>B34-(0.5/1000)</f>
        <v>38.455759999999998</v>
      </c>
      <c r="I35" s="86">
        <f>$R$6</f>
        <v>-13.100000000000001</v>
      </c>
      <c r="J35" s="87"/>
      <c r="K35" s="88" t="str">
        <f t="shared" si="5"/>
        <v>--</v>
      </c>
      <c r="L35" s="89"/>
      <c r="M35" s="90" t="str">
        <f t="shared" ref="M35:M37" si="7">IF(ISBLANK(J35),"--",I35-K35)</f>
        <v>--</v>
      </c>
      <c r="N35" s="82"/>
      <c r="O35" s="79"/>
      <c r="P35" s="176">
        <f t="shared" ref="P35:P37" si="8">ROUND(H35-G35,5)*1000000000</f>
        <v>9000000</v>
      </c>
      <c r="Q35" s="176">
        <f>Q34</f>
        <v>1000000</v>
      </c>
      <c r="R35" s="70">
        <f t="shared" ref="R35:R37" si="9">ROUND(2*(P35/Q35),0)</f>
        <v>18</v>
      </c>
      <c r="S35" s="179">
        <f t="shared" si="6"/>
        <v>1001</v>
      </c>
      <c r="T35" s="175"/>
    </row>
    <row r="36" spans="1:20">
      <c r="B36" s="80"/>
      <c r="C36" s="81"/>
      <c r="D36" s="79"/>
      <c r="E36" s="82"/>
      <c r="F36" s="83" t="s">
        <v>52</v>
      </c>
      <c r="G36" s="84">
        <f>D34+(0.5/1000)</f>
        <v>38.556760000000004</v>
      </c>
      <c r="H36" s="85">
        <f>D34+(0.1*(A34/1000))+(0.5/1000)</f>
        <v>38.566760000000002</v>
      </c>
      <c r="I36" s="86">
        <f>I35</f>
        <v>-13.100000000000001</v>
      </c>
      <c r="J36" s="87"/>
      <c r="K36" s="88" t="str">
        <f t="shared" si="5"/>
        <v>--</v>
      </c>
      <c r="L36" s="89"/>
      <c r="M36" s="90" t="str">
        <f t="shared" si="7"/>
        <v>--</v>
      </c>
      <c r="N36" s="82"/>
      <c r="O36" s="79"/>
      <c r="P36" s="176">
        <f t="shared" si="8"/>
        <v>10000000</v>
      </c>
      <c r="Q36" s="176">
        <f>Q34</f>
        <v>1000000</v>
      </c>
      <c r="R36" s="70">
        <f t="shared" si="9"/>
        <v>20</v>
      </c>
      <c r="S36" s="179">
        <f t="shared" si="6"/>
        <v>1001</v>
      </c>
      <c r="T36" s="175"/>
    </row>
    <row r="37" spans="1:20">
      <c r="A37" s="91"/>
      <c r="B37" s="92"/>
      <c r="C37" s="93"/>
      <c r="D37" s="94"/>
      <c r="E37" s="95"/>
      <c r="F37" s="96" t="s">
        <v>53</v>
      </c>
      <c r="G37" s="97">
        <f>H36</f>
        <v>38.566760000000002</v>
      </c>
      <c r="H37" s="98">
        <f>H32</f>
        <v>40</v>
      </c>
      <c r="I37" s="99">
        <f>I34</f>
        <v>-5.1000000000000014</v>
      </c>
      <c r="J37" s="100"/>
      <c r="K37" s="101" t="str">
        <f t="shared" si="5"/>
        <v>--</v>
      </c>
      <c r="L37" s="102"/>
      <c r="M37" s="36" t="str">
        <f t="shared" si="7"/>
        <v>--</v>
      </c>
      <c r="N37" s="95"/>
      <c r="O37" s="79"/>
      <c r="P37" s="176">
        <f t="shared" si="8"/>
        <v>1433240000</v>
      </c>
      <c r="Q37" s="176">
        <f>Q34</f>
        <v>1000000</v>
      </c>
      <c r="R37" s="70">
        <f t="shared" si="9"/>
        <v>2866</v>
      </c>
      <c r="S37" s="179">
        <f t="shared" si="6"/>
        <v>2866</v>
      </c>
      <c r="T37" s="175"/>
    </row>
    <row r="38" spans="1:20">
      <c r="I38" s="103"/>
      <c r="J38" s="70"/>
      <c r="P38" s="24"/>
      <c r="Q38" s="24"/>
      <c r="R38" s="175"/>
      <c r="S38" s="180"/>
    </row>
    <row r="39" spans="1:20">
      <c r="A39" s="104">
        <v>100</v>
      </c>
      <c r="B39" s="105">
        <f>C39-((A39/1000)/2)</f>
        <v>39.551939999999995</v>
      </c>
      <c r="C39" s="106">
        <f>IF_AMLO_RF!E7</f>
        <v>39.601939999999992</v>
      </c>
      <c r="D39" s="107">
        <f>B39+(A39/1000)</f>
        <v>39.651939999999996</v>
      </c>
      <c r="E39" s="108">
        <v>1</v>
      </c>
      <c r="F39" s="109" t="s">
        <v>50</v>
      </c>
      <c r="G39" s="107">
        <f>$B$24-1.5</f>
        <v>35.5</v>
      </c>
      <c r="H39" s="110">
        <f>B39-(0.1*(A39/1000))+(0.5/1000)</f>
        <v>39.542439999999999</v>
      </c>
      <c r="I39" s="111">
        <f>$R$5</f>
        <v>-5.1000000000000014</v>
      </c>
      <c r="J39" s="112"/>
      <c r="K39" s="113" t="str">
        <f t="shared" ref="K39:K42" si="10">IF(ISBLANK(J39),"--",J39-$D$19)</f>
        <v>--</v>
      </c>
      <c r="L39" s="114"/>
      <c r="M39" s="77" t="str">
        <f>IF(ISBLANK(J39),"--",I39-K39)</f>
        <v>--</v>
      </c>
      <c r="N39" s="116"/>
      <c r="O39" s="79"/>
      <c r="P39" s="176">
        <f>ROUND(H39-G39,5)*1000000000</f>
        <v>4042440000</v>
      </c>
      <c r="Q39" s="176">
        <f>E39*1000000</f>
        <v>1000000</v>
      </c>
      <c r="R39" s="70">
        <f>ROUND(2*(P39/Q39),0)</f>
        <v>8085</v>
      </c>
      <c r="S39" s="179">
        <f t="shared" ref="S39:S42" si="11">IF(R39&lt;1000,1001,R39)</f>
        <v>8085</v>
      </c>
      <c r="T39" s="175"/>
    </row>
    <row r="40" spans="1:20">
      <c r="B40" s="80"/>
      <c r="C40" s="81"/>
      <c r="D40" s="79"/>
      <c r="E40" s="82"/>
      <c r="F40" s="83" t="s">
        <v>51</v>
      </c>
      <c r="G40" s="84">
        <f>H39</f>
        <v>39.542439999999999</v>
      </c>
      <c r="H40" s="85">
        <f>B39-(0.5/1000)</f>
        <v>39.551439999999992</v>
      </c>
      <c r="I40" s="86">
        <f>$R$6</f>
        <v>-13.100000000000001</v>
      </c>
      <c r="J40" s="87"/>
      <c r="K40" s="88" t="str">
        <f t="shared" si="10"/>
        <v>--</v>
      </c>
      <c r="L40" s="89"/>
      <c r="M40" s="90" t="str">
        <f t="shared" ref="M40:M42" si="12">IF(ISBLANK(J40),"--",I40-K40)</f>
        <v>--</v>
      </c>
      <c r="N40" s="82"/>
      <c r="O40" s="79"/>
      <c r="P40" s="176">
        <f t="shared" ref="P40:P42" si="13">ROUND(H40-G40,5)*1000000000</f>
        <v>9000000</v>
      </c>
      <c r="Q40" s="176">
        <f>Q39</f>
        <v>1000000</v>
      </c>
      <c r="R40" s="70">
        <f t="shared" ref="R40:R42" si="14">ROUND(2*(P40/Q40),0)</f>
        <v>18</v>
      </c>
      <c r="S40" s="179">
        <f t="shared" si="11"/>
        <v>1001</v>
      </c>
      <c r="T40" s="175"/>
    </row>
    <row r="41" spans="1:20">
      <c r="B41" s="80"/>
      <c r="C41" s="81"/>
      <c r="D41" s="79"/>
      <c r="E41" s="82"/>
      <c r="F41" s="83" t="s">
        <v>52</v>
      </c>
      <c r="G41" s="84">
        <f>D39+(0.5/1000)</f>
        <v>39.652439999999999</v>
      </c>
      <c r="H41" s="85">
        <f>D39+(0.1*(A39/1000))+(0.5/1000)</f>
        <v>39.662439999999997</v>
      </c>
      <c r="I41" s="86">
        <f>I40</f>
        <v>-13.100000000000001</v>
      </c>
      <c r="J41" s="87"/>
      <c r="K41" s="88" t="str">
        <f t="shared" si="10"/>
        <v>--</v>
      </c>
      <c r="L41" s="89"/>
      <c r="M41" s="90" t="str">
        <f t="shared" si="12"/>
        <v>--</v>
      </c>
      <c r="N41" s="82"/>
      <c r="O41" s="79"/>
      <c r="P41" s="176">
        <f t="shared" si="13"/>
        <v>10000000</v>
      </c>
      <c r="Q41" s="176">
        <f>Q39</f>
        <v>1000000</v>
      </c>
      <c r="R41" s="70">
        <f t="shared" si="14"/>
        <v>20</v>
      </c>
      <c r="S41" s="179">
        <f t="shared" si="11"/>
        <v>1001</v>
      </c>
      <c r="T41" s="175"/>
    </row>
    <row r="42" spans="1:20">
      <c r="A42" s="91"/>
      <c r="B42" s="92"/>
      <c r="C42" s="93"/>
      <c r="D42" s="94"/>
      <c r="E42" s="95"/>
      <c r="F42" s="96" t="s">
        <v>53</v>
      </c>
      <c r="G42" s="97">
        <f>H41</f>
        <v>39.662439999999997</v>
      </c>
      <c r="H42" s="98">
        <f>H37</f>
        <v>40</v>
      </c>
      <c r="I42" s="99">
        <f>I39</f>
        <v>-5.1000000000000014</v>
      </c>
      <c r="J42" s="100"/>
      <c r="K42" s="101" t="str">
        <f t="shared" si="10"/>
        <v>--</v>
      </c>
      <c r="L42" s="102"/>
      <c r="M42" s="36" t="str">
        <f t="shared" si="12"/>
        <v>--</v>
      </c>
      <c r="N42" s="95"/>
      <c r="O42" s="79"/>
      <c r="P42" s="176">
        <f t="shared" si="13"/>
        <v>337560000</v>
      </c>
      <c r="Q42" s="176">
        <f>Q39</f>
        <v>1000000</v>
      </c>
      <c r="R42" s="70">
        <f t="shared" si="14"/>
        <v>675</v>
      </c>
      <c r="S42" s="179">
        <f t="shared" si="11"/>
        <v>1001</v>
      </c>
      <c r="T42" s="175"/>
    </row>
    <row r="44" spans="1:20">
      <c r="A44" s="117" t="s">
        <v>54</v>
      </c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</row>
    <row r="45" spans="1:20">
      <c r="A45" s="43" t="s">
        <v>35</v>
      </c>
      <c r="B45" s="44" t="s">
        <v>36</v>
      </c>
      <c r="C45" s="45" t="s">
        <v>37</v>
      </c>
      <c r="D45" s="46" t="s">
        <v>38</v>
      </c>
      <c r="E45" s="47" t="s">
        <v>39</v>
      </c>
      <c r="F45" s="46" t="s">
        <v>40</v>
      </c>
      <c r="G45" s="43" t="s">
        <v>87</v>
      </c>
      <c r="H45" s="48"/>
      <c r="I45" s="49" t="s">
        <v>42</v>
      </c>
      <c r="J45" s="50" t="s">
        <v>43</v>
      </c>
      <c r="K45" s="50" t="s">
        <v>44</v>
      </c>
      <c r="L45" s="51" t="s">
        <v>45</v>
      </c>
      <c r="M45" s="52" t="s">
        <v>46</v>
      </c>
      <c r="N45" s="53" t="s">
        <v>47</v>
      </c>
    </row>
    <row r="46" spans="1:20">
      <c r="A46" s="54"/>
      <c r="B46" s="55"/>
      <c r="C46" s="56"/>
      <c r="D46" s="54"/>
      <c r="E46" s="57"/>
      <c r="F46" s="54"/>
      <c r="G46" s="58" t="s">
        <v>48</v>
      </c>
      <c r="H46" s="59" t="s">
        <v>49</v>
      </c>
      <c r="I46" s="60"/>
      <c r="J46" s="61"/>
      <c r="K46" s="61"/>
      <c r="L46" s="62"/>
      <c r="M46" s="63"/>
      <c r="N46" s="64"/>
    </row>
    <row r="47" spans="1:20">
      <c r="A47" s="65">
        <v>100</v>
      </c>
      <c r="B47" s="66">
        <f>C47-((A47/1000)/2)</f>
        <v>37.350340000000003</v>
      </c>
      <c r="C47" s="67">
        <f>C29</f>
        <v>37.40034</v>
      </c>
      <c r="D47" s="68">
        <f>B47+(A47/1000)</f>
        <v>37.450340000000004</v>
      </c>
      <c r="E47" s="69">
        <v>1</v>
      </c>
      <c r="F47" s="70" t="s">
        <v>50</v>
      </c>
      <c r="G47" s="71">
        <f>$B$24-1.5</f>
        <v>35.5</v>
      </c>
      <c r="H47" s="72">
        <f>B47-(0.1*(A47/1000))+(0.5/1000)</f>
        <v>37.340840000000007</v>
      </c>
      <c r="I47" s="73">
        <f>$R$5</f>
        <v>-5.1000000000000014</v>
      </c>
      <c r="J47" s="74"/>
      <c r="K47" s="75" t="str">
        <f>IF(ISBLANK(J47),"--",J47-$D$19)</f>
        <v>--</v>
      </c>
      <c r="L47" s="76"/>
      <c r="M47" s="77" t="str">
        <f>IF(ISBLANK(J47),"--",I47-K47)</f>
        <v>--</v>
      </c>
      <c r="N47" s="78"/>
      <c r="O47" s="79"/>
    </row>
    <row r="48" spans="1:20">
      <c r="B48" s="80"/>
      <c r="C48" s="81"/>
      <c r="D48" s="79"/>
      <c r="E48" s="82"/>
      <c r="F48" s="83" t="s">
        <v>51</v>
      </c>
      <c r="G48" s="84">
        <f>H47</f>
        <v>37.340840000000007</v>
      </c>
      <c r="H48" s="85">
        <f>B47-(0.5/1000)</f>
        <v>37.34984</v>
      </c>
      <c r="I48" s="86">
        <f>$R$6</f>
        <v>-13.100000000000001</v>
      </c>
      <c r="J48" s="87"/>
      <c r="K48" s="88" t="str">
        <f t="shared" ref="K48:K50" si="15">IF(ISBLANK(J48),"--",J48-$D$19)</f>
        <v>--</v>
      </c>
      <c r="L48" s="89"/>
      <c r="M48" s="90" t="str">
        <f t="shared" ref="M48:M50" si="16">IF(ISBLANK(J48),"--",I48-K48)</f>
        <v>--</v>
      </c>
      <c r="N48" s="82"/>
      <c r="O48" s="79"/>
    </row>
    <row r="49" spans="1:20">
      <c r="B49" s="80"/>
      <c r="C49" s="81"/>
      <c r="D49" s="79"/>
      <c r="E49" s="82"/>
      <c r="F49" s="83" t="s">
        <v>52</v>
      </c>
      <c r="G49" s="84">
        <f>D47+(0.5/1000)</f>
        <v>37.450840000000007</v>
      </c>
      <c r="H49" s="85">
        <f>D47+(0.1*(A47/1000))+(0.5/1000)</f>
        <v>37.460840000000005</v>
      </c>
      <c r="I49" s="86">
        <f>I48</f>
        <v>-13.100000000000001</v>
      </c>
      <c r="J49" s="87"/>
      <c r="K49" s="88" t="str">
        <f t="shared" si="15"/>
        <v>--</v>
      </c>
      <c r="L49" s="89"/>
      <c r="M49" s="90" t="str">
        <f t="shared" si="16"/>
        <v>--</v>
      </c>
      <c r="N49" s="82"/>
      <c r="O49" s="79"/>
    </row>
    <row r="50" spans="1:20">
      <c r="A50" s="91"/>
      <c r="B50" s="92"/>
      <c r="C50" s="93"/>
      <c r="D50" s="94"/>
      <c r="E50" s="95"/>
      <c r="F50" s="96" t="s">
        <v>53</v>
      </c>
      <c r="G50" s="97">
        <f>H49</f>
        <v>37.460840000000005</v>
      </c>
      <c r="H50" s="98">
        <f>H42</f>
        <v>40</v>
      </c>
      <c r="I50" s="99">
        <f>I47</f>
        <v>-5.1000000000000014</v>
      </c>
      <c r="J50" s="100"/>
      <c r="K50" s="101" t="str">
        <f t="shared" si="15"/>
        <v>--</v>
      </c>
      <c r="L50" s="102"/>
      <c r="M50" s="36" t="str">
        <f t="shared" si="16"/>
        <v>--</v>
      </c>
      <c r="N50" s="95"/>
      <c r="O50" s="79"/>
    </row>
    <row r="51" spans="1:20">
      <c r="I51" s="103"/>
      <c r="J51" s="70"/>
      <c r="S51" s="70" t="s">
        <v>55</v>
      </c>
      <c r="T51" s="70" t="s">
        <v>56</v>
      </c>
    </row>
    <row r="52" spans="1:20">
      <c r="A52" s="104">
        <v>100</v>
      </c>
      <c r="B52" s="105">
        <f>C52-((A52/1000)/2)</f>
        <v>38.45626</v>
      </c>
      <c r="C52" s="106">
        <f>C34</f>
        <v>38.506259999999997</v>
      </c>
      <c r="D52" s="107">
        <f>B52+(A52/1000)</f>
        <v>38.556260000000002</v>
      </c>
      <c r="E52" s="108">
        <v>1</v>
      </c>
      <c r="F52" s="109" t="s">
        <v>50</v>
      </c>
      <c r="G52" s="107">
        <f>$B$24-1.5</f>
        <v>35.5</v>
      </c>
      <c r="H52" s="110">
        <f>B52-(0.1*(A52/1000))+(0.5/1000)</f>
        <v>38.446760000000005</v>
      </c>
      <c r="I52" s="111">
        <f>$R$5</f>
        <v>-5.1000000000000014</v>
      </c>
      <c r="J52" s="112"/>
      <c r="K52" s="113" t="str">
        <f t="shared" ref="K52:K55" si="17">IF(ISBLANK(J52),"--",J52-$D$19)</f>
        <v>--</v>
      </c>
      <c r="L52" s="114"/>
      <c r="M52" s="77" t="str">
        <f>IF(ISBLANK(J52),"--",I52-K52)</f>
        <v>--</v>
      </c>
      <c r="N52" s="78"/>
      <c r="O52" s="79"/>
      <c r="P52" s="115" t="s">
        <v>57</v>
      </c>
      <c r="Q52" s="115"/>
      <c r="R52" s="115"/>
      <c r="S52" s="74">
        <v>-2.79</v>
      </c>
      <c r="T52" s="74">
        <f>S52-$D$19</f>
        <v>-31.89</v>
      </c>
    </row>
    <row r="53" spans="1:20">
      <c r="B53" s="80"/>
      <c r="C53" s="81"/>
      <c r="D53" s="79"/>
      <c r="E53" s="82"/>
      <c r="F53" s="83" t="s">
        <v>51</v>
      </c>
      <c r="G53" s="84">
        <f>H52</f>
        <v>38.446760000000005</v>
      </c>
      <c r="H53" s="85">
        <f>B52-(0.5/1000)</f>
        <v>38.455759999999998</v>
      </c>
      <c r="I53" s="86">
        <f>$R$6</f>
        <v>-13.100000000000001</v>
      </c>
      <c r="J53" s="87"/>
      <c r="K53" s="88" t="str">
        <f t="shared" si="17"/>
        <v>--</v>
      </c>
      <c r="L53" s="89"/>
      <c r="M53" s="90" t="str">
        <f t="shared" ref="M53:M55" si="18">IF(ISBLANK(J53),"--",I53-K53)</f>
        <v>--</v>
      </c>
      <c r="N53" s="82"/>
      <c r="O53" s="79"/>
    </row>
    <row r="54" spans="1:20">
      <c r="B54" s="80"/>
      <c r="C54" s="81"/>
      <c r="D54" s="79"/>
      <c r="E54" s="82"/>
      <c r="F54" s="83" t="s">
        <v>52</v>
      </c>
      <c r="G54" s="84">
        <f>D52+(0.5/1000)</f>
        <v>38.556760000000004</v>
      </c>
      <c r="H54" s="85">
        <f>D52+(0.1*(A52/1000))+(0.5/1000)</f>
        <v>38.566760000000002</v>
      </c>
      <c r="I54" s="86">
        <f>I53</f>
        <v>-13.100000000000001</v>
      </c>
      <c r="J54" s="87"/>
      <c r="K54" s="88" t="str">
        <f t="shared" si="17"/>
        <v>--</v>
      </c>
      <c r="L54" s="89"/>
      <c r="M54" s="90" t="str">
        <f t="shared" si="18"/>
        <v>--</v>
      </c>
      <c r="N54" s="82"/>
      <c r="O54" s="79"/>
    </row>
    <row r="55" spans="1:20">
      <c r="A55" s="91"/>
      <c r="B55" s="92"/>
      <c r="C55" s="93"/>
      <c r="D55" s="94"/>
      <c r="E55" s="95"/>
      <c r="F55" s="96" t="s">
        <v>53</v>
      </c>
      <c r="G55" s="97">
        <f>H54</f>
        <v>38.566760000000002</v>
      </c>
      <c r="H55" s="98">
        <f>H50</f>
        <v>40</v>
      </c>
      <c r="I55" s="99">
        <f>I52</f>
        <v>-5.1000000000000014</v>
      </c>
      <c r="J55" s="100"/>
      <c r="K55" s="101" t="str">
        <f t="shared" si="17"/>
        <v>--</v>
      </c>
      <c r="L55" s="102"/>
      <c r="M55" s="36" t="str">
        <f t="shared" si="18"/>
        <v>--</v>
      </c>
      <c r="N55" s="95"/>
      <c r="O55" s="79"/>
    </row>
    <row r="56" spans="1:20">
      <c r="I56" s="103"/>
      <c r="J56" s="70"/>
    </row>
    <row r="57" spans="1:20">
      <c r="A57" s="104">
        <v>100</v>
      </c>
      <c r="B57" s="105">
        <f>C57-((A57/1000)/2)</f>
        <v>39.551939999999995</v>
      </c>
      <c r="C57" s="106">
        <f>C39</f>
        <v>39.601939999999992</v>
      </c>
      <c r="D57" s="107">
        <f>B57+(A57/1000)</f>
        <v>39.651939999999996</v>
      </c>
      <c r="E57" s="108">
        <v>1</v>
      </c>
      <c r="F57" s="109" t="s">
        <v>50</v>
      </c>
      <c r="G57" s="107">
        <f>$B$24-1.5</f>
        <v>35.5</v>
      </c>
      <c r="H57" s="110">
        <f>B57-(0.1*(A57/1000))+(0.5/1000)</f>
        <v>39.542439999999999</v>
      </c>
      <c r="I57" s="111">
        <f>$R$5</f>
        <v>-5.1000000000000014</v>
      </c>
      <c r="J57" s="112"/>
      <c r="K57" s="113" t="str">
        <f t="shared" ref="K57:K60" si="19">IF(ISBLANK(J57),"--",J57-$D$19)</f>
        <v>--</v>
      </c>
      <c r="L57" s="114"/>
      <c r="M57" s="77" t="str">
        <f>IF(ISBLANK(J57),"--",I57-K57)</f>
        <v>--</v>
      </c>
      <c r="N57" s="116"/>
      <c r="O57" s="79"/>
    </row>
    <row r="58" spans="1:20">
      <c r="B58" s="80"/>
      <c r="C58" s="81"/>
      <c r="D58" s="79"/>
      <c r="E58" s="82"/>
      <c r="F58" s="83" t="s">
        <v>51</v>
      </c>
      <c r="G58" s="84">
        <f>H57</f>
        <v>39.542439999999999</v>
      </c>
      <c r="H58" s="85">
        <f>B57-(0.5/1000)</f>
        <v>39.551439999999992</v>
      </c>
      <c r="I58" s="86">
        <f>$R$6</f>
        <v>-13.100000000000001</v>
      </c>
      <c r="J58" s="87"/>
      <c r="K58" s="88" t="str">
        <f t="shared" si="19"/>
        <v>--</v>
      </c>
      <c r="L58" s="89"/>
      <c r="M58" s="90" t="str">
        <f t="shared" ref="M58:M60" si="20">IF(ISBLANK(J58),"--",I58-K58)</f>
        <v>--</v>
      </c>
      <c r="N58" s="82"/>
      <c r="O58" s="79"/>
    </row>
    <row r="59" spans="1:20">
      <c r="B59" s="80"/>
      <c r="C59" s="81"/>
      <c r="D59" s="79"/>
      <c r="E59" s="82"/>
      <c r="F59" s="83" t="s">
        <v>52</v>
      </c>
      <c r="G59" s="84">
        <f>D57+(0.5/1000)</f>
        <v>39.652439999999999</v>
      </c>
      <c r="H59" s="85">
        <f>D57+(0.1*(A57/1000))+(0.5/1000)</f>
        <v>39.662439999999997</v>
      </c>
      <c r="I59" s="86">
        <f>I58</f>
        <v>-13.100000000000001</v>
      </c>
      <c r="J59" s="87"/>
      <c r="K59" s="88" t="str">
        <f t="shared" si="19"/>
        <v>--</v>
      </c>
      <c r="L59" s="89"/>
      <c r="M59" s="90" t="str">
        <f t="shared" si="20"/>
        <v>--</v>
      </c>
      <c r="N59" s="82"/>
      <c r="O59" s="79"/>
    </row>
    <row r="60" spans="1:20">
      <c r="A60" s="91"/>
      <c r="B60" s="92"/>
      <c r="C60" s="93"/>
      <c r="D60" s="94"/>
      <c r="E60" s="95"/>
      <c r="F60" s="96" t="s">
        <v>53</v>
      </c>
      <c r="G60" s="97">
        <f>H59</f>
        <v>39.662439999999997</v>
      </c>
      <c r="H60" s="98">
        <f>H55</f>
        <v>40</v>
      </c>
      <c r="I60" s="99">
        <f>I57</f>
        <v>-5.1000000000000014</v>
      </c>
      <c r="J60" s="100"/>
      <c r="K60" s="101" t="str">
        <f t="shared" si="19"/>
        <v>--</v>
      </c>
      <c r="L60" s="102"/>
      <c r="M60" s="36" t="str">
        <f t="shared" si="20"/>
        <v>--</v>
      </c>
      <c r="N60" s="95"/>
      <c r="O60" s="79"/>
    </row>
  </sheetData>
  <mergeCells count="60">
    <mergeCell ref="P27:S27"/>
    <mergeCell ref="P26:S26"/>
    <mergeCell ref="P25:S25"/>
    <mergeCell ref="J45:J46"/>
    <mergeCell ref="K45:K46"/>
    <mergeCell ref="L45:L46"/>
    <mergeCell ref="M45:M46"/>
    <mergeCell ref="N45:N46"/>
    <mergeCell ref="P52:R52"/>
    <mergeCell ref="A44:N44"/>
    <mergeCell ref="A45:A46"/>
    <mergeCell ref="B45:B46"/>
    <mergeCell ref="C45:C46"/>
    <mergeCell ref="D45:D46"/>
    <mergeCell ref="E45:E46"/>
    <mergeCell ref="F45:F46"/>
    <mergeCell ref="G45:H45"/>
    <mergeCell ref="I45:I46"/>
    <mergeCell ref="I27:I28"/>
    <mergeCell ref="J27:J28"/>
    <mergeCell ref="K27:K28"/>
    <mergeCell ref="L27:L28"/>
    <mergeCell ref="M27:M28"/>
    <mergeCell ref="N27:N28"/>
    <mergeCell ref="A21:F21"/>
    <mergeCell ref="A23:M23"/>
    <mergeCell ref="A26:N26"/>
    <mergeCell ref="A27:A28"/>
    <mergeCell ref="B27:B28"/>
    <mergeCell ref="C27:C28"/>
    <mergeCell ref="D27:D28"/>
    <mergeCell ref="E27:E28"/>
    <mergeCell ref="F27:F28"/>
    <mergeCell ref="G27:H27"/>
    <mergeCell ref="A16:D16"/>
    <mergeCell ref="E16:F16"/>
    <mergeCell ref="A17:A18"/>
    <mergeCell ref="B17:B18"/>
    <mergeCell ref="C17:C18"/>
    <mergeCell ref="D17:D18"/>
    <mergeCell ref="E17:E18"/>
    <mergeCell ref="F17:F18"/>
    <mergeCell ref="A7:N8"/>
    <mergeCell ref="A10:H10"/>
    <mergeCell ref="A11:I11"/>
    <mergeCell ref="A12:I12"/>
    <mergeCell ref="A13:I13"/>
    <mergeCell ref="A14:I14"/>
    <mergeCell ref="A5:D5"/>
    <mergeCell ref="E5:I5"/>
    <mergeCell ref="J5:N5"/>
    <mergeCell ref="A6:D6"/>
    <mergeCell ref="E6:I6"/>
    <mergeCell ref="J6:N6"/>
    <mergeCell ref="A1:R1"/>
    <mergeCell ref="A2:E2"/>
    <mergeCell ref="O3:Q3"/>
    <mergeCell ref="A4:D4"/>
    <mergeCell ref="E4:I4"/>
    <mergeCell ref="J4:N4"/>
  </mergeCells>
  <conditionalFormatting sqref="K29 K32 K34 K37 K39 K42 K50 K52 K55 K57 K60">
    <cfRule type="cellIs" dxfId="4" priority="5" operator="greaterThan">
      <formula>$I$29</formula>
    </cfRule>
  </conditionalFormatting>
  <conditionalFormatting sqref="K30:K31 K35:K36 K40:K41 K53:K54 K58:K59">
    <cfRule type="cellIs" dxfId="3" priority="4" operator="greaterThan">
      <formula>$I$30</formula>
    </cfRule>
  </conditionalFormatting>
  <conditionalFormatting sqref="K47">
    <cfRule type="cellIs" dxfId="2" priority="3" operator="greaterThan">
      <formula>$I$29</formula>
    </cfRule>
  </conditionalFormatting>
  <conditionalFormatting sqref="K48:K49">
    <cfRule type="cellIs" dxfId="1" priority="2" operator="greaterThan">
      <formula>$I$30</formula>
    </cfRule>
  </conditionalFormatting>
  <conditionalFormatting sqref="M29:M32 M34:M37 M39:M42 M47:M50 M52:M55 M57:M60">
    <cfRule type="cellIs" dxfId="0" priority="1" operator="lessThan">
      <formula>0</formula>
    </cfRule>
  </conditionalFormatting>
  <pageMargins left="0.7" right="0.7" top="0.75" bottom="0.75" header="0.3" footer="0.3"/>
  <pageSetup paperSize="9"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E164-67CA-4B7E-BDC6-4541A903F2C3}">
  <sheetPr>
    <pageSetUpPr fitToPage="1"/>
  </sheetPr>
  <dimension ref="A1:R54"/>
  <sheetViews>
    <sheetView workbookViewId="0">
      <selection activeCell="K9" sqref="K9"/>
    </sheetView>
  </sheetViews>
  <sheetFormatPr defaultColWidth="8.88671875" defaultRowHeight="14.4"/>
  <cols>
    <col min="1" max="1" width="29.109375" style="2" bestFit="1" customWidth="1"/>
    <col min="2" max="2" width="11.6640625" style="2" bestFit="1" customWidth="1"/>
    <col min="3" max="3" width="13.6640625" style="2" bestFit="1" customWidth="1"/>
    <col min="4" max="4" width="12.6640625" style="2" bestFit="1" customWidth="1"/>
    <col min="5" max="5" width="12.33203125" style="2" bestFit="1" customWidth="1"/>
    <col min="6" max="6" width="1.6640625" style="2" customWidth="1"/>
    <col min="7" max="7" width="16.6640625" style="2" bestFit="1" customWidth="1"/>
    <col min="8" max="8" width="11.6640625" style="2" bestFit="1" customWidth="1"/>
    <col min="9" max="9" width="1.6640625" style="2" customWidth="1"/>
    <col min="10" max="10" width="4.6640625" style="2" customWidth="1"/>
    <col min="11" max="13" width="12.33203125" style="2" bestFit="1" customWidth="1"/>
    <col min="14" max="14" width="1.6640625" style="2" customWidth="1"/>
    <col min="15" max="19" width="12.33203125" style="2" bestFit="1" customWidth="1"/>
    <col min="20" max="16384" width="8.88671875" style="2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>
      <c r="A2" s="118"/>
      <c r="B2" s="118"/>
      <c r="C2" s="118"/>
      <c r="D2" s="118"/>
      <c r="E2" s="118"/>
      <c r="G2" s="119" t="s">
        <v>58</v>
      </c>
      <c r="H2" s="119"/>
      <c r="I2" s="119"/>
      <c r="J2" s="119"/>
      <c r="K2" s="119"/>
      <c r="L2" s="119"/>
      <c r="M2" s="119"/>
      <c r="N2" s="119"/>
      <c r="O2" s="119"/>
      <c r="P2" s="119"/>
      <c r="Q2" s="119"/>
    </row>
    <row r="3" spans="1:18">
      <c r="A3" s="120" t="s">
        <v>59</v>
      </c>
      <c r="B3" s="120"/>
      <c r="C3" s="120"/>
      <c r="D3" s="120"/>
      <c r="E3" s="120"/>
      <c r="G3" s="121" t="s">
        <v>60</v>
      </c>
      <c r="H3" s="122"/>
      <c r="K3" s="121" t="s">
        <v>61</v>
      </c>
      <c r="L3" s="123"/>
      <c r="M3" s="122"/>
      <c r="O3" s="124" t="s">
        <v>62</v>
      </c>
      <c r="P3" s="124"/>
      <c r="Q3" s="124"/>
      <c r="R3" s="79"/>
    </row>
    <row r="4" spans="1:18">
      <c r="A4" s="125" t="s">
        <v>63</v>
      </c>
      <c r="B4" s="126" t="s">
        <v>64</v>
      </c>
      <c r="C4" s="127" t="s">
        <v>65</v>
      </c>
      <c r="D4" s="128" t="s">
        <v>66</v>
      </c>
      <c r="E4" s="125" t="s">
        <v>37</v>
      </c>
      <c r="G4" s="129" t="s">
        <v>67</v>
      </c>
      <c r="H4" s="130">
        <v>4203.8600000000006</v>
      </c>
      <c r="K4" s="131" t="s">
        <v>67</v>
      </c>
      <c r="L4" s="125" t="s">
        <v>68</v>
      </c>
      <c r="M4" s="131" t="s">
        <v>69</v>
      </c>
      <c r="O4" s="131" t="s">
        <v>67</v>
      </c>
      <c r="P4" s="125" t="s">
        <v>68</v>
      </c>
      <c r="Q4" s="131" t="s">
        <v>69</v>
      </c>
    </row>
    <row r="5" spans="1:18">
      <c r="A5" s="132" t="s">
        <v>70</v>
      </c>
      <c r="B5" s="133">
        <f>H5</f>
        <v>4857.6199999999953</v>
      </c>
      <c r="C5" s="134">
        <v>8135.68</v>
      </c>
      <c r="D5" s="133">
        <f>4*C5</f>
        <v>32542.720000000001</v>
      </c>
      <c r="E5" s="135">
        <f>(D5+B5)/1000</f>
        <v>37.40034</v>
      </c>
      <c r="G5" s="136" t="s">
        <v>68</v>
      </c>
      <c r="H5" s="137">
        <v>4857.6199999999953</v>
      </c>
      <c r="J5" s="138" t="s">
        <v>71</v>
      </c>
      <c r="K5" s="139"/>
      <c r="L5" s="139"/>
      <c r="M5" s="139"/>
      <c r="O5" s="140">
        <v>4203.8600000000006</v>
      </c>
      <c r="P5" s="141">
        <v>4507.76</v>
      </c>
      <c r="Q5" s="130">
        <v>4811.6000000000022</v>
      </c>
    </row>
    <row r="6" spans="1:18">
      <c r="A6" s="142" t="s">
        <v>72</v>
      </c>
      <c r="B6" s="143">
        <f>B5</f>
        <v>4857.6199999999953</v>
      </c>
      <c r="C6" s="144">
        <v>8412.16</v>
      </c>
      <c r="D6" s="143">
        <f>4*C6</f>
        <v>33648.639999999999</v>
      </c>
      <c r="E6" s="145">
        <f>(D6+B6)/1000</f>
        <v>38.506259999999997</v>
      </c>
      <c r="G6" s="146" t="s">
        <v>69</v>
      </c>
      <c r="H6" s="147">
        <v>5511.3199999999961</v>
      </c>
      <c r="J6" s="148" t="s">
        <v>73</v>
      </c>
      <c r="K6" s="149"/>
      <c r="L6" s="149"/>
      <c r="M6" s="149"/>
      <c r="O6" s="150">
        <v>4303.82</v>
      </c>
      <c r="P6" s="151">
        <v>4607.7199999999975</v>
      </c>
      <c r="Q6" s="152">
        <v>4911.5600000000013</v>
      </c>
    </row>
    <row r="7" spans="1:18">
      <c r="A7" s="95" t="s">
        <v>74</v>
      </c>
      <c r="B7" s="153">
        <f>B5</f>
        <v>4857.6199999999953</v>
      </c>
      <c r="C7" s="154">
        <v>8686.08</v>
      </c>
      <c r="D7" s="153">
        <f>4*C7</f>
        <v>34744.32</v>
      </c>
      <c r="E7" s="155">
        <f>(D7+B7)/1000</f>
        <v>39.601939999999992</v>
      </c>
      <c r="J7" s="148" t="s">
        <v>75</v>
      </c>
      <c r="K7" s="149"/>
      <c r="L7" s="149"/>
      <c r="M7" s="149"/>
      <c r="O7" s="150">
        <v>4403.7799999999988</v>
      </c>
      <c r="P7" s="151">
        <v>4707.6799999999967</v>
      </c>
      <c r="Q7" s="152">
        <v>5011.5200000000004</v>
      </c>
    </row>
    <row r="8" spans="1:18">
      <c r="J8" s="148" t="s">
        <v>76</v>
      </c>
      <c r="K8" s="149"/>
      <c r="L8" s="149"/>
      <c r="M8" s="149"/>
      <c r="O8" s="150">
        <v>4503.739999999998</v>
      </c>
      <c r="P8" s="151">
        <v>4807.6399999999958</v>
      </c>
      <c r="Q8" s="152">
        <v>5111.4799999999996</v>
      </c>
    </row>
    <row r="9" spans="1:18">
      <c r="A9" s="120" t="s">
        <v>77</v>
      </c>
      <c r="B9" s="120"/>
      <c r="C9" s="120"/>
      <c r="D9" s="120"/>
      <c r="E9" s="120"/>
      <c r="J9" s="148" t="s">
        <v>78</v>
      </c>
      <c r="K9" s="150">
        <v>4203.8600000000006</v>
      </c>
      <c r="L9" s="151">
        <v>4707.6799999999967</v>
      </c>
      <c r="M9" s="152">
        <v>5211.4399999999987</v>
      </c>
      <c r="O9" s="150">
        <v>4603.6999999999971</v>
      </c>
      <c r="P9" s="151">
        <v>4907.5999999999949</v>
      </c>
      <c r="Q9" s="152">
        <v>5211.4399999999987</v>
      </c>
    </row>
    <row r="10" spans="1:18">
      <c r="A10" s="125" t="s">
        <v>63</v>
      </c>
      <c r="B10" s="126" t="s">
        <v>64</v>
      </c>
      <c r="C10" s="127" t="s">
        <v>65</v>
      </c>
      <c r="D10" s="128" t="s">
        <v>66</v>
      </c>
      <c r="E10" s="125" t="s">
        <v>37</v>
      </c>
      <c r="J10" s="148" t="s">
        <v>79</v>
      </c>
      <c r="K10" s="150">
        <v>4303.82</v>
      </c>
      <c r="L10" s="151">
        <v>4807.6399999999958</v>
      </c>
      <c r="M10" s="152">
        <v>5311.3999999999978</v>
      </c>
      <c r="O10" s="150">
        <v>4703.6599999999962</v>
      </c>
      <c r="P10" s="151">
        <v>5007.559999999994</v>
      </c>
      <c r="Q10" s="152">
        <v>5311.3999999999978</v>
      </c>
    </row>
    <row r="11" spans="1:18">
      <c r="A11" s="132" t="s">
        <v>80</v>
      </c>
      <c r="B11" s="133">
        <f>L9</f>
        <v>4707.6799999999967</v>
      </c>
      <c r="C11" s="134">
        <v>8135.68</v>
      </c>
      <c r="D11" s="133">
        <f t="shared" ref="D11:D22" si="0">4*C11</f>
        <v>32542.720000000001</v>
      </c>
      <c r="E11" s="135">
        <f t="shared" ref="E11:E22" si="1">(D11+B11)/1000</f>
        <v>37.250399999999992</v>
      </c>
      <c r="J11" s="148" t="s">
        <v>81</v>
      </c>
      <c r="K11" s="150">
        <v>4403.7799999999988</v>
      </c>
      <c r="L11" s="151">
        <v>4907.5999999999949</v>
      </c>
      <c r="M11" s="152">
        <v>5411.3599999999969</v>
      </c>
      <c r="O11" s="150">
        <v>4803.6199999999953</v>
      </c>
      <c r="P11" s="151">
        <v>5107.5199999999932</v>
      </c>
      <c r="Q11" s="152">
        <v>5411.3599999999969</v>
      </c>
    </row>
    <row r="12" spans="1:18">
      <c r="A12" s="82"/>
      <c r="B12" s="133">
        <f>L10</f>
        <v>4807.6399999999958</v>
      </c>
      <c r="C12" s="134">
        <f>C11</f>
        <v>8135.68</v>
      </c>
      <c r="D12" s="133">
        <f t="shared" si="0"/>
        <v>32542.720000000001</v>
      </c>
      <c r="E12" s="135">
        <f t="shared" si="1"/>
        <v>37.350360000000002</v>
      </c>
      <c r="G12" s="2">
        <v>99.96</v>
      </c>
      <c r="J12" s="138" t="s">
        <v>82</v>
      </c>
      <c r="K12" s="156">
        <v>4503.739999999998</v>
      </c>
      <c r="L12" s="157">
        <v>5007.559999999994</v>
      </c>
      <c r="M12" s="158">
        <v>5511.3199999999961</v>
      </c>
      <c r="O12" s="156">
        <v>4903.5799999999945</v>
      </c>
      <c r="P12" s="157">
        <v>5207.4799999999923</v>
      </c>
      <c r="Q12" s="158">
        <v>5511.3199999999961</v>
      </c>
    </row>
    <row r="13" spans="1:18">
      <c r="A13" s="82"/>
      <c r="B13" s="133">
        <f>L11</f>
        <v>4907.5999999999949</v>
      </c>
      <c r="C13" s="134">
        <f>C11</f>
        <v>8135.68</v>
      </c>
      <c r="D13" s="133">
        <f t="shared" si="0"/>
        <v>32542.720000000001</v>
      </c>
      <c r="E13" s="135">
        <f t="shared" si="1"/>
        <v>37.450319999999991</v>
      </c>
      <c r="G13" s="2">
        <f>2*G12</f>
        <v>199.92</v>
      </c>
    </row>
    <row r="14" spans="1:18" ht="15" thickBot="1">
      <c r="A14" s="159"/>
      <c r="B14" s="160">
        <f>L12</f>
        <v>5007.559999999994</v>
      </c>
      <c r="C14" s="161">
        <f>C11</f>
        <v>8135.68</v>
      </c>
      <c r="D14" s="160">
        <f t="shared" si="0"/>
        <v>32542.720000000001</v>
      </c>
      <c r="E14" s="162">
        <f t="shared" si="1"/>
        <v>37.550280000000001</v>
      </c>
      <c r="G14" s="2">
        <f>3*G12</f>
        <v>299.88</v>
      </c>
    </row>
    <row r="15" spans="1:18">
      <c r="A15" s="82" t="s">
        <v>72</v>
      </c>
      <c r="B15" s="163">
        <f>B11</f>
        <v>4707.6799999999967</v>
      </c>
      <c r="C15" s="164">
        <v>8412.16</v>
      </c>
      <c r="D15" s="163">
        <f t="shared" si="0"/>
        <v>33648.639999999999</v>
      </c>
      <c r="E15" s="165">
        <f t="shared" si="1"/>
        <v>38.35631999999999</v>
      </c>
    </row>
    <row r="16" spans="1:18">
      <c r="A16" s="82"/>
      <c r="B16" s="133">
        <f t="shared" ref="B16:B18" si="2">B12</f>
        <v>4807.6399999999958</v>
      </c>
      <c r="C16" s="134">
        <v>8412.16</v>
      </c>
      <c r="D16" s="133">
        <f t="shared" si="0"/>
        <v>33648.639999999999</v>
      </c>
      <c r="E16" s="135">
        <f t="shared" si="1"/>
        <v>38.45628</v>
      </c>
    </row>
    <row r="17" spans="1:5">
      <c r="A17" s="82"/>
      <c r="B17" s="133">
        <f t="shared" si="2"/>
        <v>4907.5999999999949</v>
      </c>
      <c r="C17" s="134">
        <v>8412.16</v>
      </c>
      <c r="D17" s="133">
        <f t="shared" si="0"/>
        <v>33648.639999999999</v>
      </c>
      <c r="E17" s="135">
        <f t="shared" si="1"/>
        <v>38.556239999999988</v>
      </c>
    </row>
    <row r="18" spans="1:5" ht="15" thickBot="1">
      <c r="A18" s="159"/>
      <c r="B18" s="160">
        <f t="shared" si="2"/>
        <v>5007.559999999994</v>
      </c>
      <c r="C18" s="161">
        <v>8412.16</v>
      </c>
      <c r="D18" s="160">
        <f t="shared" si="0"/>
        <v>33648.639999999999</v>
      </c>
      <c r="E18" s="162">
        <f t="shared" si="1"/>
        <v>38.656199999999998</v>
      </c>
    </row>
    <row r="19" spans="1:5">
      <c r="A19" s="2" t="s">
        <v>74</v>
      </c>
      <c r="B19" s="163">
        <f>B15</f>
        <v>4707.6799999999967</v>
      </c>
      <c r="C19" s="164">
        <v>8686.08</v>
      </c>
      <c r="D19" s="163">
        <f t="shared" si="0"/>
        <v>34744.32</v>
      </c>
      <c r="E19" s="165">
        <f t="shared" si="1"/>
        <v>39.451999999999998</v>
      </c>
    </row>
    <row r="20" spans="1:5">
      <c r="B20" s="133">
        <f>B16</f>
        <v>4807.6399999999958</v>
      </c>
      <c r="C20" s="134">
        <f>C19</f>
        <v>8686.08</v>
      </c>
      <c r="D20" s="133">
        <f t="shared" si="0"/>
        <v>34744.32</v>
      </c>
      <c r="E20" s="135">
        <f t="shared" si="1"/>
        <v>39.551959999999994</v>
      </c>
    </row>
    <row r="21" spans="1:5">
      <c r="B21" s="133">
        <f>B17</f>
        <v>4907.5999999999949</v>
      </c>
      <c r="C21" s="134">
        <f>C19</f>
        <v>8686.08</v>
      </c>
      <c r="D21" s="133">
        <f t="shared" si="0"/>
        <v>34744.32</v>
      </c>
      <c r="E21" s="135">
        <f t="shared" si="1"/>
        <v>39.651919999999997</v>
      </c>
    </row>
    <row r="22" spans="1:5">
      <c r="A22" s="166"/>
      <c r="B22" s="167">
        <f>B18</f>
        <v>5007.559999999994</v>
      </c>
      <c r="C22" s="168">
        <f>C19</f>
        <v>8686.08</v>
      </c>
      <c r="D22" s="167">
        <f t="shared" si="0"/>
        <v>34744.32</v>
      </c>
      <c r="E22" s="169">
        <f t="shared" si="1"/>
        <v>39.751879999999993</v>
      </c>
    </row>
    <row r="24" spans="1:5">
      <c r="A24" s="120" t="s">
        <v>83</v>
      </c>
      <c r="B24" s="120"/>
      <c r="C24" s="120"/>
      <c r="D24" s="120"/>
      <c r="E24" s="120"/>
    </row>
    <row r="25" spans="1:5">
      <c r="A25" s="125" t="s">
        <v>63</v>
      </c>
      <c r="B25" s="126" t="s">
        <v>64</v>
      </c>
      <c r="C25" s="127" t="s">
        <v>65</v>
      </c>
      <c r="D25" s="128" t="s">
        <v>66</v>
      </c>
      <c r="E25" s="125" t="s">
        <v>37</v>
      </c>
    </row>
    <row r="26" spans="1:5">
      <c r="A26" s="132" t="s">
        <v>80</v>
      </c>
      <c r="B26" s="133">
        <f>P5</f>
        <v>4507.76</v>
      </c>
      <c r="C26" s="134">
        <v>8135.68</v>
      </c>
      <c r="D26" s="133">
        <f t="shared" ref="D26:D49" si="3">4*C26</f>
        <v>32542.720000000001</v>
      </c>
      <c r="E26" s="135">
        <f t="shared" ref="E26:E49" si="4">(D26+B26)/1000</f>
        <v>37.05048</v>
      </c>
    </row>
    <row r="27" spans="1:5">
      <c r="A27" s="82"/>
      <c r="B27" s="133">
        <f t="shared" ref="B27:B33" si="5">P6</f>
        <v>4607.7199999999975</v>
      </c>
      <c r="C27" s="134">
        <f>C26</f>
        <v>8135.68</v>
      </c>
      <c r="D27" s="133">
        <f t="shared" si="3"/>
        <v>32542.720000000001</v>
      </c>
      <c r="E27" s="135">
        <f t="shared" si="4"/>
        <v>37.150440000000003</v>
      </c>
    </row>
    <row r="28" spans="1:5">
      <c r="A28" s="82"/>
      <c r="B28" s="133">
        <f t="shared" si="5"/>
        <v>4707.6799999999967</v>
      </c>
      <c r="C28" s="134">
        <f>C26</f>
        <v>8135.68</v>
      </c>
      <c r="D28" s="133">
        <f t="shared" si="3"/>
        <v>32542.720000000001</v>
      </c>
      <c r="E28" s="135">
        <f t="shared" si="4"/>
        <v>37.250399999999992</v>
      </c>
    </row>
    <row r="29" spans="1:5">
      <c r="B29" s="133">
        <f t="shared" si="5"/>
        <v>4807.6399999999958</v>
      </c>
      <c r="C29" s="134">
        <f>C26</f>
        <v>8135.68</v>
      </c>
      <c r="D29" s="133">
        <f t="shared" si="3"/>
        <v>32542.720000000001</v>
      </c>
      <c r="E29" s="135">
        <f t="shared" si="4"/>
        <v>37.350360000000002</v>
      </c>
    </row>
    <row r="30" spans="1:5">
      <c r="B30" s="133">
        <f t="shared" si="5"/>
        <v>4907.5999999999949</v>
      </c>
      <c r="C30" s="134">
        <f>C26</f>
        <v>8135.68</v>
      </c>
      <c r="D30" s="133">
        <f t="shared" si="3"/>
        <v>32542.720000000001</v>
      </c>
      <c r="E30" s="135">
        <f t="shared" si="4"/>
        <v>37.450319999999991</v>
      </c>
    </row>
    <row r="31" spans="1:5">
      <c r="B31" s="133">
        <f t="shared" si="5"/>
        <v>5007.559999999994</v>
      </c>
      <c r="C31" s="134">
        <f>C26</f>
        <v>8135.68</v>
      </c>
      <c r="D31" s="133">
        <f t="shared" si="3"/>
        <v>32542.720000000001</v>
      </c>
      <c r="E31" s="135">
        <f t="shared" si="4"/>
        <v>37.550280000000001</v>
      </c>
    </row>
    <row r="32" spans="1:5">
      <c r="B32" s="133">
        <f t="shared" si="5"/>
        <v>5107.5199999999932</v>
      </c>
      <c r="C32" s="134">
        <f>C26</f>
        <v>8135.68</v>
      </c>
      <c r="D32" s="133">
        <f t="shared" si="3"/>
        <v>32542.720000000001</v>
      </c>
      <c r="E32" s="135">
        <f t="shared" si="4"/>
        <v>37.650239999999989</v>
      </c>
    </row>
    <row r="33" spans="1:5" ht="15" thickBot="1">
      <c r="A33" s="159"/>
      <c r="B33" s="160">
        <f t="shared" si="5"/>
        <v>5207.4799999999923</v>
      </c>
      <c r="C33" s="161">
        <f>C26</f>
        <v>8135.68</v>
      </c>
      <c r="D33" s="160">
        <f t="shared" si="3"/>
        <v>32542.720000000001</v>
      </c>
      <c r="E33" s="162">
        <f t="shared" si="4"/>
        <v>37.7502</v>
      </c>
    </row>
    <row r="34" spans="1:5">
      <c r="A34" s="82" t="s">
        <v>72</v>
      </c>
      <c r="B34" s="133">
        <f>B26</f>
        <v>4507.76</v>
      </c>
      <c r="C34" s="134">
        <v>8412.16</v>
      </c>
      <c r="D34" s="133">
        <f t="shared" si="3"/>
        <v>33648.639999999999</v>
      </c>
      <c r="E34" s="135">
        <f t="shared" si="4"/>
        <v>38.156400000000005</v>
      </c>
    </row>
    <row r="35" spans="1:5">
      <c r="A35" s="82"/>
      <c r="B35" s="133">
        <f t="shared" ref="B35:B49" si="6">B27</f>
        <v>4607.7199999999975</v>
      </c>
      <c r="C35" s="134">
        <v>8412.16</v>
      </c>
      <c r="D35" s="133">
        <f t="shared" si="3"/>
        <v>33648.639999999999</v>
      </c>
      <c r="E35" s="135">
        <f t="shared" si="4"/>
        <v>38.256360000000001</v>
      </c>
    </row>
    <row r="36" spans="1:5">
      <c r="A36" s="82"/>
      <c r="B36" s="133">
        <f t="shared" si="6"/>
        <v>4707.6799999999967</v>
      </c>
      <c r="C36" s="134">
        <v>8412.16</v>
      </c>
      <c r="D36" s="133">
        <f t="shared" si="3"/>
        <v>33648.639999999999</v>
      </c>
      <c r="E36" s="135">
        <f t="shared" si="4"/>
        <v>38.35631999999999</v>
      </c>
    </row>
    <row r="37" spans="1:5">
      <c r="B37" s="133">
        <f t="shared" si="6"/>
        <v>4807.6399999999958</v>
      </c>
      <c r="C37" s="134">
        <v>8412.16</v>
      </c>
      <c r="D37" s="133">
        <f t="shared" si="3"/>
        <v>33648.639999999999</v>
      </c>
      <c r="E37" s="135">
        <f t="shared" si="4"/>
        <v>38.45628</v>
      </c>
    </row>
    <row r="38" spans="1:5">
      <c r="B38" s="133">
        <f t="shared" si="6"/>
        <v>4907.5999999999949</v>
      </c>
      <c r="C38" s="134">
        <v>8412.16</v>
      </c>
      <c r="D38" s="133">
        <f t="shared" si="3"/>
        <v>33648.639999999999</v>
      </c>
      <c r="E38" s="135">
        <f t="shared" si="4"/>
        <v>38.556239999999988</v>
      </c>
    </row>
    <row r="39" spans="1:5">
      <c r="B39" s="133">
        <f t="shared" si="6"/>
        <v>5007.559999999994</v>
      </c>
      <c r="C39" s="134">
        <v>8412.16</v>
      </c>
      <c r="D39" s="133">
        <f t="shared" si="3"/>
        <v>33648.639999999999</v>
      </c>
      <c r="E39" s="135">
        <f t="shared" si="4"/>
        <v>38.656199999999998</v>
      </c>
    </row>
    <row r="40" spans="1:5">
      <c r="B40" s="133">
        <f t="shared" si="6"/>
        <v>5107.5199999999932</v>
      </c>
      <c r="C40" s="134">
        <v>8412.16</v>
      </c>
      <c r="D40" s="133">
        <f t="shared" si="3"/>
        <v>33648.639999999999</v>
      </c>
      <c r="E40" s="135">
        <f t="shared" si="4"/>
        <v>38.756159999999987</v>
      </c>
    </row>
    <row r="41" spans="1:5" ht="15" thickBot="1">
      <c r="A41" s="159"/>
      <c r="B41" s="160">
        <f t="shared" si="6"/>
        <v>5207.4799999999923</v>
      </c>
      <c r="C41" s="161">
        <v>8412.16</v>
      </c>
      <c r="D41" s="160">
        <f t="shared" si="3"/>
        <v>33648.639999999999</v>
      </c>
      <c r="E41" s="162">
        <f t="shared" si="4"/>
        <v>38.856119999999997</v>
      </c>
    </row>
    <row r="42" spans="1:5">
      <c r="A42" s="2" t="s">
        <v>84</v>
      </c>
      <c r="B42" s="133">
        <f t="shared" si="6"/>
        <v>4507.76</v>
      </c>
      <c r="C42" s="134">
        <v>8611.84</v>
      </c>
      <c r="D42" s="133">
        <f t="shared" si="3"/>
        <v>34447.360000000001</v>
      </c>
      <c r="E42" s="135">
        <f t="shared" si="4"/>
        <v>38.955120000000001</v>
      </c>
    </row>
    <row r="43" spans="1:5">
      <c r="B43" s="133">
        <f t="shared" si="6"/>
        <v>4607.7199999999975</v>
      </c>
      <c r="C43" s="134">
        <f>C42</f>
        <v>8611.84</v>
      </c>
      <c r="D43" s="133">
        <f t="shared" si="3"/>
        <v>34447.360000000001</v>
      </c>
      <c r="E43" s="135">
        <f t="shared" si="4"/>
        <v>39.055080000000004</v>
      </c>
    </row>
    <row r="44" spans="1:5">
      <c r="B44" s="133">
        <f t="shared" si="6"/>
        <v>4707.6799999999967</v>
      </c>
      <c r="C44" s="134">
        <f>C42</f>
        <v>8611.84</v>
      </c>
      <c r="D44" s="133">
        <f t="shared" si="3"/>
        <v>34447.360000000001</v>
      </c>
      <c r="E44" s="135">
        <f t="shared" si="4"/>
        <v>39.155039999999993</v>
      </c>
    </row>
    <row r="45" spans="1:5">
      <c r="B45" s="133">
        <f t="shared" si="6"/>
        <v>4807.6399999999958</v>
      </c>
      <c r="C45" s="134">
        <f>C42</f>
        <v>8611.84</v>
      </c>
      <c r="D45" s="133">
        <f t="shared" si="3"/>
        <v>34447.360000000001</v>
      </c>
      <c r="E45" s="135">
        <f t="shared" si="4"/>
        <v>39.255000000000003</v>
      </c>
    </row>
    <row r="46" spans="1:5">
      <c r="B46" s="133">
        <f t="shared" si="6"/>
        <v>4907.5999999999949</v>
      </c>
      <c r="C46" s="134">
        <f>C42</f>
        <v>8611.84</v>
      </c>
      <c r="D46" s="133">
        <f t="shared" si="3"/>
        <v>34447.360000000001</v>
      </c>
      <c r="E46" s="135">
        <f t="shared" si="4"/>
        <v>39.354959999999991</v>
      </c>
    </row>
    <row r="47" spans="1:5">
      <c r="B47" s="133">
        <f t="shared" si="6"/>
        <v>5007.559999999994</v>
      </c>
      <c r="C47" s="134">
        <f>C42</f>
        <v>8611.84</v>
      </c>
      <c r="D47" s="133">
        <f t="shared" si="3"/>
        <v>34447.360000000001</v>
      </c>
      <c r="E47" s="135">
        <f t="shared" si="4"/>
        <v>39.454920000000001</v>
      </c>
    </row>
    <row r="48" spans="1:5">
      <c r="B48" s="133">
        <f t="shared" si="6"/>
        <v>5107.5199999999932</v>
      </c>
      <c r="C48" s="134">
        <f>C42</f>
        <v>8611.84</v>
      </c>
      <c r="D48" s="133">
        <f t="shared" si="3"/>
        <v>34447.360000000001</v>
      </c>
      <c r="E48" s="135">
        <f t="shared" si="4"/>
        <v>39.55487999999999</v>
      </c>
    </row>
    <row r="49" spans="1:5">
      <c r="A49" s="166"/>
      <c r="B49" s="167">
        <f t="shared" si="6"/>
        <v>5207.4799999999923</v>
      </c>
      <c r="C49" s="168">
        <f>C42</f>
        <v>8611.84</v>
      </c>
      <c r="D49" s="167">
        <f t="shared" si="3"/>
        <v>34447.360000000001</v>
      </c>
      <c r="E49" s="169">
        <f t="shared" si="4"/>
        <v>39.654839999999993</v>
      </c>
    </row>
    <row r="52" spans="1:5">
      <c r="B52" s="2" t="s">
        <v>85</v>
      </c>
    </row>
    <row r="53" spans="1:5">
      <c r="B53" s="170" t="s">
        <v>86</v>
      </c>
      <c r="C53" s="127" t="s">
        <v>65</v>
      </c>
      <c r="D53" s="128" t="s">
        <v>66</v>
      </c>
      <c r="E53" s="125" t="s">
        <v>37</v>
      </c>
    </row>
    <row r="54" spans="1:5">
      <c r="B54" s="171">
        <f>H5</f>
        <v>4857.6199999999953</v>
      </c>
      <c r="C54" s="172">
        <v>8685.6</v>
      </c>
      <c r="D54" s="173">
        <f>4*C54</f>
        <v>34742.400000000001</v>
      </c>
      <c r="E54" s="174">
        <f>(D54+B54)/1000</f>
        <v>39.600019999999994</v>
      </c>
    </row>
  </sheetData>
  <mergeCells count="8">
    <mergeCell ref="A9:E9"/>
    <mergeCell ref="A24:E24"/>
    <mergeCell ref="A1:Q1"/>
    <mergeCell ref="G2:Q2"/>
    <mergeCell ref="A3:E3"/>
    <mergeCell ref="G3:H3"/>
    <mergeCell ref="K3:M3"/>
    <mergeCell ref="O3:Q3"/>
  </mergeCells>
  <pageMargins left="0.7" right="0.7" top="0.75" bottom="0.75" header="0.3" footer="0.3"/>
  <pageSetup paperSize="9"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 OBUE</vt:lpstr>
      <vt:lpstr>IF_AMLO_RF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Warriner, Tim (Nokia - US/Irving)</dc:creator>
  <cp:lastModifiedBy>Warriner, Tim (Nokia - US/Irving)</cp:lastModifiedBy>
  <dcterms:created xsi:type="dcterms:W3CDTF">2019-07-03T18:52:46Z</dcterms:created>
  <dcterms:modified xsi:type="dcterms:W3CDTF">2019-07-03T19:10:00Z</dcterms:modified>
</cp:coreProperties>
</file>