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an\Downloads\microsoft.microsoftskydrive_8wekyb3d8bbwe!App\Downloads\"/>
    </mc:Choice>
  </mc:AlternateContent>
  <bookViews>
    <workbookView xWindow="0" yWindow="0" windowWidth="23040" windowHeight="9372" activeTab="1"/>
  </bookViews>
  <sheets>
    <sheet name="Assumptions" sheetId="1" r:id="rId1"/>
    <sheet name="Convertor" sheetId="8" r:id="rId2"/>
    <sheet name="Monthly Revenue" sheetId="7" r:id="rId3"/>
    <sheet name="Monthly P&amp;L" sheetId="6" r:id="rId4"/>
    <sheet name="Capital Structure" sheetId="13" r:id="rId5"/>
    <sheet name="Fixed Asset Schedule" sheetId="4" r:id="rId6"/>
    <sheet name="Working capital" sheetId="3" r:id="rId7"/>
    <sheet name="Annual P&amp;L" sheetId="2" r:id="rId8"/>
    <sheet name="Balance Sheet" sheetId="11" r:id="rId9"/>
    <sheet name="Cash Flow Statement" sheetId="12" r:id="rId10"/>
  </sheets>
  <definedNames>
    <definedName name="den">Convertor!$D$1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8" l="1"/>
  <c r="A36" i="11" l="1"/>
  <c r="A35" i="11"/>
  <c r="A34" i="11"/>
  <c r="A33" i="11"/>
  <c r="A16" i="11"/>
  <c r="A15" i="11"/>
  <c r="A14" i="11"/>
  <c r="A13" i="11"/>
  <c r="A12" i="11"/>
  <c r="E23" i="12"/>
  <c r="G20" i="12"/>
  <c r="F20" i="12"/>
  <c r="G19" i="12"/>
  <c r="F19" i="12"/>
  <c r="G15" i="12"/>
  <c r="G16" i="12" s="1"/>
  <c r="G14" i="12"/>
  <c r="F15" i="12"/>
  <c r="F14" i="12"/>
  <c r="F16" i="12"/>
  <c r="G35" i="2"/>
  <c r="F35" i="2"/>
  <c r="E35" i="2"/>
  <c r="D4" i="2"/>
  <c r="A28" i="2"/>
  <c r="A27" i="2"/>
  <c r="A26" i="2"/>
  <c r="A25" i="2"/>
  <c r="A24" i="2"/>
  <c r="A23" i="2"/>
  <c r="A22" i="2"/>
  <c r="A21" i="2"/>
  <c r="A20" i="2"/>
  <c r="A9" i="2"/>
  <c r="A8" i="2"/>
  <c r="A7" i="2"/>
  <c r="A6" i="2"/>
  <c r="A17" i="3"/>
  <c r="A16" i="3"/>
  <c r="A15" i="3"/>
  <c r="A7" i="3"/>
  <c r="A10" i="3"/>
  <c r="A9" i="3"/>
  <c r="A8" i="3"/>
  <c r="G15" i="4" l="1"/>
  <c r="G14" i="4"/>
  <c r="F15" i="4"/>
  <c r="F14" i="4"/>
  <c r="E15" i="4"/>
  <c r="E13" i="4"/>
  <c r="G29" i="4"/>
  <c r="G28" i="4"/>
  <c r="F29" i="4"/>
  <c r="F28" i="4"/>
  <c r="E29" i="4"/>
  <c r="E27" i="4"/>
  <c r="G22" i="4"/>
  <c r="G21" i="4"/>
  <c r="F22" i="4"/>
  <c r="F21" i="4"/>
  <c r="E22" i="4"/>
  <c r="E20" i="4"/>
  <c r="G8" i="4"/>
  <c r="G7" i="4"/>
  <c r="F8" i="4"/>
  <c r="F7" i="4"/>
  <c r="E6" i="4"/>
  <c r="E8" i="4"/>
  <c r="A6" i="13"/>
  <c r="E4" i="4"/>
  <c r="B17" i="13"/>
  <c r="B18" i="13"/>
  <c r="A9" i="13"/>
  <c r="A8" i="13"/>
  <c r="A7" i="13"/>
  <c r="C4" i="13"/>
  <c r="F4" i="7"/>
  <c r="E26" i="6"/>
  <c r="E25" i="6"/>
  <c r="E24" i="6"/>
  <c r="F24" i="6" s="1"/>
  <c r="G24" i="6" s="1"/>
  <c r="E23" i="6"/>
  <c r="E22" i="6"/>
  <c r="F22" i="6" s="1"/>
  <c r="G22" i="6" s="1"/>
  <c r="E19" i="6"/>
  <c r="F19" i="6" s="1"/>
  <c r="G19" i="6" s="1"/>
  <c r="A28" i="6"/>
  <c r="A27" i="6"/>
  <c r="A26" i="6"/>
  <c r="A25" i="6"/>
  <c r="A24" i="6"/>
  <c r="A23" i="6"/>
  <c r="A22" i="6"/>
  <c r="A21" i="6"/>
  <c r="A20" i="6"/>
  <c r="E15" i="6"/>
  <c r="F23" i="6" l="1"/>
  <c r="G23" i="6" s="1"/>
  <c r="F25" i="6"/>
  <c r="G25" i="6" s="1"/>
  <c r="F26" i="6"/>
  <c r="G26" i="6" s="1"/>
  <c r="F15" i="6"/>
  <c r="G15" i="6" s="1"/>
  <c r="A9" i="6"/>
  <c r="A8" i="6"/>
  <c r="A7" i="6"/>
  <c r="A6" i="6"/>
  <c r="E42" i="7"/>
  <c r="E41" i="7"/>
  <c r="E40" i="7"/>
  <c r="E21" i="7"/>
  <c r="E36" i="7"/>
  <c r="E35" i="7"/>
  <c r="E34" i="7"/>
  <c r="E37" i="7" s="1"/>
  <c r="E20" i="7"/>
  <c r="E29" i="7"/>
  <c r="E28" i="7"/>
  <c r="E27" i="7"/>
  <c r="E30" i="7" s="1"/>
  <c r="E23" i="7"/>
  <c r="E22" i="7"/>
  <c r="E43" i="7" l="1"/>
  <c r="E24" i="7"/>
  <c r="E11" i="7"/>
  <c r="E4" i="3" l="1"/>
  <c r="F4" i="3" s="1"/>
  <c r="G4" i="3" s="1"/>
  <c r="E4" i="2"/>
  <c r="F4" i="2" s="1"/>
  <c r="G4" i="2" s="1"/>
  <c r="E4" i="11"/>
  <c r="F4" i="11" s="1"/>
  <c r="G4" i="11" s="1"/>
  <c r="E4" i="12"/>
  <c r="F4" i="12" s="1"/>
  <c r="G4" i="12" s="1"/>
  <c r="F4" i="4"/>
  <c r="G4" i="4" s="1"/>
  <c r="F3" i="3"/>
  <c r="G3" i="3" s="1"/>
  <c r="F3" i="2"/>
  <c r="G3" i="2" s="1"/>
  <c r="F3" i="11"/>
  <c r="G3" i="11" s="1"/>
  <c r="F3" i="12"/>
  <c r="G3" i="12" s="1"/>
  <c r="F3" i="4"/>
  <c r="G3" i="4" s="1"/>
  <c r="B1" i="3"/>
  <c r="B1" i="2"/>
  <c r="B1" i="11"/>
  <c r="B1" i="12"/>
  <c r="B1" i="4"/>
  <c r="F3" i="6" l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AL3" i="6" s="1"/>
  <c r="AM3" i="6" s="1"/>
  <c r="AN3" i="6" s="1"/>
  <c r="F3" i="7"/>
  <c r="E4" i="6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E4" i="7"/>
  <c r="B1" i="6"/>
  <c r="B1" i="7"/>
  <c r="C12" i="13" l="1"/>
  <c r="C11" i="13"/>
  <c r="C8" i="13"/>
  <c r="E21" i="4" s="1"/>
  <c r="E23" i="4" s="1"/>
  <c r="E24" i="4" s="1"/>
  <c r="C9" i="13"/>
  <c r="E28" i="4" s="1"/>
  <c r="E30" i="4" s="1"/>
  <c r="E31" i="4" s="1"/>
  <c r="C7" i="13"/>
  <c r="E14" i="4" s="1"/>
  <c r="E16" i="4" s="1"/>
  <c r="E17" i="4" s="1"/>
  <c r="C6" i="13"/>
  <c r="H19" i="6"/>
  <c r="H22" i="6"/>
  <c r="H24" i="6"/>
  <c r="H15" i="6"/>
  <c r="H25" i="6"/>
  <c r="H23" i="6"/>
  <c r="H26" i="6"/>
  <c r="F34" i="7"/>
  <c r="F27" i="7"/>
  <c r="F40" i="7"/>
  <c r="F36" i="7"/>
  <c r="G36" i="7" s="1"/>
  <c r="F42" i="7"/>
  <c r="G42" i="7" s="1"/>
  <c r="F41" i="7"/>
  <c r="G41" i="7" s="1"/>
  <c r="F28" i="7"/>
  <c r="G28" i="7" s="1"/>
  <c r="F29" i="7"/>
  <c r="G29" i="7" s="1"/>
  <c r="F35" i="7"/>
  <c r="G3" i="7"/>
  <c r="F20" i="7"/>
  <c r="F22" i="7"/>
  <c r="G22" i="7" s="1"/>
  <c r="F23" i="7"/>
  <c r="G23" i="7" s="1"/>
  <c r="F21" i="7"/>
  <c r="E5" i="7"/>
  <c r="E6" i="7" s="1"/>
  <c r="E50" i="7" s="1"/>
  <c r="I19" i="6" l="1"/>
  <c r="J19" i="6" s="1"/>
  <c r="K19" i="6" s="1"/>
  <c r="L19" i="6" s="1"/>
  <c r="M19" i="6" s="1"/>
  <c r="N19" i="6" s="1"/>
  <c r="O19" i="6" s="1"/>
  <c r="P19" i="6" s="1"/>
  <c r="Q19" i="6" s="1"/>
  <c r="I22" i="6"/>
  <c r="J22" i="6" s="1"/>
  <c r="K22" i="6" s="1"/>
  <c r="L22" i="6" s="1"/>
  <c r="M22" i="6" s="1"/>
  <c r="N22" i="6" s="1"/>
  <c r="O22" i="6" s="1"/>
  <c r="P22" i="6" s="1"/>
  <c r="Q22" i="6" s="1"/>
  <c r="E7" i="4"/>
  <c r="C10" i="13"/>
  <c r="F13" i="4"/>
  <c r="F16" i="4" s="1"/>
  <c r="F17" i="4" s="1"/>
  <c r="E26" i="11"/>
  <c r="F27" i="4"/>
  <c r="E28" i="11"/>
  <c r="F20" i="4"/>
  <c r="F23" i="4" s="1"/>
  <c r="F24" i="4" s="1"/>
  <c r="E27" i="11"/>
  <c r="I23" i="6"/>
  <c r="J23" i="6" s="1"/>
  <c r="K23" i="6" s="1"/>
  <c r="L23" i="6" s="1"/>
  <c r="M23" i="6" s="1"/>
  <c r="N23" i="6" s="1"/>
  <c r="O23" i="6" s="1"/>
  <c r="P23" i="6" s="1"/>
  <c r="Q23" i="6" s="1"/>
  <c r="E23" i="2"/>
  <c r="I25" i="6"/>
  <c r="J25" i="6" s="1"/>
  <c r="K25" i="6" s="1"/>
  <c r="L25" i="6" s="1"/>
  <c r="M25" i="6" s="1"/>
  <c r="N25" i="6" s="1"/>
  <c r="O25" i="6" s="1"/>
  <c r="P25" i="6" s="1"/>
  <c r="Q25" i="6" s="1"/>
  <c r="E25" i="2"/>
  <c r="I15" i="6"/>
  <c r="J15" i="6" s="1"/>
  <c r="K15" i="6" s="1"/>
  <c r="L15" i="6" s="1"/>
  <c r="M15" i="6" s="1"/>
  <c r="N15" i="6" s="1"/>
  <c r="O15" i="6" s="1"/>
  <c r="P15" i="6" s="1"/>
  <c r="Q15" i="6" s="1"/>
  <c r="E15" i="12"/>
  <c r="E30" i="11"/>
  <c r="F30" i="11" s="1"/>
  <c r="G30" i="11" s="1"/>
  <c r="I26" i="6"/>
  <c r="J26" i="6" s="1"/>
  <c r="K26" i="6" s="1"/>
  <c r="L26" i="6" s="1"/>
  <c r="M26" i="6" s="1"/>
  <c r="N26" i="6" s="1"/>
  <c r="O26" i="6" s="1"/>
  <c r="P26" i="6" s="1"/>
  <c r="Q26" i="6" s="1"/>
  <c r="I24" i="6"/>
  <c r="J24" i="6" s="1"/>
  <c r="K24" i="6" s="1"/>
  <c r="L24" i="6" s="1"/>
  <c r="M24" i="6" s="1"/>
  <c r="N24" i="6" s="1"/>
  <c r="O24" i="6" s="1"/>
  <c r="P24" i="6" s="1"/>
  <c r="Q24" i="6" s="1"/>
  <c r="E49" i="7"/>
  <c r="E48" i="7"/>
  <c r="F43" i="7"/>
  <c r="F30" i="7"/>
  <c r="G40" i="7"/>
  <c r="G27" i="7"/>
  <c r="G35" i="7"/>
  <c r="G34" i="7"/>
  <c r="F37" i="7"/>
  <c r="G21" i="7"/>
  <c r="G24" i="7" s="1"/>
  <c r="F24" i="7"/>
  <c r="H3" i="7"/>
  <c r="H28" i="7" s="1"/>
  <c r="G20" i="7"/>
  <c r="E12" i="7"/>
  <c r="E56" i="7" s="1"/>
  <c r="G4" i="7"/>
  <c r="F5" i="7"/>
  <c r="E24" i="2" l="1"/>
  <c r="E26" i="2"/>
  <c r="G13" i="4"/>
  <c r="G16" i="4" s="1"/>
  <c r="G17" i="4" s="1"/>
  <c r="G26" i="11" s="1"/>
  <c r="F26" i="11"/>
  <c r="R24" i="6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E14" i="12"/>
  <c r="E16" i="12" s="1"/>
  <c r="C14" i="13"/>
  <c r="R25" i="6"/>
  <c r="S25" i="6" s="1"/>
  <c r="T25" i="6" s="1"/>
  <c r="U25" i="6" s="1"/>
  <c r="V25" i="6" s="1"/>
  <c r="W25" i="6" s="1"/>
  <c r="X25" i="6" s="1"/>
  <c r="Y25" i="6" s="1"/>
  <c r="Z25" i="6" s="1"/>
  <c r="AA25" i="6" s="1"/>
  <c r="AB25" i="6" s="1"/>
  <c r="AC25" i="6" s="1"/>
  <c r="F25" i="2"/>
  <c r="R26" i="6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R23" i="6"/>
  <c r="S23" i="6" s="1"/>
  <c r="T23" i="6" s="1"/>
  <c r="U23" i="6" s="1"/>
  <c r="V23" i="6" s="1"/>
  <c r="W23" i="6" s="1"/>
  <c r="X23" i="6" s="1"/>
  <c r="Y23" i="6" s="1"/>
  <c r="Z23" i="6" s="1"/>
  <c r="AA23" i="6" s="1"/>
  <c r="AB23" i="6" s="1"/>
  <c r="AC23" i="6" s="1"/>
  <c r="E9" i="4"/>
  <c r="E32" i="2" s="1"/>
  <c r="E7" i="12" s="1"/>
  <c r="E22" i="2"/>
  <c r="G20" i="4"/>
  <c r="F27" i="11"/>
  <c r="R22" i="6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E51" i="7"/>
  <c r="E15" i="2"/>
  <c r="E19" i="2"/>
  <c r="R15" i="6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F15" i="2"/>
  <c r="F30" i="4"/>
  <c r="F31" i="4" s="1"/>
  <c r="R19" i="6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E55" i="7"/>
  <c r="E54" i="7"/>
  <c r="H40" i="7"/>
  <c r="G43" i="7"/>
  <c r="H36" i="7"/>
  <c r="H29" i="7"/>
  <c r="H34" i="7"/>
  <c r="G37" i="7"/>
  <c r="H35" i="7"/>
  <c r="I35" i="7" s="1"/>
  <c r="H42" i="7"/>
  <c r="H41" i="7"/>
  <c r="H27" i="7"/>
  <c r="G30" i="7"/>
  <c r="I3" i="7"/>
  <c r="I28" i="7" s="1"/>
  <c r="H20" i="7"/>
  <c r="H23" i="7"/>
  <c r="H22" i="7"/>
  <c r="H21" i="7"/>
  <c r="E7" i="7"/>
  <c r="H4" i="7"/>
  <c r="G5" i="7"/>
  <c r="F6" i="7"/>
  <c r="G27" i="4" l="1"/>
  <c r="G30" i="4" s="1"/>
  <c r="G31" i="4" s="1"/>
  <c r="G28" i="11" s="1"/>
  <c r="F28" i="11"/>
  <c r="AD25" i="6"/>
  <c r="AE25" i="6" s="1"/>
  <c r="AF25" i="6" s="1"/>
  <c r="AG25" i="6" s="1"/>
  <c r="AH25" i="6" s="1"/>
  <c r="AI25" i="6" s="1"/>
  <c r="AJ25" i="6" s="1"/>
  <c r="AK25" i="6" s="1"/>
  <c r="AL25" i="6" s="1"/>
  <c r="AM25" i="6" s="1"/>
  <c r="AN25" i="6" s="1"/>
  <c r="G25" i="2"/>
  <c r="E10" i="4"/>
  <c r="C18" i="13"/>
  <c r="C17" i="13"/>
  <c r="G23" i="4"/>
  <c r="G24" i="4" s="1"/>
  <c r="G27" i="11" s="1"/>
  <c r="AD26" i="6"/>
  <c r="AE26" i="6" s="1"/>
  <c r="AF26" i="6" s="1"/>
  <c r="AG26" i="6" s="1"/>
  <c r="AH26" i="6" s="1"/>
  <c r="AI26" i="6" s="1"/>
  <c r="AJ26" i="6" s="1"/>
  <c r="AK26" i="6" s="1"/>
  <c r="AL26" i="6" s="1"/>
  <c r="AM26" i="6" s="1"/>
  <c r="AN26" i="6" s="1"/>
  <c r="AD15" i="6"/>
  <c r="AE15" i="6" s="1"/>
  <c r="AF15" i="6" s="1"/>
  <c r="AG15" i="6" s="1"/>
  <c r="AH15" i="6" s="1"/>
  <c r="AI15" i="6" s="1"/>
  <c r="AJ15" i="6" s="1"/>
  <c r="AK15" i="6" s="1"/>
  <c r="AL15" i="6" s="1"/>
  <c r="AM15" i="6" s="1"/>
  <c r="AN15" i="6" s="1"/>
  <c r="G15" i="2"/>
  <c r="F19" i="2"/>
  <c r="F23" i="2"/>
  <c r="F24" i="2"/>
  <c r="AD22" i="6"/>
  <c r="AE22" i="6" s="1"/>
  <c r="AF22" i="6" s="1"/>
  <c r="AG22" i="6" s="1"/>
  <c r="AH22" i="6" s="1"/>
  <c r="AI22" i="6" s="1"/>
  <c r="AJ22" i="6" s="1"/>
  <c r="AK22" i="6" s="1"/>
  <c r="AL22" i="6" s="1"/>
  <c r="AM22" i="6" s="1"/>
  <c r="AN22" i="6" s="1"/>
  <c r="AD19" i="6"/>
  <c r="AE19" i="6" s="1"/>
  <c r="AF19" i="6" s="1"/>
  <c r="AG19" i="6" s="1"/>
  <c r="AH19" i="6" s="1"/>
  <c r="AI19" i="6" s="1"/>
  <c r="AJ19" i="6" s="1"/>
  <c r="AK19" i="6" s="1"/>
  <c r="AL19" i="6" s="1"/>
  <c r="AM19" i="6" s="1"/>
  <c r="AN19" i="6" s="1"/>
  <c r="AD23" i="6"/>
  <c r="AE23" i="6" s="1"/>
  <c r="AF23" i="6" s="1"/>
  <c r="AG23" i="6" s="1"/>
  <c r="AH23" i="6" s="1"/>
  <c r="AI23" i="6" s="1"/>
  <c r="AJ23" i="6" s="1"/>
  <c r="AK23" i="6" s="1"/>
  <c r="AL23" i="6" s="1"/>
  <c r="AM23" i="6" s="1"/>
  <c r="AN23" i="6" s="1"/>
  <c r="AD24" i="6"/>
  <c r="AE24" i="6" s="1"/>
  <c r="AF24" i="6" s="1"/>
  <c r="AG24" i="6" s="1"/>
  <c r="AH24" i="6" s="1"/>
  <c r="AI24" i="6" s="1"/>
  <c r="AJ24" i="6" s="1"/>
  <c r="AK24" i="6" s="1"/>
  <c r="AL24" i="6" s="1"/>
  <c r="AM24" i="6" s="1"/>
  <c r="AN24" i="6" s="1"/>
  <c r="G24" i="2"/>
  <c r="F22" i="2"/>
  <c r="F26" i="2"/>
  <c r="E61" i="7"/>
  <c r="E57" i="7"/>
  <c r="I36" i="7"/>
  <c r="I29" i="7"/>
  <c r="J36" i="7"/>
  <c r="J29" i="7"/>
  <c r="I40" i="7"/>
  <c r="H43" i="7"/>
  <c r="I34" i="7"/>
  <c r="H37" i="7"/>
  <c r="I27" i="7"/>
  <c r="H30" i="7"/>
  <c r="I41" i="7"/>
  <c r="J41" i="7" s="1"/>
  <c r="I42" i="7"/>
  <c r="J42" i="7" s="1"/>
  <c r="I22" i="7"/>
  <c r="I23" i="7"/>
  <c r="I21" i="7"/>
  <c r="I24" i="7" s="1"/>
  <c r="H24" i="7"/>
  <c r="J3" i="7"/>
  <c r="J28" i="7" s="1"/>
  <c r="I20" i="7"/>
  <c r="F12" i="7"/>
  <c r="F54" i="7" s="1"/>
  <c r="F11" i="7"/>
  <c r="E16" i="7"/>
  <c r="E68" i="7" s="1"/>
  <c r="E15" i="7"/>
  <c r="E62" i="7" s="1"/>
  <c r="F7" i="7"/>
  <c r="G6" i="7"/>
  <c r="I4" i="7"/>
  <c r="H5" i="7"/>
  <c r="G26" i="2" l="1"/>
  <c r="E19" i="12"/>
  <c r="E20" i="12" s="1"/>
  <c r="E6" i="11"/>
  <c r="F6" i="11" s="1"/>
  <c r="G6" i="11" s="1"/>
  <c r="C20" i="13"/>
  <c r="G23" i="2"/>
  <c r="G19" i="2"/>
  <c r="E25" i="11"/>
  <c r="F6" i="4"/>
  <c r="F9" i="4" s="1"/>
  <c r="G22" i="2"/>
  <c r="E63" i="7"/>
  <c r="E64" i="7" s="1"/>
  <c r="E74" i="7"/>
  <c r="E7" i="6" s="1"/>
  <c r="E69" i="7"/>
  <c r="E67" i="7"/>
  <c r="F50" i="7"/>
  <c r="F49" i="7"/>
  <c r="F48" i="7"/>
  <c r="F55" i="7"/>
  <c r="F56" i="7"/>
  <c r="J35" i="7"/>
  <c r="J34" i="7"/>
  <c r="I37" i="7"/>
  <c r="J40" i="7"/>
  <c r="I43" i="7"/>
  <c r="K36" i="7"/>
  <c r="K35" i="7"/>
  <c r="J27" i="7"/>
  <c r="I30" i="7"/>
  <c r="K3" i="7"/>
  <c r="K28" i="7" s="1"/>
  <c r="J20" i="7"/>
  <c r="J23" i="7"/>
  <c r="J22" i="7"/>
  <c r="J21" i="7"/>
  <c r="F15" i="7"/>
  <c r="F62" i="7" s="1"/>
  <c r="F16" i="7"/>
  <c r="F69" i="7" s="1"/>
  <c r="G12" i="7"/>
  <c r="G56" i="7" s="1"/>
  <c r="G11" i="7"/>
  <c r="G7" i="7"/>
  <c r="H6" i="7"/>
  <c r="J4" i="7"/>
  <c r="I5" i="7"/>
  <c r="E75" i="7" l="1"/>
  <c r="E8" i="6" s="1"/>
  <c r="E14" i="6" s="1"/>
  <c r="F10" i="4"/>
  <c r="F32" i="2"/>
  <c r="F7" i="12" s="1"/>
  <c r="E13" i="6"/>
  <c r="F57" i="7"/>
  <c r="F61" i="7"/>
  <c r="F63" i="7"/>
  <c r="E70" i="7"/>
  <c r="F75" i="7"/>
  <c r="F8" i="6" s="1"/>
  <c r="F14" i="6" s="1"/>
  <c r="G50" i="7"/>
  <c r="G49" i="7"/>
  <c r="G48" i="7"/>
  <c r="F68" i="7"/>
  <c r="F74" i="7" s="1"/>
  <c r="F7" i="6" s="1"/>
  <c r="F13" i="6" s="1"/>
  <c r="G54" i="7"/>
  <c r="F67" i="7"/>
  <c r="G55" i="7"/>
  <c r="F51" i="7"/>
  <c r="E73" i="7"/>
  <c r="K27" i="7"/>
  <c r="J30" i="7"/>
  <c r="K34" i="7"/>
  <c r="J37" i="7"/>
  <c r="K41" i="7"/>
  <c r="K29" i="7"/>
  <c r="L29" i="7" s="1"/>
  <c r="K40" i="7"/>
  <c r="J43" i="7"/>
  <c r="K42" i="7"/>
  <c r="K22" i="7"/>
  <c r="K23" i="7"/>
  <c r="K21" i="7"/>
  <c r="K24" i="7" s="1"/>
  <c r="J24" i="7"/>
  <c r="L3" i="7"/>
  <c r="L28" i="7" s="1"/>
  <c r="K20" i="7"/>
  <c r="H12" i="7"/>
  <c r="H54" i="7" s="1"/>
  <c r="G15" i="7"/>
  <c r="G63" i="7" s="1"/>
  <c r="G16" i="7"/>
  <c r="G68" i="7" s="1"/>
  <c r="H11" i="7"/>
  <c r="H7" i="7"/>
  <c r="K4" i="7"/>
  <c r="J5" i="7"/>
  <c r="I6" i="7"/>
  <c r="F64" i="7" l="1"/>
  <c r="G6" i="4"/>
  <c r="G9" i="4" s="1"/>
  <c r="F25" i="11"/>
  <c r="G62" i="7"/>
  <c r="G67" i="7"/>
  <c r="F70" i="7"/>
  <c r="I7" i="7"/>
  <c r="G57" i="7"/>
  <c r="G51" i="7"/>
  <c r="G74" i="7"/>
  <c r="G7" i="6" s="1"/>
  <c r="G69" i="7"/>
  <c r="G75" i="7" s="1"/>
  <c r="G8" i="6" s="1"/>
  <c r="E6" i="6"/>
  <c r="E76" i="7"/>
  <c r="F73" i="7"/>
  <c r="H55" i="7"/>
  <c r="H56" i="7"/>
  <c r="G61" i="7"/>
  <c r="G64" i="7" s="1"/>
  <c r="H48" i="7"/>
  <c r="H49" i="7"/>
  <c r="H50" i="7"/>
  <c r="L41" i="7"/>
  <c r="L42" i="7"/>
  <c r="L35" i="7"/>
  <c r="L34" i="7"/>
  <c r="K37" i="7"/>
  <c r="L27" i="7"/>
  <c r="K30" i="7"/>
  <c r="L40" i="7"/>
  <c r="K43" i="7"/>
  <c r="L36" i="7"/>
  <c r="M3" i="7"/>
  <c r="M28" i="7" s="1"/>
  <c r="L20" i="7"/>
  <c r="L23" i="7"/>
  <c r="M23" i="7" s="1"/>
  <c r="L22" i="7"/>
  <c r="M22" i="7" s="1"/>
  <c r="L21" i="7"/>
  <c r="I11" i="7"/>
  <c r="H16" i="7"/>
  <c r="H69" i="7" s="1"/>
  <c r="H15" i="7"/>
  <c r="I15" i="7" s="1"/>
  <c r="I12" i="7"/>
  <c r="I54" i="7" s="1"/>
  <c r="J6" i="7"/>
  <c r="L4" i="7"/>
  <c r="K5" i="7"/>
  <c r="G13" i="6" l="1"/>
  <c r="E12" i="6"/>
  <c r="E16" i="6" s="1"/>
  <c r="G14" i="6"/>
  <c r="G10" i="4"/>
  <c r="G25" i="11" s="1"/>
  <c r="G32" i="2"/>
  <c r="G7" i="12" s="1"/>
  <c r="H57" i="7"/>
  <c r="I56" i="7"/>
  <c r="F6" i="6"/>
  <c r="F76" i="7"/>
  <c r="I55" i="7"/>
  <c r="H62" i="7"/>
  <c r="I16" i="7"/>
  <c r="I68" i="7" s="1"/>
  <c r="H67" i="7"/>
  <c r="E9" i="6"/>
  <c r="J7" i="7"/>
  <c r="I48" i="7"/>
  <c r="I49" i="7"/>
  <c r="I50" i="7"/>
  <c r="H61" i="7"/>
  <c r="I63" i="7"/>
  <c r="I61" i="7"/>
  <c r="I67" i="7"/>
  <c r="I62" i="7"/>
  <c r="H68" i="7"/>
  <c r="H51" i="7"/>
  <c r="H63" i="7"/>
  <c r="H75" i="7" s="1"/>
  <c r="H8" i="6" s="1"/>
  <c r="H14" i="6" s="1"/>
  <c r="G70" i="7"/>
  <c r="G73" i="7"/>
  <c r="M27" i="7"/>
  <c r="L30" i="7"/>
  <c r="M34" i="7"/>
  <c r="L37" i="7"/>
  <c r="M41" i="7"/>
  <c r="M35" i="7"/>
  <c r="N35" i="7" s="1"/>
  <c r="M42" i="7"/>
  <c r="N42" i="7" s="1"/>
  <c r="M29" i="7"/>
  <c r="M36" i="7"/>
  <c r="M40" i="7"/>
  <c r="L43" i="7"/>
  <c r="M21" i="7"/>
  <c r="M24" i="7" s="1"/>
  <c r="L24" i="7"/>
  <c r="N3" i="7"/>
  <c r="N28" i="7" s="1"/>
  <c r="M20" i="7"/>
  <c r="J12" i="7"/>
  <c r="J56" i="7" s="1"/>
  <c r="J11" i="7"/>
  <c r="K6" i="7"/>
  <c r="M4" i="7"/>
  <c r="L5" i="7"/>
  <c r="I64" i="7" l="1"/>
  <c r="H74" i="7"/>
  <c r="H7" i="6" s="1"/>
  <c r="H13" i="6" s="1"/>
  <c r="H70" i="7"/>
  <c r="I57" i="7"/>
  <c r="I69" i="7"/>
  <c r="I70" i="7" s="1"/>
  <c r="J55" i="7"/>
  <c r="I74" i="7"/>
  <c r="I7" i="6" s="1"/>
  <c r="I13" i="6" s="1"/>
  <c r="F9" i="6"/>
  <c r="F12" i="6"/>
  <c r="F16" i="6" s="1"/>
  <c r="G6" i="6"/>
  <c r="G76" i="7"/>
  <c r="I73" i="7"/>
  <c r="I51" i="7"/>
  <c r="J54" i="7"/>
  <c r="J57" i="7" s="1"/>
  <c r="H73" i="7"/>
  <c r="J48" i="7"/>
  <c r="J49" i="7"/>
  <c r="J50" i="7"/>
  <c r="H64" i="7"/>
  <c r="J63" i="7"/>
  <c r="J61" i="7"/>
  <c r="J15" i="7"/>
  <c r="J62" i="7" s="1"/>
  <c r="J16" i="7"/>
  <c r="J69" i="7" s="1"/>
  <c r="E28" i="6"/>
  <c r="E27" i="6"/>
  <c r="E20" i="6"/>
  <c r="E21" i="6"/>
  <c r="N41" i="7"/>
  <c r="N34" i="7"/>
  <c r="M37" i="7"/>
  <c r="N36" i="7"/>
  <c r="O36" i="7" s="1"/>
  <c r="N27" i="7"/>
  <c r="M30" i="7"/>
  <c r="N40" i="7"/>
  <c r="M43" i="7"/>
  <c r="N29" i="7"/>
  <c r="O3" i="7"/>
  <c r="O28" i="7" s="1"/>
  <c r="N20" i="7"/>
  <c r="N22" i="7"/>
  <c r="O22" i="7" s="1"/>
  <c r="N21" i="7"/>
  <c r="N23" i="7"/>
  <c r="K12" i="7"/>
  <c r="K56" i="7" s="1"/>
  <c r="K7" i="7"/>
  <c r="K11" i="7"/>
  <c r="L6" i="7"/>
  <c r="N4" i="7"/>
  <c r="M5" i="7"/>
  <c r="I75" i="7" l="1"/>
  <c r="I8" i="6" s="1"/>
  <c r="I14" i="6"/>
  <c r="J68" i="7"/>
  <c r="J74" i="7" s="1"/>
  <c r="J7" i="6" s="1"/>
  <c r="J13" i="6" s="1"/>
  <c r="J64" i="7"/>
  <c r="J67" i="7"/>
  <c r="J70" i="7" s="1"/>
  <c r="E29" i="6"/>
  <c r="G12" i="6"/>
  <c r="G9" i="6"/>
  <c r="I6" i="6"/>
  <c r="I76" i="7"/>
  <c r="J51" i="7"/>
  <c r="H6" i="6"/>
  <c r="H76" i="7"/>
  <c r="K55" i="7"/>
  <c r="K15" i="7"/>
  <c r="K63" i="7" s="1"/>
  <c r="F28" i="6"/>
  <c r="F20" i="6"/>
  <c r="F21" i="6"/>
  <c r="F27" i="6"/>
  <c r="K54" i="7"/>
  <c r="L7" i="7"/>
  <c r="L15" i="7" s="1"/>
  <c r="L55" i="7"/>
  <c r="K50" i="7"/>
  <c r="K48" i="7"/>
  <c r="K49" i="7"/>
  <c r="J75" i="7"/>
  <c r="J8" i="6" s="1"/>
  <c r="J14" i="6" s="1"/>
  <c r="O42" i="7"/>
  <c r="O27" i="7"/>
  <c r="N30" i="7"/>
  <c r="O29" i="7"/>
  <c r="O41" i="7"/>
  <c r="O34" i="7"/>
  <c r="N37" i="7"/>
  <c r="O35" i="7"/>
  <c r="O40" i="7"/>
  <c r="N43" i="7"/>
  <c r="O23" i="7"/>
  <c r="O21" i="7"/>
  <c r="O24" i="7" s="1"/>
  <c r="N24" i="7"/>
  <c r="P3" i="7"/>
  <c r="P28" i="7" s="1"/>
  <c r="O20" i="7"/>
  <c r="K16" i="7"/>
  <c r="K67" i="7" s="1"/>
  <c r="L11" i="7"/>
  <c r="L12" i="7"/>
  <c r="L56" i="7" s="1"/>
  <c r="M6" i="7"/>
  <c r="O4" i="7"/>
  <c r="N5" i="7"/>
  <c r="G16" i="6" l="1"/>
  <c r="E31" i="6"/>
  <c r="E33" i="6" s="1"/>
  <c r="K68" i="7"/>
  <c r="J73" i="7"/>
  <c r="J76" i="7" s="1"/>
  <c r="K62" i="7"/>
  <c r="K74" i="7" s="1"/>
  <c r="K7" i="6" s="1"/>
  <c r="K61" i="7"/>
  <c r="K73" i="7" s="1"/>
  <c r="F29" i="6"/>
  <c r="I12" i="6"/>
  <c r="I16" i="6" s="1"/>
  <c r="I9" i="6"/>
  <c r="K51" i="7"/>
  <c r="G20" i="6"/>
  <c r="G28" i="6"/>
  <c r="G21" i="6"/>
  <c r="G27" i="6"/>
  <c r="L54" i="7"/>
  <c r="L57" i="7" s="1"/>
  <c r="L62" i="7"/>
  <c r="L67" i="7"/>
  <c r="L63" i="7"/>
  <c r="L61" i="7"/>
  <c r="L48" i="7"/>
  <c r="L49" i="7"/>
  <c r="L50" i="7"/>
  <c r="L16" i="7"/>
  <c r="L69" i="7" s="1"/>
  <c r="K57" i="7"/>
  <c r="K69" i="7"/>
  <c r="K70" i="7" s="1"/>
  <c r="H9" i="6"/>
  <c r="H12" i="6"/>
  <c r="H16" i="6" s="1"/>
  <c r="P34" i="7"/>
  <c r="O37" i="7"/>
  <c r="P40" i="7"/>
  <c r="O43" i="7"/>
  <c r="P41" i="7"/>
  <c r="P35" i="7"/>
  <c r="Q35" i="7" s="1"/>
  <c r="P29" i="7"/>
  <c r="Q29" i="7" s="1"/>
  <c r="P36" i="7"/>
  <c r="P42" i="7"/>
  <c r="P27" i="7"/>
  <c r="O30" i="7"/>
  <c r="Q3" i="7"/>
  <c r="Q28" i="7" s="1"/>
  <c r="P20" i="7"/>
  <c r="P22" i="7"/>
  <c r="Q22" i="7" s="1"/>
  <c r="P23" i="7"/>
  <c r="Q23" i="7" s="1"/>
  <c r="P21" i="7"/>
  <c r="M12" i="7"/>
  <c r="M54" i="7" s="1"/>
  <c r="M11" i="7"/>
  <c r="M7" i="7"/>
  <c r="N6" i="7"/>
  <c r="P4" i="7"/>
  <c r="O5" i="7"/>
  <c r="L64" i="7" l="1"/>
  <c r="J6" i="6"/>
  <c r="J9" i="6" s="1"/>
  <c r="K64" i="7"/>
  <c r="K13" i="6"/>
  <c r="F31" i="6"/>
  <c r="F33" i="6" s="1"/>
  <c r="M56" i="7"/>
  <c r="H21" i="6"/>
  <c r="H28" i="6"/>
  <c r="H27" i="6"/>
  <c r="H20" i="6"/>
  <c r="L68" i="7"/>
  <c r="L74" i="7" s="1"/>
  <c r="L7" i="6" s="1"/>
  <c r="L13" i="6" s="1"/>
  <c r="I21" i="6"/>
  <c r="I27" i="6"/>
  <c r="I28" i="6"/>
  <c r="I20" i="6"/>
  <c r="K6" i="6"/>
  <c r="J12" i="6"/>
  <c r="L75" i="7"/>
  <c r="L8" i="6" s="1"/>
  <c r="L14" i="6" s="1"/>
  <c r="K75" i="7"/>
  <c r="K8" i="6" s="1"/>
  <c r="M15" i="7"/>
  <c r="M62" i="7" s="1"/>
  <c r="M48" i="7"/>
  <c r="M50" i="7"/>
  <c r="M49" i="7"/>
  <c r="L51" i="7"/>
  <c r="L73" i="7"/>
  <c r="M55" i="7"/>
  <c r="G29" i="6"/>
  <c r="Q41" i="7"/>
  <c r="Q40" i="7"/>
  <c r="P43" i="7"/>
  <c r="Q27" i="7"/>
  <c r="P30" i="7"/>
  <c r="Q34" i="7"/>
  <c r="P37" i="7"/>
  <c r="Q42" i="7"/>
  <c r="Q36" i="7"/>
  <c r="Q21" i="7"/>
  <c r="Q24" i="7" s="1"/>
  <c r="P24" i="7"/>
  <c r="R3" i="7"/>
  <c r="R22" i="7" s="1"/>
  <c r="Q20" i="7"/>
  <c r="N11" i="7"/>
  <c r="M16" i="7"/>
  <c r="M69" i="7" s="1"/>
  <c r="N12" i="7"/>
  <c r="N54" i="7" s="1"/>
  <c r="N7" i="7"/>
  <c r="O6" i="7"/>
  <c r="Q4" i="7"/>
  <c r="P5" i="7"/>
  <c r="H29" i="6" l="1"/>
  <c r="H31" i="6" s="1"/>
  <c r="H33" i="6" s="1"/>
  <c r="K14" i="6"/>
  <c r="M57" i="7"/>
  <c r="K76" i="7"/>
  <c r="J16" i="6"/>
  <c r="G31" i="6"/>
  <c r="G33" i="6" s="1"/>
  <c r="L70" i="7"/>
  <c r="M61" i="7"/>
  <c r="N56" i="7"/>
  <c r="J27" i="6"/>
  <c r="J28" i="6"/>
  <c r="J21" i="6"/>
  <c r="J20" i="6"/>
  <c r="N15" i="7"/>
  <c r="N63" i="7" s="1"/>
  <c r="N62" i="7"/>
  <c r="N61" i="7"/>
  <c r="M63" i="7"/>
  <c r="M75" i="7" s="1"/>
  <c r="M8" i="6" s="1"/>
  <c r="M14" i="6" s="1"/>
  <c r="N55" i="7"/>
  <c r="K12" i="6"/>
  <c r="K9" i="6"/>
  <c r="M68" i="7"/>
  <c r="M74" i="7" s="1"/>
  <c r="M7" i="6" s="1"/>
  <c r="M13" i="6" s="1"/>
  <c r="I29" i="6"/>
  <c r="M67" i="7"/>
  <c r="M73" i="7"/>
  <c r="M51" i="7"/>
  <c r="N50" i="7"/>
  <c r="N48" i="7"/>
  <c r="N49" i="7"/>
  <c r="L6" i="6"/>
  <c r="L76" i="7"/>
  <c r="R27" i="7"/>
  <c r="Q30" i="7"/>
  <c r="R34" i="7"/>
  <c r="Q37" i="7"/>
  <c r="R36" i="7"/>
  <c r="S36" i="7" s="1"/>
  <c r="R40" i="7"/>
  <c r="Q43" i="7"/>
  <c r="R35" i="7"/>
  <c r="S35" i="7" s="1"/>
  <c r="R41" i="7"/>
  <c r="R42" i="7"/>
  <c r="R29" i="7"/>
  <c r="R28" i="7"/>
  <c r="S3" i="7"/>
  <c r="R20" i="7"/>
  <c r="R21" i="7"/>
  <c r="R23" i="7"/>
  <c r="S23" i="7" s="1"/>
  <c r="N16" i="7"/>
  <c r="N68" i="7" s="1"/>
  <c r="O12" i="7"/>
  <c r="O54" i="7" s="1"/>
  <c r="O11" i="7"/>
  <c r="O7" i="7"/>
  <c r="P6" i="7"/>
  <c r="R4" i="7"/>
  <c r="Q5" i="7"/>
  <c r="K16" i="6" l="1"/>
  <c r="N57" i="7"/>
  <c r="J29" i="6"/>
  <c r="J31" i="6" s="1"/>
  <c r="J33" i="6" s="1"/>
  <c r="I31" i="6"/>
  <c r="I33" i="6" s="1"/>
  <c r="O55" i="7"/>
  <c r="M64" i="7"/>
  <c r="N69" i="7"/>
  <c r="N75" i="7" s="1"/>
  <c r="N8" i="6" s="1"/>
  <c r="N14" i="6" s="1"/>
  <c r="N74" i="7"/>
  <c r="N7" i="6" s="1"/>
  <c r="N13" i="6" s="1"/>
  <c r="N67" i="7"/>
  <c r="N73" i="7" s="1"/>
  <c r="L12" i="6"/>
  <c r="L9" i="6"/>
  <c r="P7" i="7"/>
  <c r="O15" i="7"/>
  <c r="O62" i="7" s="1"/>
  <c r="K20" i="6"/>
  <c r="K28" i="6"/>
  <c r="K21" i="6"/>
  <c r="K27" i="6"/>
  <c r="N51" i="7"/>
  <c r="N64" i="7"/>
  <c r="O49" i="7"/>
  <c r="O50" i="7"/>
  <c r="O48" i="7"/>
  <c r="M6" i="6"/>
  <c r="M76" i="7"/>
  <c r="O56" i="7"/>
  <c r="M70" i="7"/>
  <c r="S40" i="7"/>
  <c r="R43" i="7"/>
  <c r="S34" i="7"/>
  <c r="R37" i="7"/>
  <c r="S42" i="7"/>
  <c r="S28" i="7"/>
  <c r="T28" i="7" s="1"/>
  <c r="S29" i="7"/>
  <c r="S41" i="7"/>
  <c r="S27" i="7"/>
  <c r="R30" i="7"/>
  <c r="S21" i="7"/>
  <c r="R24" i="7"/>
  <c r="T3" i="7"/>
  <c r="T35" i="7" s="1"/>
  <c r="S20" i="7"/>
  <c r="S22" i="7"/>
  <c r="P11" i="7"/>
  <c r="P15" i="7"/>
  <c r="P12" i="7"/>
  <c r="P56" i="7" s="1"/>
  <c r="O16" i="7"/>
  <c r="P16" i="7" s="1"/>
  <c r="Q6" i="7"/>
  <c r="S4" i="7"/>
  <c r="R5" i="7"/>
  <c r="O57" i="7" l="1"/>
  <c r="L16" i="6"/>
  <c r="N70" i="7"/>
  <c r="P49" i="7"/>
  <c r="P50" i="7"/>
  <c r="P48" i="7"/>
  <c r="O67" i="7"/>
  <c r="P54" i="7"/>
  <c r="P57" i="7" s="1"/>
  <c r="K29" i="6"/>
  <c r="N76" i="7"/>
  <c r="N6" i="6"/>
  <c r="O68" i="7"/>
  <c r="O74" i="7" s="1"/>
  <c r="O7" i="6" s="1"/>
  <c r="O13" i="6" s="1"/>
  <c r="P55" i="7"/>
  <c r="O61" i="7"/>
  <c r="P61" i="7"/>
  <c r="P69" i="7"/>
  <c r="P62" i="7"/>
  <c r="P63" i="7"/>
  <c r="P67" i="7"/>
  <c r="P68" i="7"/>
  <c r="M9" i="6"/>
  <c r="M12" i="6"/>
  <c r="M16" i="6" s="1"/>
  <c r="O63" i="7"/>
  <c r="O51" i="7"/>
  <c r="O69" i="7"/>
  <c r="L20" i="6"/>
  <c r="L28" i="6"/>
  <c r="L21" i="6"/>
  <c r="L27" i="6"/>
  <c r="T42" i="7"/>
  <c r="T36" i="7"/>
  <c r="T27" i="7"/>
  <c r="S30" i="7"/>
  <c r="T41" i="7"/>
  <c r="T40" i="7"/>
  <c r="S43" i="7"/>
  <c r="T34" i="7"/>
  <c r="S37" i="7"/>
  <c r="T22" i="7"/>
  <c r="T29" i="7"/>
  <c r="S24" i="7"/>
  <c r="U3" i="7"/>
  <c r="U35" i="7" s="1"/>
  <c r="T20" i="7"/>
  <c r="T21" i="7"/>
  <c r="T23" i="7"/>
  <c r="Q11" i="7"/>
  <c r="Q12" i="7"/>
  <c r="Q55" i="7" s="1"/>
  <c r="Q7" i="7"/>
  <c r="R6" i="7"/>
  <c r="T4" i="7"/>
  <c r="S5" i="7"/>
  <c r="O75" i="7" l="1"/>
  <c r="O8" i="6" s="1"/>
  <c r="O14" i="6" s="1"/>
  <c r="O70" i="7"/>
  <c r="K31" i="6"/>
  <c r="K33" i="6" s="1"/>
  <c r="Q56" i="7"/>
  <c r="Q54" i="7"/>
  <c r="P64" i="7"/>
  <c r="Q15" i="7"/>
  <c r="Q62" i="7" s="1"/>
  <c r="Q61" i="7"/>
  <c r="Q67" i="7"/>
  <c r="P73" i="7"/>
  <c r="P51" i="7"/>
  <c r="M28" i="6"/>
  <c r="M21" i="6"/>
  <c r="M27" i="6"/>
  <c r="M20" i="6"/>
  <c r="P75" i="7"/>
  <c r="P8" i="6" s="1"/>
  <c r="P14" i="6" s="1"/>
  <c r="O64" i="7"/>
  <c r="P74" i="7"/>
  <c r="P7" i="6" s="1"/>
  <c r="P13" i="6" s="1"/>
  <c r="L29" i="6"/>
  <c r="Q50" i="7"/>
  <c r="Q49" i="7"/>
  <c r="Q48" i="7"/>
  <c r="O73" i="7"/>
  <c r="P70" i="7"/>
  <c r="N12" i="6"/>
  <c r="N16" i="6" s="1"/>
  <c r="N9" i="6"/>
  <c r="U29" i="7"/>
  <c r="U27" i="7"/>
  <c r="T30" i="7"/>
  <c r="U36" i="7"/>
  <c r="U40" i="7"/>
  <c r="T43" i="7"/>
  <c r="U34" i="7"/>
  <c r="T37" i="7"/>
  <c r="U42" i="7"/>
  <c r="U41" i="7"/>
  <c r="U23" i="7"/>
  <c r="U28" i="7"/>
  <c r="U21" i="7"/>
  <c r="T24" i="7"/>
  <c r="V3" i="7"/>
  <c r="V35" i="7" s="1"/>
  <c r="U20" i="7"/>
  <c r="U22" i="7"/>
  <c r="R11" i="7"/>
  <c r="R7" i="7"/>
  <c r="R12" i="7"/>
  <c r="R54" i="7" s="1"/>
  <c r="Q16" i="7"/>
  <c r="Q69" i="7" s="1"/>
  <c r="S6" i="7"/>
  <c r="U4" i="7"/>
  <c r="T5" i="7"/>
  <c r="Q57" i="7" l="1"/>
  <c r="E17" i="3"/>
  <c r="E16" i="11" s="1"/>
  <c r="E9" i="3"/>
  <c r="E36" i="11" s="1"/>
  <c r="E8" i="3"/>
  <c r="E35" i="11" s="1"/>
  <c r="E16" i="3"/>
  <c r="E15" i="11" s="1"/>
  <c r="L31" i="6"/>
  <c r="L33" i="6" s="1"/>
  <c r="Q68" i="7"/>
  <c r="Q70" i="7" s="1"/>
  <c r="R55" i="7"/>
  <c r="R15" i="7"/>
  <c r="R63" i="7" s="1"/>
  <c r="R62" i="7"/>
  <c r="R61" i="7"/>
  <c r="R69" i="7"/>
  <c r="N28" i="6"/>
  <c r="N21" i="6"/>
  <c r="N27" i="6"/>
  <c r="N20" i="6"/>
  <c r="R49" i="7"/>
  <c r="R50" i="7"/>
  <c r="R48" i="7"/>
  <c r="Q63" i="7"/>
  <c r="Q64" i="7" s="1"/>
  <c r="R56" i="7"/>
  <c r="R57" i="7" s="1"/>
  <c r="O6" i="6"/>
  <c r="O76" i="7"/>
  <c r="P76" i="7"/>
  <c r="P6" i="6"/>
  <c r="M29" i="6"/>
  <c r="Q73" i="7"/>
  <c r="Q51" i="7"/>
  <c r="V34" i="7"/>
  <c r="U37" i="7"/>
  <c r="V28" i="7"/>
  <c r="V27" i="7"/>
  <c r="U30" i="7"/>
  <c r="V36" i="7"/>
  <c r="V22" i="7"/>
  <c r="V41" i="7"/>
  <c r="V23" i="7"/>
  <c r="V42" i="7"/>
  <c r="V29" i="7"/>
  <c r="V40" i="7"/>
  <c r="U43" i="7"/>
  <c r="U24" i="7"/>
  <c r="W3" i="7"/>
  <c r="W35" i="7" s="1"/>
  <c r="V20" i="7"/>
  <c r="V21" i="7"/>
  <c r="S11" i="7"/>
  <c r="R16" i="7"/>
  <c r="R67" i="7" s="1"/>
  <c r="S12" i="7"/>
  <c r="S56" i="7" s="1"/>
  <c r="S7" i="7"/>
  <c r="T6" i="7"/>
  <c r="V4" i="7"/>
  <c r="U5" i="7"/>
  <c r="Q75" i="7" l="1"/>
  <c r="Q8" i="6" s="1"/>
  <c r="Q14" i="6" s="1"/>
  <c r="N29" i="6"/>
  <c r="N31" i="6" s="1"/>
  <c r="Q74" i="7"/>
  <c r="Q7" i="6" s="1"/>
  <c r="N33" i="6"/>
  <c r="M31" i="6"/>
  <c r="M33" i="6" s="1"/>
  <c r="R68" i="7"/>
  <c r="R70" i="7" s="1"/>
  <c r="R75" i="7"/>
  <c r="R8" i="6" s="1"/>
  <c r="R14" i="6" s="1"/>
  <c r="P12" i="6"/>
  <c r="P9" i="6"/>
  <c r="S55" i="7"/>
  <c r="R64" i="7"/>
  <c r="R51" i="7"/>
  <c r="R73" i="7"/>
  <c r="Q6" i="6"/>
  <c r="Q76" i="7"/>
  <c r="O12" i="6"/>
  <c r="O16" i="6" s="1"/>
  <c r="O9" i="6"/>
  <c r="S54" i="7"/>
  <c r="S48" i="7"/>
  <c r="S49" i="7"/>
  <c r="S50" i="7"/>
  <c r="W40" i="7"/>
  <c r="V43" i="7"/>
  <c r="W29" i="7"/>
  <c r="W36" i="7"/>
  <c r="W42" i="7"/>
  <c r="W34" i="7"/>
  <c r="V37" i="7"/>
  <c r="W27" i="7"/>
  <c r="V30" i="7"/>
  <c r="W28" i="7"/>
  <c r="W22" i="7"/>
  <c r="W41" i="7"/>
  <c r="W21" i="7"/>
  <c r="V24" i="7"/>
  <c r="X3" i="7"/>
  <c r="X35" i="7" s="1"/>
  <c r="W20" i="7"/>
  <c r="W23" i="7"/>
  <c r="T11" i="7"/>
  <c r="S16" i="7"/>
  <c r="S69" i="7" s="1"/>
  <c r="T7" i="7"/>
  <c r="S15" i="7"/>
  <c r="S62" i="7" s="1"/>
  <c r="T12" i="7"/>
  <c r="T55" i="7" s="1"/>
  <c r="U6" i="7"/>
  <c r="W4" i="7"/>
  <c r="V5" i="7"/>
  <c r="R74" i="7" l="1"/>
  <c r="R7" i="6" s="1"/>
  <c r="R13" i="6" s="1"/>
  <c r="Q13" i="6"/>
  <c r="P16" i="6"/>
  <c r="E15" i="3"/>
  <c r="E14" i="11" s="1"/>
  <c r="E7" i="3"/>
  <c r="S68" i="7"/>
  <c r="S74" i="7" s="1"/>
  <c r="S7" i="6" s="1"/>
  <c r="S67" i="7"/>
  <c r="S70" i="7" s="1"/>
  <c r="S57" i="7"/>
  <c r="T56" i="7"/>
  <c r="R6" i="6"/>
  <c r="S61" i="7"/>
  <c r="T54" i="7"/>
  <c r="S63" i="7"/>
  <c r="S75" i="7" s="1"/>
  <c r="S8" i="6" s="1"/>
  <c r="S14" i="6" s="1"/>
  <c r="T50" i="7"/>
  <c r="T48" i="7"/>
  <c r="T49" i="7"/>
  <c r="Q12" i="6"/>
  <c r="Q9" i="6"/>
  <c r="S51" i="7"/>
  <c r="O27" i="6"/>
  <c r="O28" i="6"/>
  <c r="O20" i="6"/>
  <c r="O21" i="6"/>
  <c r="P21" i="6"/>
  <c r="P28" i="6"/>
  <c r="P20" i="6"/>
  <c r="P27" i="6"/>
  <c r="X36" i="7"/>
  <c r="X34" i="7"/>
  <c r="W37" i="7"/>
  <c r="X29" i="7"/>
  <c r="X42" i="7"/>
  <c r="X40" i="7"/>
  <c r="W43" i="7"/>
  <c r="X41" i="7"/>
  <c r="X28" i="7"/>
  <c r="X23" i="7"/>
  <c r="X27" i="7"/>
  <c r="W30" i="7"/>
  <c r="T15" i="7"/>
  <c r="T62" i="7" s="1"/>
  <c r="W24" i="7"/>
  <c r="Y3" i="7"/>
  <c r="Y35" i="7" s="1"/>
  <c r="X20" i="7"/>
  <c r="X22" i="7"/>
  <c r="X21" i="7"/>
  <c r="U11" i="7"/>
  <c r="T16" i="7"/>
  <c r="T67" i="7" s="1"/>
  <c r="U12" i="7"/>
  <c r="U55" i="7" s="1"/>
  <c r="U7" i="7"/>
  <c r="V6" i="7"/>
  <c r="X4" i="7"/>
  <c r="W5" i="7"/>
  <c r="R76" i="7" l="1"/>
  <c r="S13" i="6"/>
  <c r="S73" i="7"/>
  <c r="S6" i="6" s="1"/>
  <c r="E34" i="11"/>
  <c r="E10" i="3"/>
  <c r="Q16" i="6"/>
  <c r="T63" i="7"/>
  <c r="T61" i="7"/>
  <c r="T73" i="7" s="1"/>
  <c r="T68" i="7"/>
  <c r="S76" i="7"/>
  <c r="O29" i="6"/>
  <c r="T57" i="7"/>
  <c r="T69" i="7"/>
  <c r="U50" i="7"/>
  <c r="U49" i="7"/>
  <c r="U48" i="7"/>
  <c r="S64" i="7"/>
  <c r="U56" i="7"/>
  <c r="T51" i="7"/>
  <c r="Q21" i="6"/>
  <c r="Q27" i="6"/>
  <c r="Q28" i="6"/>
  <c r="Q20" i="6"/>
  <c r="U54" i="7"/>
  <c r="U67" i="7"/>
  <c r="U68" i="7"/>
  <c r="P29" i="6"/>
  <c r="R12" i="6"/>
  <c r="R16" i="6" s="1"/>
  <c r="R9" i="6"/>
  <c r="Y29" i="7"/>
  <c r="Y27" i="7"/>
  <c r="X30" i="7"/>
  <c r="Y40" i="7"/>
  <c r="X43" i="7"/>
  <c r="Y34" i="7"/>
  <c r="X37" i="7"/>
  <c r="Y42" i="7"/>
  <c r="Y22" i="7"/>
  <c r="Y28" i="7"/>
  <c r="Y36" i="7"/>
  <c r="Y41" i="7"/>
  <c r="Y21" i="7"/>
  <c r="X24" i="7"/>
  <c r="Z3" i="7"/>
  <c r="Z21" i="7" s="1"/>
  <c r="Y20" i="7"/>
  <c r="Y23" i="7"/>
  <c r="U16" i="7"/>
  <c r="U69" i="7" s="1"/>
  <c r="V11" i="7"/>
  <c r="U15" i="7"/>
  <c r="U61" i="7" s="1"/>
  <c r="V12" i="7"/>
  <c r="V55" i="7" s="1"/>
  <c r="V7" i="7"/>
  <c r="W6" i="7"/>
  <c r="Y4" i="7"/>
  <c r="X5" i="7"/>
  <c r="T70" i="7" l="1"/>
  <c r="E13" i="3"/>
  <c r="P31" i="6"/>
  <c r="P33" i="6" s="1"/>
  <c r="E29" i="2"/>
  <c r="O31" i="6"/>
  <c r="O33" i="6" s="1"/>
  <c r="V56" i="7"/>
  <c r="U57" i="7"/>
  <c r="T74" i="7"/>
  <c r="T7" i="6" s="1"/>
  <c r="T75" i="7"/>
  <c r="T8" i="6" s="1"/>
  <c r="V48" i="7"/>
  <c r="V49" i="7"/>
  <c r="V50" i="7"/>
  <c r="S9" i="6"/>
  <c r="S12" i="6"/>
  <c r="U62" i="7"/>
  <c r="U73" i="7"/>
  <c r="U51" i="7"/>
  <c r="T64" i="7"/>
  <c r="U70" i="7"/>
  <c r="U63" i="7"/>
  <c r="U75" i="7" s="1"/>
  <c r="U8" i="6" s="1"/>
  <c r="U14" i="6" s="1"/>
  <c r="Q29" i="6"/>
  <c r="V54" i="7"/>
  <c r="V57" i="7" s="1"/>
  <c r="R27" i="6"/>
  <c r="R21" i="6"/>
  <c r="R20" i="6"/>
  <c r="R28" i="6"/>
  <c r="T6" i="6"/>
  <c r="W56" i="7"/>
  <c r="Z36" i="7"/>
  <c r="Z40" i="7"/>
  <c r="Y43" i="7"/>
  <c r="Z27" i="7"/>
  <c r="Y30" i="7"/>
  <c r="Z28" i="7"/>
  <c r="Z23" i="7"/>
  <c r="Z29" i="7"/>
  <c r="Z34" i="7"/>
  <c r="Y37" i="7"/>
  <c r="Z41" i="7"/>
  <c r="Z42" i="7"/>
  <c r="Z35" i="7"/>
  <c r="Y24" i="7"/>
  <c r="V16" i="7"/>
  <c r="V67" i="7" s="1"/>
  <c r="AA3" i="7"/>
  <c r="Z20" i="7"/>
  <c r="Z22" i="7"/>
  <c r="W11" i="7"/>
  <c r="W12" i="7"/>
  <c r="W54" i="7" s="1"/>
  <c r="V15" i="7"/>
  <c r="V61" i="7" s="1"/>
  <c r="W7" i="7"/>
  <c r="X6" i="7"/>
  <c r="Z4" i="7"/>
  <c r="Y5" i="7"/>
  <c r="T13" i="6" l="1"/>
  <c r="T14" i="6"/>
  <c r="S16" i="6"/>
  <c r="T76" i="7"/>
  <c r="Q31" i="6"/>
  <c r="Q33" i="6" s="1"/>
  <c r="E12" i="11"/>
  <c r="E18" i="11" s="1"/>
  <c r="E18" i="3"/>
  <c r="E21" i="3" s="1"/>
  <c r="E22" i="3" s="1"/>
  <c r="E9" i="12" s="1"/>
  <c r="U64" i="7"/>
  <c r="V63" i="7"/>
  <c r="V68" i="7"/>
  <c r="S20" i="6"/>
  <c r="S27" i="6"/>
  <c r="S21" i="6"/>
  <c r="S28" i="6"/>
  <c r="V69" i="7"/>
  <c r="U6" i="6"/>
  <c r="T9" i="6"/>
  <c r="T12" i="6"/>
  <c r="V62" i="7"/>
  <c r="W49" i="7"/>
  <c r="W50" i="7"/>
  <c r="W48" i="7"/>
  <c r="V73" i="7"/>
  <c r="V51" i="7"/>
  <c r="R29" i="6"/>
  <c r="W55" i="7"/>
  <c r="W57" i="7" s="1"/>
  <c r="U74" i="7"/>
  <c r="U7" i="6" s="1"/>
  <c r="U13" i="6" s="1"/>
  <c r="AA42" i="7"/>
  <c r="AA27" i="7"/>
  <c r="Z30" i="7"/>
  <c r="AA41" i="7"/>
  <c r="AA22" i="7"/>
  <c r="AA40" i="7"/>
  <c r="Z43" i="7"/>
  <c r="AA29" i="7"/>
  <c r="AB29" i="7" s="1"/>
  <c r="AA28" i="7"/>
  <c r="AA35" i="7"/>
  <c r="AA34" i="7"/>
  <c r="Z37" i="7"/>
  <c r="AA36" i="7"/>
  <c r="W16" i="7"/>
  <c r="W69" i="7" s="1"/>
  <c r="Z24" i="7"/>
  <c r="AB3" i="7"/>
  <c r="AB22" i="7" s="1"/>
  <c r="AA20" i="7"/>
  <c r="AA23" i="7"/>
  <c r="AA21" i="7"/>
  <c r="X11" i="7"/>
  <c r="W15" i="7"/>
  <c r="W63" i="7" s="1"/>
  <c r="X7" i="7"/>
  <c r="X12" i="7"/>
  <c r="X54" i="7" s="1"/>
  <c r="Y6" i="7"/>
  <c r="AA4" i="7"/>
  <c r="Z5" i="7"/>
  <c r="T16" i="6" l="1"/>
  <c r="V75" i="7"/>
  <c r="V8" i="6" s="1"/>
  <c r="V64" i="7"/>
  <c r="R31" i="6"/>
  <c r="R33" i="6" s="1"/>
  <c r="S29" i="6"/>
  <c r="V70" i="7"/>
  <c r="U76" i="7"/>
  <c r="X16" i="7"/>
  <c r="X69" i="7"/>
  <c r="X67" i="7"/>
  <c r="X68" i="7"/>
  <c r="U9" i="6"/>
  <c r="U12" i="6"/>
  <c r="U16" i="6" s="1"/>
  <c r="W62" i="7"/>
  <c r="V74" i="7"/>
  <c r="V7" i="6" s="1"/>
  <c r="V13" i="6" s="1"/>
  <c r="X50" i="7"/>
  <c r="X49" i="7"/>
  <c r="X48" i="7"/>
  <c r="W67" i="7"/>
  <c r="W75" i="7"/>
  <c r="W8" i="6" s="1"/>
  <c r="W14" i="6" s="1"/>
  <c r="X56" i="7"/>
  <c r="V6" i="6"/>
  <c r="W68" i="7"/>
  <c r="X55" i="7"/>
  <c r="X57" i="7" s="1"/>
  <c r="W61" i="7"/>
  <c r="W51" i="7"/>
  <c r="T20" i="6"/>
  <c r="T28" i="6"/>
  <c r="T21" i="6"/>
  <c r="T27" i="6"/>
  <c r="AB40" i="7"/>
  <c r="AA43" i="7"/>
  <c r="AB41" i="7"/>
  <c r="AB36" i="7"/>
  <c r="AB34" i="7"/>
  <c r="AA37" i="7"/>
  <c r="AB23" i="7"/>
  <c r="AB35" i="7"/>
  <c r="AB27" i="7"/>
  <c r="AA30" i="7"/>
  <c r="AB28" i="7"/>
  <c r="AB42" i="7"/>
  <c r="AB21" i="7"/>
  <c r="AA24" i="7"/>
  <c r="AC3" i="7"/>
  <c r="AC21" i="7" s="1"/>
  <c r="AB20" i="7"/>
  <c r="Y11" i="7"/>
  <c r="X15" i="7"/>
  <c r="X62" i="7" s="1"/>
  <c r="Y12" i="7"/>
  <c r="Y54" i="7" s="1"/>
  <c r="Y7" i="7"/>
  <c r="Z6" i="7"/>
  <c r="AB4" i="7"/>
  <c r="AA5" i="7"/>
  <c r="W74" i="7" l="1"/>
  <c r="W7" i="6" s="1"/>
  <c r="W13" i="6" s="1"/>
  <c r="V14" i="6"/>
  <c r="W64" i="7"/>
  <c r="W70" i="7"/>
  <c r="S31" i="6"/>
  <c r="S33" i="6" s="1"/>
  <c r="X61" i="7"/>
  <c r="X73" i="7" s="1"/>
  <c r="V76" i="7"/>
  <c r="X74" i="7"/>
  <c r="X7" i="6" s="1"/>
  <c r="X13" i="6" s="1"/>
  <c r="X63" i="7"/>
  <c r="X75" i="7" s="1"/>
  <c r="X8" i="6" s="1"/>
  <c r="X14" i="6" s="1"/>
  <c r="X51" i="7"/>
  <c r="X70" i="7"/>
  <c r="Z56" i="7"/>
  <c r="Y56" i="7"/>
  <c r="Y55" i="7"/>
  <c r="T29" i="6"/>
  <c r="Y48" i="7"/>
  <c r="Y49" i="7"/>
  <c r="Y50" i="7"/>
  <c r="V9" i="6"/>
  <c r="V12" i="6"/>
  <c r="W73" i="7"/>
  <c r="U28" i="6"/>
  <c r="U21" i="6"/>
  <c r="U27" i="6"/>
  <c r="U20" i="6"/>
  <c r="AC34" i="7"/>
  <c r="AB37" i="7"/>
  <c r="AC41" i="7"/>
  <c r="AC42" i="7"/>
  <c r="AC23" i="7"/>
  <c r="AC27" i="7"/>
  <c r="AB30" i="7"/>
  <c r="AB24" i="7"/>
  <c r="AC36" i="7"/>
  <c r="AC28" i="7"/>
  <c r="AC29" i="7"/>
  <c r="AC35" i="7"/>
  <c r="AC40" i="7"/>
  <c r="AB43" i="7"/>
  <c r="AD3" i="7"/>
  <c r="AC20" i="7"/>
  <c r="AC22" i="7"/>
  <c r="Z11" i="7"/>
  <c r="Y16" i="7"/>
  <c r="Y69" i="7" s="1"/>
  <c r="Y15" i="7"/>
  <c r="Y62" i="7" s="1"/>
  <c r="Z12" i="7"/>
  <c r="Z55" i="7" s="1"/>
  <c r="Z7" i="7"/>
  <c r="AA6" i="7"/>
  <c r="AC4" i="7"/>
  <c r="AB5" i="7"/>
  <c r="Y57" i="7" l="1"/>
  <c r="X64" i="7"/>
  <c r="V16" i="6"/>
  <c r="T31" i="6"/>
  <c r="T33" i="6" s="1"/>
  <c r="Y67" i="7"/>
  <c r="Y68" i="7"/>
  <c r="Y74" i="7" s="1"/>
  <c r="Y7" i="6" s="1"/>
  <c r="Y13" i="6" s="1"/>
  <c r="U29" i="6"/>
  <c r="Y61" i="7"/>
  <c r="Y73" i="7" s="1"/>
  <c r="V28" i="6"/>
  <c r="V21" i="6"/>
  <c r="V27" i="6"/>
  <c r="V20" i="6"/>
  <c r="Y51" i="7"/>
  <c r="Y63" i="7"/>
  <c r="Y75" i="7" s="1"/>
  <c r="Y8" i="6" s="1"/>
  <c r="Y14" i="6" s="1"/>
  <c r="X76" i="7"/>
  <c r="X6" i="6"/>
  <c r="W6" i="6"/>
  <c r="W76" i="7"/>
  <c r="Z54" i="7"/>
  <c r="Z57" i="7" s="1"/>
  <c r="Z49" i="7"/>
  <c r="Z50" i="7"/>
  <c r="Z48" i="7"/>
  <c r="AD27" i="7"/>
  <c r="AC30" i="7"/>
  <c r="AD42" i="7"/>
  <c r="AD41" i="7"/>
  <c r="AD40" i="7"/>
  <c r="AC43" i="7"/>
  <c r="AD35" i="7"/>
  <c r="AE35" i="7" s="1"/>
  <c r="AD29" i="7"/>
  <c r="AE29" i="7" s="1"/>
  <c r="AD28" i="7"/>
  <c r="AD22" i="7"/>
  <c r="AD36" i="7"/>
  <c r="AD34" i="7"/>
  <c r="AC37" i="7"/>
  <c r="AC24" i="7"/>
  <c r="AE3" i="7"/>
  <c r="AD20" i="7"/>
  <c r="AD23" i="7"/>
  <c r="AD21" i="7"/>
  <c r="AA11" i="7"/>
  <c r="AA12" i="7"/>
  <c r="AA55" i="7" s="1"/>
  <c r="Z15" i="7"/>
  <c r="Z63" i="7" s="1"/>
  <c r="Z16" i="7"/>
  <c r="Z68" i="7" s="1"/>
  <c r="AA7" i="7"/>
  <c r="AB6" i="7"/>
  <c r="AD4" i="7"/>
  <c r="AC5" i="7"/>
  <c r="Y70" i="7" l="1"/>
  <c r="V29" i="6"/>
  <c r="V31" i="6" s="1"/>
  <c r="V33" i="6" s="1"/>
  <c r="U31" i="6"/>
  <c r="U33" i="6" s="1"/>
  <c r="AA56" i="7"/>
  <c r="AA54" i="7"/>
  <c r="AA57" i="7" s="1"/>
  <c r="Z62" i="7"/>
  <c r="Z74" i="7" s="1"/>
  <c r="Z7" i="6" s="1"/>
  <c r="Z13" i="6" s="1"/>
  <c r="Z61" i="7"/>
  <c r="W9" i="6"/>
  <c r="W12" i="6"/>
  <c r="Z51" i="7"/>
  <c r="Y6" i="6"/>
  <c r="Y76" i="7"/>
  <c r="Z69" i="7"/>
  <c r="Z75" i="7" s="1"/>
  <c r="Z8" i="6" s="1"/>
  <c r="Z14" i="6" s="1"/>
  <c r="AA49" i="7"/>
  <c r="AA50" i="7"/>
  <c r="AA48" i="7"/>
  <c r="Y64" i="7"/>
  <c r="X9" i="6"/>
  <c r="X12" i="6"/>
  <c r="X16" i="6" s="1"/>
  <c r="Z67" i="7"/>
  <c r="AE41" i="7"/>
  <c r="AE40" i="7"/>
  <c r="AD43" i="7"/>
  <c r="AE42" i="7"/>
  <c r="AE34" i="7"/>
  <c r="AD37" i="7"/>
  <c r="AE36" i="7"/>
  <c r="AE23" i="7"/>
  <c r="AE28" i="7"/>
  <c r="AE27" i="7"/>
  <c r="AD30" i="7"/>
  <c r="AE21" i="7"/>
  <c r="AD24" i="7"/>
  <c r="AF3" i="7"/>
  <c r="AF29" i="7" s="1"/>
  <c r="AE20" i="7"/>
  <c r="AE22" i="7"/>
  <c r="AB11" i="7"/>
  <c r="AA15" i="7"/>
  <c r="AA61" i="7" s="1"/>
  <c r="AA16" i="7"/>
  <c r="AA69" i="7" s="1"/>
  <c r="AB12" i="7"/>
  <c r="AB54" i="7" s="1"/>
  <c r="AB7" i="7"/>
  <c r="AC6" i="7"/>
  <c r="AE4" i="7"/>
  <c r="AD5" i="7"/>
  <c r="Z64" i="7" l="1"/>
  <c r="W16" i="6"/>
  <c r="AA63" i="7"/>
  <c r="AA62" i="7"/>
  <c r="AA64" i="7" s="1"/>
  <c r="Z73" i="7"/>
  <c r="Z76" i="7"/>
  <c r="Z6" i="6"/>
  <c r="Y12" i="6"/>
  <c r="Y16" i="6" s="1"/>
  <c r="Y9" i="6"/>
  <c r="AA51" i="7"/>
  <c r="AB56" i="7"/>
  <c r="AA75" i="7"/>
  <c r="AA8" i="6" s="1"/>
  <c r="AA14" i="6" s="1"/>
  <c r="AB55" i="7"/>
  <c r="X21" i="6"/>
  <c r="X27" i="6"/>
  <c r="X20" i="6"/>
  <c r="X28" i="6"/>
  <c r="AA67" i="7"/>
  <c r="AB67" i="7"/>
  <c r="AA68" i="7"/>
  <c r="AA74" i="7" s="1"/>
  <c r="AA7" i="6" s="1"/>
  <c r="AA13" i="6" s="1"/>
  <c r="AB49" i="7"/>
  <c r="AB50" i="7"/>
  <c r="AB48" i="7"/>
  <c r="Z70" i="7"/>
  <c r="W21" i="6"/>
  <c r="W27" i="6"/>
  <c r="W20" i="6"/>
  <c r="W28" i="6"/>
  <c r="AF35" i="7"/>
  <c r="AF34" i="7"/>
  <c r="AE37" i="7"/>
  <c r="AF27" i="7"/>
  <c r="AE30" i="7"/>
  <c r="AF40" i="7"/>
  <c r="AE43" i="7"/>
  <c r="AF22" i="7"/>
  <c r="AF41" i="7"/>
  <c r="AF42" i="7"/>
  <c r="AF28" i="7"/>
  <c r="AF36" i="7"/>
  <c r="AE24" i="7"/>
  <c r="AB15" i="7"/>
  <c r="AB62" i="7" s="1"/>
  <c r="AG3" i="7"/>
  <c r="AG29" i="7" s="1"/>
  <c r="AF20" i="7"/>
  <c r="AF21" i="7"/>
  <c r="AF23" i="7"/>
  <c r="AC11" i="7"/>
  <c r="AC7" i="7"/>
  <c r="AB16" i="7"/>
  <c r="AB69" i="7" s="1"/>
  <c r="AC12" i="7"/>
  <c r="AC54" i="7" s="1"/>
  <c r="AD6" i="7"/>
  <c r="AF4" i="7"/>
  <c r="AE5" i="7"/>
  <c r="X29" i="6" l="1"/>
  <c r="X31" i="6" s="1"/>
  <c r="X33" i="6" s="1"/>
  <c r="AB57" i="7"/>
  <c r="AB61" i="7"/>
  <c r="AB73" i="7" s="1"/>
  <c r="AB68" i="7"/>
  <c r="AB70" i="7" s="1"/>
  <c r="AA70" i="7"/>
  <c r="AC49" i="7"/>
  <c r="AC48" i="7"/>
  <c r="AC50" i="7"/>
  <c r="AB51" i="7"/>
  <c r="AC55" i="7"/>
  <c r="Y21" i="6"/>
  <c r="Y27" i="6"/>
  <c r="Y20" i="6"/>
  <c r="Y28" i="6"/>
  <c r="AC56" i="7"/>
  <c r="W29" i="6"/>
  <c r="AB63" i="7"/>
  <c r="AB75" i="7" s="1"/>
  <c r="AB8" i="6" s="1"/>
  <c r="AB14" i="6" s="1"/>
  <c r="Z12" i="6"/>
  <c r="Z16" i="6" s="1"/>
  <c r="Z9" i="6"/>
  <c r="AA73" i="7"/>
  <c r="AG28" i="7"/>
  <c r="AG34" i="7"/>
  <c r="AF37" i="7"/>
  <c r="AG23" i="7"/>
  <c r="AG41" i="7"/>
  <c r="AG35" i="7"/>
  <c r="AG40" i="7"/>
  <c r="AF43" i="7"/>
  <c r="AG36" i="7"/>
  <c r="AG27" i="7"/>
  <c r="AF30" i="7"/>
  <c r="AG42" i="7"/>
  <c r="AG21" i="7"/>
  <c r="AF24" i="7"/>
  <c r="AC16" i="7"/>
  <c r="AC67" i="7" s="1"/>
  <c r="AH3" i="7"/>
  <c r="AH29" i="7" s="1"/>
  <c r="AG20" i="7"/>
  <c r="AG22" i="7"/>
  <c r="AC15" i="7"/>
  <c r="AC63" i="7" s="1"/>
  <c r="AD11" i="7"/>
  <c r="AD12" i="7"/>
  <c r="AD55" i="7" s="1"/>
  <c r="AD7" i="7"/>
  <c r="AE6" i="7"/>
  <c r="AG4" i="7"/>
  <c r="AF5" i="7"/>
  <c r="AC57" i="7" l="1"/>
  <c r="F17" i="3"/>
  <c r="F16" i="11" s="1"/>
  <c r="F9" i="3"/>
  <c r="F36" i="11" s="1"/>
  <c r="W31" i="6"/>
  <c r="W33" i="6" s="1"/>
  <c r="AD56" i="7"/>
  <c r="AC61" i="7"/>
  <c r="AC73" i="7" s="1"/>
  <c r="AD54" i="7"/>
  <c r="AD57" i="7" s="1"/>
  <c r="AC62" i="7"/>
  <c r="AC64" i="7" s="1"/>
  <c r="AB74" i="7"/>
  <c r="AB7" i="6" s="1"/>
  <c r="AB13" i="6" s="1"/>
  <c r="AC69" i="7"/>
  <c r="AC75" i="7" s="1"/>
  <c r="AC8" i="6" s="1"/>
  <c r="AA6" i="6"/>
  <c r="AA76" i="7"/>
  <c r="Z27" i="6"/>
  <c r="Z20" i="6"/>
  <c r="Z28" i="6"/>
  <c r="Z21" i="6"/>
  <c r="AB64" i="7"/>
  <c r="AC68" i="7"/>
  <c r="AC70" i="7" s="1"/>
  <c r="AD63" i="7"/>
  <c r="AB6" i="6"/>
  <c r="AD50" i="7"/>
  <c r="AD48" i="7"/>
  <c r="AD49" i="7"/>
  <c r="Y29" i="6"/>
  <c r="AC51" i="7"/>
  <c r="AH35" i="7"/>
  <c r="AH41" i="7"/>
  <c r="AH42" i="7"/>
  <c r="AH22" i="7"/>
  <c r="AH36" i="7"/>
  <c r="AH28" i="7"/>
  <c r="AH40" i="7"/>
  <c r="AG43" i="7"/>
  <c r="AH34" i="7"/>
  <c r="AG37" i="7"/>
  <c r="AH27" i="7"/>
  <c r="AG30" i="7"/>
  <c r="AG24" i="7"/>
  <c r="AH21" i="7"/>
  <c r="AI3" i="7"/>
  <c r="AI29" i="7" s="1"/>
  <c r="AH20" i="7"/>
  <c r="AD15" i="7"/>
  <c r="AD62" i="7" s="1"/>
  <c r="AH23" i="7"/>
  <c r="AE11" i="7"/>
  <c r="AD16" i="7"/>
  <c r="AD69" i="7" s="1"/>
  <c r="AE7" i="7"/>
  <c r="AE12" i="7"/>
  <c r="AE56" i="7" s="1"/>
  <c r="AF6" i="7"/>
  <c r="AH4" i="7"/>
  <c r="AG5" i="7"/>
  <c r="AC14" i="6" l="1"/>
  <c r="AB76" i="7"/>
  <c r="F16" i="3"/>
  <c r="F15" i="11" s="1"/>
  <c r="F8" i="3"/>
  <c r="F35" i="11" s="1"/>
  <c r="Y31" i="6"/>
  <c r="Y33" i="6" s="1"/>
  <c r="AD61" i="7"/>
  <c r="AD64" i="7" s="1"/>
  <c r="AE55" i="7"/>
  <c r="AE54" i="7"/>
  <c r="Z29" i="6"/>
  <c r="AC74" i="7"/>
  <c r="AC7" i="6" s="1"/>
  <c r="AC6" i="6"/>
  <c r="AD51" i="7"/>
  <c r="AA12" i="6"/>
  <c r="AA16" i="6" s="1"/>
  <c r="AA9" i="6"/>
  <c r="AD75" i="7"/>
  <c r="AD8" i="6" s="1"/>
  <c r="AD14" i="6" s="1"/>
  <c r="AD68" i="7"/>
  <c r="AD74" i="7" s="1"/>
  <c r="AD7" i="6" s="1"/>
  <c r="AD13" i="6" s="1"/>
  <c r="AE50" i="7"/>
  <c r="AE48" i="7"/>
  <c r="AE49" i="7"/>
  <c r="AD67" i="7"/>
  <c r="AB9" i="6"/>
  <c r="AB12" i="6"/>
  <c r="AI42" i="7"/>
  <c r="AI36" i="7"/>
  <c r="AI41" i="7"/>
  <c r="AI23" i="7"/>
  <c r="AI27" i="7"/>
  <c r="AH30" i="7"/>
  <c r="AI35" i="7"/>
  <c r="AJ35" i="7" s="1"/>
  <c r="AI34" i="7"/>
  <c r="AH37" i="7"/>
  <c r="AI40" i="7"/>
  <c r="AH43" i="7"/>
  <c r="AI28" i="7"/>
  <c r="AH24" i="7"/>
  <c r="AF11" i="7"/>
  <c r="AJ3" i="7"/>
  <c r="AJ29" i="7" s="1"/>
  <c r="AI20" i="7"/>
  <c r="AE15" i="7"/>
  <c r="AE63" i="7" s="1"/>
  <c r="AI22" i="7"/>
  <c r="AI21" i="7"/>
  <c r="AF12" i="7"/>
  <c r="AF54" i="7" s="1"/>
  <c r="AE16" i="7"/>
  <c r="AE69" i="7" s="1"/>
  <c r="AF7" i="7"/>
  <c r="AG6" i="7"/>
  <c r="AI4" i="7"/>
  <c r="AH5" i="7"/>
  <c r="AB16" i="6" l="1"/>
  <c r="F15" i="3"/>
  <c r="F14" i="11" s="1"/>
  <c r="F7" i="3"/>
  <c r="AD73" i="7"/>
  <c r="AD6" i="6" s="1"/>
  <c r="AC76" i="7"/>
  <c r="AC13" i="6"/>
  <c r="Z31" i="6"/>
  <c r="Z33" i="6" s="1"/>
  <c r="AE62" i="7"/>
  <c r="AE61" i="7"/>
  <c r="AF56" i="7"/>
  <c r="AA20" i="6"/>
  <c r="AA28" i="6"/>
  <c r="AA27" i="6"/>
  <c r="AA21" i="6"/>
  <c r="AC9" i="6"/>
  <c r="AC12" i="6"/>
  <c r="AE75" i="7"/>
  <c r="AE8" i="6" s="1"/>
  <c r="AE14" i="6" s="1"/>
  <c r="AE51" i="7"/>
  <c r="AB20" i="6"/>
  <c r="AB28" i="6"/>
  <c r="AB27" i="6"/>
  <c r="AB21" i="6"/>
  <c r="AE67" i="7"/>
  <c r="AD76" i="7"/>
  <c r="AF67" i="7"/>
  <c r="AF68" i="7"/>
  <c r="AF69" i="7"/>
  <c r="AF48" i="7"/>
  <c r="AF50" i="7"/>
  <c r="AF49" i="7"/>
  <c r="AD70" i="7"/>
  <c r="AE68" i="7"/>
  <c r="AE74" i="7" s="1"/>
  <c r="AE7" i="6" s="1"/>
  <c r="AE13" i="6" s="1"/>
  <c r="AF55" i="7"/>
  <c r="AE57" i="7"/>
  <c r="AJ42" i="7"/>
  <c r="AJ27" i="7"/>
  <c r="AI30" i="7"/>
  <c r="AJ22" i="7"/>
  <c r="AJ41" i="7"/>
  <c r="AJ36" i="7"/>
  <c r="AJ28" i="7"/>
  <c r="AJ40" i="7"/>
  <c r="AI43" i="7"/>
  <c r="AJ34" i="7"/>
  <c r="AI37" i="7"/>
  <c r="AJ21" i="7"/>
  <c r="AI24" i="7"/>
  <c r="AG11" i="7"/>
  <c r="AF15" i="7"/>
  <c r="AF61" i="7" s="1"/>
  <c r="AK3" i="7"/>
  <c r="AK29" i="7" s="1"/>
  <c r="AJ20" i="7"/>
  <c r="AJ23" i="7"/>
  <c r="AF16" i="7"/>
  <c r="AG12" i="7"/>
  <c r="AG55" i="7" s="1"/>
  <c r="AG7" i="7"/>
  <c r="AH6" i="7"/>
  <c r="AJ4" i="7"/>
  <c r="AI5" i="7"/>
  <c r="AF57" i="7" l="1"/>
  <c r="AE64" i="7"/>
  <c r="AC16" i="6"/>
  <c r="F34" i="11"/>
  <c r="F10" i="3"/>
  <c r="AB29" i="6"/>
  <c r="AG56" i="7"/>
  <c r="AE70" i="7"/>
  <c r="AG54" i="7"/>
  <c r="AF70" i="7"/>
  <c r="AF73" i="7"/>
  <c r="AF51" i="7"/>
  <c r="AD9" i="6"/>
  <c r="AD12" i="6"/>
  <c r="AD16" i="6" s="1"/>
  <c r="AH11" i="7"/>
  <c r="AF62" i="7"/>
  <c r="AE73" i="7"/>
  <c r="AC28" i="6"/>
  <c r="AC20" i="6"/>
  <c r="AC21" i="6"/>
  <c r="AC27" i="6"/>
  <c r="AG63" i="7"/>
  <c r="AA29" i="6"/>
  <c r="AF63" i="7"/>
  <c r="AF75" i="7" s="1"/>
  <c r="AF8" i="6" s="1"/>
  <c r="AG48" i="7"/>
  <c r="AG50" i="7"/>
  <c r="AG49" i="7"/>
  <c r="AK36" i="7"/>
  <c r="AK41" i="7"/>
  <c r="AK23" i="7"/>
  <c r="AK27" i="7"/>
  <c r="AJ30" i="7"/>
  <c r="AK35" i="7"/>
  <c r="AK40" i="7"/>
  <c r="AJ43" i="7"/>
  <c r="AK42" i="7"/>
  <c r="AK34" i="7"/>
  <c r="AJ37" i="7"/>
  <c r="AK28" i="7"/>
  <c r="AJ24" i="7"/>
  <c r="AL3" i="7"/>
  <c r="AL29" i="7" s="1"/>
  <c r="AK20" i="7"/>
  <c r="AK22" i="7"/>
  <c r="AL22" i="7" s="1"/>
  <c r="AG15" i="7"/>
  <c r="AG62" i="7" s="1"/>
  <c r="AK21" i="7"/>
  <c r="AH7" i="7"/>
  <c r="AH12" i="7"/>
  <c r="AH56" i="7" s="1"/>
  <c r="AG16" i="7"/>
  <c r="AG68" i="7" s="1"/>
  <c r="AI6" i="7"/>
  <c r="AK4" i="7"/>
  <c r="AJ5" i="7"/>
  <c r="AG57" i="7" l="1"/>
  <c r="AF14" i="6"/>
  <c r="AA31" i="6"/>
  <c r="AA33" i="6" s="1"/>
  <c r="F13" i="3"/>
  <c r="AB31" i="6"/>
  <c r="AB33" i="6" s="1"/>
  <c r="AG69" i="7"/>
  <c r="AG70" i="7" s="1"/>
  <c r="AH54" i="7"/>
  <c r="AF64" i="7"/>
  <c r="AG67" i="7"/>
  <c r="AD28" i="6"/>
  <c r="AD21" i="6"/>
  <c r="AD27" i="6"/>
  <c r="AD20" i="6"/>
  <c r="AG74" i="7"/>
  <c r="AG7" i="6" s="1"/>
  <c r="AG13" i="6" s="1"/>
  <c r="AG61" i="7"/>
  <c r="AG64" i="7" s="1"/>
  <c r="AE6" i="6"/>
  <c r="AE76" i="7"/>
  <c r="AF6" i="6"/>
  <c r="AI11" i="7"/>
  <c r="AH55" i="7"/>
  <c r="AF74" i="7"/>
  <c r="AF7" i="6" s="1"/>
  <c r="AG75" i="7"/>
  <c r="AG8" i="6" s="1"/>
  <c r="AG14" i="6" s="1"/>
  <c r="AG51" i="7"/>
  <c r="AC29" i="6"/>
  <c r="AH48" i="7"/>
  <c r="AH50" i="7"/>
  <c r="AH49" i="7"/>
  <c r="AH15" i="7"/>
  <c r="AH61" i="7" s="1"/>
  <c r="AL36" i="7"/>
  <c r="AL28" i="7"/>
  <c r="AL40" i="7"/>
  <c r="AK43" i="7"/>
  <c r="AL35" i="7"/>
  <c r="AL41" i="7"/>
  <c r="AL27" i="7"/>
  <c r="AK30" i="7"/>
  <c r="AL34" i="7"/>
  <c r="AK37" i="7"/>
  <c r="AL42" i="7"/>
  <c r="AL21" i="7"/>
  <c r="AK24" i="7"/>
  <c r="AM3" i="7"/>
  <c r="AM29" i="7" s="1"/>
  <c r="AL20" i="7"/>
  <c r="AL23" i="7"/>
  <c r="AH16" i="7"/>
  <c r="AH68" i="7" s="1"/>
  <c r="AI12" i="7"/>
  <c r="AI56" i="7" s="1"/>
  <c r="AI7" i="7"/>
  <c r="AJ6" i="7"/>
  <c r="AL4" i="7"/>
  <c r="AK5" i="7"/>
  <c r="AF76" i="7" l="1"/>
  <c r="AF13" i="6"/>
  <c r="AH57" i="7"/>
  <c r="F12" i="11"/>
  <c r="F18" i="11" s="1"/>
  <c r="F18" i="3"/>
  <c r="F21" i="3" s="1"/>
  <c r="F22" i="3" s="1"/>
  <c r="F9" i="12" s="1"/>
  <c r="AC31" i="6"/>
  <c r="AC33" i="6" s="1"/>
  <c r="AH69" i="7"/>
  <c r="AH75" i="7" s="1"/>
  <c r="AH8" i="6" s="1"/>
  <c r="AI54" i="7"/>
  <c r="AH67" i="7"/>
  <c r="AH73" i="7" s="1"/>
  <c r="AI55" i="7"/>
  <c r="AD29" i="6"/>
  <c r="AH51" i="7"/>
  <c r="AE12" i="6"/>
  <c r="AE9" i="6"/>
  <c r="AI48" i="7"/>
  <c r="AI50" i="7"/>
  <c r="AI49" i="7"/>
  <c r="AH63" i="7"/>
  <c r="AG73" i="7"/>
  <c r="AJ11" i="7"/>
  <c r="AI15" i="7"/>
  <c r="AI62" i="7" s="1"/>
  <c r="AI61" i="7"/>
  <c r="AH62" i="7"/>
  <c r="AH64" i="7" s="1"/>
  <c r="AF9" i="6"/>
  <c r="AF12" i="6"/>
  <c r="AF16" i="6" s="1"/>
  <c r="AM41" i="7"/>
  <c r="AM27" i="7"/>
  <c r="AL30" i="7"/>
  <c r="AM35" i="7"/>
  <c r="AM42" i="7"/>
  <c r="AM28" i="7"/>
  <c r="AM34" i="7"/>
  <c r="AL37" i="7"/>
  <c r="AM40" i="7"/>
  <c r="AL43" i="7"/>
  <c r="AM36" i="7"/>
  <c r="AM23" i="7"/>
  <c r="AL24" i="7"/>
  <c r="AN3" i="7"/>
  <c r="AN20" i="7" s="1"/>
  <c r="AM20" i="7"/>
  <c r="AM22" i="7"/>
  <c r="AM21" i="7"/>
  <c r="AJ12" i="7"/>
  <c r="AJ56" i="7" s="1"/>
  <c r="AJ7" i="7"/>
  <c r="AI16" i="7"/>
  <c r="AI69" i="7" s="1"/>
  <c r="AK6" i="7"/>
  <c r="AM4" i="7"/>
  <c r="AL5" i="7"/>
  <c r="AH14" i="6" l="1"/>
  <c r="AH70" i="7"/>
  <c r="AI57" i="7"/>
  <c r="AE16" i="6"/>
  <c r="AD31" i="6"/>
  <c r="AD33" i="6" s="1"/>
  <c r="AJ54" i="7"/>
  <c r="AI63" i="7"/>
  <c r="AI64" i="7" s="1"/>
  <c r="AJ48" i="7"/>
  <c r="AJ49" i="7"/>
  <c r="AJ50" i="7"/>
  <c r="AJ15" i="7"/>
  <c r="AJ63" i="7" s="1"/>
  <c r="AE21" i="6"/>
  <c r="AE28" i="6"/>
  <c r="AE20" i="6"/>
  <c r="AE27" i="6"/>
  <c r="AI51" i="7"/>
  <c r="AI67" i="7"/>
  <c r="AI73" i="7" s="1"/>
  <c r="AG76" i="7"/>
  <c r="AG6" i="6"/>
  <c r="AI68" i="7"/>
  <c r="AI74" i="7" s="1"/>
  <c r="AI7" i="6" s="1"/>
  <c r="AI13" i="6" s="1"/>
  <c r="AH74" i="7"/>
  <c r="AH7" i="6" s="1"/>
  <c r="AF21" i="6"/>
  <c r="AF27" i="6"/>
  <c r="AF28" i="6"/>
  <c r="AF20" i="6"/>
  <c r="AH6" i="6"/>
  <c r="AJ55" i="7"/>
  <c r="AK11" i="7"/>
  <c r="AN42" i="7"/>
  <c r="AN41" i="7"/>
  <c r="AN35" i="7"/>
  <c r="AN34" i="7"/>
  <c r="AM37" i="7"/>
  <c r="AN36" i="7"/>
  <c r="AN28" i="7"/>
  <c r="AN23" i="7"/>
  <c r="AN40" i="7"/>
  <c r="AM43" i="7"/>
  <c r="AN27" i="7"/>
  <c r="AM30" i="7"/>
  <c r="AN22" i="7"/>
  <c r="AN29" i="7"/>
  <c r="AN21" i="7"/>
  <c r="AM24" i="7"/>
  <c r="AJ16" i="7"/>
  <c r="AJ69" i="7" s="1"/>
  <c r="AK12" i="7"/>
  <c r="AK55" i="7" s="1"/>
  <c r="AK7" i="7"/>
  <c r="AL6" i="7"/>
  <c r="AN4" i="7"/>
  <c r="AN5" i="7" s="1"/>
  <c r="AM5" i="7"/>
  <c r="AI75" i="7" l="1"/>
  <c r="AI8" i="6" s="1"/>
  <c r="AI14" i="6" s="1"/>
  <c r="AJ57" i="7"/>
  <c r="AH13" i="6"/>
  <c r="AJ61" i="7"/>
  <c r="AH76" i="7"/>
  <c r="AK15" i="7"/>
  <c r="AK61" i="7"/>
  <c r="AK62" i="7"/>
  <c r="AK63" i="7"/>
  <c r="AH12" i="6"/>
  <c r="AH16" i="6" s="1"/>
  <c r="AH9" i="6"/>
  <c r="AJ62" i="7"/>
  <c r="AJ64" i="7" s="1"/>
  <c r="AE29" i="6"/>
  <c r="AJ68" i="7"/>
  <c r="AJ74" i="7" s="1"/>
  <c r="AJ7" i="6" s="1"/>
  <c r="AJ13" i="6" s="1"/>
  <c r="AK54" i="7"/>
  <c r="AF29" i="6"/>
  <c r="AG9" i="6"/>
  <c r="AG12" i="6"/>
  <c r="AK56" i="7"/>
  <c r="AI70" i="7"/>
  <c r="AJ75" i="7"/>
  <c r="AJ8" i="6" s="1"/>
  <c r="AJ14" i="6" s="1"/>
  <c r="AL11" i="7"/>
  <c r="AL56" i="7"/>
  <c r="AL55" i="7"/>
  <c r="AK49" i="7"/>
  <c r="AK50" i="7"/>
  <c r="AK48" i="7"/>
  <c r="AJ67" i="7"/>
  <c r="AI6" i="6"/>
  <c r="AI76" i="7"/>
  <c r="AJ51" i="7"/>
  <c r="AN43" i="7"/>
  <c r="AN37" i="7"/>
  <c r="AN24" i="7"/>
  <c r="AN30" i="7"/>
  <c r="AL12" i="7"/>
  <c r="AL54" i="7" s="1"/>
  <c r="AK16" i="7"/>
  <c r="AK69" i="7" s="1"/>
  <c r="AL7" i="7"/>
  <c r="AM6" i="7"/>
  <c r="AN6" i="7"/>
  <c r="AJ73" i="7" l="1"/>
  <c r="AG16" i="6"/>
  <c r="AF31" i="6"/>
  <c r="AF33" i="6" s="1"/>
  <c r="AE31" i="6"/>
  <c r="AE33" i="6" s="1"/>
  <c r="AK57" i="7"/>
  <c r="AL57" i="7"/>
  <c r="AJ70" i="7"/>
  <c r="AI12" i="6"/>
  <c r="AI16" i="6" s="1"/>
  <c r="AI9" i="6"/>
  <c r="AK67" i="7"/>
  <c r="AL48" i="7"/>
  <c r="AL50" i="7"/>
  <c r="AL49" i="7"/>
  <c r="AK68" i="7"/>
  <c r="AK74" i="7" s="1"/>
  <c r="AK7" i="6" s="1"/>
  <c r="AK13" i="6" s="1"/>
  <c r="AL15" i="7"/>
  <c r="AL61" i="7" s="1"/>
  <c r="AJ6" i="6"/>
  <c r="AJ76" i="7"/>
  <c r="AK51" i="7"/>
  <c r="AG21" i="6"/>
  <c r="AG27" i="6"/>
  <c r="AG20" i="6"/>
  <c r="AG28" i="6"/>
  <c r="AK75" i="7"/>
  <c r="AK8" i="6" s="1"/>
  <c r="AK14" i="6" s="1"/>
  <c r="AK64" i="7"/>
  <c r="AN7" i="7"/>
  <c r="AN56" i="7"/>
  <c r="AM11" i="7"/>
  <c r="AN11" i="7" s="1"/>
  <c r="AM54" i="7"/>
  <c r="AH27" i="6"/>
  <c r="AH21" i="6"/>
  <c r="AH20" i="6"/>
  <c r="AH28" i="6"/>
  <c r="AM7" i="7"/>
  <c r="AL16" i="7"/>
  <c r="AL69" i="7" s="1"/>
  <c r="AM12" i="7"/>
  <c r="AN12" i="7" s="1"/>
  <c r="AN55" i="7" s="1"/>
  <c r="AM55" i="7" l="1"/>
  <c r="AJ12" i="6"/>
  <c r="AJ9" i="6"/>
  <c r="AG29" i="6"/>
  <c r="AL63" i="7"/>
  <c r="AL75" i="7" s="1"/>
  <c r="AL8" i="6" s="1"/>
  <c r="AL14" i="6" s="1"/>
  <c r="AL62" i="7"/>
  <c r="AN54" i="7"/>
  <c r="AN57" i="7" s="1"/>
  <c r="AL67" i="7"/>
  <c r="AL73" i="7" s="1"/>
  <c r="AL51" i="7"/>
  <c r="AL68" i="7"/>
  <c r="AK70" i="7"/>
  <c r="AH29" i="6"/>
  <c r="AI20" i="6"/>
  <c r="AI21" i="6"/>
  <c r="AI28" i="6"/>
  <c r="AI27" i="6"/>
  <c r="AM15" i="7"/>
  <c r="AN15" i="7" s="1"/>
  <c r="AN62" i="7" s="1"/>
  <c r="AM62" i="7"/>
  <c r="AM50" i="7"/>
  <c r="AM49" i="7"/>
  <c r="AM48" i="7"/>
  <c r="AN49" i="7"/>
  <c r="AN50" i="7"/>
  <c r="AN48" i="7"/>
  <c r="AM56" i="7"/>
  <c r="AM57" i="7" s="1"/>
  <c r="AK73" i="7"/>
  <c r="AM16" i="7"/>
  <c r="AN16" i="7" s="1"/>
  <c r="AN69" i="7" s="1"/>
  <c r="AJ16" i="6" l="1"/>
  <c r="AL64" i="7"/>
  <c r="AH31" i="6"/>
  <c r="AH33" i="6" s="1"/>
  <c r="AG31" i="6"/>
  <c r="AG33" i="6" s="1"/>
  <c r="AM68" i="7"/>
  <c r="AM74" i="7" s="1"/>
  <c r="AM7" i="6" s="1"/>
  <c r="AM13" i="6" s="1"/>
  <c r="AM69" i="7"/>
  <c r="AM63" i="7"/>
  <c r="AM75" i="7" s="1"/>
  <c r="AM8" i="6" s="1"/>
  <c r="AM14" i="6" s="1"/>
  <c r="AN68" i="7"/>
  <c r="AN74" i="7" s="1"/>
  <c r="AN7" i="6" s="1"/>
  <c r="AL74" i="7"/>
  <c r="AL7" i="6" s="1"/>
  <c r="AL13" i="6" s="1"/>
  <c r="AM51" i="7"/>
  <c r="AN67" i="7"/>
  <c r="AN61" i="7"/>
  <c r="AL6" i="6"/>
  <c r="AL70" i="7"/>
  <c r="AJ20" i="6"/>
  <c r="AJ28" i="6"/>
  <c r="AJ27" i="6"/>
  <c r="AJ21" i="6"/>
  <c r="AN51" i="7"/>
  <c r="AI29" i="6"/>
  <c r="AN63" i="7"/>
  <c r="AN75" i="7" s="1"/>
  <c r="AN8" i="6" s="1"/>
  <c r="AK76" i="7"/>
  <c r="AK6" i="6"/>
  <c r="AM61" i="7"/>
  <c r="AM67" i="7"/>
  <c r="AN70" i="7" l="1"/>
  <c r="AN14" i="6"/>
  <c r="E8" i="2"/>
  <c r="F8" i="2"/>
  <c r="G8" i="2"/>
  <c r="AM70" i="7"/>
  <c r="AM64" i="7"/>
  <c r="AN13" i="6"/>
  <c r="E7" i="2"/>
  <c r="F7" i="2"/>
  <c r="G7" i="2"/>
  <c r="AI31" i="6"/>
  <c r="AI33" i="6" s="1"/>
  <c r="AM73" i="7"/>
  <c r="AM76" i="7" s="1"/>
  <c r="AJ29" i="6"/>
  <c r="AN73" i="7"/>
  <c r="AL9" i="6"/>
  <c r="AL12" i="6"/>
  <c r="AL16" i="6" s="1"/>
  <c r="AL76" i="7"/>
  <c r="AK9" i="6"/>
  <c r="AK12" i="6"/>
  <c r="AK16" i="6" s="1"/>
  <c r="AN64" i="7"/>
  <c r="G16" i="3" l="1"/>
  <c r="G15" i="11" s="1"/>
  <c r="G8" i="3"/>
  <c r="G35" i="11" s="1"/>
  <c r="E13" i="2"/>
  <c r="F13" i="2"/>
  <c r="G13" i="2"/>
  <c r="AM6" i="6"/>
  <c r="G17" i="3"/>
  <c r="G16" i="11" s="1"/>
  <c r="G9" i="3"/>
  <c r="G36" i="11" s="1"/>
  <c r="E14" i="2"/>
  <c r="F14" i="2"/>
  <c r="G14" i="2"/>
  <c r="AJ31" i="6"/>
  <c r="AJ33" i="6" s="1"/>
  <c r="AK28" i="6"/>
  <c r="AK27" i="6"/>
  <c r="AK20" i="6"/>
  <c r="AK21" i="6"/>
  <c r="AL28" i="6"/>
  <c r="AL27" i="6"/>
  <c r="AL20" i="6"/>
  <c r="AL21" i="6"/>
  <c r="AN6" i="6"/>
  <c r="AN76" i="7"/>
  <c r="AM9" i="6"/>
  <c r="AM12" i="6"/>
  <c r="AM16" i="6" s="1"/>
  <c r="E6" i="2" l="1"/>
  <c r="F6" i="2"/>
  <c r="G6" i="2"/>
  <c r="AM28" i="6"/>
  <c r="AM20" i="6"/>
  <c r="AM21" i="6"/>
  <c r="AM27" i="6"/>
  <c r="AK29" i="6"/>
  <c r="AN12" i="6"/>
  <c r="AN9" i="6"/>
  <c r="AL29" i="6"/>
  <c r="AN16" i="6" l="1"/>
  <c r="G15" i="3"/>
  <c r="G14" i="11" s="1"/>
  <c r="G7" i="3"/>
  <c r="E12" i="2"/>
  <c r="F12" i="2"/>
  <c r="G12" i="2"/>
  <c r="E9" i="2"/>
  <c r="F9" i="2"/>
  <c r="G9" i="2"/>
  <c r="AK31" i="6"/>
  <c r="AK33" i="6" s="1"/>
  <c r="AL31" i="6"/>
  <c r="AL33" i="6" s="1"/>
  <c r="E16" i="2"/>
  <c r="F16" i="2"/>
  <c r="G16" i="2"/>
  <c r="AN21" i="6"/>
  <c r="AN27" i="6"/>
  <c r="AN28" i="6"/>
  <c r="AN20" i="6"/>
  <c r="AM29" i="6"/>
  <c r="AN29" i="6" l="1"/>
  <c r="E20" i="2"/>
  <c r="F20" i="2"/>
  <c r="G20" i="2"/>
  <c r="E28" i="2"/>
  <c r="F28" i="2"/>
  <c r="G28" i="2"/>
  <c r="G34" i="11"/>
  <c r="G10" i="3"/>
  <c r="E27" i="2"/>
  <c r="F27" i="2"/>
  <c r="G27" i="2"/>
  <c r="E21" i="2"/>
  <c r="F21" i="2"/>
  <c r="G21" i="2"/>
  <c r="AM31" i="6"/>
  <c r="AM33" i="6" s="1"/>
  <c r="G13" i="3"/>
  <c r="F29" i="2"/>
  <c r="E31" i="2"/>
  <c r="E34" i="2" s="1"/>
  <c r="E37" i="2" s="1"/>
  <c r="F31" i="2"/>
  <c r="F34" i="2" s="1"/>
  <c r="F37" i="2" s="1"/>
  <c r="F38" i="2" s="1"/>
  <c r="F40" i="2" s="1"/>
  <c r="G29" i="2" l="1"/>
  <c r="AN31" i="6"/>
  <c r="G12" i="11"/>
  <c r="G18" i="11" s="1"/>
  <c r="G18" i="3"/>
  <c r="G21" i="3" s="1"/>
  <c r="G22" i="3" s="1"/>
  <c r="G9" i="12" s="1"/>
  <c r="F43" i="2"/>
  <c r="F6" i="12"/>
  <c r="F8" i="12" s="1"/>
  <c r="F11" i="12" s="1"/>
  <c r="F22" i="12" s="1"/>
  <c r="E38" i="2"/>
  <c r="E40" i="2" s="1"/>
  <c r="AN33" i="6" l="1"/>
  <c r="G31" i="2"/>
  <c r="G34" i="2" s="1"/>
  <c r="G37" i="2" s="1"/>
  <c r="G38" i="2" s="1"/>
  <c r="G40" i="2" s="1"/>
  <c r="E7" i="11"/>
  <c r="E43" i="2"/>
  <c r="E6" i="12"/>
  <c r="E8" i="12" s="1"/>
  <c r="E11" i="12" s="1"/>
  <c r="E22" i="12" s="1"/>
  <c r="E24" i="12" s="1"/>
  <c r="G6" i="12" l="1"/>
  <c r="G8" i="12" s="1"/>
  <c r="G11" i="12" s="1"/>
  <c r="G22" i="12" s="1"/>
  <c r="G43" i="2"/>
  <c r="E37" i="11"/>
  <c r="E39" i="11" s="1"/>
  <c r="F23" i="12"/>
  <c r="F24" i="12" s="1"/>
  <c r="E9" i="11"/>
  <c r="E20" i="11" s="1"/>
  <c r="F7" i="11"/>
  <c r="E41" i="11" l="1"/>
  <c r="G7" i="11"/>
  <c r="G9" i="11" s="1"/>
  <c r="G20" i="11" s="1"/>
  <c r="F9" i="11"/>
  <c r="F20" i="11" s="1"/>
  <c r="G23" i="12"/>
  <c r="G24" i="12" s="1"/>
  <c r="G37" i="11" s="1"/>
  <c r="G39" i="11" s="1"/>
  <c r="F37" i="11"/>
  <c r="F39" i="11" s="1"/>
  <c r="F41" i="11" s="1"/>
  <c r="G41" i="11" l="1"/>
</calcChain>
</file>

<file path=xl/comments1.xml><?xml version="1.0" encoding="utf-8"?>
<comments xmlns="http://schemas.openxmlformats.org/spreadsheetml/2006/main">
  <authors>
    <author>KARAN HATKAR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KARAN HATKAR:</t>
        </r>
        <r>
          <rPr>
            <sz val="9"/>
            <color indexed="81"/>
            <rFont val="Tahoma"/>
            <family val="2"/>
          </rPr>
          <t xml:space="preserve">
den means denominator</t>
        </r>
      </text>
    </comment>
  </commentList>
</comments>
</file>

<file path=xl/comments2.xml><?xml version="1.0" encoding="utf-8"?>
<comments xmlns="http://schemas.openxmlformats.org/spreadsheetml/2006/main">
  <authors>
    <author>KARAN HATKAR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KARAN HATKAR:</t>
        </r>
        <r>
          <rPr>
            <sz val="9"/>
            <color indexed="81"/>
            <rFont val="Tahoma"/>
            <family val="2"/>
          </rPr>
          <t xml:space="preserve">
Ctrl + page up or down to 
switch the existing sheets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KARAN HATKAR:</t>
        </r>
        <r>
          <rPr>
            <sz val="9"/>
            <color indexed="81"/>
            <rFont val="Tahoma"/>
            <charset val="1"/>
          </rPr>
          <t xml:space="preserve">
Ctrl+shift+3 for changing number to short date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KARAN HATKAR:</t>
        </r>
        <r>
          <rPr>
            <sz val="9"/>
            <color indexed="81"/>
            <rFont val="Tahoma"/>
            <family val="2"/>
          </rPr>
          <t xml:space="preserve">
Click on the drop down icon present in "</t>
        </r>
        <r>
          <rPr>
            <b/>
            <sz val="9"/>
            <color indexed="81"/>
            <rFont val="Tahoma"/>
            <family val="2"/>
          </rPr>
          <t>Number</t>
        </r>
        <r>
          <rPr>
            <sz val="9"/>
            <color indexed="81"/>
            <rFont val="Tahoma"/>
            <family val="2"/>
          </rPr>
          <t xml:space="preserve">" box and then click on </t>
        </r>
        <r>
          <rPr>
            <b/>
            <sz val="9"/>
            <color indexed="81"/>
            <rFont val="Tahoma"/>
            <family val="2"/>
          </rPr>
          <t>more number formats</t>
        </r>
        <r>
          <rPr>
            <sz val="9"/>
            <color indexed="81"/>
            <rFont val="Tahoma"/>
            <family val="2"/>
          </rPr>
          <t xml:space="preserve">..
Category&lt;Custom&lt;type&lt;"Month" 0
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KARAN HATKAR:</t>
        </r>
        <r>
          <rPr>
            <sz val="9"/>
            <color indexed="81"/>
            <rFont val="Tahoma"/>
            <charset val="1"/>
          </rPr>
          <t xml:space="preserve">
First select full page and then press Alt+HOI or Alt+OCA to fit data in their respective cells avoiding the unnecessary appearance of ######
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KARAN HATKAR:</t>
        </r>
        <r>
          <rPr>
            <sz val="9"/>
            <color indexed="81"/>
            <rFont val="Tahoma"/>
            <charset val="1"/>
          </rPr>
          <t xml:space="preserve">
Alt+WFF for freezing the above column and rows
Press F4 key to add $ (reference to cell) 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KARAN HATKAR:</t>
        </r>
        <r>
          <rPr>
            <sz val="9"/>
            <color indexed="81"/>
            <rFont val="Tahoma"/>
            <charset val="1"/>
          </rPr>
          <t xml:space="preserve">
shift + space and then ctrl + plus to add rows
Alt + =  is shortcut to sum 
Alt + HBP to add top border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KARAN HATKAR:</t>
        </r>
        <r>
          <rPr>
            <sz val="9"/>
            <color indexed="81"/>
            <rFont val="Tahoma"/>
            <family val="2"/>
          </rPr>
          <t xml:space="preserve">
Mod(E3,12)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KARAN HATKAR:</t>
        </r>
        <r>
          <rPr>
            <sz val="9"/>
            <color indexed="81"/>
            <rFont val="Tahoma"/>
            <family val="2"/>
          </rPr>
          <t xml:space="preserve">
=SUM(E21:E23)
Use Alt + HK to increase the decimal</t>
        </r>
      </text>
    </comment>
  </commentList>
</comments>
</file>

<file path=xl/comments3.xml><?xml version="1.0" encoding="utf-8"?>
<comments xmlns="http://schemas.openxmlformats.org/spreadsheetml/2006/main">
  <authors>
    <author>KARAN HATKAR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KARAN HATKAR:</t>
        </r>
        <r>
          <rPr>
            <sz val="9"/>
            <color indexed="81"/>
            <rFont val="Tahoma"/>
            <charset val="1"/>
          </rPr>
          <t xml:space="preserve">
Ctrl+shift+3 for changing number to short date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KARAN HATKAR:</t>
        </r>
        <r>
          <rPr>
            <sz val="9"/>
            <color indexed="81"/>
            <rFont val="Tahoma"/>
            <charset val="1"/>
          </rPr>
          <t xml:space="preserve">
Alt+HOI or Alt+OCA to fit data in their respective cells avoiding the unnecessary appearance of ######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 xml:space="preserve">KARAN HATKAR
</t>
        </r>
        <r>
          <rPr>
            <sz val="11"/>
            <color indexed="81"/>
            <rFont val="Tahoma"/>
            <family val="2"/>
          </rPr>
          <t xml:space="preserve">
Use Shift + Alt + -&gt; to group the rows or columns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KARAN HATKAR: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EBITDA</t>
        </r>
        <r>
          <rPr>
            <sz val="9"/>
            <color indexed="81"/>
            <rFont val="Tahoma"/>
            <family val="2"/>
          </rPr>
          <t xml:space="preserve">
Earnings before interest, taxes, depriciation and amortization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KARAN HATKAR:</t>
        </r>
        <r>
          <rPr>
            <sz val="9"/>
            <color indexed="81"/>
            <rFont val="Tahoma"/>
            <family val="2"/>
          </rPr>
          <t xml:space="preserve">
Alt + HBD for double borders</t>
        </r>
      </text>
    </comment>
  </commentList>
</comments>
</file>

<file path=xl/comments4.xml><?xml version="1.0" encoding="utf-8"?>
<comments xmlns="http://schemas.openxmlformats.org/spreadsheetml/2006/main">
  <authors>
    <author>KARAN HATKAR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KARAN HATKAR:</t>
        </r>
        <r>
          <rPr>
            <sz val="9"/>
            <color indexed="81"/>
            <rFont val="Tahoma"/>
            <family val="2"/>
          </rPr>
          <t xml:space="preserve">
Alt + HBD for double borders</t>
        </r>
      </text>
    </comment>
  </commentList>
</comments>
</file>

<file path=xl/comments5.xml><?xml version="1.0" encoding="utf-8"?>
<comments xmlns="http://schemas.openxmlformats.org/spreadsheetml/2006/main">
  <authors>
    <author>KARAN HATKAR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KARAN HATKAR:</t>
        </r>
        <r>
          <rPr>
            <sz val="9"/>
            <color indexed="81"/>
            <rFont val="Tahoma"/>
            <family val="2"/>
          </rPr>
          <t xml:space="preserve">
This is monthly alcoholic expenses at the end of year 1..
i.e. alcoholic expenses of the last month of the year 1</t>
        </r>
      </text>
    </comment>
  </commentList>
</comments>
</file>

<file path=xl/comments6.xml><?xml version="1.0" encoding="utf-8"?>
<comments xmlns="http://schemas.openxmlformats.org/spreadsheetml/2006/main">
  <authors>
    <author>KARAN HATKAR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KARAN HATKAR:</t>
        </r>
        <r>
          <rPr>
            <sz val="9"/>
            <color indexed="81"/>
            <rFont val="Tahoma"/>
            <family val="2"/>
          </rPr>
          <t xml:space="preserve">
=SUMIFS('Monthly P&amp;L'!$E6:$AN6,'Monthly P&amp;L'!$E$4:$AN$4,"&gt;"&amp;'Annual P&amp;L'!D$4,'Monthly P&amp;L'!$E$4:$AN$4,"&lt;"&amp;'Annual P&amp;L'!E$4)
Means sum of all the values of revenue of Alcoholic Beverages generated in &gt;1-Apr-20 and &lt;31-Mar-21 interval of time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KARAN HATKAR: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EBITDA</t>
        </r>
        <r>
          <rPr>
            <sz val="9"/>
            <color indexed="81"/>
            <rFont val="Tahoma"/>
            <family val="2"/>
          </rPr>
          <t xml:space="preserve">
Earnings before interest, taxes, depriciation and amortization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KARAN HATKAR:</t>
        </r>
        <r>
          <rPr>
            <sz val="9"/>
            <color indexed="81"/>
            <rFont val="Tahoma"/>
            <family val="2"/>
          </rPr>
          <t xml:space="preserve">
As no debt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KARAN HATKAR:</t>
        </r>
        <r>
          <rPr>
            <sz val="9"/>
            <color indexed="81"/>
            <rFont val="Tahoma"/>
            <family val="2"/>
          </rPr>
          <t xml:space="preserve">
Earning before TAX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KARAN HATKAR:</t>
        </r>
        <r>
          <rPr>
            <sz val="9"/>
            <color indexed="81"/>
            <rFont val="Tahoma"/>
            <family val="2"/>
          </rPr>
          <t xml:space="preserve">
Earnings after TAX</t>
        </r>
      </text>
    </comment>
  </commentList>
</comments>
</file>

<file path=xl/comments7.xml><?xml version="1.0" encoding="utf-8"?>
<comments xmlns="http://schemas.openxmlformats.org/spreadsheetml/2006/main">
  <authors>
    <author>KARAN HATKAR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KARAN HATKAR:</t>
        </r>
        <r>
          <rPr>
            <sz val="9"/>
            <color indexed="81"/>
            <rFont val="Tahoma"/>
            <family val="2"/>
          </rPr>
          <t xml:space="preserve">
Also known as accumulated profit</t>
        </r>
      </text>
    </comment>
  </commentList>
</comments>
</file>

<file path=xl/comments8.xml><?xml version="1.0" encoding="utf-8"?>
<comments xmlns="http://schemas.openxmlformats.org/spreadsheetml/2006/main">
  <authors>
    <author>KARAN HATKAR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KARAN HATKAR:</t>
        </r>
        <r>
          <rPr>
            <sz val="9"/>
            <color indexed="81"/>
            <rFont val="Tahoma"/>
            <family val="2"/>
          </rPr>
          <t xml:space="preserve">
Earning After Taxes</t>
        </r>
      </text>
    </comment>
  </commentList>
</comments>
</file>

<file path=xl/sharedStrings.xml><?xml version="1.0" encoding="utf-8"?>
<sst xmlns="http://schemas.openxmlformats.org/spreadsheetml/2006/main" count="320" uniqueCount="179">
  <si>
    <t>Period of Construction of restaurant - 3 Months</t>
  </si>
  <si>
    <t>Start of Construction</t>
  </si>
  <si>
    <t>Construction period</t>
  </si>
  <si>
    <t xml:space="preserve">Date of Operations </t>
  </si>
  <si>
    <t>3 Months</t>
  </si>
  <si>
    <t>Revenue</t>
  </si>
  <si>
    <t>Particulars</t>
  </si>
  <si>
    <t>Weekdays</t>
  </si>
  <si>
    <t>Weekend</t>
  </si>
  <si>
    <t>Lunch</t>
  </si>
  <si>
    <t>APC (Avg. per Cover or Person)</t>
  </si>
  <si>
    <t xml:space="preserve">Alcoholic Beverages </t>
  </si>
  <si>
    <t xml:space="preserve">Non Alcoholic Beverages </t>
  </si>
  <si>
    <t>Food</t>
  </si>
  <si>
    <t>Y-O-Y Growth prive rate</t>
  </si>
  <si>
    <t>Occupancy</t>
  </si>
  <si>
    <t>Number of Covers Available</t>
  </si>
  <si>
    <t>Number of Rounds Available</t>
  </si>
  <si>
    <t>Number of Covers Occupied/ Round</t>
  </si>
  <si>
    <t>MoM growth</t>
  </si>
  <si>
    <t>Maximum Occupancy/Round</t>
  </si>
  <si>
    <t>Dinner</t>
  </si>
  <si>
    <t>Direct Expenses</t>
  </si>
  <si>
    <t>Alcoholic Beverage cost (% of revenue)</t>
  </si>
  <si>
    <t>Non Alcoholic Beverage cost (% of revenue)</t>
  </si>
  <si>
    <t>Food (% of revenue)</t>
  </si>
  <si>
    <t>Salary</t>
  </si>
  <si>
    <t>Members of Team</t>
  </si>
  <si>
    <t>Number of Employees</t>
  </si>
  <si>
    <t>Salary /M</t>
  </si>
  <si>
    <t>Salary / M</t>
  </si>
  <si>
    <t>Receptionist</t>
  </si>
  <si>
    <t>Total</t>
  </si>
  <si>
    <t>Restaurants Manager</t>
  </si>
  <si>
    <t>Waiters</t>
  </si>
  <si>
    <t>Head Chef</t>
  </si>
  <si>
    <t>Chefs</t>
  </si>
  <si>
    <t>Assistant Chef</t>
  </si>
  <si>
    <t>Valet Parking</t>
  </si>
  <si>
    <t>Cleaners</t>
  </si>
  <si>
    <t>Bartenders</t>
  </si>
  <si>
    <t>Staff salary will increase Y-o-Y basis</t>
  </si>
  <si>
    <t>Indirect Expenses</t>
  </si>
  <si>
    <t>HR Manager</t>
  </si>
  <si>
    <t>Assistant Manager</t>
  </si>
  <si>
    <t>Security</t>
  </si>
  <si>
    <t>Purchase Manager</t>
  </si>
  <si>
    <t>Accountant</t>
  </si>
  <si>
    <t>Others</t>
  </si>
  <si>
    <t>Royalty to brand (% of Revenue)</t>
  </si>
  <si>
    <t>Rent (as per contract) (% of Revenue)</t>
  </si>
  <si>
    <t>Water Cost (per month)</t>
  </si>
  <si>
    <t>Maintenance (per month)</t>
  </si>
  <si>
    <t>Marketing cost (per month)</t>
  </si>
  <si>
    <t>Electricity (Based on area Rs/sq. Ft.)</t>
  </si>
  <si>
    <t>Phone and internet (per month)</t>
  </si>
  <si>
    <t>Housekeeping &amp; Consumables (% of revenue)</t>
  </si>
  <si>
    <t>Payment Settlement Charges (% of revenue)</t>
  </si>
  <si>
    <t>Numbers of Tables occupied opting for card payment</t>
  </si>
  <si>
    <t>Indirect expenses will increase Y-o-Y basis</t>
  </si>
  <si>
    <t>Area Specifications</t>
  </si>
  <si>
    <t>Carpet Area requires (Sq. ft.)</t>
  </si>
  <si>
    <t>Conversion Rate</t>
  </si>
  <si>
    <t>Super Built up area to be rented (Sq. ft.)</t>
  </si>
  <si>
    <t>Serving Area (% of carpet area)</t>
  </si>
  <si>
    <t>Serving Area</t>
  </si>
  <si>
    <t>Kitchen Area</t>
  </si>
  <si>
    <t>Area per cover (Sq. ft.)</t>
  </si>
  <si>
    <t>Covers</t>
  </si>
  <si>
    <t>Sitting per table</t>
  </si>
  <si>
    <t>Number of Tables</t>
  </si>
  <si>
    <t>Capital Expenditure</t>
  </si>
  <si>
    <t>Working Capital</t>
  </si>
  <si>
    <t>Equipments</t>
  </si>
  <si>
    <t>Kitchen Equipments and cutlery</t>
  </si>
  <si>
    <t>Furniture &amp; Fixtures</t>
  </si>
  <si>
    <t>Restaurants Décor</t>
  </si>
  <si>
    <t>Rent Deposits</t>
  </si>
  <si>
    <t>Rate per Sq. Ft</t>
  </si>
  <si>
    <t>Days</t>
  </si>
  <si>
    <t>Inventory</t>
  </si>
  <si>
    <t>Creditor for Raw Material</t>
  </si>
  <si>
    <t>Creditor for Expenses</t>
  </si>
  <si>
    <t xml:space="preserve">        Alcoholic Beverages</t>
  </si>
  <si>
    <t xml:space="preserve">        Non-Alcoholic Beverages</t>
  </si>
  <si>
    <t xml:space="preserve">        Food</t>
  </si>
  <si>
    <t xml:space="preserve">      Initial working capital introduced</t>
  </si>
  <si>
    <t>Depriciation</t>
  </si>
  <si>
    <t>Capital Structure</t>
  </si>
  <si>
    <t>Furniture &amp; Fixtures and Restaurant Décor</t>
  </si>
  <si>
    <t>Equity</t>
  </si>
  <si>
    <t>Debt</t>
  </si>
  <si>
    <t>Cash credit limit will be availled if required</t>
  </si>
  <si>
    <t>Rate of Interest on CC Limit</t>
  </si>
  <si>
    <t>Tax Rate</t>
  </si>
  <si>
    <r>
      <t xml:space="preserve">End of Sheet and </t>
    </r>
    <r>
      <rPr>
        <b/>
        <i/>
        <sz val="11"/>
        <color theme="1"/>
        <rFont val="Calibri"/>
        <family val="2"/>
        <scheme val="minor"/>
      </rPr>
      <t>remember Alt+WVG</t>
    </r>
  </si>
  <si>
    <t xml:space="preserve"> </t>
  </si>
  <si>
    <t>Currency in INR</t>
  </si>
  <si>
    <t>Model in:</t>
  </si>
  <si>
    <t>Ones</t>
  </si>
  <si>
    <t>Tens</t>
  </si>
  <si>
    <t>Hundreds</t>
  </si>
  <si>
    <t>Thousands</t>
  </si>
  <si>
    <t>Lakhs</t>
  </si>
  <si>
    <t>Millions</t>
  </si>
  <si>
    <t>Crores</t>
  </si>
  <si>
    <t>To change the normal number into decimal I've used Alt+hk (in D1 box)</t>
  </si>
  <si>
    <t>To make a dynamic number box at D1 I used =VLOOKUP(C1,A3:B9,2,FALSE)</t>
  </si>
  <si>
    <t xml:space="preserve">  </t>
  </si>
  <si>
    <t>All final values in</t>
  </si>
  <si>
    <t xml:space="preserve">   </t>
  </si>
  <si>
    <t>Operational Days</t>
  </si>
  <si>
    <t>No. of weekends in a month</t>
  </si>
  <si>
    <t>No. of weekdays in a month</t>
  </si>
  <si>
    <t>Weekends</t>
  </si>
  <si>
    <t>No. of Guests per DAY</t>
  </si>
  <si>
    <t>APC (Avg. per customer)</t>
  </si>
  <si>
    <t>Revenue per month</t>
  </si>
  <si>
    <t>Total Revenue for month</t>
  </si>
  <si>
    <t>End of sheet</t>
  </si>
  <si>
    <t>Less:  Direct Expenses</t>
  </si>
  <si>
    <t>Staff Salary</t>
  </si>
  <si>
    <t>Less: Indirect Expenses</t>
  </si>
  <si>
    <t>Other staff salary</t>
  </si>
  <si>
    <t xml:space="preserve"> Total Direct Expenses</t>
  </si>
  <si>
    <t>Total Indirect Expenses</t>
  </si>
  <si>
    <t>EBITDA</t>
  </si>
  <si>
    <t>EBITDA Margin%</t>
  </si>
  <si>
    <t>Refrigeration Equipments</t>
  </si>
  <si>
    <t xml:space="preserve">            </t>
  </si>
  <si>
    <t>Fixed Asset</t>
  </si>
  <si>
    <t>Add: Rent Deposit</t>
  </si>
  <si>
    <t>Add: Working Capital</t>
  </si>
  <si>
    <t>Total Funds Req.</t>
  </si>
  <si>
    <t>Sources of Funds</t>
  </si>
  <si>
    <t>Equity Capital</t>
  </si>
  <si>
    <t>Total Funds Contributed</t>
  </si>
  <si>
    <t>Opening Balance</t>
  </si>
  <si>
    <t>Add: Purchases</t>
  </si>
  <si>
    <t>Less: Sales</t>
  </si>
  <si>
    <t>Less: Depriciation</t>
  </si>
  <si>
    <t>Closing Balance</t>
  </si>
  <si>
    <t>Current Assets</t>
  </si>
  <si>
    <t>Current Liabilities</t>
  </si>
  <si>
    <t>Creditor for raw material</t>
  </si>
  <si>
    <t>Changes in working capital</t>
  </si>
  <si>
    <t>EBIT</t>
  </si>
  <si>
    <t>Less: Interest</t>
  </si>
  <si>
    <t>EBT</t>
  </si>
  <si>
    <t>Less: Taxes</t>
  </si>
  <si>
    <t>EAT</t>
  </si>
  <si>
    <t>(Transferred to reserve)</t>
  </si>
  <si>
    <t>Net Profit(NP) Margin %</t>
  </si>
  <si>
    <t>Operating Activities</t>
  </si>
  <si>
    <t>Add: Non Cash Expenses</t>
  </si>
  <si>
    <t>Cash from operations before working capital changes</t>
  </si>
  <si>
    <t>Add/Less: Changes in working capital</t>
  </si>
  <si>
    <t>Cash from operations</t>
  </si>
  <si>
    <t>Investing Activites</t>
  </si>
  <si>
    <t>Purchase of Fixed Asset</t>
  </si>
  <si>
    <t>Rent deposit</t>
  </si>
  <si>
    <t>Cash from investing activities</t>
  </si>
  <si>
    <t>Financing Activities</t>
  </si>
  <si>
    <t>Equity share capital</t>
  </si>
  <si>
    <t>Cash from financing activities</t>
  </si>
  <si>
    <t>Cash generated during the year</t>
  </si>
  <si>
    <t>Add: Opening Balance</t>
  </si>
  <si>
    <t>Equity &amp; Liabilities</t>
  </si>
  <si>
    <t>Share Capital</t>
  </si>
  <si>
    <t>Reserves &amp; Surplus</t>
  </si>
  <si>
    <t>Total shareholders funds</t>
  </si>
  <si>
    <t>Total Current Liabilities</t>
  </si>
  <si>
    <t>Total Liabilities</t>
  </si>
  <si>
    <t>Assets</t>
  </si>
  <si>
    <t>Fixed Assets</t>
  </si>
  <si>
    <t>Cash &amp; Cash Equivalents</t>
  </si>
  <si>
    <t>Total Assets</t>
  </si>
  <si>
    <t>Check</t>
  </si>
  <si>
    <t>Remember I've pressed Alt+dll for C1 waala dabba ka formation (or) we can go in Data and then in Data Validation ----then&gt; list -----&gt;then add source as A3:A9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</si>
</sst>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[$-F800]dddd\,\ mmmm\ dd\,\ yyyy"/>
    <numFmt numFmtId="165" formatCode="&quot;Month&quot;\ 0"/>
    <numFmt numFmtId="166" formatCode="_ * #,##0.0_ ;_ * \-#,##0.0_ ;_ * &quot;-&quot;??_ ;_ @_ "/>
    <numFmt numFmtId="167" formatCode="&quot;Year&quot;\ 0"/>
    <numFmt numFmtId="168" formatCode="0.0"/>
    <numFmt numFmtId="169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E02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Border="1"/>
    <xf numFmtId="0" fontId="1" fillId="0" borderId="0" xfId="0" applyFont="1"/>
    <xf numFmtId="9" fontId="0" fillId="0" borderId="0" xfId="0" applyNumberForma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3" borderId="16" xfId="0" applyFont="1" applyFill="1" applyBorder="1"/>
    <xf numFmtId="0" fontId="0" fillId="0" borderId="17" xfId="0" applyBorder="1"/>
    <xf numFmtId="0" fontId="2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3" borderId="19" xfId="0" applyFont="1" applyFill="1" applyBorder="1"/>
    <xf numFmtId="0" fontId="2" fillId="4" borderId="20" xfId="0" applyFont="1" applyFill="1" applyBorder="1"/>
    <xf numFmtId="0" fontId="2" fillId="0" borderId="20" xfId="0" applyFont="1" applyBorder="1"/>
    <xf numFmtId="0" fontId="0" fillId="0" borderId="20" xfId="0" applyFont="1" applyBorder="1"/>
    <xf numFmtId="0" fontId="1" fillId="0" borderId="20" xfId="0" applyFont="1" applyBorder="1"/>
    <xf numFmtId="0" fontId="0" fillId="0" borderId="21" xfId="0" applyFont="1" applyBorder="1"/>
    <xf numFmtId="0" fontId="0" fillId="0" borderId="20" xfId="0" applyBorder="1"/>
    <xf numFmtId="0" fontId="2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9" fontId="0" fillId="0" borderId="23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1" fillId="0" borderId="8" xfId="0" applyFont="1" applyBorder="1"/>
    <xf numFmtId="3" fontId="0" fillId="0" borderId="17" xfId="0" applyNumberFormat="1" applyBorder="1" applyAlignment="1">
      <alignment horizontal="center"/>
    </xf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7" xfId="0" applyBorder="1"/>
    <xf numFmtId="0" fontId="1" fillId="0" borderId="24" xfId="0" applyFont="1" applyBorder="1"/>
    <xf numFmtId="0" fontId="1" fillId="0" borderId="25" xfId="0" applyFont="1" applyBorder="1"/>
    <xf numFmtId="0" fontId="1" fillId="0" borderId="7" xfId="0" applyFont="1" applyBorder="1"/>
    <xf numFmtId="0" fontId="1" fillId="0" borderId="26" xfId="0" applyFont="1" applyBorder="1"/>
    <xf numFmtId="3" fontId="0" fillId="0" borderId="26" xfId="0" applyNumberFormat="1" applyBorder="1" applyAlignment="1">
      <alignment horizontal="center"/>
    </xf>
    <xf numFmtId="0" fontId="3" fillId="0" borderId="0" xfId="0" applyFont="1" applyFill="1" applyBorder="1"/>
    <xf numFmtId="0" fontId="0" fillId="0" borderId="11" xfId="0" applyFont="1" applyBorder="1"/>
    <xf numFmtId="0" fontId="0" fillId="0" borderId="8" xfId="0" applyFont="1" applyBorder="1"/>
    <xf numFmtId="0" fontId="0" fillId="0" borderId="23" xfId="0" applyBorder="1"/>
    <xf numFmtId="0" fontId="0" fillId="0" borderId="23" xfId="0" applyBorder="1" applyAlignment="1">
      <alignment horizontal="center"/>
    </xf>
    <xf numFmtId="3" fontId="0" fillId="0" borderId="22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" fillId="0" borderId="23" xfId="0" applyFon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1" xfId="0" applyFont="1" applyBorder="1"/>
    <xf numFmtId="3" fontId="0" fillId="4" borderId="7" xfId="0" applyNumberFormat="1" applyFill="1" applyBorder="1" applyAlignment="1">
      <alignment horizontal="center"/>
    </xf>
    <xf numFmtId="0" fontId="1" fillId="0" borderId="13" xfId="0" applyFont="1" applyBorder="1"/>
    <xf numFmtId="9" fontId="0" fillId="0" borderId="23" xfId="0" applyNumberFormat="1" applyBorder="1"/>
    <xf numFmtId="9" fontId="0" fillId="0" borderId="21" xfId="0" applyNumberFormat="1" applyBorder="1"/>
    <xf numFmtId="0" fontId="1" fillId="0" borderId="0" xfId="0" applyFont="1" applyFill="1" applyBorder="1"/>
    <xf numFmtId="0" fontId="1" fillId="0" borderId="24" xfId="0" applyFont="1" applyFill="1" applyBorder="1"/>
    <xf numFmtId="9" fontId="0" fillId="0" borderId="7" xfId="0" applyNumberFormat="1" applyBorder="1"/>
    <xf numFmtId="10" fontId="0" fillId="0" borderId="7" xfId="0" applyNumberFormat="1" applyBorder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164" fontId="0" fillId="0" borderId="10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0" xfId="0" applyAlignment="1">
      <alignment wrapText="1"/>
    </xf>
    <xf numFmtId="165" fontId="5" fillId="7" borderId="0" xfId="0" applyNumberFormat="1" applyFont="1" applyFill="1"/>
    <xf numFmtId="15" fontId="5" fillId="7" borderId="0" xfId="0" applyNumberFormat="1" applyFont="1" applyFill="1"/>
    <xf numFmtId="166" fontId="0" fillId="0" borderId="0" xfId="1" applyNumberFormat="1" applyFont="1"/>
    <xf numFmtId="167" fontId="5" fillId="7" borderId="0" xfId="0" applyNumberFormat="1" applyFont="1" applyFill="1"/>
    <xf numFmtId="0" fontId="0" fillId="0" borderId="0" xfId="0" applyNumberFormat="1"/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2" fontId="0" fillId="0" borderId="0" xfId="0" applyNumberFormat="1"/>
    <xf numFmtId="1" fontId="0" fillId="0" borderId="2" xfId="0" applyNumberFormat="1" applyBorder="1"/>
    <xf numFmtId="1" fontId="9" fillId="0" borderId="0" xfId="0" applyNumberFormat="1" applyFont="1"/>
    <xf numFmtId="0" fontId="8" fillId="5" borderId="0" xfId="0" applyFont="1" applyFill="1"/>
    <xf numFmtId="0" fontId="8" fillId="6" borderId="0" xfId="0" applyFont="1" applyFill="1"/>
    <xf numFmtId="0" fontId="1" fillId="0" borderId="27" xfId="0" applyFont="1" applyBorder="1"/>
    <xf numFmtId="1" fontId="1" fillId="0" borderId="27" xfId="0" applyNumberFormat="1" applyFont="1" applyBorder="1"/>
    <xf numFmtId="2" fontId="1" fillId="0" borderId="27" xfId="0" applyNumberFormat="1" applyFont="1" applyBorder="1"/>
    <xf numFmtId="0" fontId="1" fillId="0" borderId="28" xfId="0" applyFont="1" applyBorder="1"/>
    <xf numFmtId="2" fontId="1" fillId="0" borderId="28" xfId="0" applyNumberFormat="1" applyFont="1" applyBorder="1"/>
    <xf numFmtId="0" fontId="12" fillId="8" borderId="0" xfId="0" applyFont="1" applyFill="1"/>
    <xf numFmtId="0" fontId="8" fillId="8" borderId="0" xfId="0" applyFont="1" applyFill="1"/>
    <xf numFmtId="0" fontId="1" fillId="0" borderId="4" xfId="0" applyFont="1" applyBorder="1"/>
    <xf numFmtId="0" fontId="1" fillId="0" borderId="0" xfId="0" applyFont="1" applyBorder="1"/>
    <xf numFmtId="0" fontId="0" fillId="0" borderId="0" xfId="0" applyFont="1" applyBorder="1"/>
    <xf numFmtId="168" fontId="0" fillId="0" borderId="0" xfId="0" applyNumberFormat="1"/>
    <xf numFmtId="0" fontId="0" fillId="0" borderId="0" xfId="0" applyFont="1" applyBorder="1" applyAlignment="1">
      <alignment horizontal="left"/>
    </xf>
    <xf numFmtId="168" fontId="1" fillId="0" borderId="27" xfId="0" applyNumberFormat="1" applyFont="1" applyBorder="1"/>
    <xf numFmtId="0" fontId="1" fillId="0" borderId="0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9" xfId="0" applyFont="1" applyBorder="1"/>
    <xf numFmtId="0" fontId="0" fillId="0" borderId="29" xfId="0" applyBorder="1"/>
    <xf numFmtId="2" fontId="1" fillId="0" borderId="29" xfId="0" applyNumberFormat="1" applyFont="1" applyBorder="1"/>
    <xf numFmtId="168" fontId="1" fillId="0" borderId="4" xfId="0" applyNumberFormat="1" applyFont="1" applyBorder="1"/>
    <xf numFmtId="0" fontId="13" fillId="0" borderId="0" xfId="0" applyFont="1"/>
    <xf numFmtId="9" fontId="13" fillId="0" borderId="0" xfId="2" applyFont="1"/>
    <xf numFmtId="165" fontId="5" fillId="9" borderId="0" xfId="0" applyNumberFormat="1" applyFont="1" applyFill="1"/>
    <xf numFmtId="165" fontId="5" fillId="7" borderId="0" xfId="0" applyNumberFormat="1" applyFont="1" applyFill="1" applyAlignment="1">
      <alignment horizontal="right"/>
    </xf>
    <xf numFmtId="15" fontId="5" fillId="9" borderId="0" xfId="0" applyNumberFormat="1" applyFont="1" applyFill="1"/>
    <xf numFmtId="168" fontId="1" fillId="0" borderId="0" xfId="0" applyNumberFormat="1" applyFont="1"/>
    <xf numFmtId="9" fontId="0" fillId="0" borderId="23" xfId="0" applyNumberFormat="1" applyFont="1" applyBorder="1"/>
    <xf numFmtId="9" fontId="0" fillId="0" borderId="0" xfId="0" applyNumberFormat="1"/>
    <xf numFmtId="0" fontId="0" fillId="0" borderId="4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Border="1"/>
    <xf numFmtId="0" fontId="2" fillId="0" borderId="11" xfId="0" applyFont="1" applyBorder="1"/>
    <xf numFmtId="0" fontId="0" fillId="0" borderId="0" xfId="0" applyAlignment="1">
      <alignment horizontal="left" indent="1"/>
    </xf>
    <xf numFmtId="0" fontId="1" fillId="0" borderId="4" xfId="0" applyFont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1" fillId="0" borderId="4" xfId="0" applyFont="1" applyBorder="1" applyAlignment="1">
      <alignment horizontal="left"/>
    </xf>
    <xf numFmtId="2" fontId="1" fillId="0" borderId="4" xfId="0" applyNumberFormat="1" applyFont="1" applyBorder="1"/>
    <xf numFmtId="0" fontId="0" fillId="0" borderId="27" xfId="0" applyBorder="1"/>
    <xf numFmtId="169" fontId="0" fillId="0" borderId="0" xfId="2" applyNumberFormat="1" applyFont="1" applyBorder="1"/>
    <xf numFmtId="0" fontId="1" fillId="0" borderId="27" xfId="0" applyFont="1" applyBorder="1" applyAlignment="1">
      <alignment wrapText="1"/>
    </xf>
    <xf numFmtId="168" fontId="0" fillId="0" borderId="0" xfId="0" applyNumberFormat="1" applyAlignment="1">
      <alignment horizontal="right" indent="1"/>
    </xf>
    <xf numFmtId="0" fontId="0" fillId="0" borderId="11" xfId="0" applyFont="1" applyBorder="1" applyAlignment="1">
      <alignment horizontal="left" indent="1"/>
    </xf>
    <xf numFmtId="0" fontId="0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BE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showGridLines="0" topLeftCell="A94" zoomScale="69" zoomScaleNormal="75" workbookViewId="0">
      <selection activeCell="G4" sqref="G4"/>
    </sheetView>
  </sheetViews>
  <sheetFormatPr defaultRowHeight="14.4" x14ac:dyDescent="0.3"/>
  <cols>
    <col min="1" max="1" width="46" customWidth="1"/>
    <col min="2" max="2" width="10.33203125" customWidth="1"/>
    <col min="3" max="3" width="10.6640625" customWidth="1"/>
    <col min="5" max="5" width="39.44140625" customWidth="1"/>
    <col min="6" max="6" width="12.109375" customWidth="1"/>
    <col min="7" max="7" width="22.6640625" customWidth="1"/>
  </cols>
  <sheetData>
    <row r="1" spans="1:7" x14ac:dyDescent="0.3">
      <c r="A1" s="132" t="s">
        <v>0</v>
      </c>
      <c r="B1" s="133"/>
      <c r="C1" s="133"/>
      <c r="D1" s="133"/>
      <c r="E1" s="133"/>
      <c r="F1" s="133"/>
      <c r="G1" s="134"/>
    </row>
    <row r="2" spans="1:7" ht="15" thickBot="1" x14ac:dyDescent="0.35"/>
    <row r="3" spans="1:7" x14ac:dyDescent="0.3">
      <c r="A3" s="4" t="s">
        <v>1</v>
      </c>
      <c r="B3" s="5"/>
      <c r="C3" s="5"/>
      <c r="D3" s="5"/>
      <c r="E3" s="5"/>
      <c r="F3" s="5"/>
      <c r="G3" s="68">
        <v>43922</v>
      </c>
    </row>
    <row r="4" spans="1:7" x14ac:dyDescent="0.3">
      <c r="A4" s="6" t="s">
        <v>2</v>
      </c>
      <c r="B4" s="1"/>
      <c r="C4" s="1"/>
      <c r="D4" s="1"/>
      <c r="E4" s="1"/>
      <c r="F4" s="1"/>
      <c r="G4" s="7" t="s">
        <v>4</v>
      </c>
    </row>
    <row r="5" spans="1:7" ht="15" thickBot="1" x14ac:dyDescent="0.35">
      <c r="A5" s="8" t="s">
        <v>3</v>
      </c>
      <c r="B5" s="9"/>
      <c r="C5" s="9"/>
      <c r="D5" s="9"/>
      <c r="E5" s="9"/>
      <c r="F5" s="9"/>
      <c r="G5" s="69">
        <v>44013</v>
      </c>
    </row>
    <row r="6" spans="1:7" x14ac:dyDescent="0.3">
      <c r="A6" s="135" t="s">
        <v>5</v>
      </c>
      <c r="B6" s="136"/>
      <c r="C6" s="136"/>
      <c r="D6" s="136"/>
      <c r="E6" s="136"/>
      <c r="F6" s="136"/>
      <c r="G6" s="137"/>
    </row>
    <row r="7" spans="1:7" ht="15" thickBot="1" x14ac:dyDescent="0.35"/>
    <row r="8" spans="1:7" x14ac:dyDescent="0.3">
      <c r="A8" s="17" t="s">
        <v>6</v>
      </c>
      <c r="B8" s="17" t="s">
        <v>7</v>
      </c>
      <c r="C8" s="10" t="s">
        <v>8</v>
      </c>
      <c r="E8" s="17" t="s">
        <v>6</v>
      </c>
      <c r="F8" s="17" t="s">
        <v>7</v>
      </c>
      <c r="G8" s="10" t="s">
        <v>8</v>
      </c>
    </row>
    <row r="9" spans="1:7" x14ac:dyDescent="0.3">
      <c r="A9" s="18" t="s">
        <v>9</v>
      </c>
      <c r="B9" s="23"/>
      <c r="C9" s="11"/>
      <c r="E9" s="18" t="s">
        <v>21</v>
      </c>
      <c r="F9" s="23"/>
      <c r="G9" s="11"/>
    </row>
    <row r="10" spans="1:7" x14ac:dyDescent="0.3">
      <c r="A10" s="19" t="s">
        <v>10</v>
      </c>
      <c r="B10" s="24">
        <v>1500</v>
      </c>
      <c r="C10" s="12">
        <v>1700</v>
      </c>
      <c r="E10" s="19" t="s">
        <v>10</v>
      </c>
      <c r="F10" s="24">
        <v>1600</v>
      </c>
      <c r="G10" s="12">
        <v>1900</v>
      </c>
    </row>
    <row r="11" spans="1:7" x14ac:dyDescent="0.3">
      <c r="A11" s="20" t="s">
        <v>11</v>
      </c>
      <c r="B11" s="25">
        <v>300</v>
      </c>
      <c r="C11" s="13">
        <v>500</v>
      </c>
      <c r="E11" s="20" t="s">
        <v>11</v>
      </c>
      <c r="F11" s="25">
        <v>400</v>
      </c>
      <c r="G11" s="13">
        <v>650</v>
      </c>
    </row>
    <row r="12" spans="1:7" x14ac:dyDescent="0.3">
      <c r="A12" s="20" t="s">
        <v>12</v>
      </c>
      <c r="B12" s="25">
        <v>200</v>
      </c>
      <c r="C12" s="13">
        <v>200</v>
      </c>
      <c r="E12" s="20" t="s">
        <v>12</v>
      </c>
      <c r="F12" s="25">
        <v>200</v>
      </c>
      <c r="G12" s="13">
        <v>250</v>
      </c>
    </row>
    <row r="13" spans="1:7" x14ac:dyDescent="0.3">
      <c r="A13" s="20" t="s">
        <v>13</v>
      </c>
      <c r="B13" s="25">
        <v>1000</v>
      </c>
      <c r="C13" s="13">
        <v>1000</v>
      </c>
      <c r="E13" s="20" t="s">
        <v>13</v>
      </c>
      <c r="F13" s="25">
        <v>1000</v>
      </c>
      <c r="G13" s="13">
        <v>1000</v>
      </c>
    </row>
    <row r="14" spans="1:7" x14ac:dyDescent="0.3">
      <c r="A14" s="20" t="s">
        <v>14</v>
      </c>
      <c r="B14" s="26">
        <v>0.05</v>
      </c>
      <c r="C14" s="14">
        <v>0.05</v>
      </c>
      <c r="E14" s="20" t="s">
        <v>14</v>
      </c>
      <c r="F14" s="26">
        <v>0.05</v>
      </c>
      <c r="G14" s="14">
        <v>0.05</v>
      </c>
    </row>
    <row r="15" spans="1:7" x14ac:dyDescent="0.3">
      <c r="A15" s="21"/>
      <c r="B15" s="25"/>
      <c r="C15" s="13"/>
      <c r="E15" s="21"/>
      <c r="F15" s="25"/>
      <c r="G15" s="13"/>
    </row>
    <row r="16" spans="1:7" x14ac:dyDescent="0.3">
      <c r="A16" s="19" t="s">
        <v>15</v>
      </c>
      <c r="B16" s="25"/>
      <c r="C16" s="13"/>
      <c r="E16" s="19" t="s">
        <v>15</v>
      </c>
      <c r="F16" s="25"/>
      <c r="G16" s="13"/>
    </row>
    <row r="17" spans="1:17" x14ac:dyDescent="0.3">
      <c r="A17" s="20" t="s">
        <v>16</v>
      </c>
      <c r="B17" s="25">
        <v>100</v>
      </c>
      <c r="C17" s="13">
        <v>100</v>
      </c>
      <c r="E17" s="20" t="s">
        <v>16</v>
      </c>
      <c r="F17" s="25">
        <v>100</v>
      </c>
      <c r="G17" s="13">
        <v>100</v>
      </c>
    </row>
    <row r="18" spans="1:17" x14ac:dyDescent="0.3">
      <c r="A18" s="20" t="s">
        <v>17</v>
      </c>
      <c r="B18" s="25">
        <v>2</v>
      </c>
      <c r="C18" s="13">
        <v>2</v>
      </c>
      <c r="E18" s="20" t="s">
        <v>17</v>
      </c>
      <c r="F18" s="25">
        <v>2</v>
      </c>
      <c r="G18" s="13">
        <v>2</v>
      </c>
    </row>
    <row r="19" spans="1:17" x14ac:dyDescent="0.3">
      <c r="A19" s="20" t="s">
        <v>18</v>
      </c>
      <c r="B19" s="27">
        <v>10</v>
      </c>
      <c r="C19" s="15">
        <v>13</v>
      </c>
      <c r="E19" s="20" t="s">
        <v>18</v>
      </c>
      <c r="F19" s="27">
        <v>13</v>
      </c>
      <c r="G19" s="15">
        <v>15</v>
      </c>
    </row>
    <row r="20" spans="1:17" x14ac:dyDescent="0.3">
      <c r="A20" s="20" t="s">
        <v>19</v>
      </c>
      <c r="B20" s="26">
        <v>0.02</v>
      </c>
      <c r="C20" s="14">
        <v>0.04</v>
      </c>
      <c r="E20" s="20" t="s">
        <v>19</v>
      </c>
      <c r="F20" s="26">
        <v>0.02</v>
      </c>
      <c r="G20" s="14">
        <v>0.04</v>
      </c>
    </row>
    <row r="21" spans="1:17" ht="15" thickBot="1" x14ac:dyDescent="0.35">
      <c r="A21" s="22" t="s">
        <v>20</v>
      </c>
      <c r="B21" s="28">
        <v>60</v>
      </c>
      <c r="C21" s="16">
        <v>80</v>
      </c>
      <c r="E21" s="22" t="s">
        <v>20</v>
      </c>
      <c r="F21" s="28">
        <v>70</v>
      </c>
      <c r="G21" s="16">
        <v>90</v>
      </c>
    </row>
    <row r="24" spans="1:17" ht="15" thickBot="1" x14ac:dyDescent="0.35">
      <c r="A24" s="138" t="s">
        <v>22</v>
      </c>
      <c r="B24" s="138"/>
      <c r="C24" s="138"/>
      <c r="D24" s="138"/>
      <c r="E24" s="138"/>
      <c r="F24" s="138"/>
      <c r="G24" s="138"/>
    </row>
    <row r="25" spans="1:17" x14ac:dyDescent="0.3">
      <c r="A25" s="47" t="s">
        <v>23</v>
      </c>
      <c r="B25" s="5"/>
      <c r="C25" s="5"/>
      <c r="D25" s="5"/>
      <c r="E25" s="5"/>
      <c r="F25" s="29"/>
      <c r="G25" s="32">
        <v>0.35</v>
      </c>
    </row>
    <row r="26" spans="1:17" x14ac:dyDescent="0.3">
      <c r="A26" s="46" t="s">
        <v>24</v>
      </c>
      <c r="B26" s="1"/>
      <c r="C26" s="1"/>
      <c r="D26" s="1"/>
      <c r="E26" s="1"/>
      <c r="F26" s="11"/>
      <c r="G26" s="26">
        <v>0.4</v>
      </c>
    </row>
    <row r="27" spans="1:17" ht="15" thickBot="1" x14ac:dyDescent="0.35">
      <c r="A27" s="8" t="s">
        <v>25</v>
      </c>
      <c r="B27" s="9"/>
      <c r="C27" s="9"/>
      <c r="D27" s="9"/>
      <c r="E27" s="9"/>
      <c r="F27" s="30"/>
      <c r="G27" s="33">
        <v>0.3</v>
      </c>
    </row>
    <row r="29" spans="1:17" ht="15" thickBot="1" x14ac:dyDescent="0.35">
      <c r="A29" s="2" t="s">
        <v>26</v>
      </c>
    </row>
    <row r="30" spans="1:17" ht="15" thickBot="1" x14ac:dyDescent="0.35">
      <c r="A30" s="40" t="s">
        <v>27</v>
      </c>
      <c r="B30" s="41"/>
      <c r="C30" s="41"/>
      <c r="D30" s="41"/>
      <c r="E30" s="42" t="s">
        <v>28</v>
      </c>
      <c r="F30" s="42" t="s">
        <v>29</v>
      </c>
      <c r="G30" s="43" t="s">
        <v>30</v>
      </c>
    </row>
    <row r="31" spans="1:17" x14ac:dyDescent="0.3">
      <c r="A31" s="6" t="s">
        <v>31</v>
      </c>
      <c r="B31" s="1"/>
      <c r="C31" s="1"/>
      <c r="D31" s="1"/>
      <c r="E31" s="23">
        <v>2</v>
      </c>
      <c r="F31" s="25">
        <v>20000</v>
      </c>
      <c r="G31" s="35">
        <v>40000</v>
      </c>
    </row>
    <row r="32" spans="1:17" x14ac:dyDescent="0.3">
      <c r="A32" s="6" t="s">
        <v>33</v>
      </c>
      <c r="B32" s="1"/>
      <c r="C32" s="1"/>
      <c r="D32" s="1"/>
      <c r="E32" s="23">
        <v>2</v>
      </c>
      <c r="F32" s="25">
        <v>50000</v>
      </c>
      <c r="G32" s="35">
        <v>100000</v>
      </c>
      <c r="Q32" t="s">
        <v>96</v>
      </c>
    </row>
    <row r="33" spans="1:7" x14ac:dyDescent="0.3">
      <c r="A33" s="6" t="s">
        <v>34</v>
      </c>
      <c r="B33" s="1"/>
      <c r="C33" s="1"/>
      <c r="D33" s="1"/>
      <c r="E33" s="23">
        <v>10</v>
      </c>
      <c r="F33" s="25">
        <v>20000</v>
      </c>
      <c r="G33" s="35">
        <v>200000</v>
      </c>
    </row>
    <row r="34" spans="1:7" x14ac:dyDescent="0.3">
      <c r="A34" s="6" t="s">
        <v>35</v>
      </c>
      <c r="B34" s="1"/>
      <c r="C34" s="1"/>
      <c r="D34" s="1"/>
      <c r="E34" s="23">
        <v>1</v>
      </c>
      <c r="F34" s="25">
        <v>100000</v>
      </c>
      <c r="G34" s="35">
        <v>100000</v>
      </c>
    </row>
    <row r="35" spans="1:7" x14ac:dyDescent="0.3">
      <c r="A35" s="6" t="s">
        <v>36</v>
      </c>
      <c r="B35" s="1"/>
      <c r="C35" s="1"/>
      <c r="D35" s="1"/>
      <c r="E35" s="23">
        <v>2</v>
      </c>
      <c r="F35" s="25">
        <v>75000</v>
      </c>
      <c r="G35" s="35">
        <v>150000</v>
      </c>
    </row>
    <row r="36" spans="1:7" x14ac:dyDescent="0.3">
      <c r="A36" s="6" t="s">
        <v>37</v>
      </c>
      <c r="B36" s="1"/>
      <c r="C36" s="1"/>
      <c r="D36" s="1"/>
      <c r="E36" s="23">
        <v>6</v>
      </c>
      <c r="F36" s="25">
        <v>30000</v>
      </c>
      <c r="G36" s="35">
        <v>180000</v>
      </c>
    </row>
    <row r="37" spans="1:7" x14ac:dyDescent="0.3">
      <c r="A37" s="6" t="s">
        <v>38</v>
      </c>
      <c r="B37" s="1"/>
      <c r="C37" s="1"/>
      <c r="D37" s="1"/>
      <c r="E37" s="23">
        <v>3</v>
      </c>
      <c r="F37" s="25">
        <v>17000</v>
      </c>
      <c r="G37" s="35">
        <v>51000</v>
      </c>
    </row>
    <row r="38" spans="1:7" x14ac:dyDescent="0.3">
      <c r="A38" s="6" t="s">
        <v>39</v>
      </c>
      <c r="B38" s="1"/>
      <c r="C38" s="1"/>
      <c r="D38" s="1"/>
      <c r="E38" s="23">
        <v>5</v>
      </c>
      <c r="F38" s="25">
        <v>17000</v>
      </c>
      <c r="G38" s="35">
        <v>85000</v>
      </c>
    </row>
    <row r="39" spans="1:7" ht="15" thickBot="1" x14ac:dyDescent="0.35">
      <c r="A39" s="8" t="s">
        <v>40</v>
      </c>
      <c r="B39" s="9"/>
      <c r="C39" s="9"/>
      <c r="D39" s="9"/>
      <c r="E39" s="36">
        <v>4</v>
      </c>
      <c r="F39" s="28">
        <v>20000</v>
      </c>
      <c r="G39" s="35">
        <v>80000</v>
      </c>
    </row>
    <row r="40" spans="1:7" ht="15" thickBot="1" x14ac:dyDescent="0.35">
      <c r="A40" s="139" t="s">
        <v>32</v>
      </c>
      <c r="B40" s="140"/>
      <c r="C40" s="140"/>
      <c r="D40" s="140"/>
      <c r="E40" s="141"/>
      <c r="F40" s="39"/>
      <c r="G40" s="44">
        <v>986000</v>
      </c>
    </row>
    <row r="41" spans="1:7" x14ac:dyDescent="0.3">
      <c r="A41" s="45" t="s">
        <v>41</v>
      </c>
      <c r="G41" s="3">
        <v>0.08</v>
      </c>
    </row>
    <row r="42" spans="1:7" ht="15" thickBot="1" x14ac:dyDescent="0.35">
      <c r="A42" s="138" t="s">
        <v>42</v>
      </c>
      <c r="B42" s="138"/>
      <c r="C42" s="138"/>
      <c r="D42" s="138"/>
      <c r="E42" s="138"/>
      <c r="F42" s="138"/>
      <c r="G42" s="138"/>
    </row>
    <row r="43" spans="1:7" ht="15" thickBot="1" x14ac:dyDescent="0.35">
      <c r="A43" s="40" t="s">
        <v>27</v>
      </c>
      <c r="B43" s="41"/>
      <c r="C43" s="41"/>
      <c r="D43" s="41"/>
      <c r="E43" s="42" t="s">
        <v>28</v>
      </c>
      <c r="F43" s="42" t="s">
        <v>29</v>
      </c>
      <c r="G43" s="43" t="s">
        <v>30</v>
      </c>
    </row>
    <row r="44" spans="1:7" x14ac:dyDescent="0.3">
      <c r="A44" s="4" t="s">
        <v>43</v>
      </c>
      <c r="B44" s="5"/>
      <c r="C44" s="5"/>
      <c r="D44" s="5"/>
      <c r="E44" s="48">
        <v>1</v>
      </c>
      <c r="F44" s="49">
        <v>50000</v>
      </c>
      <c r="G44" s="50">
        <v>50000</v>
      </c>
    </row>
    <row r="45" spans="1:7" x14ac:dyDescent="0.3">
      <c r="A45" s="6" t="s">
        <v>44</v>
      </c>
      <c r="B45" s="1"/>
      <c r="C45" s="1"/>
      <c r="D45" s="1"/>
      <c r="E45" s="23">
        <v>2</v>
      </c>
      <c r="F45" s="25">
        <v>35000</v>
      </c>
      <c r="G45" s="35">
        <v>70000</v>
      </c>
    </row>
    <row r="46" spans="1:7" x14ac:dyDescent="0.3">
      <c r="A46" s="6" t="s">
        <v>45</v>
      </c>
      <c r="B46" s="1"/>
      <c r="C46" s="1"/>
      <c r="D46" s="1"/>
      <c r="E46" s="23">
        <v>2</v>
      </c>
      <c r="F46" s="25">
        <v>20000</v>
      </c>
      <c r="G46" s="35">
        <v>40000</v>
      </c>
    </row>
    <row r="47" spans="1:7" x14ac:dyDescent="0.3">
      <c r="A47" s="6" t="s">
        <v>46</v>
      </c>
      <c r="B47" s="1"/>
      <c r="C47" s="1"/>
      <c r="D47" s="1"/>
      <c r="E47" s="23">
        <v>2</v>
      </c>
      <c r="F47" s="25">
        <v>40000</v>
      </c>
      <c r="G47" s="35">
        <v>80000</v>
      </c>
    </row>
    <row r="48" spans="1:7" x14ac:dyDescent="0.3">
      <c r="A48" s="6" t="s">
        <v>47</v>
      </c>
      <c r="B48" s="1"/>
      <c r="C48" s="1"/>
      <c r="D48" s="1"/>
      <c r="E48" s="23">
        <v>2</v>
      </c>
      <c r="F48" s="25">
        <v>40000</v>
      </c>
      <c r="G48" s="35">
        <v>80000</v>
      </c>
    </row>
    <row r="49" spans="1:7" ht="15" thickBot="1" x14ac:dyDescent="0.35">
      <c r="A49" s="6" t="s">
        <v>48</v>
      </c>
      <c r="B49" s="1"/>
      <c r="C49" s="1"/>
      <c r="D49" s="1"/>
      <c r="E49" s="36">
        <v>2</v>
      </c>
      <c r="F49" s="28">
        <v>30000</v>
      </c>
      <c r="G49" s="35">
        <v>60000</v>
      </c>
    </row>
    <row r="50" spans="1:7" ht="15" thickBot="1" x14ac:dyDescent="0.35">
      <c r="A50" s="142" t="s">
        <v>32</v>
      </c>
      <c r="B50" s="143"/>
      <c r="C50" s="143"/>
      <c r="D50" s="143"/>
      <c r="E50" s="144"/>
      <c r="F50" s="39"/>
      <c r="G50" s="44">
        <v>380000</v>
      </c>
    </row>
    <row r="51" spans="1:7" ht="15" thickBot="1" x14ac:dyDescent="0.35">
      <c r="A51" s="5"/>
      <c r="B51" s="5"/>
      <c r="C51" s="5"/>
      <c r="D51" s="5"/>
      <c r="G51" s="5"/>
    </row>
    <row r="52" spans="1:7" x14ac:dyDescent="0.3">
      <c r="A52" s="4" t="s">
        <v>49</v>
      </c>
      <c r="B52" s="5"/>
      <c r="C52" s="5"/>
      <c r="D52" s="5"/>
      <c r="E52" s="5"/>
      <c r="F52" s="5"/>
      <c r="G52" s="32">
        <v>0.05</v>
      </c>
    </row>
    <row r="53" spans="1:7" x14ac:dyDescent="0.3">
      <c r="A53" s="6" t="s">
        <v>50</v>
      </c>
      <c r="B53" s="1"/>
      <c r="C53" s="1"/>
      <c r="D53" s="1"/>
      <c r="E53" s="1"/>
      <c r="F53" s="1"/>
      <c r="G53" s="26">
        <v>0.1</v>
      </c>
    </row>
    <row r="54" spans="1:7" x14ac:dyDescent="0.3">
      <c r="A54" s="6" t="s">
        <v>51</v>
      </c>
      <c r="B54" s="1"/>
      <c r="C54" s="1"/>
      <c r="D54" s="1"/>
      <c r="E54" s="1"/>
      <c r="F54" s="1"/>
      <c r="G54" s="25">
        <v>10000</v>
      </c>
    </row>
    <row r="55" spans="1:7" x14ac:dyDescent="0.3">
      <c r="A55" s="6" t="s">
        <v>52</v>
      </c>
      <c r="B55" s="1"/>
      <c r="C55" s="1"/>
      <c r="D55" s="1"/>
      <c r="E55" s="1"/>
      <c r="F55" s="1"/>
      <c r="G55" s="25">
        <v>50000</v>
      </c>
    </row>
    <row r="56" spans="1:7" x14ac:dyDescent="0.3">
      <c r="A56" s="6" t="s">
        <v>53</v>
      </c>
      <c r="B56" s="1"/>
      <c r="C56" s="1"/>
      <c r="D56" s="1"/>
      <c r="E56" s="1"/>
      <c r="F56" s="1"/>
      <c r="G56" s="25">
        <v>25000</v>
      </c>
    </row>
    <row r="57" spans="1:7" x14ac:dyDescent="0.3">
      <c r="A57" s="6" t="s">
        <v>54</v>
      </c>
      <c r="B57" s="1"/>
      <c r="C57" s="1"/>
      <c r="D57" s="1"/>
      <c r="E57" s="1"/>
      <c r="F57" s="1"/>
      <c r="G57" s="25">
        <v>5</v>
      </c>
    </row>
    <row r="58" spans="1:7" x14ac:dyDescent="0.3">
      <c r="A58" s="6" t="s">
        <v>55</v>
      </c>
      <c r="B58" s="1"/>
      <c r="C58" s="1"/>
      <c r="D58" s="1"/>
      <c r="E58" s="1"/>
      <c r="F58" s="1"/>
      <c r="G58" s="51">
        <v>15000</v>
      </c>
    </row>
    <row r="59" spans="1:7" x14ac:dyDescent="0.3">
      <c r="A59" s="6" t="s">
        <v>56</v>
      </c>
      <c r="B59" s="1"/>
      <c r="C59" s="1"/>
      <c r="D59" s="1"/>
      <c r="E59" s="1"/>
      <c r="F59" s="1"/>
      <c r="G59" s="26">
        <v>0.02</v>
      </c>
    </row>
    <row r="60" spans="1:7" x14ac:dyDescent="0.3">
      <c r="A60" s="6" t="s">
        <v>57</v>
      </c>
      <c r="B60" s="1"/>
      <c r="C60" s="1"/>
      <c r="D60" s="1"/>
      <c r="E60" s="1"/>
      <c r="F60" s="1"/>
      <c r="G60" s="52">
        <v>1.4999999999999999E-2</v>
      </c>
    </row>
    <row r="61" spans="1:7" ht="15" thickBot="1" x14ac:dyDescent="0.35">
      <c r="A61" s="8" t="s">
        <v>58</v>
      </c>
      <c r="B61" s="9"/>
      <c r="C61" s="9"/>
      <c r="D61" s="9"/>
      <c r="E61" s="9"/>
      <c r="F61" s="9"/>
      <c r="G61" s="33">
        <v>0.5</v>
      </c>
    </row>
    <row r="62" spans="1:7" x14ac:dyDescent="0.3">
      <c r="A62" s="2" t="s">
        <v>59</v>
      </c>
      <c r="G62" s="3">
        <v>0.08</v>
      </c>
    </row>
    <row r="64" spans="1:7" ht="15" thickBot="1" x14ac:dyDescent="0.35">
      <c r="A64" s="138" t="s">
        <v>60</v>
      </c>
      <c r="B64" s="138"/>
      <c r="C64" s="138"/>
      <c r="D64" s="138"/>
      <c r="E64" s="138"/>
      <c r="F64" s="138"/>
      <c r="G64" s="138"/>
    </row>
    <row r="65" spans="1:7" x14ac:dyDescent="0.3">
      <c r="A65" s="4" t="s">
        <v>61</v>
      </c>
      <c r="B65" s="5"/>
      <c r="C65" s="5"/>
      <c r="D65" s="5"/>
      <c r="E65" s="5"/>
      <c r="F65" s="5"/>
      <c r="G65" s="49">
        <v>4000</v>
      </c>
    </row>
    <row r="66" spans="1:7" x14ac:dyDescent="0.3">
      <c r="A66" s="6" t="s">
        <v>62</v>
      </c>
      <c r="B66" s="1"/>
      <c r="C66" s="1"/>
      <c r="D66" s="1"/>
      <c r="E66" s="1"/>
      <c r="F66" s="1"/>
      <c r="G66" s="25">
        <v>1.33</v>
      </c>
    </row>
    <row r="67" spans="1:7" x14ac:dyDescent="0.3">
      <c r="A67" s="6" t="s">
        <v>63</v>
      </c>
      <c r="B67" s="1"/>
      <c r="C67" s="1"/>
      <c r="D67" s="1"/>
      <c r="E67" s="1"/>
      <c r="F67" s="1"/>
      <c r="G67" s="25">
        <v>5320</v>
      </c>
    </row>
    <row r="68" spans="1:7" x14ac:dyDescent="0.3">
      <c r="A68" s="6" t="s">
        <v>64</v>
      </c>
      <c r="B68" s="1"/>
      <c r="C68" s="1"/>
      <c r="D68" s="1"/>
      <c r="E68" s="1"/>
      <c r="F68" s="1"/>
      <c r="G68" s="26">
        <v>0.75</v>
      </c>
    </row>
    <row r="69" spans="1:7" x14ac:dyDescent="0.3">
      <c r="A69" s="6" t="s">
        <v>65</v>
      </c>
      <c r="B69" s="1"/>
      <c r="C69" s="1"/>
      <c r="D69" s="1"/>
      <c r="E69" s="1"/>
      <c r="F69" s="1"/>
      <c r="G69" s="25">
        <v>3000</v>
      </c>
    </row>
    <row r="70" spans="1:7" x14ac:dyDescent="0.3">
      <c r="A70" s="6" t="s">
        <v>66</v>
      </c>
      <c r="B70" s="1"/>
      <c r="C70" s="1"/>
      <c r="D70" s="1"/>
      <c r="E70" s="1"/>
      <c r="F70" s="1"/>
      <c r="G70" s="25">
        <v>1000</v>
      </c>
    </row>
    <row r="71" spans="1:7" x14ac:dyDescent="0.3">
      <c r="A71" s="6" t="s">
        <v>67</v>
      </c>
      <c r="B71" s="1"/>
      <c r="C71" s="1"/>
      <c r="D71" s="1"/>
      <c r="E71" s="1"/>
      <c r="F71" s="1"/>
      <c r="G71" s="25">
        <v>25</v>
      </c>
    </row>
    <row r="72" spans="1:7" x14ac:dyDescent="0.3">
      <c r="A72" s="6" t="s">
        <v>68</v>
      </c>
      <c r="B72" s="1"/>
      <c r="C72" s="1"/>
      <c r="D72" s="1"/>
      <c r="E72" s="1"/>
      <c r="F72" s="1"/>
      <c r="G72" s="25">
        <v>100</v>
      </c>
    </row>
    <row r="73" spans="1:7" x14ac:dyDescent="0.3">
      <c r="A73" s="6" t="s">
        <v>69</v>
      </c>
      <c r="B73" s="1"/>
      <c r="C73" s="1"/>
      <c r="D73" s="1"/>
      <c r="E73" s="1"/>
      <c r="F73" s="1"/>
      <c r="G73" s="25">
        <v>4</v>
      </c>
    </row>
    <row r="74" spans="1:7" ht="15" thickBot="1" x14ac:dyDescent="0.35">
      <c r="A74" s="8" t="s">
        <v>70</v>
      </c>
      <c r="B74" s="9"/>
      <c r="C74" s="9"/>
      <c r="D74" s="9"/>
      <c r="E74" s="9"/>
      <c r="F74" s="9"/>
      <c r="G74" s="28">
        <v>30</v>
      </c>
    </row>
    <row r="77" spans="1:7" ht="15" thickBot="1" x14ac:dyDescent="0.35">
      <c r="A77" s="138" t="s">
        <v>71</v>
      </c>
      <c r="B77" s="138"/>
      <c r="C77" s="138"/>
      <c r="D77" s="138"/>
      <c r="E77" s="138"/>
      <c r="F77" s="138"/>
      <c r="G77" s="138"/>
    </row>
    <row r="78" spans="1:7" x14ac:dyDescent="0.3">
      <c r="A78" s="34" t="s">
        <v>73</v>
      </c>
      <c r="B78" s="5"/>
      <c r="C78" s="5"/>
      <c r="D78" s="5"/>
      <c r="E78" s="5"/>
      <c r="F78" s="5"/>
      <c r="G78" s="53" t="s">
        <v>78</v>
      </c>
    </row>
    <row r="79" spans="1:7" x14ac:dyDescent="0.3">
      <c r="A79" s="6" t="s">
        <v>74</v>
      </c>
      <c r="B79" s="1"/>
      <c r="C79" s="1"/>
      <c r="D79" s="1"/>
      <c r="E79" s="1"/>
      <c r="F79" s="1"/>
      <c r="G79" s="25">
        <v>3000</v>
      </c>
    </row>
    <row r="80" spans="1:7" x14ac:dyDescent="0.3">
      <c r="A80" s="6" t="s">
        <v>128</v>
      </c>
      <c r="B80" s="1"/>
      <c r="C80" s="1"/>
      <c r="D80" s="1"/>
      <c r="E80" s="1"/>
      <c r="F80" s="1"/>
      <c r="G80" s="25">
        <v>5000</v>
      </c>
    </row>
    <row r="81" spans="1:8" x14ac:dyDescent="0.3">
      <c r="A81" s="6" t="s">
        <v>75</v>
      </c>
      <c r="B81" s="1"/>
      <c r="C81" s="1"/>
      <c r="D81" s="1"/>
      <c r="E81" s="1"/>
      <c r="F81" s="1"/>
      <c r="G81" s="25">
        <v>1700</v>
      </c>
    </row>
    <row r="82" spans="1:8" x14ac:dyDescent="0.3">
      <c r="A82" s="6" t="s">
        <v>76</v>
      </c>
      <c r="B82" s="1"/>
      <c r="C82" s="1"/>
      <c r="D82" s="1"/>
      <c r="E82" s="1"/>
      <c r="F82" s="1"/>
      <c r="G82" s="25">
        <v>2000</v>
      </c>
    </row>
    <row r="83" spans="1:8" ht="15" thickBot="1" x14ac:dyDescent="0.35">
      <c r="A83" s="8" t="s">
        <v>77</v>
      </c>
      <c r="B83" s="9"/>
      <c r="C83" s="9"/>
      <c r="D83" s="9"/>
      <c r="E83" s="9"/>
      <c r="F83" s="9"/>
      <c r="G83" s="54">
        <v>1000000</v>
      </c>
    </row>
    <row r="84" spans="1:8" x14ac:dyDescent="0.3">
      <c r="A84" s="1"/>
      <c r="B84" s="1"/>
      <c r="C84" s="1"/>
      <c r="D84" s="1"/>
      <c r="E84" s="1"/>
      <c r="F84" s="1"/>
      <c r="G84" s="31"/>
      <c r="H84" s="1"/>
    </row>
    <row r="85" spans="1:8" ht="15" thickBot="1" x14ac:dyDescent="0.35">
      <c r="A85" s="145" t="s">
        <v>72</v>
      </c>
      <c r="B85" s="145"/>
      <c r="C85" s="145"/>
      <c r="D85" s="145"/>
      <c r="E85" s="145"/>
      <c r="F85" s="145"/>
      <c r="G85" s="145"/>
      <c r="H85" s="1"/>
    </row>
    <row r="86" spans="1:8" ht="15" thickBot="1" x14ac:dyDescent="0.35">
      <c r="A86" s="37"/>
      <c r="B86" s="38"/>
      <c r="C86" s="38"/>
      <c r="D86" s="38"/>
      <c r="E86" s="38"/>
      <c r="F86" s="38"/>
      <c r="G86" s="55" t="s">
        <v>79</v>
      </c>
    </row>
    <row r="87" spans="1:8" ht="15" thickBot="1" x14ac:dyDescent="0.35">
      <c r="A87" s="56" t="s">
        <v>86</v>
      </c>
      <c r="B87" s="1"/>
      <c r="C87" s="1"/>
      <c r="D87" s="1"/>
      <c r="E87" s="1"/>
      <c r="F87" s="1"/>
      <c r="G87" s="57">
        <v>2400000</v>
      </c>
    </row>
    <row r="88" spans="1:8" x14ac:dyDescent="0.3">
      <c r="A88" s="56" t="s">
        <v>80</v>
      </c>
      <c r="B88" s="1"/>
      <c r="C88" s="1"/>
      <c r="D88" s="1"/>
      <c r="E88" s="1"/>
      <c r="F88" s="1"/>
      <c r="G88" s="25"/>
    </row>
    <row r="89" spans="1:8" x14ac:dyDescent="0.3">
      <c r="A89" s="6" t="s">
        <v>83</v>
      </c>
      <c r="B89" s="1"/>
      <c r="C89" s="1"/>
      <c r="D89" s="1"/>
      <c r="E89" s="1"/>
      <c r="F89" s="1"/>
      <c r="G89" s="25">
        <v>30</v>
      </c>
    </row>
    <row r="90" spans="1:8" x14ac:dyDescent="0.3">
      <c r="A90" s="6" t="s">
        <v>84</v>
      </c>
      <c r="B90" s="1"/>
      <c r="C90" s="1"/>
      <c r="D90" s="1"/>
      <c r="E90" s="1"/>
      <c r="F90" s="1"/>
      <c r="G90" s="25">
        <v>15</v>
      </c>
    </row>
    <row r="91" spans="1:8" x14ac:dyDescent="0.3">
      <c r="A91" s="6" t="s">
        <v>85</v>
      </c>
      <c r="B91" s="1"/>
      <c r="C91" s="1"/>
      <c r="D91" s="1"/>
      <c r="E91" s="1"/>
      <c r="F91" s="1"/>
      <c r="G91" s="25">
        <v>5</v>
      </c>
    </row>
    <row r="92" spans="1:8" x14ac:dyDescent="0.3">
      <c r="A92" s="6" t="s">
        <v>81</v>
      </c>
      <c r="B92" s="1"/>
      <c r="C92" s="1"/>
      <c r="D92" s="1"/>
      <c r="E92" s="1"/>
      <c r="F92" s="1"/>
      <c r="G92" s="25">
        <v>30</v>
      </c>
    </row>
    <row r="93" spans="1:8" ht="15" thickBot="1" x14ac:dyDescent="0.35">
      <c r="A93" s="8" t="s">
        <v>82</v>
      </c>
      <c r="B93" s="9"/>
      <c r="C93" s="9"/>
      <c r="D93" s="9"/>
      <c r="E93" s="9"/>
      <c r="F93" s="9"/>
      <c r="G93" s="28">
        <v>30</v>
      </c>
    </row>
    <row r="95" spans="1:8" ht="15" thickBot="1" x14ac:dyDescent="0.35">
      <c r="A95" s="138" t="s">
        <v>87</v>
      </c>
      <c r="B95" s="138"/>
      <c r="C95" s="138"/>
      <c r="D95" s="138"/>
      <c r="E95" s="138"/>
      <c r="F95" s="138"/>
      <c r="G95" s="138"/>
    </row>
    <row r="96" spans="1:8" x14ac:dyDescent="0.3">
      <c r="A96" s="34" t="s">
        <v>73</v>
      </c>
      <c r="B96" s="5"/>
      <c r="C96" s="5"/>
      <c r="D96" s="5"/>
      <c r="E96" s="5"/>
      <c r="F96" s="5"/>
      <c r="G96" s="59">
        <v>0.15</v>
      </c>
    </row>
    <row r="97" spans="1:7" ht="15" thickBot="1" x14ac:dyDescent="0.35">
      <c r="A97" s="58" t="s">
        <v>89</v>
      </c>
      <c r="B97" s="9"/>
      <c r="C97" s="9"/>
      <c r="D97" s="9"/>
      <c r="E97" s="9"/>
      <c r="F97" s="9"/>
      <c r="G97" s="60">
        <v>0.1</v>
      </c>
    </row>
    <row r="99" spans="1:7" ht="15" thickBot="1" x14ac:dyDescent="0.35">
      <c r="A99" s="138" t="s">
        <v>88</v>
      </c>
      <c r="B99" s="138"/>
      <c r="C99" s="138"/>
      <c r="D99" s="138"/>
      <c r="E99" s="138"/>
      <c r="F99" s="138"/>
      <c r="G99" s="138"/>
    </row>
    <row r="100" spans="1:7" x14ac:dyDescent="0.3">
      <c r="A100" s="34" t="s">
        <v>90</v>
      </c>
      <c r="B100" s="5"/>
      <c r="C100" s="5"/>
      <c r="D100" s="5"/>
      <c r="E100" s="5"/>
      <c r="F100" s="29"/>
      <c r="G100" s="113">
        <v>1</v>
      </c>
    </row>
    <row r="101" spans="1:7" ht="15" thickBot="1" x14ac:dyDescent="0.35">
      <c r="A101" s="58" t="s">
        <v>91</v>
      </c>
      <c r="B101" s="9"/>
      <c r="C101" s="9"/>
      <c r="D101" s="9"/>
      <c r="E101" s="9"/>
      <c r="F101" s="30"/>
      <c r="G101" s="60">
        <v>0</v>
      </c>
    </row>
    <row r="102" spans="1:7" ht="15" thickBot="1" x14ac:dyDescent="0.35">
      <c r="A102" s="61" t="s">
        <v>92</v>
      </c>
    </row>
    <row r="103" spans="1:7" ht="15" thickBot="1" x14ac:dyDescent="0.35">
      <c r="A103" s="62" t="s">
        <v>93</v>
      </c>
      <c r="B103" s="38"/>
      <c r="C103" s="38"/>
      <c r="D103" s="38"/>
      <c r="E103" s="38"/>
      <c r="F103" s="38"/>
      <c r="G103" s="63">
        <v>0.12</v>
      </c>
    </row>
    <row r="104" spans="1:7" ht="15" thickBot="1" x14ac:dyDescent="0.35"/>
    <row r="105" spans="1:7" ht="15" thickBot="1" x14ac:dyDescent="0.35">
      <c r="A105" s="40" t="s">
        <v>94</v>
      </c>
      <c r="B105" s="38"/>
      <c r="C105" s="38"/>
      <c r="D105" s="38"/>
      <c r="E105" s="38"/>
      <c r="F105" s="38"/>
      <c r="G105" s="64">
        <v>0.25169999999999998</v>
      </c>
    </row>
    <row r="107" spans="1:7" s="117" customFormat="1" x14ac:dyDescent="0.3">
      <c r="A107" s="118" t="s">
        <v>95</v>
      </c>
    </row>
  </sheetData>
  <mergeCells count="11">
    <mergeCell ref="A99:G99"/>
    <mergeCell ref="A42:G42"/>
    <mergeCell ref="A50:E50"/>
    <mergeCell ref="A64:G64"/>
    <mergeCell ref="A77:G77"/>
    <mergeCell ref="A85:G85"/>
    <mergeCell ref="A1:G1"/>
    <mergeCell ref="A6:G6"/>
    <mergeCell ref="A24:G24"/>
    <mergeCell ref="A40:E40"/>
    <mergeCell ref="A95:G9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workbookViewId="0">
      <selection activeCell="A26" sqref="A26:XFD26"/>
    </sheetView>
  </sheetViews>
  <sheetFormatPr defaultRowHeight="14.4" x14ac:dyDescent="0.3"/>
  <cols>
    <col min="1" max="1" width="24.88671875" customWidth="1"/>
    <col min="2" max="2" width="5.5546875" bestFit="1" customWidth="1"/>
    <col min="5" max="5" width="16.6640625" bestFit="1" customWidth="1"/>
    <col min="6" max="7" width="9.6640625" bestFit="1" customWidth="1"/>
  </cols>
  <sheetData>
    <row r="1" spans="1:7" x14ac:dyDescent="0.3">
      <c r="A1" t="s">
        <v>109</v>
      </c>
      <c r="B1" s="66" t="str">
        <f>Convertor!C1</f>
        <v>Lakhs</v>
      </c>
    </row>
    <row r="3" spans="1:7" x14ac:dyDescent="0.3">
      <c r="E3" s="74">
        <v>1</v>
      </c>
      <c r="F3" s="74">
        <f>E3+1</f>
        <v>2</v>
      </c>
      <c r="G3" s="74">
        <f>F3+1</f>
        <v>3</v>
      </c>
    </row>
    <row r="4" spans="1:7" x14ac:dyDescent="0.3">
      <c r="E4" s="72">
        <f>EOMONTH(Assumptions!G3,11)</f>
        <v>44286</v>
      </c>
      <c r="F4" s="72">
        <f>EOMONTH(E4,12)</f>
        <v>44651</v>
      </c>
      <c r="G4" s="72">
        <f t="shared" ref="G4" si="0">EOMONTH(F4,12)</f>
        <v>45016</v>
      </c>
    </row>
    <row r="5" spans="1:7" x14ac:dyDescent="0.3">
      <c r="A5" s="76" t="s">
        <v>153</v>
      </c>
    </row>
    <row r="6" spans="1:7" x14ac:dyDescent="0.3">
      <c r="A6" t="s">
        <v>150</v>
      </c>
      <c r="E6" s="98">
        <f>'Annual P&amp;L'!E40</f>
        <v>-22.520998244057299</v>
      </c>
      <c r="F6" s="98">
        <f>'Annual P&amp;L'!F40</f>
        <v>10.841144847317665</v>
      </c>
      <c r="G6" s="98">
        <f>'Annual P&amp;L'!G40</f>
        <v>78.599329979209543</v>
      </c>
    </row>
    <row r="7" spans="1:7" x14ac:dyDescent="0.3">
      <c r="A7" t="s">
        <v>154</v>
      </c>
      <c r="E7" s="98">
        <f>'Annual P&amp;L'!E32</f>
        <v>17.277534246575343</v>
      </c>
      <c r="F7" s="98">
        <f>'Annual P&amp;L'!F32</f>
        <v>20.923479452054796</v>
      </c>
      <c r="G7" s="98">
        <f>'Annual P&amp;L'!G32</f>
        <v>18.298446575342464</v>
      </c>
    </row>
    <row r="8" spans="1:7" ht="27" customHeight="1" x14ac:dyDescent="0.3">
      <c r="A8" s="127" t="s">
        <v>155</v>
      </c>
      <c r="B8" s="125"/>
      <c r="C8" s="125"/>
      <c r="D8" s="125"/>
      <c r="E8" s="100">
        <f>E6+E7</f>
        <v>-5.2434639974819568</v>
      </c>
      <c r="F8" s="100">
        <f t="shared" ref="F8:G8" si="1">F6+F7</f>
        <v>31.764624299372461</v>
      </c>
      <c r="G8" s="100">
        <f t="shared" si="1"/>
        <v>96.89777655455201</v>
      </c>
    </row>
    <row r="9" spans="1:7" x14ac:dyDescent="0.3">
      <c r="A9" t="s">
        <v>156</v>
      </c>
      <c r="E9" s="98">
        <f>'Working capital'!E22</f>
        <v>15.863306735308095</v>
      </c>
      <c r="F9" s="98">
        <f>'Working capital'!F22</f>
        <v>5.3062479540931999</v>
      </c>
      <c r="G9" s="98">
        <f>'Working capital'!G22</f>
        <v>6.4214038539433105</v>
      </c>
    </row>
    <row r="11" spans="1:7" x14ac:dyDescent="0.3">
      <c r="A11" s="88" t="s">
        <v>157</v>
      </c>
      <c r="B11" s="125"/>
      <c r="C11" s="125"/>
      <c r="D11" s="125"/>
      <c r="E11" s="100">
        <f>E8+E9</f>
        <v>10.619842737826138</v>
      </c>
      <c r="F11" s="100">
        <f t="shared" ref="F11:G11" si="2">F8+F9</f>
        <v>37.070872253465659</v>
      </c>
      <c r="G11" s="100">
        <f t="shared" si="2"/>
        <v>103.31918040849533</v>
      </c>
    </row>
    <row r="13" spans="1:7" x14ac:dyDescent="0.3">
      <c r="A13" s="76" t="s">
        <v>158</v>
      </c>
    </row>
    <row r="14" spans="1:7" x14ac:dyDescent="0.3">
      <c r="A14" t="s">
        <v>159</v>
      </c>
      <c r="E14" s="83">
        <f>-'Capital Structure'!C10</f>
        <v>-191</v>
      </c>
      <c r="F14" s="83">
        <f>0</f>
        <v>0</v>
      </c>
      <c r="G14" s="83">
        <f>0</f>
        <v>0</v>
      </c>
    </row>
    <row r="15" spans="1:7" x14ac:dyDescent="0.3">
      <c r="A15" t="s">
        <v>160</v>
      </c>
      <c r="E15" s="83">
        <f>-'Capital Structure'!C11</f>
        <v>-10</v>
      </c>
      <c r="F15" s="83">
        <f>0</f>
        <v>0</v>
      </c>
      <c r="G15" s="83">
        <f>0</f>
        <v>0</v>
      </c>
    </row>
    <row r="16" spans="1:7" x14ac:dyDescent="0.3">
      <c r="A16" s="88" t="s">
        <v>161</v>
      </c>
      <c r="B16" s="125"/>
      <c r="C16" s="125"/>
      <c r="D16" s="125"/>
      <c r="E16" s="90">
        <f>E14+E15</f>
        <v>-201</v>
      </c>
      <c r="F16" s="90">
        <f t="shared" ref="F16:G16" si="3">F14+F15</f>
        <v>0</v>
      </c>
      <c r="G16" s="90">
        <f t="shared" si="3"/>
        <v>0</v>
      </c>
    </row>
    <row r="18" spans="1:7" x14ac:dyDescent="0.3">
      <c r="A18" s="76" t="s">
        <v>162</v>
      </c>
    </row>
    <row r="19" spans="1:7" x14ac:dyDescent="0.3">
      <c r="A19" t="s">
        <v>163</v>
      </c>
      <c r="E19" s="98">
        <f>+'Capital Structure'!C17</f>
        <v>225</v>
      </c>
      <c r="F19">
        <f>0</f>
        <v>0</v>
      </c>
      <c r="G19">
        <f>0</f>
        <v>0</v>
      </c>
    </row>
    <row r="20" spans="1:7" x14ac:dyDescent="0.3">
      <c r="A20" s="88" t="s">
        <v>164</v>
      </c>
      <c r="B20" s="125"/>
      <c r="C20" s="125"/>
      <c r="D20" s="125"/>
      <c r="E20" s="100">
        <f>E19</f>
        <v>225</v>
      </c>
      <c r="F20" s="88">
        <f>0</f>
        <v>0</v>
      </c>
      <c r="G20" s="88">
        <f>0</f>
        <v>0</v>
      </c>
    </row>
    <row r="22" spans="1:7" x14ac:dyDescent="0.3">
      <c r="A22" t="s">
        <v>165</v>
      </c>
      <c r="E22" s="98">
        <f>E11+E16+E20</f>
        <v>34.619842737826133</v>
      </c>
      <c r="F22" s="98">
        <f t="shared" ref="F22:G22" si="4">F11+F16+F20</f>
        <v>37.070872253465659</v>
      </c>
      <c r="G22" s="98">
        <f t="shared" si="4"/>
        <v>103.31918040849533</v>
      </c>
    </row>
    <row r="23" spans="1:7" x14ac:dyDescent="0.3">
      <c r="A23" t="s">
        <v>166</v>
      </c>
      <c r="E23">
        <f>0</f>
        <v>0</v>
      </c>
      <c r="F23" s="98">
        <f>E24</f>
        <v>34.619842737826133</v>
      </c>
      <c r="G23" s="98">
        <f>F24</f>
        <v>71.690714991291799</v>
      </c>
    </row>
    <row r="24" spans="1:7" x14ac:dyDescent="0.3">
      <c r="A24" s="95" t="s">
        <v>141</v>
      </c>
      <c r="B24" s="115"/>
      <c r="C24" s="115"/>
      <c r="D24" s="115"/>
      <c r="E24" s="106">
        <f>E22+E23</f>
        <v>34.619842737826133</v>
      </c>
      <c r="F24" s="106">
        <f t="shared" ref="F24:G24" si="5">F22+F23</f>
        <v>71.690714991291799</v>
      </c>
      <c r="G24" s="106">
        <f t="shared" si="5"/>
        <v>175.00989539978713</v>
      </c>
    </row>
    <row r="26" spans="1:7" s="117" customFormat="1" x14ac:dyDescent="0.3">
      <c r="A26" s="116" t="s">
        <v>119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tabSelected="1" zoomScale="90" zoomScaleNormal="90" workbookViewId="0">
      <selection activeCell="Q8" sqref="Q8"/>
    </sheetView>
  </sheetViews>
  <sheetFormatPr defaultRowHeight="14.4" x14ac:dyDescent="0.3"/>
  <cols>
    <col min="1" max="1" width="13.6640625" customWidth="1"/>
    <col min="3" max="3" width="12" customWidth="1"/>
    <col min="4" max="4" width="16.44140625" customWidth="1"/>
  </cols>
  <sheetData>
    <row r="1" spans="1:14" x14ac:dyDescent="0.3">
      <c r="A1" s="65" t="s">
        <v>97</v>
      </c>
      <c r="B1" t="s">
        <v>98</v>
      </c>
      <c r="C1" s="66" t="s">
        <v>103</v>
      </c>
      <c r="D1" s="73">
        <f>VLOOKUP(C1,A3:B9,2,FALSE)</f>
        <v>100000</v>
      </c>
    </row>
    <row r="3" spans="1:14" x14ac:dyDescent="0.3">
      <c r="A3" t="s">
        <v>99</v>
      </c>
      <c r="B3">
        <v>1</v>
      </c>
    </row>
    <row r="4" spans="1:14" x14ac:dyDescent="0.3">
      <c r="A4" t="s">
        <v>100</v>
      </c>
      <c r="B4">
        <v>10</v>
      </c>
    </row>
    <row r="5" spans="1:14" x14ac:dyDescent="0.3">
      <c r="A5" t="s">
        <v>101</v>
      </c>
      <c r="B5">
        <v>100</v>
      </c>
    </row>
    <row r="6" spans="1:14" x14ac:dyDescent="0.3">
      <c r="A6" t="s">
        <v>102</v>
      </c>
      <c r="B6">
        <v>1000</v>
      </c>
    </row>
    <row r="7" spans="1:14" x14ac:dyDescent="0.3">
      <c r="A7" t="s">
        <v>103</v>
      </c>
      <c r="B7">
        <v>100000</v>
      </c>
    </row>
    <row r="8" spans="1:14" x14ac:dyDescent="0.3">
      <c r="A8" t="s">
        <v>104</v>
      </c>
      <c r="B8">
        <v>1000000</v>
      </c>
    </row>
    <row r="9" spans="1:14" x14ac:dyDescent="0.3">
      <c r="A9" t="s">
        <v>105</v>
      </c>
      <c r="B9">
        <v>10000000</v>
      </c>
    </row>
    <row r="13" spans="1:14" x14ac:dyDescent="0.3">
      <c r="A13" s="67" t="s">
        <v>178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</row>
    <row r="14" spans="1:14" x14ac:dyDescent="0.3">
      <c r="A14" s="67" t="s">
        <v>106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</row>
    <row r="15" spans="1:14" x14ac:dyDescent="0.3">
      <c r="A15" s="67" t="s">
        <v>107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</row>
    <row r="21" spans="5:5" x14ac:dyDescent="0.3">
      <c r="E21" t="s">
        <v>108</v>
      </c>
    </row>
  </sheetData>
  <dataValidations count="1">
    <dataValidation type="list" allowBlank="1" showInputMessage="1" showErrorMessage="1" sqref="C1 B18">
      <formula1>$A$3:$A$9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78"/>
  <sheetViews>
    <sheetView zoomScale="96" zoomScaleNormal="96" workbookViewId="0">
      <pane xSplit="4" ySplit="7" topLeftCell="E64" activePane="bottomRight" state="frozen"/>
      <selection pane="topRight" activeCell="E1" sqref="E1"/>
      <selection pane="bottomLeft" activeCell="A8" sqref="A8"/>
      <selection pane="bottomRight" activeCell="A84" sqref="A84"/>
    </sheetView>
  </sheetViews>
  <sheetFormatPr defaultRowHeight="14.4" x14ac:dyDescent="0.3"/>
  <cols>
    <col min="1" max="1" width="26.44140625" bestFit="1" customWidth="1"/>
    <col min="2" max="2" width="10.44140625" bestFit="1" customWidth="1"/>
    <col min="4" max="4" width="2" bestFit="1" customWidth="1"/>
    <col min="5" max="5" width="9.5546875" bestFit="1" customWidth="1"/>
    <col min="6" max="6" width="10.33203125" bestFit="1" customWidth="1"/>
    <col min="7" max="8" width="9.5546875" bestFit="1" customWidth="1"/>
    <col min="9" max="9" width="10" bestFit="1" customWidth="1"/>
    <col min="10" max="10" width="9.88671875" bestFit="1" customWidth="1"/>
    <col min="11" max="11" width="9.5546875" bestFit="1" customWidth="1"/>
    <col min="12" max="12" width="10.109375" bestFit="1" customWidth="1"/>
    <col min="13" max="13" width="9.88671875" bestFit="1" customWidth="1"/>
    <col min="14" max="14" width="9.5546875" bestFit="1" customWidth="1"/>
    <col min="15" max="15" width="9.88671875" bestFit="1" customWidth="1"/>
    <col min="16" max="16" width="10" bestFit="1" customWidth="1"/>
    <col min="17" max="17" width="9.6640625" bestFit="1" customWidth="1"/>
    <col min="18" max="18" width="10.33203125" bestFit="1" customWidth="1"/>
    <col min="19" max="20" width="9.5546875" bestFit="1" customWidth="1"/>
    <col min="21" max="21" width="10" bestFit="1" customWidth="1"/>
    <col min="22" max="22" width="9.88671875" bestFit="1" customWidth="1"/>
    <col min="23" max="23" width="9.5546875" bestFit="1" customWidth="1"/>
    <col min="24" max="24" width="10.109375" bestFit="1" customWidth="1"/>
    <col min="25" max="25" width="9.88671875" bestFit="1" customWidth="1"/>
    <col min="26" max="26" width="9.5546875" bestFit="1" customWidth="1"/>
    <col min="27" max="27" width="9.88671875" bestFit="1" customWidth="1"/>
    <col min="28" max="28" width="10" bestFit="1" customWidth="1"/>
    <col min="29" max="29" width="9.6640625" bestFit="1" customWidth="1"/>
    <col min="30" max="30" width="10.33203125" bestFit="1" customWidth="1"/>
    <col min="31" max="32" width="9.5546875" bestFit="1" customWidth="1"/>
    <col min="33" max="33" width="10" bestFit="1" customWidth="1"/>
    <col min="34" max="34" width="9.88671875" bestFit="1" customWidth="1"/>
    <col min="35" max="35" width="9.5546875" bestFit="1" customWidth="1"/>
    <col min="36" max="36" width="10.109375" bestFit="1" customWidth="1"/>
    <col min="37" max="37" width="9.88671875" bestFit="1" customWidth="1"/>
    <col min="38" max="38" width="9.5546875" bestFit="1" customWidth="1"/>
    <col min="39" max="39" width="9.88671875" bestFit="1" customWidth="1"/>
    <col min="40" max="40" width="10" bestFit="1" customWidth="1"/>
  </cols>
  <sheetData>
    <row r="1" spans="1:40" x14ac:dyDescent="0.3">
      <c r="A1" t="s">
        <v>109</v>
      </c>
      <c r="B1" s="66" t="str">
        <f>Convertor!C1</f>
        <v>Lakhs</v>
      </c>
    </row>
    <row r="3" spans="1:40" x14ac:dyDescent="0.3">
      <c r="E3" s="71">
        <v>1</v>
      </c>
      <c r="F3" s="110">
        <f>E3+1</f>
        <v>2</v>
      </c>
      <c r="G3" s="71">
        <f t="shared" ref="G3:AN3" si="0">F3+1</f>
        <v>3</v>
      </c>
      <c r="H3" s="71">
        <f t="shared" si="0"/>
        <v>4</v>
      </c>
      <c r="I3" s="71">
        <f t="shared" si="0"/>
        <v>5</v>
      </c>
      <c r="J3" s="71">
        <f t="shared" si="0"/>
        <v>6</v>
      </c>
      <c r="K3" s="71">
        <f t="shared" si="0"/>
        <v>7</v>
      </c>
      <c r="L3" s="71">
        <f t="shared" si="0"/>
        <v>8</v>
      </c>
      <c r="M3" s="71">
        <f t="shared" si="0"/>
        <v>9</v>
      </c>
      <c r="N3" s="71">
        <f t="shared" si="0"/>
        <v>10</v>
      </c>
      <c r="O3" s="71">
        <f t="shared" si="0"/>
        <v>11</v>
      </c>
      <c r="P3" s="71">
        <f t="shared" si="0"/>
        <v>12</v>
      </c>
      <c r="Q3" s="71">
        <f t="shared" si="0"/>
        <v>13</v>
      </c>
      <c r="R3" s="71">
        <f t="shared" si="0"/>
        <v>14</v>
      </c>
      <c r="S3" s="71">
        <f t="shared" si="0"/>
        <v>15</v>
      </c>
      <c r="T3" s="71">
        <f t="shared" si="0"/>
        <v>16</v>
      </c>
      <c r="U3" s="71">
        <f t="shared" si="0"/>
        <v>17</v>
      </c>
      <c r="V3" s="71">
        <f t="shared" si="0"/>
        <v>18</v>
      </c>
      <c r="W3" s="71">
        <f t="shared" si="0"/>
        <v>19</v>
      </c>
      <c r="X3" s="71">
        <f t="shared" si="0"/>
        <v>20</v>
      </c>
      <c r="Y3" s="71">
        <f t="shared" si="0"/>
        <v>21</v>
      </c>
      <c r="Z3" s="71">
        <f t="shared" si="0"/>
        <v>22</v>
      </c>
      <c r="AA3" s="71">
        <f t="shared" si="0"/>
        <v>23</v>
      </c>
      <c r="AB3" s="71">
        <f t="shared" si="0"/>
        <v>24</v>
      </c>
      <c r="AC3" s="71">
        <f t="shared" si="0"/>
        <v>25</v>
      </c>
      <c r="AD3" s="71">
        <f t="shared" si="0"/>
        <v>26</v>
      </c>
      <c r="AE3" s="71">
        <f t="shared" si="0"/>
        <v>27</v>
      </c>
      <c r="AF3" s="71">
        <f t="shared" si="0"/>
        <v>28</v>
      </c>
      <c r="AG3" s="71">
        <f t="shared" si="0"/>
        <v>29</v>
      </c>
      <c r="AH3" s="71">
        <f t="shared" si="0"/>
        <v>30</v>
      </c>
      <c r="AI3" s="71">
        <f t="shared" si="0"/>
        <v>31</v>
      </c>
      <c r="AJ3" s="71">
        <f t="shared" si="0"/>
        <v>32</v>
      </c>
      <c r="AK3" s="71">
        <f t="shared" si="0"/>
        <v>33</v>
      </c>
      <c r="AL3" s="71">
        <f t="shared" si="0"/>
        <v>34</v>
      </c>
      <c r="AM3" s="71">
        <f t="shared" si="0"/>
        <v>35</v>
      </c>
      <c r="AN3" s="71">
        <f t="shared" si="0"/>
        <v>36</v>
      </c>
    </row>
    <row r="4" spans="1:40" x14ac:dyDescent="0.3">
      <c r="E4" s="72">
        <f>EOMONTH(Assumptions!G3,0)</f>
        <v>43951</v>
      </c>
      <c r="F4" s="72">
        <f>EOMONTH(E4,1)</f>
        <v>43982</v>
      </c>
      <c r="G4" s="72">
        <f t="shared" ref="G4:AN4" si="1">EOMONTH(F4,1)</f>
        <v>44012</v>
      </c>
      <c r="H4" s="72">
        <f t="shared" si="1"/>
        <v>44043</v>
      </c>
      <c r="I4" s="72">
        <f t="shared" si="1"/>
        <v>44074</v>
      </c>
      <c r="J4" s="72">
        <f t="shared" si="1"/>
        <v>44104</v>
      </c>
      <c r="K4" s="72">
        <f t="shared" si="1"/>
        <v>44135</v>
      </c>
      <c r="L4" s="72">
        <f t="shared" si="1"/>
        <v>44165</v>
      </c>
      <c r="M4" s="72">
        <f t="shared" si="1"/>
        <v>44196</v>
      </c>
      <c r="N4" s="72">
        <f t="shared" si="1"/>
        <v>44227</v>
      </c>
      <c r="O4" s="72">
        <f t="shared" si="1"/>
        <v>44255</v>
      </c>
      <c r="P4" s="72">
        <f t="shared" si="1"/>
        <v>44286</v>
      </c>
      <c r="Q4" s="72">
        <f t="shared" si="1"/>
        <v>44316</v>
      </c>
      <c r="R4" s="72">
        <f t="shared" si="1"/>
        <v>44347</v>
      </c>
      <c r="S4" s="72">
        <f t="shared" si="1"/>
        <v>44377</v>
      </c>
      <c r="T4" s="72">
        <f t="shared" si="1"/>
        <v>44408</v>
      </c>
      <c r="U4" s="72">
        <f t="shared" si="1"/>
        <v>44439</v>
      </c>
      <c r="V4" s="72">
        <f t="shared" si="1"/>
        <v>44469</v>
      </c>
      <c r="W4" s="72">
        <f t="shared" si="1"/>
        <v>44500</v>
      </c>
      <c r="X4" s="72">
        <f t="shared" si="1"/>
        <v>44530</v>
      </c>
      <c r="Y4" s="72">
        <f t="shared" si="1"/>
        <v>44561</v>
      </c>
      <c r="Z4" s="72">
        <f t="shared" si="1"/>
        <v>44592</v>
      </c>
      <c r="AA4" s="72">
        <f t="shared" si="1"/>
        <v>44620</v>
      </c>
      <c r="AB4" s="72">
        <f t="shared" si="1"/>
        <v>44651</v>
      </c>
      <c r="AC4" s="72">
        <f t="shared" si="1"/>
        <v>44681</v>
      </c>
      <c r="AD4" s="72">
        <f t="shared" si="1"/>
        <v>44712</v>
      </c>
      <c r="AE4" s="72">
        <f t="shared" si="1"/>
        <v>44742</v>
      </c>
      <c r="AF4" s="72">
        <f t="shared" si="1"/>
        <v>44773</v>
      </c>
      <c r="AG4" s="72">
        <f t="shared" si="1"/>
        <v>44804</v>
      </c>
      <c r="AH4" s="72">
        <f t="shared" si="1"/>
        <v>44834</v>
      </c>
      <c r="AI4" s="72">
        <f t="shared" si="1"/>
        <v>44865</v>
      </c>
      <c r="AJ4" s="72">
        <f t="shared" si="1"/>
        <v>44895</v>
      </c>
      <c r="AK4" s="72">
        <f t="shared" si="1"/>
        <v>44926</v>
      </c>
      <c r="AL4" s="72">
        <f t="shared" si="1"/>
        <v>44957</v>
      </c>
      <c r="AM4" s="72">
        <f t="shared" si="1"/>
        <v>44985</v>
      </c>
      <c r="AN4" s="72">
        <f t="shared" si="1"/>
        <v>45016</v>
      </c>
    </row>
    <row r="5" spans="1:40" x14ac:dyDescent="0.3">
      <c r="A5" t="s">
        <v>111</v>
      </c>
      <c r="E5" s="75">
        <f>IF(E4&gt;Assumptions!$G$5,DAY('Monthly Revenue'!E4),0)</f>
        <v>0</v>
      </c>
      <c r="F5" s="75">
        <f>IF(F4&gt;Assumptions!$G$5,DAY('Monthly Revenue'!F4),0)</f>
        <v>0</v>
      </c>
      <c r="G5" s="75">
        <f>IF(G4&gt;Assumptions!$G$5,DAY('Monthly Revenue'!G4),0)</f>
        <v>0</v>
      </c>
      <c r="H5" s="75">
        <f>IF(H4&gt;Assumptions!$G$5,DAY('Monthly Revenue'!H4),0)</f>
        <v>31</v>
      </c>
      <c r="I5" s="75">
        <f>IF(I4&gt;Assumptions!$G$5,DAY('Monthly Revenue'!I4),0)</f>
        <v>31</v>
      </c>
      <c r="J5" s="75">
        <f>IF(J4&gt;Assumptions!$G$5,DAY('Monthly Revenue'!J4),0)</f>
        <v>30</v>
      </c>
      <c r="K5" s="75">
        <f>IF(K4&gt;Assumptions!$G$5,DAY('Monthly Revenue'!K4),0)</f>
        <v>31</v>
      </c>
      <c r="L5" s="75">
        <f>IF(L4&gt;Assumptions!$G$5,DAY('Monthly Revenue'!L4),0)</f>
        <v>30</v>
      </c>
      <c r="M5" s="75">
        <f>IF(M4&gt;Assumptions!$G$5,DAY('Monthly Revenue'!M4),0)</f>
        <v>31</v>
      </c>
      <c r="N5" s="75">
        <f>IF(N4&gt;Assumptions!$G$5,DAY('Monthly Revenue'!N4),0)</f>
        <v>31</v>
      </c>
      <c r="O5" s="75">
        <f>IF(O4&gt;Assumptions!$G$5,DAY('Monthly Revenue'!O4),0)</f>
        <v>28</v>
      </c>
      <c r="P5" s="75">
        <f>IF(P4&gt;Assumptions!$G$5,DAY('Monthly Revenue'!P4),0)</f>
        <v>31</v>
      </c>
      <c r="Q5" s="75">
        <f>IF(Q4&gt;Assumptions!$G$5,DAY('Monthly Revenue'!Q4),0)</f>
        <v>30</v>
      </c>
      <c r="R5" s="75">
        <f>IF(R4&gt;Assumptions!$G$5,DAY('Monthly Revenue'!R4),0)</f>
        <v>31</v>
      </c>
      <c r="S5" s="75">
        <f>IF(S4&gt;Assumptions!$G$5,DAY('Monthly Revenue'!S4),0)</f>
        <v>30</v>
      </c>
      <c r="T5" s="75">
        <f>IF(T4&gt;Assumptions!$G$5,DAY('Monthly Revenue'!T4),0)</f>
        <v>31</v>
      </c>
      <c r="U5" s="75">
        <f>IF(U4&gt;Assumptions!$G$5,DAY('Monthly Revenue'!U4),0)</f>
        <v>31</v>
      </c>
      <c r="V5" s="75">
        <f>IF(V4&gt;Assumptions!$G$5,DAY('Monthly Revenue'!V4),0)</f>
        <v>30</v>
      </c>
      <c r="W5" s="75">
        <f>IF(W4&gt;Assumptions!$G$5,DAY('Monthly Revenue'!W4),0)</f>
        <v>31</v>
      </c>
      <c r="X5" s="75">
        <f>IF(X4&gt;Assumptions!$G$5,DAY('Monthly Revenue'!X4),0)</f>
        <v>30</v>
      </c>
      <c r="Y5" s="75">
        <f>IF(Y4&gt;Assumptions!$G$5,DAY('Monthly Revenue'!Y4),0)</f>
        <v>31</v>
      </c>
      <c r="Z5" s="75">
        <f>IF(Z4&gt;Assumptions!$G$5,DAY('Monthly Revenue'!Z4),0)</f>
        <v>31</v>
      </c>
      <c r="AA5" s="75">
        <f>IF(AA4&gt;Assumptions!$G$5,DAY('Monthly Revenue'!AA4),0)</f>
        <v>28</v>
      </c>
      <c r="AB5" s="75">
        <f>IF(AB4&gt;Assumptions!$G$5,DAY('Monthly Revenue'!AB4),0)</f>
        <v>31</v>
      </c>
      <c r="AC5" s="75">
        <f>IF(AC4&gt;Assumptions!$G$5,DAY('Monthly Revenue'!AC4),0)</f>
        <v>30</v>
      </c>
      <c r="AD5" s="75">
        <f>IF(AD4&gt;Assumptions!$G$5,DAY('Monthly Revenue'!AD4),0)</f>
        <v>31</v>
      </c>
      <c r="AE5" s="75">
        <f>IF(AE4&gt;Assumptions!$G$5,DAY('Monthly Revenue'!AE4),0)</f>
        <v>30</v>
      </c>
      <c r="AF5" s="75">
        <f>IF(AF4&gt;Assumptions!$G$5,DAY('Monthly Revenue'!AF4),0)</f>
        <v>31</v>
      </c>
      <c r="AG5" s="75">
        <f>IF(AG4&gt;Assumptions!$G$5,DAY('Monthly Revenue'!AG4),0)</f>
        <v>31</v>
      </c>
      <c r="AH5" s="75">
        <f>IF(AH4&gt;Assumptions!$G$5,DAY('Monthly Revenue'!AH4),0)</f>
        <v>30</v>
      </c>
      <c r="AI5" s="75">
        <f>IF(AI4&gt;Assumptions!$G$5,DAY('Monthly Revenue'!AI4),0)</f>
        <v>31</v>
      </c>
      <c r="AJ5" s="75">
        <f>IF(AJ4&gt;Assumptions!$G$5,DAY('Monthly Revenue'!AJ4),0)</f>
        <v>30</v>
      </c>
      <c r="AK5" s="75">
        <f>IF(AK4&gt;Assumptions!$G$5,DAY('Monthly Revenue'!AK4),0)</f>
        <v>31</v>
      </c>
      <c r="AL5" s="75">
        <f>IF(AL4&gt;Assumptions!$G$5,DAY('Monthly Revenue'!AL4),0)</f>
        <v>31</v>
      </c>
      <c r="AM5" s="75">
        <f>IF(AM4&gt;Assumptions!$G$5,DAY('Monthly Revenue'!AM4),0)</f>
        <v>28</v>
      </c>
      <c r="AN5" s="75">
        <f>IF(AN4&gt;Assumptions!$G$5,DAY('Monthly Revenue'!AN4),0)</f>
        <v>31</v>
      </c>
    </row>
    <row r="6" spans="1:40" x14ac:dyDescent="0.3">
      <c r="A6" t="s">
        <v>113</v>
      </c>
      <c r="E6">
        <f>IF(E5&gt;0,NETWORKDAYS(D4,E4),0)</f>
        <v>0</v>
      </c>
      <c r="F6">
        <f>IF(F5&gt;0,NETWORKDAYS(E4+1,F4),0)</f>
        <v>0</v>
      </c>
      <c r="G6">
        <f t="shared" ref="G6:AN6" si="2">IF(G5&gt;0,NETWORKDAYS(F4+1,G4),0)</f>
        <v>0</v>
      </c>
      <c r="H6">
        <f t="shared" si="2"/>
        <v>23</v>
      </c>
      <c r="I6">
        <f t="shared" si="2"/>
        <v>21</v>
      </c>
      <c r="J6">
        <f t="shared" si="2"/>
        <v>22</v>
      </c>
      <c r="K6">
        <f t="shared" si="2"/>
        <v>22</v>
      </c>
      <c r="L6">
        <f t="shared" si="2"/>
        <v>21</v>
      </c>
      <c r="M6">
        <f t="shared" si="2"/>
        <v>23</v>
      </c>
      <c r="N6">
        <f t="shared" si="2"/>
        <v>21</v>
      </c>
      <c r="O6">
        <f t="shared" si="2"/>
        <v>20</v>
      </c>
      <c r="P6">
        <f t="shared" si="2"/>
        <v>23</v>
      </c>
      <c r="Q6">
        <f t="shared" si="2"/>
        <v>22</v>
      </c>
      <c r="R6">
        <f t="shared" si="2"/>
        <v>21</v>
      </c>
      <c r="S6">
        <f t="shared" si="2"/>
        <v>22</v>
      </c>
      <c r="T6">
        <f t="shared" si="2"/>
        <v>22</v>
      </c>
      <c r="U6">
        <f t="shared" si="2"/>
        <v>22</v>
      </c>
      <c r="V6">
        <f t="shared" si="2"/>
        <v>22</v>
      </c>
      <c r="W6">
        <f t="shared" si="2"/>
        <v>21</v>
      </c>
      <c r="X6">
        <f t="shared" si="2"/>
        <v>22</v>
      </c>
      <c r="Y6">
        <f t="shared" si="2"/>
        <v>23</v>
      </c>
      <c r="Z6">
        <f t="shared" si="2"/>
        <v>21</v>
      </c>
      <c r="AA6">
        <f t="shared" si="2"/>
        <v>20</v>
      </c>
      <c r="AB6">
        <f t="shared" si="2"/>
        <v>23</v>
      </c>
      <c r="AC6">
        <f t="shared" si="2"/>
        <v>21</v>
      </c>
      <c r="AD6">
        <f t="shared" si="2"/>
        <v>22</v>
      </c>
      <c r="AE6">
        <f t="shared" si="2"/>
        <v>22</v>
      </c>
      <c r="AF6">
        <f t="shared" si="2"/>
        <v>21</v>
      </c>
      <c r="AG6">
        <f t="shared" si="2"/>
        <v>23</v>
      </c>
      <c r="AH6">
        <f t="shared" si="2"/>
        <v>22</v>
      </c>
      <c r="AI6">
        <f t="shared" si="2"/>
        <v>21</v>
      </c>
      <c r="AJ6">
        <f t="shared" si="2"/>
        <v>22</v>
      </c>
      <c r="AK6">
        <f t="shared" si="2"/>
        <v>22</v>
      </c>
      <c r="AL6">
        <f t="shared" si="2"/>
        <v>22</v>
      </c>
      <c r="AM6">
        <f t="shared" si="2"/>
        <v>20</v>
      </c>
      <c r="AN6">
        <f t="shared" si="2"/>
        <v>23</v>
      </c>
    </row>
    <row r="7" spans="1:40" x14ac:dyDescent="0.3">
      <c r="A7" t="s">
        <v>112</v>
      </c>
      <c r="E7">
        <f>E5-E6</f>
        <v>0</v>
      </c>
      <c r="F7">
        <f t="shared" ref="F7:AN7" si="3">F5-F6</f>
        <v>0</v>
      </c>
      <c r="G7">
        <f t="shared" si="3"/>
        <v>0</v>
      </c>
      <c r="H7">
        <f t="shared" si="3"/>
        <v>8</v>
      </c>
      <c r="I7">
        <f t="shared" si="3"/>
        <v>10</v>
      </c>
      <c r="J7">
        <f t="shared" si="3"/>
        <v>8</v>
      </c>
      <c r="K7">
        <f t="shared" si="3"/>
        <v>9</v>
      </c>
      <c r="L7">
        <f t="shared" si="3"/>
        <v>9</v>
      </c>
      <c r="M7">
        <f t="shared" si="3"/>
        <v>8</v>
      </c>
      <c r="N7">
        <f t="shared" si="3"/>
        <v>10</v>
      </c>
      <c r="O7">
        <f t="shared" si="3"/>
        <v>8</v>
      </c>
      <c r="P7">
        <f t="shared" si="3"/>
        <v>8</v>
      </c>
      <c r="Q7">
        <f t="shared" si="3"/>
        <v>8</v>
      </c>
      <c r="R7">
        <f t="shared" si="3"/>
        <v>10</v>
      </c>
      <c r="S7">
        <f t="shared" si="3"/>
        <v>8</v>
      </c>
      <c r="T7">
        <f t="shared" si="3"/>
        <v>9</v>
      </c>
      <c r="U7">
        <f t="shared" si="3"/>
        <v>9</v>
      </c>
      <c r="V7">
        <f t="shared" si="3"/>
        <v>8</v>
      </c>
      <c r="W7">
        <f t="shared" si="3"/>
        <v>10</v>
      </c>
      <c r="X7">
        <f t="shared" si="3"/>
        <v>8</v>
      </c>
      <c r="Y7">
        <f t="shared" si="3"/>
        <v>8</v>
      </c>
      <c r="Z7">
        <f t="shared" si="3"/>
        <v>10</v>
      </c>
      <c r="AA7">
        <f t="shared" si="3"/>
        <v>8</v>
      </c>
      <c r="AB7">
        <f t="shared" si="3"/>
        <v>8</v>
      </c>
      <c r="AC7">
        <f t="shared" si="3"/>
        <v>9</v>
      </c>
      <c r="AD7">
        <f t="shared" si="3"/>
        <v>9</v>
      </c>
      <c r="AE7">
        <f t="shared" si="3"/>
        <v>8</v>
      </c>
      <c r="AF7">
        <f t="shared" si="3"/>
        <v>10</v>
      </c>
      <c r="AG7">
        <f t="shared" si="3"/>
        <v>8</v>
      </c>
      <c r="AH7">
        <f t="shared" si="3"/>
        <v>8</v>
      </c>
      <c r="AI7">
        <f t="shared" si="3"/>
        <v>10</v>
      </c>
      <c r="AJ7">
        <f t="shared" si="3"/>
        <v>8</v>
      </c>
      <c r="AK7">
        <f t="shared" si="3"/>
        <v>9</v>
      </c>
      <c r="AL7">
        <f t="shared" si="3"/>
        <v>9</v>
      </c>
      <c r="AM7">
        <f t="shared" si="3"/>
        <v>8</v>
      </c>
      <c r="AN7">
        <f t="shared" si="3"/>
        <v>8</v>
      </c>
    </row>
    <row r="9" spans="1:40" x14ac:dyDescent="0.3">
      <c r="A9" s="93" t="s">
        <v>115</v>
      </c>
    </row>
    <row r="10" spans="1:40" x14ac:dyDescent="0.3">
      <c r="A10" s="2" t="s">
        <v>7</v>
      </c>
      <c r="K10" t="s">
        <v>110</v>
      </c>
    </row>
    <row r="11" spans="1:40" x14ac:dyDescent="0.3">
      <c r="A11" s="77" t="s">
        <v>9</v>
      </c>
      <c r="E11">
        <f>IF(MIN(MAX(Assumptions!$B$19*Assumptions!$B$18,'Monthly Revenue'!D11*(1+Assumptions!$B$20)),Assumptions!$B$21),0)</f>
        <v>0</v>
      </c>
      <c r="F11">
        <f>IF(F$6&gt;0,MIN(MAX(Assumptions!$B$19*Assumptions!$B$18,'Monthly Revenue'!E11*(1+Assumptions!$B$20)),Assumptions!$B$21),0)</f>
        <v>0</v>
      </c>
      <c r="G11" s="79">
        <f>IF(G$6&gt;0,MIN(MAX(Assumptions!$B$19*Assumptions!$B$18,'Monthly Revenue'!F11*(1+Assumptions!$B$20)),Assumptions!$B$21),0)</f>
        <v>0</v>
      </c>
      <c r="H11" s="79">
        <f>IF(H$6&gt;0,MIN(MAX(Assumptions!$B$19*Assumptions!$B$18,'Monthly Revenue'!G11*(1+Assumptions!$B$20)),Assumptions!$B$21),0)</f>
        <v>20</v>
      </c>
      <c r="I11" s="79">
        <f>IF(I$6&gt;0,MIN(MAX(Assumptions!$B$19*Assumptions!$B$18,'Monthly Revenue'!H11*(1+Assumptions!$B$20)),Assumptions!$B$21),0)</f>
        <v>20.399999999999999</v>
      </c>
      <c r="J11" s="79">
        <f>IF(J$6&gt;0,MIN(MAX(Assumptions!$B$19*Assumptions!$B$18,'Monthly Revenue'!I11*(1+Assumptions!$B$20)),Assumptions!$B$21),0)</f>
        <v>20.808</v>
      </c>
      <c r="K11" s="79">
        <f>IF(K$6&gt;0,MIN(MAX(Assumptions!$B$19*Assumptions!$B$18,'Monthly Revenue'!J11*(1+Assumptions!$B$20)),Assumptions!$B$21),0)</f>
        <v>21.224160000000001</v>
      </c>
      <c r="L11" s="79">
        <f>IF(L$6&gt;0,MIN(MAX(Assumptions!$B$19*Assumptions!$B$18,'Monthly Revenue'!K11*(1+Assumptions!$B$20)),Assumptions!$B$21),0)</f>
        <v>21.648643200000002</v>
      </c>
      <c r="M11" s="79">
        <f>IF(M$6&gt;0,MIN(MAX(Assumptions!$B$19*Assumptions!$B$18,'Monthly Revenue'!L11*(1+Assumptions!$B$20)),Assumptions!$B$21),0)</f>
        <v>22.081616064000002</v>
      </c>
      <c r="N11" s="79">
        <f>IF(N$6&gt;0,MIN(MAX(Assumptions!$B$19*Assumptions!$B$18,'Monthly Revenue'!M11*(1+Assumptions!$B$20)),Assumptions!$B$21),0)</f>
        <v>22.523248385280002</v>
      </c>
      <c r="O11" s="79">
        <f>IF(O$6&gt;0,MIN(MAX(Assumptions!$B$19*Assumptions!$B$18,'Monthly Revenue'!N11*(1+Assumptions!$B$20)),Assumptions!$B$21),0)</f>
        <v>22.973713352985602</v>
      </c>
      <c r="P11" s="79">
        <f>IF(P$6&gt;0,MIN(MAX(Assumptions!$B$19*Assumptions!$B$18,'Monthly Revenue'!O11*(1+Assumptions!$B$20)),Assumptions!$B$21),0)</f>
        <v>23.433187620045313</v>
      </c>
      <c r="Q11" s="79">
        <f>IF(Q$6&gt;0,MIN(MAX(Assumptions!$B$19*Assumptions!$B$18,'Monthly Revenue'!P11*(1+Assumptions!$B$20)),Assumptions!$B$21),0)</f>
        <v>23.90185137244622</v>
      </c>
      <c r="R11" s="79">
        <f>IF(R$6&gt;0,MIN(MAX(Assumptions!$B$19*Assumptions!$B$18,'Monthly Revenue'!Q11*(1+Assumptions!$B$20)),Assumptions!$B$21),0)</f>
        <v>24.379888399895144</v>
      </c>
      <c r="S11" s="79">
        <f>IF(S$6&gt;0,MIN(MAX(Assumptions!$B$19*Assumptions!$B$18,'Monthly Revenue'!R11*(1+Assumptions!$B$20)),Assumptions!$B$21),0)</f>
        <v>24.867486167893048</v>
      </c>
      <c r="T11" s="79">
        <f>IF(T$6&gt;0,MIN(MAX(Assumptions!$B$19*Assumptions!$B$18,'Monthly Revenue'!S11*(1+Assumptions!$B$20)),Assumptions!$B$21),0)</f>
        <v>25.364835891250909</v>
      </c>
      <c r="U11" s="79">
        <f>IF(U$6&gt;0,MIN(MAX(Assumptions!$B$19*Assumptions!$B$18,'Monthly Revenue'!T11*(1+Assumptions!$B$20)),Assumptions!$B$21),0)</f>
        <v>25.872132609075926</v>
      </c>
      <c r="V11" s="79">
        <f>IF(V$6&gt;0,MIN(MAX(Assumptions!$B$19*Assumptions!$B$18,'Monthly Revenue'!U11*(1+Assumptions!$B$20)),Assumptions!$B$21),0)</f>
        <v>26.389575261257445</v>
      </c>
      <c r="W11" s="79">
        <f>IF(W$6&gt;0,MIN(MAX(Assumptions!$B$19*Assumptions!$B$18,'Monthly Revenue'!V11*(1+Assumptions!$B$20)),Assumptions!$B$21),0)</f>
        <v>26.917366766482594</v>
      </c>
      <c r="X11" s="79">
        <f>IF(X$6&gt;0,MIN(MAX(Assumptions!$B$19*Assumptions!$B$18,'Monthly Revenue'!W11*(1+Assumptions!$B$20)),Assumptions!$B$21),0)</f>
        <v>27.455714101812248</v>
      </c>
      <c r="Y11" s="79">
        <f>IF(Y$6&gt;0,MIN(MAX(Assumptions!$B$19*Assumptions!$B$18,'Monthly Revenue'!X11*(1+Assumptions!$B$20)),Assumptions!$B$21),0)</f>
        <v>28.004828383848494</v>
      </c>
      <c r="Z11" s="79">
        <f>IF(Z$6&gt;0,MIN(MAX(Assumptions!$B$19*Assumptions!$B$18,'Monthly Revenue'!Y11*(1+Assumptions!$B$20)),Assumptions!$B$21),0)</f>
        <v>28.564924951525466</v>
      </c>
      <c r="AA11" s="79">
        <f>IF(AA$6&gt;0,MIN(MAX(Assumptions!$B$19*Assumptions!$B$18,'Monthly Revenue'!Z11*(1+Assumptions!$B$20)),Assumptions!$B$21),0)</f>
        <v>29.136223450555974</v>
      </c>
      <c r="AB11" s="79">
        <f>IF(AB$6&gt;0,MIN(MAX(Assumptions!$B$19*Assumptions!$B$18,'Monthly Revenue'!AA11*(1+Assumptions!$B$20)),Assumptions!$B$21),0)</f>
        <v>29.718947919567093</v>
      </c>
      <c r="AC11" s="79">
        <f>IF(AC$6&gt;0,MIN(MAX(Assumptions!$B$19*Assumptions!$B$18,'Monthly Revenue'!AB11*(1+Assumptions!$B$20)),Assumptions!$B$21),0)</f>
        <v>30.313326877958435</v>
      </c>
      <c r="AD11" s="79">
        <f>IF(AD$6&gt;0,MIN(MAX(Assumptions!$B$19*Assumptions!$B$18,'Monthly Revenue'!AC11*(1+Assumptions!$B$20)),Assumptions!$B$21),0)</f>
        <v>30.919593415517603</v>
      </c>
      <c r="AE11" s="79">
        <f>IF(AE$6&gt;0,MIN(MAX(Assumptions!$B$19*Assumptions!$B$18,'Monthly Revenue'!AD11*(1+Assumptions!$B$20)),Assumptions!$B$21),0)</f>
        <v>31.537985283827958</v>
      </c>
      <c r="AF11" s="79">
        <f>IF(AF$6&gt;0,MIN(MAX(Assumptions!$B$19*Assumptions!$B$18,'Monthly Revenue'!AE11*(1+Assumptions!$B$20)),Assumptions!$B$21),0)</f>
        <v>32.168744989504518</v>
      </c>
      <c r="AG11" s="79">
        <f>IF(AG$6&gt;0,MIN(MAX(Assumptions!$B$19*Assumptions!$B$18,'Monthly Revenue'!AF11*(1+Assumptions!$B$20)),Assumptions!$B$21),0)</f>
        <v>32.812119889294607</v>
      </c>
      <c r="AH11" s="79">
        <f>IF(AH$6&gt;0,MIN(MAX(Assumptions!$B$19*Assumptions!$B$18,'Monthly Revenue'!AG11*(1+Assumptions!$B$20)),Assumptions!$B$21),0)</f>
        <v>33.468362287080502</v>
      </c>
      <c r="AI11" s="79">
        <f>IF(AI$6&gt;0,MIN(MAX(Assumptions!$B$19*Assumptions!$B$18,'Monthly Revenue'!AH11*(1+Assumptions!$B$20)),Assumptions!$B$21),0)</f>
        <v>34.137729532822114</v>
      </c>
      <c r="AJ11" s="79">
        <f>IF(AJ$6&gt;0,MIN(MAX(Assumptions!$B$19*Assumptions!$B$18,'Monthly Revenue'!AI11*(1+Assumptions!$B$20)),Assumptions!$B$21),0)</f>
        <v>34.820484123478558</v>
      </c>
      <c r="AK11" s="79">
        <f>IF(AK$6&gt;0,MIN(MAX(Assumptions!$B$19*Assumptions!$B$18,'Monthly Revenue'!AJ11*(1+Assumptions!$B$20)),Assumptions!$B$21),0)</f>
        <v>35.516893805948129</v>
      </c>
      <c r="AL11" s="79">
        <f>IF(AL$6&gt;0,MIN(MAX(Assumptions!$B$19*Assumptions!$B$18,'Monthly Revenue'!AK11*(1+Assumptions!$B$20)),Assumptions!$B$21),0)</f>
        <v>36.227231682067092</v>
      </c>
      <c r="AM11" s="79">
        <f>IF(AM$6&gt;0,MIN(MAX(Assumptions!$B$19*Assumptions!$B$18,'Monthly Revenue'!AL11*(1+Assumptions!$B$20)),Assumptions!$B$21),0)</f>
        <v>36.951776315708436</v>
      </c>
      <c r="AN11" s="79">
        <f>IF(AN$6&gt;0,MIN(MAX(Assumptions!$B$19*Assumptions!$B$18,'Monthly Revenue'!AM11*(1+Assumptions!$B$20)),Assumptions!$B$21),0)</f>
        <v>37.690811842022605</v>
      </c>
    </row>
    <row r="12" spans="1:40" x14ac:dyDescent="0.3">
      <c r="A12" s="77" t="s">
        <v>21</v>
      </c>
      <c r="E12">
        <f>IF(E$6&gt;0,MIN(MAX(Assumptions!$F$19*Assumptions!$F$18,'Monthly Revenue'!D12*(1+Assumptions!$F$20)),Assumptions!$F$21),0)</f>
        <v>0</v>
      </c>
      <c r="F12" s="79">
        <f>IF(F$6&gt;0,MIN(MAX(Assumptions!$F$19*Assumptions!$F$18,'Monthly Revenue'!E12*(1+Assumptions!$F$20)),Assumptions!$F$21),0)</f>
        <v>0</v>
      </c>
      <c r="G12" s="79">
        <f>IF(G$6&gt;0,MIN(MAX(Assumptions!$F$19*Assumptions!$F$18,'Monthly Revenue'!F12*(1+Assumptions!$F$20)),Assumptions!$F$21),0)</f>
        <v>0</v>
      </c>
      <c r="H12" s="79">
        <f>IF(H$6&gt;0,MIN(MAX(Assumptions!$F$19*Assumptions!$F$18,'Monthly Revenue'!G12*(1+Assumptions!$F$20)),Assumptions!$F$21),0)</f>
        <v>26</v>
      </c>
      <c r="I12" s="79">
        <f>IF(I$6&gt;0,MIN(MAX(Assumptions!$F$19*Assumptions!$F$18,'Monthly Revenue'!H12*(1+Assumptions!$F$20)),Assumptions!$F$21),0)</f>
        <v>26.52</v>
      </c>
      <c r="J12" s="79">
        <f>IF(J$6&gt;0,MIN(MAX(Assumptions!$F$19*Assumptions!$F$18,'Monthly Revenue'!I12*(1+Assumptions!$F$20)),Assumptions!$F$21),0)</f>
        <v>27.0504</v>
      </c>
      <c r="K12" s="79">
        <f>IF(K$6&gt;0,MIN(MAX(Assumptions!$F$19*Assumptions!$F$18,'Monthly Revenue'!J12*(1+Assumptions!$F$20)),Assumptions!$F$21),0)</f>
        <v>27.591408000000001</v>
      </c>
      <c r="L12" s="79">
        <f>IF(L$6&gt;0,MIN(MAX(Assumptions!$F$19*Assumptions!$F$18,'Monthly Revenue'!K12*(1+Assumptions!$F$20)),Assumptions!$F$21),0)</f>
        <v>28.143236160000001</v>
      </c>
      <c r="M12" s="79">
        <f>IF(M$6&gt;0,MIN(MAX(Assumptions!$F$19*Assumptions!$F$18,'Monthly Revenue'!L12*(1+Assumptions!$F$20)),Assumptions!$F$21),0)</f>
        <v>28.706100883200001</v>
      </c>
      <c r="N12" s="79">
        <f>IF(N$6&gt;0,MIN(MAX(Assumptions!$F$19*Assumptions!$F$18,'Monthly Revenue'!M12*(1+Assumptions!$F$20)),Assumptions!$F$21),0)</f>
        <v>29.280222900864</v>
      </c>
      <c r="O12" s="79">
        <f>IF(O$6&gt;0,MIN(MAX(Assumptions!$F$19*Assumptions!$F$18,'Monthly Revenue'!N12*(1+Assumptions!$F$20)),Assumptions!$F$21),0)</f>
        <v>29.86582735888128</v>
      </c>
      <c r="P12" s="79">
        <f>IF(P$6&gt;0,MIN(MAX(Assumptions!$F$19*Assumptions!$F$18,'Monthly Revenue'!O12*(1+Assumptions!$F$20)),Assumptions!$F$21),0)</f>
        <v>30.463143906058907</v>
      </c>
      <c r="Q12" s="79">
        <f>IF(Q$6&gt;0,MIN(MAX(Assumptions!$F$19*Assumptions!$F$18,'Monthly Revenue'!P12*(1+Assumptions!$F$20)),Assumptions!$F$21),0)</f>
        <v>31.072406784180085</v>
      </c>
      <c r="R12" s="79">
        <f>IF(R$6&gt;0,MIN(MAX(Assumptions!$F$19*Assumptions!$F$18,'Monthly Revenue'!Q12*(1+Assumptions!$F$20)),Assumptions!$F$21),0)</f>
        <v>31.693854919863689</v>
      </c>
      <c r="S12" s="79">
        <f>IF(S$6&gt;0,MIN(MAX(Assumptions!$F$19*Assumptions!$F$18,'Monthly Revenue'!R12*(1+Assumptions!$F$20)),Assumptions!$F$21),0)</f>
        <v>32.32773201826096</v>
      </c>
      <c r="T12" s="79">
        <f>IF(T$6&gt;0,MIN(MAX(Assumptions!$F$19*Assumptions!$F$18,'Monthly Revenue'!S12*(1+Assumptions!$F$20)),Assumptions!$F$21),0)</f>
        <v>32.974286658626177</v>
      </c>
      <c r="U12" s="79">
        <f>IF(U$6&gt;0,MIN(MAX(Assumptions!$F$19*Assumptions!$F$18,'Monthly Revenue'!T12*(1+Assumptions!$F$20)),Assumptions!$F$21),0)</f>
        <v>33.633772391798701</v>
      </c>
      <c r="V12" s="79">
        <f>IF(V$6&gt;0,MIN(MAX(Assumptions!$F$19*Assumptions!$F$18,'Monthly Revenue'!U12*(1+Assumptions!$F$20)),Assumptions!$F$21),0)</f>
        <v>34.306447839634679</v>
      </c>
      <c r="W12" s="79">
        <f>IF(W$6&gt;0,MIN(MAX(Assumptions!$F$19*Assumptions!$F$18,'Monthly Revenue'!V12*(1+Assumptions!$F$20)),Assumptions!$F$21),0)</f>
        <v>34.992576796427372</v>
      </c>
      <c r="X12" s="79">
        <f>IF(X$6&gt;0,MIN(MAX(Assumptions!$F$19*Assumptions!$F$18,'Monthly Revenue'!W12*(1+Assumptions!$F$20)),Assumptions!$F$21),0)</f>
        <v>35.692428332355917</v>
      </c>
      <c r="Y12" s="79">
        <f>IF(Y$6&gt;0,MIN(MAX(Assumptions!$F$19*Assumptions!$F$18,'Monthly Revenue'!X12*(1+Assumptions!$F$20)),Assumptions!$F$21),0)</f>
        <v>36.406276899003032</v>
      </c>
      <c r="Z12" s="79">
        <f>IF(Z$6&gt;0,MIN(MAX(Assumptions!$F$19*Assumptions!$F$18,'Monthly Revenue'!Y12*(1+Assumptions!$F$20)),Assumptions!$F$21),0)</f>
        <v>37.134402436983095</v>
      </c>
      <c r="AA12" s="79">
        <f>IF(AA$6&gt;0,MIN(MAX(Assumptions!$F$19*Assumptions!$F$18,'Monthly Revenue'!Z12*(1+Assumptions!$F$20)),Assumptions!$F$21),0)</f>
        <v>37.877090485722761</v>
      </c>
      <c r="AB12" s="79">
        <f>IF(AB$6&gt;0,MIN(MAX(Assumptions!$F$19*Assumptions!$F$18,'Monthly Revenue'!AA12*(1+Assumptions!$F$20)),Assumptions!$F$21),0)</f>
        <v>38.634632295437214</v>
      </c>
      <c r="AC12" s="79">
        <f>IF(AC$6&gt;0,MIN(MAX(Assumptions!$F$19*Assumptions!$F$18,'Monthly Revenue'!AB12*(1+Assumptions!$F$20)),Assumptions!$F$21),0)</f>
        <v>39.407324941345962</v>
      </c>
      <c r="AD12" s="79">
        <f>IF(AD$6&gt;0,MIN(MAX(Assumptions!$F$19*Assumptions!$F$18,'Monthly Revenue'!AC12*(1+Assumptions!$F$20)),Assumptions!$F$21),0)</f>
        <v>40.195471440172881</v>
      </c>
      <c r="AE12" s="79">
        <f>IF(AE$6&gt;0,MIN(MAX(Assumptions!$F$19*Assumptions!$F$18,'Monthly Revenue'!AD12*(1+Assumptions!$F$20)),Assumptions!$F$21),0)</f>
        <v>40.999380868976338</v>
      </c>
      <c r="AF12" s="79">
        <f>IF(AF$6&gt;0,MIN(MAX(Assumptions!$F$19*Assumptions!$F$18,'Monthly Revenue'!AE12*(1+Assumptions!$F$20)),Assumptions!$F$21),0)</f>
        <v>41.819368486355863</v>
      </c>
      <c r="AG12" s="79">
        <f>IF(AG$6&gt;0,MIN(MAX(Assumptions!$F$19*Assumptions!$F$18,'Monthly Revenue'!AF12*(1+Assumptions!$F$20)),Assumptions!$F$21),0)</f>
        <v>42.655755856082983</v>
      </c>
      <c r="AH12" s="79">
        <f>IF(AH$6&gt;0,MIN(MAX(Assumptions!$F$19*Assumptions!$F$18,'Monthly Revenue'!AG12*(1+Assumptions!$F$20)),Assumptions!$F$21),0)</f>
        <v>43.508870973204644</v>
      </c>
      <c r="AI12" s="79">
        <f>IF(AI$6&gt;0,MIN(MAX(Assumptions!$F$19*Assumptions!$F$18,'Monthly Revenue'!AH12*(1+Assumptions!$F$20)),Assumptions!$F$21),0)</f>
        <v>44.379048392668736</v>
      </c>
      <c r="AJ12" s="79">
        <f>IF(AJ$6&gt;0,MIN(MAX(Assumptions!$F$19*Assumptions!$F$18,'Monthly Revenue'!AI12*(1+Assumptions!$F$20)),Assumptions!$F$21),0)</f>
        <v>45.26662936052211</v>
      </c>
      <c r="AK12" s="79">
        <f>IF(AK$6&gt;0,MIN(MAX(Assumptions!$F$19*Assumptions!$F$18,'Monthly Revenue'!AJ12*(1+Assumptions!$F$20)),Assumptions!$F$21),0)</f>
        <v>46.171961947732555</v>
      </c>
      <c r="AL12" s="79">
        <f>IF(AL$6&gt;0,MIN(MAX(Assumptions!$F$19*Assumptions!$F$18,'Monthly Revenue'!AK12*(1+Assumptions!$F$20)),Assumptions!$F$21),0)</f>
        <v>47.095401186687205</v>
      </c>
      <c r="AM12" s="79">
        <f>IF(AM$6&gt;0,MIN(MAX(Assumptions!$F$19*Assumptions!$F$18,'Monthly Revenue'!AL12*(1+Assumptions!$F$20)),Assumptions!$F$21),0)</f>
        <v>48.03730921042095</v>
      </c>
      <c r="AN12" s="79">
        <f>IF(AN$6&gt;0,MIN(MAX(Assumptions!$F$19*Assumptions!$F$18,'Monthly Revenue'!AM12*(1+Assumptions!$F$20)),Assumptions!$F$21),0)</f>
        <v>48.998055394629368</v>
      </c>
    </row>
    <row r="13" spans="1:40" x14ac:dyDescent="0.3">
      <c r="A13" s="70"/>
    </row>
    <row r="14" spans="1:40" x14ac:dyDescent="0.3">
      <c r="A14" s="78" t="s">
        <v>114</v>
      </c>
    </row>
    <row r="15" spans="1:40" x14ac:dyDescent="0.3">
      <c r="A15" s="77" t="s">
        <v>9</v>
      </c>
      <c r="E15">
        <f>IF(E$7&gt;0,MIN(MAX(Assumptions!$C$19*Assumptions!$C$18,'Monthly Revenue'!D15*(1+Assumptions!$C$20)),Assumptions!$C$21),0)</f>
        <v>0</v>
      </c>
      <c r="F15" s="79">
        <f>IF(F$7&gt;0,MIN(MAX(Assumptions!$C$19*Assumptions!$C$18,'Monthly Revenue'!E15*(1+Assumptions!$C$20)),Assumptions!$C$21),0)</f>
        <v>0</v>
      </c>
      <c r="G15" s="79">
        <f>IF(G$7&gt;0,MIN(MAX(Assumptions!$C$19*Assumptions!$C$18,'Monthly Revenue'!F15*(1+Assumptions!$C$20)),Assumptions!$C$21),0)</f>
        <v>0</v>
      </c>
      <c r="H15" s="79">
        <f>IF(H$7&gt;0,MIN(MAX(Assumptions!$C$19*Assumptions!$C$18,'Monthly Revenue'!G15*(1+Assumptions!$C$20)),Assumptions!$C$21),0)</f>
        <v>26</v>
      </c>
      <c r="I15" s="79">
        <f>IF(I$7&gt;0,MIN(MAX(Assumptions!$C$19*Assumptions!$C$18,'Monthly Revenue'!H15*(1+Assumptions!$C$20)),Assumptions!$C$21),0)</f>
        <v>27.04</v>
      </c>
      <c r="J15" s="79">
        <f>IF(J$7&gt;0,MIN(MAX(Assumptions!$C$19*Assumptions!$C$18,'Monthly Revenue'!I15*(1+Assumptions!$C$20)),Assumptions!$C$21),0)</f>
        <v>28.121600000000001</v>
      </c>
      <c r="K15" s="79">
        <f>IF(K$7&gt;0,MIN(MAX(Assumptions!$C$19*Assumptions!$C$18,'Monthly Revenue'!J15*(1+Assumptions!$C$20)),Assumptions!$C$21),0)</f>
        <v>29.246464000000003</v>
      </c>
      <c r="L15" s="79">
        <f>IF(L$7&gt;0,MIN(MAX(Assumptions!$C$19*Assumptions!$C$18,'Monthly Revenue'!K15*(1+Assumptions!$C$20)),Assumptions!$C$21),0)</f>
        <v>30.416322560000005</v>
      </c>
      <c r="M15" s="79">
        <f>IF(M$7&gt;0,MIN(MAX(Assumptions!$C$19*Assumptions!$C$18,'Monthly Revenue'!L15*(1+Assumptions!$C$20)),Assumptions!$C$21),0)</f>
        <v>31.632975462400005</v>
      </c>
      <c r="N15" s="79">
        <f>IF(N$7&gt;0,MIN(MAX(Assumptions!$C$19*Assumptions!$C$18,'Monthly Revenue'!M15*(1+Assumptions!$C$20)),Assumptions!$C$21),0)</f>
        <v>32.898294480896006</v>
      </c>
      <c r="O15" s="79">
        <f>IF(O$7&gt;0,MIN(MAX(Assumptions!$C$19*Assumptions!$C$18,'Monthly Revenue'!N15*(1+Assumptions!$C$20)),Assumptions!$C$21),0)</f>
        <v>34.214226260131845</v>
      </c>
      <c r="P15" s="79">
        <f>IF(P$7&gt;0,MIN(MAX(Assumptions!$C$19*Assumptions!$C$18,'Monthly Revenue'!O15*(1+Assumptions!$C$20)),Assumptions!$C$21),0)</f>
        <v>35.582795310537122</v>
      </c>
      <c r="Q15" s="79">
        <f>IF(Q$7&gt;0,MIN(MAX(Assumptions!$C$19*Assumptions!$C$18,'Monthly Revenue'!P15*(1+Assumptions!$C$20)),Assumptions!$C$21),0)</f>
        <v>37.00610712295861</v>
      </c>
      <c r="R15" s="79">
        <f>IF(R$7&gt;0,MIN(MAX(Assumptions!$C$19*Assumptions!$C$18,'Monthly Revenue'!Q15*(1+Assumptions!$C$20)),Assumptions!$C$21),0)</f>
        <v>38.48635140787696</v>
      </c>
      <c r="S15" s="79">
        <f>IF(S$7&gt;0,MIN(MAX(Assumptions!$C$19*Assumptions!$C$18,'Monthly Revenue'!R15*(1+Assumptions!$C$20)),Assumptions!$C$21),0)</f>
        <v>40.02580546419204</v>
      </c>
      <c r="T15" s="79">
        <f>IF(T$7&gt;0,MIN(MAX(Assumptions!$C$19*Assumptions!$C$18,'Monthly Revenue'!S15*(1+Assumptions!$C$20)),Assumptions!$C$21),0)</f>
        <v>41.626837682759721</v>
      </c>
      <c r="U15" s="79">
        <f>IF(U$7&gt;0,MIN(MAX(Assumptions!$C$19*Assumptions!$C$18,'Monthly Revenue'!T15*(1+Assumptions!$C$20)),Assumptions!$C$21),0)</f>
        <v>43.29191119007011</v>
      </c>
      <c r="V15" s="79">
        <f>IF(V$7&gt;0,MIN(MAX(Assumptions!$C$19*Assumptions!$C$18,'Monthly Revenue'!U15*(1+Assumptions!$C$20)),Assumptions!$C$21),0)</f>
        <v>45.023587637672918</v>
      </c>
      <c r="W15" s="79">
        <f>IF(W$7&gt;0,MIN(MAX(Assumptions!$C$19*Assumptions!$C$18,'Monthly Revenue'!V15*(1+Assumptions!$C$20)),Assumptions!$C$21),0)</f>
        <v>46.82453114317984</v>
      </c>
      <c r="X15" s="79">
        <f>IF(X$7&gt;0,MIN(MAX(Assumptions!$C$19*Assumptions!$C$18,'Monthly Revenue'!W15*(1+Assumptions!$C$20)),Assumptions!$C$21),0)</f>
        <v>48.697512388907036</v>
      </c>
      <c r="Y15" s="79">
        <f>IF(Y$7&gt;0,MIN(MAX(Assumptions!$C$19*Assumptions!$C$18,'Monthly Revenue'!X15*(1+Assumptions!$C$20)),Assumptions!$C$21),0)</f>
        <v>50.645412884463319</v>
      </c>
      <c r="Z15" s="79">
        <f>IF(Z$7&gt;0,MIN(MAX(Assumptions!$C$19*Assumptions!$C$18,'Monthly Revenue'!Y15*(1+Assumptions!$C$20)),Assumptions!$C$21),0)</f>
        <v>52.671229399841856</v>
      </c>
      <c r="AA15" s="79">
        <f>IF(AA$7&gt;0,MIN(MAX(Assumptions!$C$19*Assumptions!$C$18,'Monthly Revenue'!Z15*(1+Assumptions!$C$20)),Assumptions!$C$21),0)</f>
        <v>54.778078575835529</v>
      </c>
      <c r="AB15" s="79">
        <f>IF(AB$7&gt;0,MIN(MAX(Assumptions!$C$19*Assumptions!$C$18,'Monthly Revenue'!AA15*(1+Assumptions!$C$20)),Assumptions!$C$21),0)</f>
        <v>56.969201718868952</v>
      </c>
      <c r="AC15" s="79">
        <f>IF(AC$7&gt;0,MIN(MAX(Assumptions!$C$19*Assumptions!$C$18,'Monthly Revenue'!AB15*(1+Assumptions!$C$20)),Assumptions!$C$21),0)</f>
        <v>59.24796978762371</v>
      </c>
      <c r="AD15" s="79">
        <f>IF(AD$7&gt;0,MIN(MAX(Assumptions!$C$19*Assumptions!$C$18,'Monthly Revenue'!AC15*(1+Assumptions!$C$20)),Assumptions!$C$21),0)</f>
        <v>61.61788857912866</v>
      </c>
      <c r="AE15" s="79">
        <f>IF(AE$7&gt;0,MIN(MAX(Assumptions!$C$19*Assumptions!$C$18,'Monthly Revenue'!AD15*(1+Assumptions!$C$20)),Assumptions!$C$21),0)</f>
        <v>64.082604122293816</v>
      </c>
      <c r="AF15" s="79">
        <f>IF(AF$7&gt;0,MIN(MAX(Assumptions!$C$19*Assumptions!$C$18,'Monthly Revenue'!AE15*(1+Assumptions!$C$20)),Assumptions!$C$21),0)</f>
        <v>66.645908287185577</v>
      </c>
      <c r="AG15" s="79">
        <f>IF(AG$7&gt;0,MIN(MAX(Assumptions!$C$19*Assumptions!$C$18,'Monthly Revenue'!AF15*(1+Assumptions!$C$20)),Assumptions!$C$21),0)</f>
        <v>69.311744618673004</v>
      </c>
      <c r="AH15" s="79">
        <f>IF(AH$7&gt;0,MIN(MAX(Assumptions!$C$19*Assumptions!$C$18,'Monthly Revenue'!AG15*(1+Assumptions!$C$20)),Assumptions!$C$21),0)</f>
        <v>72.084214403419921</v>
      </c>
      <c r="AI15" s="79">
        <f>IF(AI$7&gt;0,MIN(MAX(Assumptions!$C$19*Assumptions!$C$18,'Monthly Revenue'!AH15*(1+Assumptions!$C$20)),Assumptions!$C$21),0)</f>
        <v>74.967582979556724</v>
      </c>
      <c r="AJ15" s="79">
        <f>IF(AJ$7&gt;0,MIN(MAX(Assumptions!$C$19*Assumptions!$C$18,'Monthly Revenue'!AI15*(1+Assumptions!$C$20)),Assumptions!$C$21),0)</f>
        <v>77.966286298738993</v>
      </c>
      <c r="AK15" s="79">
        <f>IF(AK$7&gt;0,MIN(MAX(Assumptions!$C$19*Assumptions!$C$18,'Monthly Revenue'!AJ15*(1+Assumptions!$C$20)),Assumptions!$C$21),0)</f>
        <v>80</v>
      </c>
      <c r="AL15" s="79">
        <f>IF(AL$7&gt;0,MIN(MAX(Assumptions!$C$19*Assumptions!$C$18,'Monthly Revenue'!AK15*(1+Assumptions!$C$20)),Assumptions!$C$21),0)</f>
        <v>80</v>
      </c>
      <c r="AM15" s="79">
        <f>IF(AM$7&gt;0,MIN(MAX(Assumptions!$C$19*Assumptions!$C$18,'Monthly Revenue'!AL15*(1+Assumptions!$C$20)),Assumptions!$C$21),0)</f>
        <v>80</v>
      </c>
      <c r="AN15" s="79">
        <f>IF(AN$7&gt;0,MIN(MAX(Assumptions!$C$19*Assumptions!$C$18,'Monthly Revenue'!AM15*(1+Assumptions!$C$20)),Assumptions!$C$21),0)</f>
        <v>80</v>
      </c>
    </row>
    <row r="16" spans="1:40" x14ac:dyDescent="0.3">
      <c r="A16" s="77" t="s">
        <v>21</v>
      </c>
      <c r="E16">
        <f>IF(E$7&gt;0,MIN(MAX(Assumptions!$G$19*Assumptions!$G$18,'Monthly Revenue'!D16*(1+Assumptions!$G$20)),Assumptions!$G$21),0)</f>
        <v>0</v>
      </c>
      <c r="F16" s="79">
        <f>IF(F$7&gt;0,MIN(MAX(Assumptions!$G$19*Assumptions!$G$18,'Monthly Revenue'!E16*(1+Assumptions!$G$20)),Assumptions!$G$21),0)</f>
        <v>0</v>
      </c>
      <c r="G16" s="79">
        <f>IF(G$7&gt;0,MIN(MAX(Assumptions!$G$19*Assumptions!$G$18,'Monthly Revenue'!F16*(1+Assumptions!$G$20)),Assumptions!$G$21),0)</f>
        <v>0</v>
      </c>
      <c r="H16" s="79">
        <f>IF(H$7&gt;0,MIN(MAX(Assumptions!$G$19*Assumptions!$G$18,'Monthly Revenue'!G16*(1+Assumptions!$G$20)),Assumptions!$G$21),0)</f>
        <v>30</v>
      </c>
      <c r="I16" s="79">
        <f>IF(I$7&gt;0,MIN(MAX(Assumptions!$G$19*Assumptions!$G$18,'Monthly Revenue'!H16*(1+Assumptions!$G$20)),Assumptions!$G$21),0)</f>
        <v>31.200000000000003</v>
      </c>
      <c r="J16" s="79">
        <f>IF(J$7&gt;0,MIN(MAX(Assumptions!$G$19*Assumptions!$G$18,'Monthly Revenue'!I16*(1+Assumptions!$G$20)),Assumptions!$G$21),0)</f>
        <v>32.448000000000008</v>
      </c>
      <c r="K16" s="79">
        <f>IF(K$7&gt;0,MIN(MAX(Assumptions!$G$19*Assumptions!$G$18,'Monthly Revenue'!J16*(1+Assumptions!$G$20)),Assumptions!$G$21),0)</f>
        <v>33.745920000000012</v>
      </c>
      <c r="L16" s="79">
        <f>IF(L$7&gt;0,MIN(MAX(Assumptions!$G$19*Assumptions!$G$18,'Monthly Revenue'!K16*(1+Assumptions!$G$20)),Assumptions!$G$21),0)</f>
        <v>35.095756800000011</v>
      </c>
      <c r="M16" s="79">
        <f>IF(M$7&gt;0,MIN(MAX(Assumptions!$G$19*Assumptions!$G$18,'Monthly Revenue'!L16*(1+Assumptions!$G$20)),Assumptions!$G$21),0)</f>
        <v>36.499587072000011</v>
      </c>
      <c r="N16" s="79">
        <f>IF(N$7&gt;0,MIN(MAX(Assumptions!$G$19*Assumptions!$G$18,'Monthly Revenue'!M16*(1+Assumptions!$G$20)),Assumptions!$G$21),0)</f>
        <v>37.95957055488001</v>
      </c>
      <c r="O16" s="79">
        <f>IF(O$7&gt;0,MIN(MAX(Assumptions!$G$19*Assumptions!$G$18,'Monthly Revenue'!N16*(1+Assumptions!$G$20)),Assumptions!$G$21),0)</f>
        <v>39.47795337707521</v>
      </c>
      <c r="P16" s="79">
        <f>IF(P$7&gt;0,MIN(MAX(Assumptions!$G$19*Assumptions!$G$18,'Monthly Revenue'!O16*(1+Assumptions!$G$20)),Assumptions!$G$21),0)</f>
        <v>41.057071512158217</v>
      </c>
      <c r="Q16" s="79">
        <f>IF(Q$7&gt;0,MIN(MAX(Assumptions!$G$19*Assumptions!$G$18,'Monthly Revenue'!P16*(1+Assumptions!$G$20)),Assumptions!$G$21),0)</f>
        <v>42.699354372644549</v>
      </c>
      <c r="R16" s="79">
        <f>IF(R$7&gt;0,MIN(MAX(Assumptions!$G$19*Assumptions!$G$18,'Monthly Revenue'!Q16*(1+Assumptions!$G$20)),Assumptions!$G$21),0)</f>
        <v>44.407328547550335</v>
      </c>
      <c r="S16" s="79">
        <f>IF(S$7&gt;0,MIN(MAX(Assumptions!$G$19*Assumptions!$G$18,'Monthly Revenue'!R16*(1+Assumptions!$G$20)),Assumptions!$G$21),0)</f>
        <v>46.183621689452352</v>
      </c>
      <c r="T16" s="79">
        <f>IF(T$7&gt;0,MIN(MAX(Assumptions!$G$19*Assumptions!$G$18,'Monthly Revenue'!S16*(1+Assumptions!$G$20)),Assumptions!$G$21),0)</f>
        <v>48.030966557030446</v>
      </c>
      <c r="U16" s="79">
        <f>IF(U$7&gt;0,MIN(MAX(Assumptions!$G$19*Assumptions!$G$18,'Monthly Revenue'!T16*(1+Assumptions!$G$20)),Assumptions!$G$21),0)</f>
        <v>49.952205219311665</v>
      </c>
      <c r="V16" s="79">
        <f>IF(V$7&gt;0,MIN(MAX(Assumptions!$G$19*Assumptions!$G$18,'Monthly Revenue'!U16*(1+Assumptions!$G$20)),Assumptions!$G$21),0)</f>
        <v>51.95029342808413</v>
      </c>
      <c r="W16" s="79">
        <f>IF(W$7&gt;0,MIN(MAX(Assumptions!$G$19*Assumptions!$G$18,'Monthly Revenue'!V16*(1+Assumptions!$G$20)),Assumptions!$G$21),0)</f>
        <v>54.028305165207499</v>
      </c>
      <c r="X16" s="79">
        <f>IF(X$7&gt;0,MIN(MAX(Assumptions!$G$19*Assumptions!$G$18,'Monthly Revenue'!W16*(1+Assumptions!$G$20)),Assumptions!$G$21),0)</f>
        <v>56.189437371815799</v>
      </c>
      <c r="Y16" s="79">
        <f>IF(Y$7&gt;0,MIN(MAX(Assumptions!$G$19*Assumptions!$G$18,'Monthly Revenue'!X16*(1+Assumptions!$G$20)),Assumptions!$G$21),0)</f>
        <v>58.437014866688436</v>
      </c>
      <c r="Z16" s="79">
        <f>IF(Z$7&gt;0,MIN(MAX(Assumptions!$G$19*Assumptions!$G$18,'Monthly Revenue'!Y16*(1+Assumptions!$G$20)),Assumptions!$G$21),0)</f>
        <v>60.774495461355976</v>
      </c>
      <c r="AA16" s="79">
        <f>IF(AA$7&gt;0,MIN(MAX(Assumptions!$G$19*Assumptions!$G$18,'Monthly Revenue'!Z16*(1+Assumptions!$G$20)),Assumptions!$G$21),0)</f>
        <v>63.205475279810216</v>
      </c>
      <c r="AB16" s="79">
        <f>IF(AB$7&gt;0,MIN(MAX(Assumptions!$G$19*Assumptions!$G$18,'Monthly Revenue'!AA16*(1+Assumptions!$G$20)),Assumptions!$G$21),0)</f>
        <v>65.733694291002621</v>
      </c>
      <c r="AC16" s="79">
        <f>IF(AC$7&gt;0,MIN(MAX(Assumptions!$G$19*Assumptions!$G$18,'Monthly Revenue'!AB16*(1+Assumptions!$G$20)),Assumptions!$G$21),0)</f>
        <v>68.363042062642734</v>
      </c>
      <c r="AD16" s="79">
        <f>IF(AD$7&gt;0,MIN(MAX(Assumptions!$G$19*Assumptions!$G$18,'Monthly Revenue'!AC16*(1+Assumptions!$G$20)),Assumptions!$G$21),0)</f>
        <v>71.097563745148449</v>
      </c>
      <c r="AE16" s="79">
        <f>IF(AE$7&gt;0,MIN(MAX(Assumptions!$G$19*Assumptions!$G$18,'Monthly Revenue'!AD16*(1+Assumptions!$G$20)),Assumptions!$G$21),0)</f>
        <v>73.941466294954395</v>
      </c>
      <c r="AF16" s="79">
        <f>IF(AF$7&gt;0,MIN(MAX(Assumptions!$G$19*Assumptions!$G$18,'Monthly Revenue'!AE16*(1+Assumptions!$G$20)),Assumptions!$G$21),0)</f>
        <v>76.899124946752579</v>
      </c>
      <c r="AG16" s="79">
        <f>IF(AG$7&gt;0,MIN(MAX(Assumptions!$G$19*Assumptions!$G$18,'Monthly Revenue'!AF16*(1+Assumptions!$G$20)),Assumptions!$G$21),0)</f>
        <v>79.975089944622681</v>
      </c>
      <c r="AH16" s="79">
        <f>IF(AH$7&gt;0,MIN(MAX(Assumptions!$G$19*Assumptions!$G$18,'Monthly Revenue'!AG16*(1+Assumptions!$G$20)),Assumptions!$G$21),0)</f>
        <v>83.17409354240759</v>
      </c>
      <c r="AI16" s="79">
        <f>IF(AI$7&gt;0,MIN(MAX(Assumptions!$G$19*Assumptions!$G$18,'Monthly Revenue'!AH16*(1+Assumptions!$G$20)),Assumptions!$G$21),0)</f>
        <v>86.501057284103894</v>
      </c>
      <c r="AJ16" s="79">
        <f>IF(AJ$7&gt;0,MIN(MAX(Assumptions!$G$19*Assumptions!$G$18,'Monthly Revenue'!AI16*(1+Assumptions!$G$20)),Assumptions!$G$21),0)</f>
        <v>89.961099575468054</v>
      </c>
      <c r="AK16" s="79">
        <f>IF(AK$7&gt;0,MIN(MAX(Assumptions!$G$19*Assumptions!$G$18,'Monthly Revenue'!AJ16*(1+Assumptions!$G$20)),Assumptions!$G$21),0)</f>
        <v>90</v>
      </c>
      <c r="AL16" s="79">
        <f>IF(AL$7&gt;0,MIN(MAX(Assumptions!$G$19*Assumptions!$G$18,'Monthly Revenue'!AK16*(1+Assumptions!$G$20)),Assumptions!$G$21),0)</f>
        <v>90</v>
      </c>
      <c r="AM16" s="79">
        <f>IF(AM$7&gt;0,MIN(MAX(Assumptions!$G$19*Assumptions!$G$18,'Monthly Revenue'!AL16*(1+Assumptions!$G$20)),Assumptions!$G$21),0)</f>
        <v>90</v>
      </c>
      <c r="AN16" s="79">
        <f>IF(AN$7&gt;0,MIN(MAX(Assumptions!$G$19*Assumptions!$G$18,'Monthly Revenue'!AM16*(1+Assumptions!$G$20)),Assumptions!$G$21),0)</f>
        <v>90</v>
      </c>
    </row>
    <row r="17" spans="1:40" x14ac:dyDescent="0.3"/>
    <row r="18" spans="1:40" x14ac:dyDescent="0.3">
      <c r="A18" s="93" t="s">
        <v>116</v>
      </c>
    </row>
    <row r="19" spans="1:40" x14ac:dyDescent="0.3">
      <c r="A19" s="86" t="s">
        <v>7</v>
      </c>
    </row>
    <row r="20" spans="1:40" x14ac:dyDescent="0.3">
      <c r="A20" s="80" t="s">
        <v>9</v>
      </c>
      <c r="E20" s="85">
        <f>MOD(E3,12)</f>
        <v>1</v>
      </c>
      <c r="F20" s="85">
        <f t="shared" ref="F20:AN20" si="4">MOD(F3,12)</f>
        <v>2</v>
      </c>
      <c r="G20" s="85">
        <f t="shared" si="4"/>
        <v>3</v>
      </c>
      <c r="H20" s="85">
        <f t="shared" si="4"/>
        <v>4</v>
      </c>
      <c r="I20" s="85">
        <f t="shared" si="4"/>
        <v>5</v>
      </c>
      <c r="J20" s="85">
        <f t="shared" si="4"/>
        <v>6</v>
      </c>
      <c r="K20" s="85">
        <f t="shared" si="4"/>
        <v>7</v>
      </c>
      <c r="L20" s="85">
        <f t="shared" si="4"/>
        <v>8</v>
      </c>
      <c r="M20" s="85">
        <f t="shared" si="4"/>
        <v>9</v>
      </c>
      <c r="N20" s="85">
        <f t="shared" si="4"/>
        <v>10</v>
      </c>
      <c r="O20" s="85">
        <f t="shared" si="4"/>
        <v>11</v>
      </c>
      <c r="P20" s="85">
        <f t="shared" si="4"/>
        <v>0</v>
      </c>
      <c r="Q20" s="85">
        <f t="shared" si="4"/>
        <v>1</v>
      </c>
      <c r="R20" s="85">
        <f t="shared" si="4"/>
        <v>2</v>
      </c>
      <c r="S20" s="85">
        <f t="shared" si="4"/>
        <v>3</v>
      </c>
      <c r="T20" s="85">
        <f t="shared" si="4"/>
        <v>4</v>
      </c>
      <c r="U20" s="85">
        <f t="shared" si="4"/>
        <v>5</v>
      </c>
      <c r="V20" s="85">
        <f t="shared" si="4"/>
        <v>6</v>
      </c>
      <c r="W20" s="85">
        <f t="shared" si="4"/>
        <v>7</v>
      </c>
      <c r="X20" s="85">
        <f t="shared" si="4"/>
        <v>8</v>
      </c>
      <c r="Y20" s="85">
        <f t="shared" si="4"/>
        <v>9</v>
      </c>
      <c r="Z20" s="85">
        <f t="shared" si="4"/>
        <v>10</v>
      </c>
      <c r="AA20" s="85">
        <f t="shared" si="4"/>
        <v>11</v>
      </c>
      <c r="AB20" s="85">
        <f t="shared" si="4"/>
        <v>0</v>
      </c>
      <c r="AC20" s="85">
        <f t="shared" si="4"/>
        <v>1</v>
      </c>
      <c r="AD20" s="85">
        <f t="shared" si="4"/>
        <v>2</v>
      </c>
      <c r="AE20" s="85">
        <f t="shared" si="4"/>
        <v>3</v>
      </c>
      <c r="AF20" s="85">
        <f t="shared" si="4"/>
        <v>4</v>
      </c>
      <c r="AG20" s="85">
        <f t="shared" si="4"/>
        <v>5</v>
      </c>
      <c r="AH20" s="85">
        <f t="shared" si="4"/>
        <v>6</v>
      </c>
      <c r="AI20" s="85">
        <f t="shared" si="4"/>
        <v>7</v>
      </c>
      <c r="AJ20" s="85">
        <f t="shared" si="4"/>
        <v>8</v>
      </c>
      <c r="AK20" s="85">
        <f t="shared" si="4"/>
        <v>9</v>
      </c>
      <c r="AL20" s="85">
        <f t="shared" si="4"/>
        <v>10</v>
      </c>
      <c r="AM20" s="85">
        <f t="shared" si="4"/>
        <v>11</v>
      </c>
      <c r="AN20" s="85">
        <f t="shared" si="4"/>
        <v>0</v>
      </c>
    </row>
    <row r="21" spans="1:40" x14ac:dyDescent="0.3">
      <c r="A21" s="81" t="s">
        <v>11</v>
      </c>
      <c r="E21" s="79">
        <f>IF(MOD(E$3,12)=4,MAX(Assumptions!$B11,'Monthly Revenue'!D21*(1+Assumptions!$B$14)),'Monthly Revenue'!D21)</f>
        <v>0</v>
      </c>
      <c r="F21" s="79">
        <f>IF(MOD(F$3,12)=4,MAX(Assumptions!$B11,'Monthly Revenue'!E21*(1+Assumptions!$B$14)),'Monthly Revenue'!E21)</f>
        <v>0</v>
      </c>
      <c r="G21" s="79">
        <f>IF(MOD(G$3,12)=4,MAX(Assumptions!$B11,'Monthly Revenue'!F21*(1+Assumptions!$B$14)),'Monthly Revenue'!F21)</f>
        <v>0</v>
      </c>
      <c r="H21" s="79">
        <f>IF(MOD(H$3,12)=4,MAX(Assumptions!$B11,'Monthly Revenue'!G21*(1+Assumptions!$B$14)),'Monthly Revenue'!G21)</f>
        <v>300</v>
      </c>
      <c r="I21" s="79">
        <f>IF(MOD(I$3,12)=4,MAX(Assumptions!$B11,'Monthly Revenue'!H21*(1+Assumptions!$B$14)),'Monthly Revenue'!H21)</f>
        <v>300</v>
      </c>
      <c r="J21" s="79">
        <f>IF(MOD(J$3,12)=4,MAX(Assumptions!$B11,'Monthly Revenue'!I21*(1+Assumptions!$B$14)),'Monthly Revenue'!I21)</f>
        <v>300</v>
      </c>
      <c r="K21" s="79">
        <f>IF(MOD(K$3,12)=4,MAX(Assumptions!$B11,'Monthly Revenue'!J21*(1+Assumptions!$B$14)),'Monthly Revenue'!J21)</f>
        <v>300</v>
      </c>
      <c r="L21" s="79">
        <f>IF(MOD(L$3,12)=4,MAX(Assumptions!$B11,'Monthly Revenue'!K21*(1+Assumptions!$B$14)),'Monthly Revenue'!K21)</f>
        <v>300</v>
      </c>
      <c r="M21" s="79">
        <f>IF(MOD(M$3,12)=4,MAX(Assumptions!$B11,'Monthly Revenue'!L21*(1+Assumptions!$B$14)),'Monthly Revenue'!L21)</f>
        <v>300</v>
      </c>
      <c r="N21" s="79">
        <f>IF(MOD(N$3,12)=4,MAX(Assumptions!$B11,'Monthly Revenue'!M21*(1+Assumptions!$B$14)),'Monthly Revenue'!M21)</f>
        <v>300</v>
      </c>
      <c r="O21" s="79">
        <f>IF(MOD(O$3,12)=4,MAX(Assumptions!$B11,'Monthly Revenue'!N21*(1+Assumptions!$B$14)),'Monthly Revenue'!N21)</f>
        <v>300</v>
      </c>
      <c r="P21" s="79">
        <f>IF(MOD(P$3,12)=4,MAX(Assumptions!$B11,'Monthly Revenue'!O21*(1+Assumptions!$B$14)),'Monthly Revenue'!O21)</f>
        <v>300</v>
      </c>
      <c r="Q21" s="79">
        <f>IF(MOD(Q$3,12)=4,MAX(Assumptions!$B11,'Monthly Revenue'!P21*(1+Assumptions!$B$14)),'Monthly Revenue'!P21)</f>
        <v>300</v>
      </c>
      <c r="R21" s="79">
        <f>IF(MOD(R$3,12)=4,MAX(Assumptions!$B11,'Monthly Revenue'!Q21*(1+Assumptions!$B$14)),'Monthly Revenue'!Q21)</f>
        <v>300</v>
      </c>
      <c r="S21" s="79">
        <f>IF(MOD(S$3,12)=4,MAX(Assumptions!$B11,'Monthly Revenue'!R21*(1+Assumptions!$B$14)),'Monthly Revenue'!R21)</f>
        <v>300</v>
      </c>
      <c r="T21" s="79">
        <f>IF(MOD(T$3,12)=4,MAX(Assumptions!$B11,'Monthly Revenue'!S21*(1+Assumptions!$B$14)),'Monthly Revenue'!S21)</f>
        <v>315</v>
      </c>
      <c r="U21" s="79">
        <f>IF(MOD(U$3,12)=4,MAX(Assumptions!$B11,'Monthly Revenue'!T21*(1+Assumptions!$B$14)),'Monthly Revenue'!T21)</f>
        <v>315</v>
      </c>
      <c r="V21" s="79">
        <f>IF(MOD(V$3,12)=4,MAX(Assumptions!$B11,'Monthly Revenue'!U21*(1+Assumptions!$B$14)),'Monthly Revenue'!U21)</f>
        <v>315</v>
      </c>
      <c r="W21" s="79">
        <f>IF(MOD(W$3,12)=4,MAX(Assumptions!$B11,'Monthly Revenue'!V21*(1+Assumptions!$B$14)),'Monthly Revenue'!V21)</f>
        <v>315</v>
      </c>
      <c r="X21" s="79">
        <f>IF(MOD(X$3,12)=4,MAX(Assumptions!$B11,'Monthly Revenue'!W21*(1+Assumptions!$B$14)),'Monthly Revenue'!W21)</f>
        <v>315</v>
      </c>
      <c r="Y21" s="79">
        <f>IF(MOD(Y$3,12)=4,MAX(Assumptions!$B11,'Monthly Revenue'!X21*(1+Assumptions!$B$14)),'Monthly Revenue'!X21)</f>
        <v>315</v>
      </c>
      <c r="Z21" s="79">
        <f>IF(MOD(Z$3,12)=4,MAX(Assumptions!$B11,'Monthly Revenue'!Y21*(1+Assumptions!$B$14)),'Monthly Revenue'!Y21)</f>
        <v>315</v>
      </c>
      <c r="AA21" s="79">
        <f>IF(MOD(AA$3,12)=4,MAX(Assumptions!$B11,'Monthly Revenue'!Z21*(1+Assumptions!$B$14)),'Monthly Revenue'!Z21)</f>
        <v>315</v>
      </c>
      <c r="AB21" s="79">
        <f>IF(MOD(AB$3,12)=4,MAX(Assumptions!$B11,'Monthly Revenue'!AA21*(1+Assumptions!$B$14)),'Monthly Revenue'!AA21)</f>
        <v>315</v>
      </c>
      <c r="AC21" s="79">
        <f>IF(MOD(AC$3,12)=4,MAX(Assumptions!$B11,'Monthly Revenue'!AB21*(1+Assumptions!$B$14)),'Monthly Revenue'!AB21)</f>
        <v>315</v>
      </c>
      <c r="AD21" s="79">
        <f>IF(MOD(AD$3,12)=4,MAX(Assumptions!$B11,'Monthly Revenue'!AC21*(1+Assumptions!$B$14)),'Monthly Revenue'!AC21)</f>
        <v>315</v>
      </c>
      <c r="AE21" s="79">
        <f>IF(MOD(AE$3,12)=4,MAX(Assumptions!$B11,'Monthly Revenue'!AD21*(1+Assumptions!$B$14)),'Monthly Revenue'!AD21)</f>
        <v>315</v>
      </c>
      <c r="AF21" s="79">
        <f>IF(MOD(AF$3,12)=4,MAX(Assumptions!$B11,'Monthly Revenue'!AE21*(1+Assumptions!$B$14)),'Monthly Revenue'!AE21)</f>
        <v>330.75</v>
      </c>
      <c r="AG21" s="79">
        <f>IF(MOD(AG$3,12)=4,MAX(Assumptions!$B11,'Monthly Revenue'!AF21*(1+Assumptions!$B$14)),'Monthly Revenue'!AF21)</f>
        <v>330.75</v>
      </c>
      <c r="AH21" s="79">
        <f>IF(MOD(AH$3,12)=4,MAX(Assumptions!$B11,'Monthly Revenue'!AG21*(1+Assumptions!$B$14)),'Monthly Revenue'!AG21)</f>
        <v>330.75</v>
      </c>
      <c r="AI21" s="79">
        <f>IF(MOD(AI$3,12)=4,MAX(Assumptions!$B11,'Monthly Revenue'!AH21*(1+Assumptions!$B$14)),'Monthly Revenue'!AH21)</f>
        <v>330.75</v>
      </c>
      <c r="AJ21" s="79">
        <f>IF(MOD(AJ$3,12)=4,MAX(Assumptions!$B11,'Monthly Revenue'!AI21*(1+Assumptions!$B$14)),'Monthly Revenue'!AI21)</f>
        <v>330.75</v>
      </c>
      <c r="AK21" s="79">
        <f>IF(MOD(AK$3,12)=4,MAX(Assumptions!$B11,'Monthly Revenue'!AJ21*(1+Assumptions!$B$14)),'Monthly Revenue'!AJ21)</f>
        <v>330.75</v>
      </c>
      <c r="AL21" s="79">
        <f>IF(MOD(AL$3,12)=4,MAX(Assumptions!$B11,'Monthly Revenue'!AK21*(1+Assumptions!$B$14)),'Monthly Revenue'!AK21)</f>
        <v>330.75</v>
      </c>
      <c r="AM21" s="79">
        <f>IF(MOD(AM$3,12)=4,MAX(Assumptions!$B11,'Monthly Revenue'!AL21*(1+Assumptions!$B$14)),'Monthly Revenue'!AL21)</f>
        <v>330.75</v>
      </c>
      <c r="AN21" s="79">
        <f>IF(MOD(AN$3,12)=4,MAX(Assumptions!$B11,'Monthly Revenue'!AM21*(1+Assumptions!$B$14)),'Monthly Revenue'!AM21)</f>
        <v>330.75</v>
      </c>
    </row>
    <row r="22" spans="1:40" x14ac:dyDescent="0.3">
      <c r="A22" s="81" t="s">
        <v>12</v>
      </c>
      <c r="E22" s="79">
        <f>IF(MOD(E$3,12)=4,MAX(Assumptions!$B12,'Monthly Revenue'!D22*(1+Assumptions!$B$14)),'Monthly Revenue'!D22)</f>
        <v>0</v>
      </c>
      <c r="F22" s="79">
        <f>IF(MOD(F$3,12)=4,MAX(Assumptions!$B12,'Monthly Revenue'!E22*(1+Assumptions!$B$14)),'Monthly Revenue'!E22)</f>
        <v>0</v>
      </c>
      <c r="G22" s="79">
        <f>IF(MOD(G$3,12)=4,MAX(Assumptions!$B12,'Monthly Revenue'!F22*(1+Assumptions!$B$14)),'Monthly Revenue'!F22)</f>
        <v>0</v>
      </c>
      <c r="H22" s="79">
        <f>IF(MOD(H$3,12)=4,MAX(Assumptions!$B12,'Monthly Revenue'!G22*(1+Assumptions!$B$14)),'Monthly Revenue'!G22)</f>
        <v>200</v>
      </c>
      <c r="I22" s="79">
        <f>IF(MOD(I$3,12)=4,MAX(Assumptions!$B12,'Monthly Revenue'!H22*(1+Assumptions!$B$14)),'Monthly Revenue'!H22)</f>
        <v>200</v>
      </c>
      <c r="J22" s="79">
        <f>IF(MOD(J$3,12)=4,MAX(Assumptions!$B12,'Monthly Revenue'!I22*(1+Assumptions!$B$14)),'Monthly Revenue'!I22)</f>
        <v>200</v>
      </c>
      <c r="K22" s="79">
        <f>IF(MOD(K$3,12)=4,MAX(Assumptions!$B12,'Monthly Revenue'!J22*(1+Assumptions!$B$14)),'Monthly Revenue'!J22)</f>
        <v>200</v>
      </c>
      <c r="L22" s="79">
        <f>IF(MOD(L$3,12)=4,MAX(Assumptions!$B12,'Monthly Revenue'!K22*(1+Assumptions!$B$14)),'Monthly Revenue'!K22)</f>
        <v>200</v>
      </c>
      <c r="M22" s="79">
        <f>IF(MOD(M$3,12)=4,MAX(Assumptions!$B12,'Monthly Revenue'!L22*(1+Assumptions!$B$14)),'Monthly Revenue'!L22)</f>
        <v>200</v>
      </c>
      <c r="N22" s="79">
        <f>IF(MOD(N$3,12)=4,MAX(Assumptions!$B12,'Monthly Revenue'!M22*(1+Assumptions!$B$14)),'Monthly Revenue'!M22)</f>
        <v>200</v>
      </c>
      <c r="O22" s="79">
        <f>IF(MOD(O$3,12)=4,MAX(Assumptions!$B12,'Monthly Revenue'!N22*(1+Assumptions!$B$14)),'Monthly Revenue'!N22)</f>
        <v>200</v>
      </c>
      <c r="P22" s="79">
        <f>IF(MOD(P$3,12)=4,MAX(Assumptions!$B12,'Monthly Revenue'!O22*(1+Assumptions!$B$14)),'Monthly Revenue'!O22)</f>
        <v>200</v>
      </c>
      <c r="Q22" s="79">
        <f>IF(MOD(Q$3,12)=4,MAX(Assumptions!$B12,'Monthly Revenue'!P22*(1+Assumptions!$B$14)),'Monthly Revenue'!P22)</f>
        <v>200</v>
      </c>
      <c r="R22" s="79">
        <f>IF(MOD(R$3,12)=4,MAX(Assumptions!$B12,'Monthly Revenue'!Q22*(1+Assumptions!$B$14)),'Monthly Revenue'!Q22)</f>
        <v>200</v>
      </c>
      <c r="S22" s="79">
        <f>IF(MOD(S$3,12)=4,MAX(Assumptions!$B12,'Monthly Revenue'!R22*(1+Assumptions!$B$14)),'Monthly Revenue'!R22)</f>
        <v>200</v>
      </c>
      <c r="T22" s="79">
        <f>IF(MOD(T$3,12)=4,MAX(Assumptions!$B12,'Monthly Revenue'!S22*(1+Assumptions!$B$14)),'Monthly Revenue'!S22)</f>
        <v>210</v>
      </c>
      <c r="U22" s="79">
        <f>IF(MOD(U$3,12)=4,MAX(Assumptions!$B12,'Monthly Revenue'!T22*(1+Assumptions!$B$14)),'Monthly Revenue'!T22)</f>
        <v>210</v>
      </c>
      <c r="V22" s="79">
        <f>IF(MOD(V$3,12)=4,MAX(Assumptions!$B12,'Monthly Revenue'!U22*(1+Assumptions!$B$14)),'Monthly Revenue'!U22)</f>
        <v>210</v>
      </c>
      <c r="W22" s="79">
        <f>IF(MOD(W$3,12)=4,MAX(Assumptions!$B12,'Monthly Revenue'!V22*(1+Assumptions!$B$14)),'Monthly Revenue'!V22)</f>
        <v>210</v>
      </c>
      <c r="X22" s="79">
        <f>IF(MOD(X$3,12)=4,MAX(Assumptions!$B12,'Monthly Revenue'!W22*(1+Assumptions!$B$14)),'Monthly Revenue'!W22)</f>
        <v>210</v>
      </c>
      <c r="Y22" s="79">
        <f>IF(MOD(Y$3,12)=4,MAX(Assumptions!$B12,'Monthly Revenue'!X22*(1+Assumptions!$B$14)),'Monthly Revenue'!X22)</f>
        <v>210</v>
      </c>
      <c r="Z22" s="79">
        <f>IF(MOD(Z$3,12)=4,MAX(Assumptions!$B12,'Monthly Revenue'!Y22*(1+Assumptions!$B$14)),'Monthly Revenue'!Y22)</f>
        <v>210</v>
      </c>
      <c r="AA22" s="79">
        <f>IF(MOD(AA$3,12)=4,MAX(Assumptions!$B12,'Monthly Revenue'!Z22*(1+Assumptions!$B$14)),'Monthly Revenue'!Z22)</f>
        <v>210</v>
      </c>
      <c r="AB22" s="79">
        <f>IF(MOD(AB$3,12)=4,MAX(Assumptions!$B12,'Monthly Revenue'!AA22*(1+Assumptions!$B$14)),'Monthly Revenue'!AA22)</f>
        <v>210</v>
      </c>
      <c r="AC22" s="79">
        <f>IF(MOD(AC$3,12)=4,MAX(Assumptions!$B12,'Monthly Revenue'!AB22*(1+Assumptions!$B$14)),'Monthly Revenue'!AB22)</f>
        <v>210</v>
      </c>
      <c r="AD22" s="79">
        <f>IF(MOD(AD$3,12)=4,MAX(Assumptions!$B12,'Monthly Revenue'!AC22*(1+Assumptions!$B$14)),'Monthly Revenue'!AC22)</f>
        <v>210</v>
      </c>
      <c r="AE22" s="79">
        <f>IF(MOD(AE$3,12)=4,MAX(Assumptions!$B12,'Monthly Revenue'!AD22*(1+Assumptions!$B$14)),'Monthly Revenue'!AD22)</f>
        <v>210</v>
      </c>
      <c r="AF22" s="79">
        <f>IF(MOD(AF$3,12)=4,MAX(Assumptions!$B12,'Monthly Revenue'!AE22*(1+Assumptions!$B$14)),'Monthly Revenue'!AE22)</f>
        <v>220.5</v>
      </c>
      <c r="AG22" s="79">
        <f>IF(MOD(AG$3,12)=4,MAX(Assumptions!$B12,'Monthly Revenue'!AF22*(1+Assumptions!$B$14)),'Monthly Revenue'!AF22)</f>
        <v>220.5</v>
      </c>
      <c r="AH22" s="79">
        <f>IF(MOD(AH$3,12)=4,MAX(Assumptions!$B12,'Monthly Revenue'!AG22*(1+Assumptions!$B$14)),'Monthly Revenue'!AG22)</f>
        <v>220.5</v>
      </c>
      <c r="AI22" s="79">
        <f>IF(MOD(AI$3,12)=4,MAX(Assumptions!$B12,'Monthly Revenue'!AH22*(1+Assumptions!$B$14)),'Monthly Revenue'!AH22)</f>
        <v>220.5</v>
      </c>
      <c r="AJ22" s="79">
        <f>IF(MOD(AJ$3,12)=4,MAX(Assumptions!$B12,'Monthly Revenue'!AI22*(1+Assumptions!$B$14)),'Monthly Revenue'!AI22)</f>
        <v>220.5</v>
      </c>
      <c r="AK22" s="79">
        <f>IF(MOD(AK$3,12)=4,MAX(Assumptions!$B12,'Monthly Revenue'!AJ22*(1+Assumptions!$B$14)),'Monthly Revenue'!AJ22)</f>
        <v>220.5</v>
      </c>
      <c r="AL22" s="79">
        <f>IF(MOD(AL$3,12)=4,MAX(Assumptions!$B12,'Monthly Revenue'!AK22*(1+Assumptions!$B$14)),'Monthly Revenue'!AK22)</f>
        <v>220.5</v>
      </c>
      <c r="AM22" s="79">
        <f>IF(MOD(AM$3,12)=4,MAX(Assumptions!$B12,'Monthly Revenue'!AL22*(1+Assumptions!$B$14)),'Monthly Revenue'!AL22)</f>
        <v>220.5</v>
      </c>
      <c r="AN22" s="79">
        <f>IF(MOD(AN$3,12)=4,MAX(Assumptions!$B12,'Monthly Revenue'!AM22*(1+Assumptions!$B$14)),'Monthly Revenue'!AM22)</f>
        <v>220.5</v>
      </c>
    </row>
    <row r="23" spans="1:40" x14ac:dyDescent="0.3">
      <c r="A23" s="81" t="s">
        <v>13</v>
      </c>
      <c r="E23" s="79">
        <f>IF(MOD(E$3,12)=4,MAX(Assumptions!$B13,'Monthly Revenue'!D23*(1+Assumptions!$B$14)),'Monthly Revenue'!D23)</f>
        <v>0</v>
      </c>
      <c r="F23" s="79">
        <f>IF(MOD(F$3,12)=4,MAX(Assumptions!$B13,'Monthly Revenue'!E23*(1+Assumptions!$B$14)),'Monthly Revenue'!E23)</f>
        <v>0</v>
      </c>
      <c r="G23" s="79">
        <f>IF(MOD(G$3,12)=4,MAX(Assumptions!$B13,'Monthly Revenue'!F23*(1+Assumptions!$B$14)),'Monthly Revenue'!F23)</f>
        <v>0</v>
      </c>
      <c r="H23" s="84">
        <f>IF(MOD(H$3,12)=4,MAX(Assumptions!$B13,'Monthly Revenue'!G23*(1+Assumptions!$B$14)),'Monthly Revenue'!G23)</f>
        <v>1000</v>
      </c>
      <c r="I23" s="79">
        <f>IF(MOD(I$3,12)=4,MAX(Assumptions!$B13,'Monthly Revenue'!H23*(1+Assumptions!$B$14)),'Monthly Revenue'!H23)</f>
        <v>1000</v>
      </c>
      <c r="J23" s="79">
        <f>IF(MOD(J$3,12)=4,MAX(Assumptions!$B13,'Monthly Revenue'!I23*(1+Assumptions!$B$14)),'Monthly Revenue'!I23)</f>
        <v>1000</v>
      </c>
      <c r="K23" s="79">
        <f>IF(MOD(K$3,12)=4,MAX(Assumptions!$B13,'Monthly Revenue'!J23*(1+Assumptions!$B$14)),'Monthly Revenue'!J23)</f>
        <v>1000</v>
      </c>
      <c r="L23" s="79">
        <f>IF(MOD(L$3,12)=4,MAX(Assumptions!$B13,'Monthly Revenue'!K23*(1+Assumptions!$B$14)),'Monthly Revenue'!K23)</f>
        <v>1000</v>
      </c>
      <c r="M23" s="79">
        <f>IF(MOD(M$3,12)=4,MAX(Assumptions!$B13,'Monthly Revenue'!L23*(1+Assumptions!$B$14)),'Monthly Revenue'!L23)</f>
        <v>1000</v>
      </c>
      <c r="N23" s="79">
        <f>IF(MOD(N$3,12)=4,MAX(Assumptions!$B13,'Monthly Revenue'!M23*(1+Assumptions!$B$14)),'Monthly Revenue'!M23)</f>
        <v>1000</v>
      </c>
      <c r="O23" s="79">
        <f>IF(MOD(O$3,12)=4,MAX(Assumptions!$B13,'Monthly Revenue'!N23*(1+Assumptions!$B$14)),'Monthly Revenue'!N23)</f>
        <v>1000</v>
      </c>
      <c r="P23" s="79">
        <f>IF(MOD(P$3,12)=4,MAX(Assumptions!$B13,'Monthly Revenue'!O23*(1+Assumptions!$B$14)),'Monthly Revenue'!O23)</f>
        <v>1000</v>
      </c>
      <c r="Q23" s="79">
        <f>IF(MOD(Q$3,12)=4,MAX(Assumptions!$B13,'Monthly Revenue'!P23*(1+Assumptions!$B$14)),'Monthly Revenue'!P23)</f>
        <v>1000</v>
      </c>
      <c r="R23" s="79">
        <f>IF(MOD(R$3,12)=4,MAX(Assumptions!$B13,'Monthly Revenue'!Q23*(1+Assumptions!$B$14)),'Monthly Revenue'!Q23)</f>
        <v>1000</v>
      </c>
      <c r="S23" s="79">
        <f>IF(MOD(S$3,12)=4,MAX(Assumptions!$B13,'Monthly Revenue'!R23*(1+Assumptions!$B$14)),'Monthly Revenue'!R23)</f>
        <v>1000</v>
      </c>
      <c r="T23" s="79">
        <f>IF(MOD(T$3,12)=4,MAX(Assumptions!$B13,'Monthly Revenue'!S23*(1+Assumptions!$B$14)),'Monthly Revenue'!S23)</f>
        <v>1050</v>
      </c>
      <c r="U23" s="79">
        <f>IF(MOD(U$3,12)=4,MAX(Assumptions!$B13,'Monthly Revenue'!T23*(1+Assumptions!$B$14)),'Monthly Revenue'!T23)</f>
        <v>1050</v>
      </c>
      <c r="V23" s="79">
        <f>IF(MOD(V$3,12)=4,MAX(Assumptions!$B13,'Monthly Revenue'!U23*(1+Assumptions!$B$14)),'Monthly Revenue'!U23)</f>
        <v>1050</v>
      </c>
      <c r="W23" s="79">
        <f>IF(MOD(W$3,12)=4,MAX(Assumptions!$B13,'Monthly Revenue'!V23*(1+Assumptions!$B$14)),'Monthly Revenue'!V23)</f>
        <v>1050</v>
      </c>
      <c r="X23" s="79">
        <f>IF(MOD(X$3,12)=4,MAX(Assumptions!$B13,'Monthly Revenue'!W23*(1+Assumptions!$B$14)),'Monthly Revenue'!W23)</f>
        <v>1050</v>
      </c>
      <c r="Y23" s="79">
        <f>IF(MOD(Y$3,12)=4,MAX(Assumptions!$B13,'Monthly Revenue'!X23*(1+Assumptions!$B$14)),'Monthly Revenue'!X23)</f>
        <v>1050</v>
      </c>
      <c r="Z23" s="79">
        <f>IF(MOD(Z$3,12)=4,MAX(Assumptions!$B13,'Monthly Revenue'!Y23*(1+Assumptions!$B$14)),'Monthly Revenue'!Y23)</f>
        <v>1050</v>
      </c>
      <c r="AA23" s="79">
        <f>IF(MOD(AA$3,12)=4,MAX(Assumptions!$B13,'Monthly Revenue'!Z23*(1+Assumptions!$B$14)),'Monthly Revenue'!Z23)</f>
        <v>1050</v>
      </c>
      <c r="AB23" s="79">
        <f>IF(MOD(AB$3,12)=4,MAX(Assumptions!$B13,'Monthly Revenue'!AA23*(1+Assumptions!$B$14)),'Monthly Revenue'!AA23)</f>
        <v>1050</v>
      </c>
      <c r="AC23" s="79">
        <f>IF(MOD(AC$3,12)=4,MAX(Assumptions!$B13,'Monthly Revenue'!AB23*(1+Assumptions!$B$14)),'Monthly Revenue'!AB23)</f>
        <v>1050</v>
      </c>
      <c r="AD23" s="79">
        <f>IF(MOD(AD$3,12)=4,MAX(Assumptions!$B13,'Monthly Revenue'!AC23*(1+Assumptions!$B$14)),'Monthly Revenue'!AC23)</f>
        <v>1050</v>
      </c>
      <c r="AE23" s="79">
        <f>IF(MOD(AE$3,12)=4,MAX(Assumptions!$B13,'Monthly Revenue'!AD23*(1+Assumptions!$B$14)),'Monthly Revenue'!AD23)</f>
        <v>1050</v>
      </c>
      <c r="AF23" s="79">
        <f>IF(MOD(AF$3,12)=4,MAX(Assumptions!$B13,'Monthly Revenue'!AE23*(1+Assumptions!$B$14)),'Monthly Revenue'!AE23)</f>
        <v>1102.5</v>
      </c>
      <c r="AG23" s="79">
        <f>IF(MOD(AG$3,12)=4,MAX(Assumptions!$B13,'Monthly Revenue'!AF23*(1+Assumptions!$B$14)),'Monthly Revenue'!AF23)</f>
        <v>1102.5</v>
      </c>
      <c r="AH23" s="79">
        <f>IF(MOD(AH$3,12)=4,MAX(Assumptions!$B13,'Monthly Revenue'!AG23*(1+Assumptions!$B$14)),'Monthly Revenue'!AG23)</f>
        <v>1102.5</v>
      </c>
      <c r="AI23" s="79">
        <f>IF(MOD(AI$3,12)=4,MAX(Assumptions!$B13,'Monthly Revenue'!AH23*(1+Assumptions!$B$14)),'Monthly Revenue'!AH23)</f>
        <v>1102.5</v>
      </c>
      <c r="AJ23" s="79">
        <f>IF(MOD(AJ$3,12)=4,MAX(Assumptions!$B13,'Monthly Revenue'!AI23*(1+Assumptions!$B$14)),'Monthly Revenue'!AI23)</f>
        <v>1102.5</v>
      </c>
      <c r="AK23" s="79">
        <f>IF(MOD(AK$3,12)=4,MAX(Assumptions!$B13,'Monthly Revenue'!AJ23*(1+Assumptions!$B$14)),'Monthly Revenue'!AJ23)</f>
        <v>1102.5</v>
      </c>
      <c r="AL23" s="79">
        <f>IF(MOD(AL$3,12)=4,MAX(Assumptions!$B13,'Monthly Revenue'!AK23*(1+Assumptions!$B$14)),'Monthly Revenue'!AK23)</f>
        <v>1102.5</v>
      </c>
      <c r="AM23" s="79">
        <f>IF(MOD(AM$3,12)=4,MAX(Assumptions!$B13,'Monthly Revenue'!AL23*(1+Assumptions!$B$14)),'Monthly Revenue'!AL23)</f>
        <v>1102.5</v>
      </c>
      <c r="AN23" s="79">
        <f>IF(MOD(AN$3,12)=4,MAX(Assumptions!$B13,'Monthly Revenue'!AM23*(1+Assumptions!$B$14)),'Monthly Revenue'!AM23)</f>
        <v>1102.5</v>
      </c>
    </row>
    <row r="24" spans="1:40" s="88" customFormat="1" x14ac:dyDescent="0.3">
      <c r="A24" s="82" t="s">
        <v>32</v>
      </c>
      <c r="E24" s="89">
        <f>SUM(E21:E23)</f>
        <v>0</v>
      </c>
      <c r="F24" s="89">
        <f t="shared" ref="F24:AN24" si="5">SUM(F21:F23)</f>
        <v>0</v>
      </c>
      <c r="G24" s="89">
        <f t="shared" si="5"/>
        <v>0</v>
      </c>
      <c r="H24" s="89">
        <f t="shared" si="5"/>
        <v>1500</v>
      </c>
      <c r="I24" s="89">
        <f t="shared" si="5"/>
        <v>1500</v>
      </c>
      <c r="J24" s="89">
        <f t="shared" si="5"/>
        <v>1500</v>
      </c>
      <c r="K24" s="89">
        <f t="shared" si="5"/>
        <v>1500</v>
      </c>
      <c r="L24" s="89">
        <f t="shared" si="5"/>
        <v>1500</v>
      </c>
      <c r="M24" s="89">
        <f t="shared" si="5"/>
        <v>1500</v>
      </c>
      <c r="N24" s="89">
        <f t="shared" si="5"/>
        <v>1500</v>
      </c>
      <c r="O24" s="89">
        <f t="shared" si="5"/>
        <v>1500</v>
      </c>
      <c r="P24" s="89">
        <f t="shared" si="5"/>
        <v>1500</v>
      </c>
      <c r="Q24" s="89">
        <f t="shared" si="5"/>
        <v>1500</v>
      </c>
      <c r="R24" s="89">
        <f t="shared" si="5"/>
        <v>1500</v>
      </c>
      <c r="S24" s="89">
        <f t="shared" si="5"/>
        <v>1500</v>
      </c>
      <c r="T24" s="89">
        <f t="shared" si="5"/>
        <v>1575</v>
      </c>
      <c r="U24" s="89">
        <f t="shared" si="5"/>
        <v>1575</v>
      </c>
      <c r="V24" s="89">
        <f t="shared" si="5"/>
        <v>1575</v>
      </c>
      <c r="W24" s="89">
        <f t="shared" si="5"/>
        <v>1575</v>
      </c>
      <c r="X24" s="89">
        <f t="shared" si="5"/>
        <v>1575</v>
      </c>
      <c r="Y24" s="89">
        <f t="shared" si="5"/>
        <v>1575</v>
      </c>
      <c r="Z24" s="89">
        <f t="shared" si="5"/>
        <v>1575</v>
      </c>
      <c r="AA24" s="89">
        <f t="shared" si="5"/>
        <v>1575</v>
      </c>
      <c r="AB24" s="89">
        <f t="shared" si="5"/>
        <v>1575</v>
      </c>
      <c r="AC24" s="89">
        <f t="shared" si="5"/>
        <v>1575</v>
      </c>
      <c r="AD24" s="89">
        <f t="shared" si="5"/>
        <v>1575</v>
      </c>
      <c r="AE24" s="89">
        <f t="shared" si="5"/>
        <v>1575</v>
      </c>
      <c r="AF24" s="89">
        <f t="shared" si="5"/>
        <v>1653.75</v>
      </c>
      <c r="AG24" s="89">
        <f t="shared" si="5"/>
        <v>1653.75</v>
      </c>
      <c r="AH24" s="89">
        <f t="shared" si="5"/>
        <v>1653.75</v>
      </c>
      <c r="AI24" s="89">
        <f t="shared" si="5"/>
        <v>1653.75</v>
      </c>
      <c r="AJ24" s="89">
        <f t="shared" si="5"/>
        <v>1653.75</v>
      </c>
      <c r="AK24" s="89">
        <f t="shared" si="5"/>
        <v>1653.75</v>
      </c>
      <c r="AL24" s="89">
        <f t="shared" si="5"/>
        <v>1653.75</v>
      </c>
      <c r="AM24" s="89">
        <f t="shared" si="5"/>
        <v>1653.75</v>
      </c>
      <c r="AN24" s="89">
        <f t="shared" si="5"/>
        <v>1653.75</v>
      </c>
    </row>
    <row r="25" spans="1:40" x14ac:dyDescent="0.3">
      <c r="A25" s="80"/>
    </row>
    <row r="26" spans="1:40" x14ac:dyDescent="0.3">
      <c r="A26" s="80" t="s">
        <v>21</v>
      </c>
    </row>
    <row r="27" spans="1:40" x14ac:dyDescent="0.3">
      <c r="A27" s="81" t="s">
        <v>11</v>
      </c>
      <c r="E27" s="79">
        <f>IF(MOD(E$3,12)=4,MAX(D27*(1+Assumptions!$F$14),Assumptions!$F11),'Monthly Revenue'!D27)</f>
        <v>0</v>
      </c>
      <c r="F27" s="79">
        <f>IF(MOD(F$3,12)=4,MAX(E27*(1+Assumptions!$F$14),Assumptions!$F11),'Monthly Revenue'!E27)</f>
        <v>0</v>
      </c>
      <c r="G27" s="79">
        <f>IF(MOD(G$3,12)=4,MAX(F27*(1+Assumptions!$F$14),Assumptions!$F11),'Monthly Revenue'!F27)</f>
        <v>0</v>
      </c>
      <c r="H27" s="79">
        <f>IF(MOD(H$3,12)=4,MAX(G27*(1+Assumptions!$F$14),Assumptions!$F11),'Monthly Revenue'!G27)</f>
        <v>400</v>
      </c>
      <c r="I27" s="79">
        <f>IF(MOD(I$3,12)=4,MAX(H27*(1+Assumptions!$F$14),Assumptions!$F11),'Monthly Revenue'!H27)</f>
        <v>400</v>
      </c>
      <c r="J27" s="79">
        <f>IF(MOD(J$3,12)=4,MAX(I27*(1+Assumptions!$F$14),Assumptions!$F11),'Monthly Revenue'!I27)</f>
        <v>400</v>
      </c>
      <c r="K27" s="79">
        <f>IF(MOD(K$3,12)=4,MAX(J27*(1+Assumptions!$F$14),Assumptions!$F11),'Monthly Revenue'!J27)</f>
        <v>400</v>
      </c>
      <c r="L27" s="79">
        <f>IF(MOD(L$3,12)=4,MAX(K27*(1+Assumptions!$F$14),Assumptions!$F11),'Monthly Revenue'!K27)</f>
        <v>400</v>
      </c>
      <c r="M27" s="79">
        <f>IF(MOD(M$3,12)=4,MAX(L27*(1+Assumptions!$F$14),Assumptions!$F11),'Monthly Revenue'!L27)</f>
        <v>400</v>
      </c>
      <c r="N27" s="79">
        <f>IF(MOD(N$3,12)=4,MAX(M27*(1+Assumptions!$F$14),Assumptions!$F11),'Monthly Revenue'!M27)</f>
        <v>400</v>
      </c>
      <c r="O27" s="79">
        <f>IF(MOD(O$3,12)=4,MAX(N27*(1+Assumptions!$F$14),Assumptions!$F11),'Monthly Revenue'!N27)</f>
        <v>400</v>
      </c>
      <c r="P27" s="79">
        <f>IF(MOD(P$3,12)=4,MAX(O27*(1+Assumptions!$F$14),Assumptions!$F11),'Monthly Revenue'!O27)</f>
        <v>400</v>
      </c>
      <c r="Q27" s="79">
        <f>IF(MOD(Q$3,12)=4,MAX(P27*(1+Assumptions!$F$14),Assumptions!$F11),'Monthly Revenue'!P27)</f>
        <v>400</v>
      </c>
      <c r="R27" s="79">
        <f>IF(MOD(R$3,12)=4,MAX(Q27*(1+Assumptions!$F$14),Assumptions!$F11),'Monthly Revenue'!Q27)</f>
        <v>400</v>
      </c>
      <c r="S27" s="79">
        <f>IF(MOD(S$3,12)=4,MAX(R27*(1+Assumptions!$F$14),Assumptions!$F11),'Monthly Revenue'!R27)</f>
        <v>400</v>
      </c>
      <c r="T27" s="79">
        <f>IF(MOD(T$3,12)=4,MAX(S27*(1+Assumptions!$F$14),Assumptions!$F11),'Monthly Revenue'!S27)</f>
        <v>420</v>
      </c>
      <c r="U27" s="79">
        <f>IF(MOD(U$3,12)=4,MAX(T27*(1+Assumptions!$F$14),Assumptions!$F11),'Monthly Revenue'!T27)</f>
        <v>420</v>
      </c>
      <c r="V27" s="79">
        <f>IF(MOD(V$3,12)=4,MAX(U27*(1+Assumptions!$F$14),Assumptions!$F11),'Monthly Revenue'!U27)</f>
        <v>420</v>
      </c>
      <c r="W27" s="79">
        <f>IF(MOD(W$3,12)=4,MAX(V27*(1+Assumptions!$F$14),Assumptions!$F11),'Monthly Revenue'!V27)</f>
        <v>420</v>
      </c>
      <c r="X27" s="79">
        <f>IF(MOD(X$3,12)=4,MAX(W27*(1+Assumptions!$F$14),Assumptions!$F11),'Monthly Revenue'!W27)</f>
        <v>420</v>
      </c>
      <c r="Y27" s="79">
        <f>IF(MOD(Y$3,12)=4,MAX(X27*(1+Assumptions!$F$14),Assumptions!$F11),'Monthly Revenue'!X27)</f>
        <v>420</v>
      </c>
      <c r="Z27" s="79">
        <f>IF(MOD(Z$3,12)=4,MAX(Y27*(1+Assumptions!$F$14),Assumptions!$F11),'Monthly Revenue'!Y27)</f>
        <v>420</v>
      </c>
      <c r="AA27" s="79">
        <f>IF(MOD(AA$3,12)=4,MAX(Z27*(1+Assumptions!$F$14),Assumptions!$F11),'Monthly Revenue'!Z27)</f>
        <v>420</v>
      </c>
      <c r="AB27" s="79">
        <f>IF(MOD(AB$3,12)=4,MAX(AA27*(1+Assumptions!$F$14),Assumptions!$F11),'Monthly Revenue'!AA27)</f>
        <v>420</v>
      </c>
      <c r="AC27" s="79">
        <f>IF(MOD(AC$3,12)=4,MAX(AB27*(1+Assumptions!$F$14),Assumptions!$F11),'Monthly Revenue'!AB27)</f>
        <v>420</v>
      </c>
      <c r="AD27" s="79">
        <f>IF(MOD(AD$3,12)=4,MAX(AC27*(1+Assumptions!$F$14),Assumptions!$F11),'Monthly Revenue'!AC27)</f>
        <v>420</v>
      </c>
      <c r="AE27" s="79">
        <f>IF(MOD(AE$3,12)=4,MAX(AD27*(1+Assumptions!$F$14),Assumptions!$F11),'Monthly Revenue'!AD27)</f>
        <v>420</v>
      </c>
      <c r="AF27" s="79">
        <f>IF(MOD(AF$3,12)=4,MAX(AE27*(1+Assumptions!$F$14),Assumptions!$F11),'Monthly Revenue'!AE27)</f>
        <v>441</v>
      </c>
      <c r="AG27" s="79">
        <f>IF(MOD(AG$3,12)=4,MAX(AF27*(1+Assumptions!$F$14),Assumptions!$F11),'Monthly Revenue'!AF27)</f>
        <v>441</v>
      </c>
      <c r="AH27" s="79">
        <f>IF(MOD(AH$3,12)=4,MAX(AG27*(1+Assumptions!$F$14),Assumptions!$F11),'Monthly Revenue'!AG27)</f>
        <v>441</v>
      </c>
      <c r="AI27" s="79">
        <f>IF(MOD(AI$3,12)=4,MAX(AH27*(1+Assumptions!$F$14),Assumptions!$F11),'Monthly Revenue'!AH27)</f>
        <v>441</v>
      </c>
      <c r="AJ27" s="79">
        <f>IF(MOD(AJ$3,12)=4,MAX(AI27*(1+Assumptions!$F$14),Assumptions!$F11),'Monthly Revenue'!AI27)</f>
        <v>441</v>
      </c>
      <c r="AK27" s="79">
        <f>IF(MOD(AK$3,12)=4,MAX(AJ27*(1+Assumptions!$F$14),Assumptions!$F11),'Monthly Revenue'!AJ27)</f>
        <v>441</v>
      </c>
      <c r="AL27" s="79">
        <f>IF(MOD(AL$3,12)=4,MAX(AK27*(1+Assumptions!$F$14),Assumptions!$F11),'Monthly Revenue'!AK27)</f>
        <v>441</v>
      </c>
      <c r="AM27" s="79">
        <f>IF(MOD(AM$3,12)=4,MAX(AL27*(1+Assumptions!$F$14),Assumptions!$F11),'Monthly Revenue'!AL27)</f>
        <v>441</v>
      </c>
      <c r="AN27" s="79">
        <f>IF(MOD(AN$3,12)=4,MAX(AM27*(1+Assumptions!$F$14),Assumptions!$F11),'Monthly Revenue'!AM27)</f>
        <v>441</v>
      </c>
    </row>
    <row r="28" spans="1:40" x14ac:dyDescent="0.3">
      <c r="A28" s="81" t="s">
        <v>12</v>
      </c>
      <c r="E28" s="79">
        <f>IF(MOD(E$3,12)=4,MAX(D28*(1+Assumptions!$F$14),Assumptions!$F12),'Monthly Revenue'!D28)</f>
        <v>0</v>
      </c>
      <c r="F28" s="79">
        <f>IF(MOD(F$3,12)=4,MAX(E28*(1+Assumptions!$F$14),Assumptions!$F12),'Monthly Revenue'!E28)</f>
        <v>0</v>
      </c>
      <c r="G28" s="79">
        <f>IF(MOD(G$3,12)=4,MAX(F28*(1+Assumptions!$F$14),Assumptions!$F12),'Monthly Revenue'!F28)</f>
        <v>0</v>
      </c>
      <c r="H28" s="79">
        <f>IF(MOD(H$3,12)=4,MAX(G28*(1+Assumptions!$F$14),Assumptions!$F12),'Monthly Revenue'!G28)</f>
        <v>200</v>
      </c>
      <c r="I28" s="79">
        <f>IF(MOD(I$3,12)=4,MAX(H28*(1+Assumptions!$F$14),Assumptions!$F12),'Monthly Revenue'!H28)</f>
        <v>200</v>
      </c>
      <c r="J28" s="79">
        <f>IF(MOD(J$3,12)=4,MAX(I28*(1+Assumptions!$F$14),Assumptions!$F12),'Monthly Revenue'!I28)</f>
        <v>200</v>
      </c>
      <c r="K28" s="79">
        <f>IF(MOD(K$3,12)=4,MAX(J28*(1+Assumptions!$F$14),Assumptions!$F12),'Monthly Revenue'!J28)</f>
        <v>200</v>
      </c>
      <c r="L28" s="79">
        <f>IF(MOD(L$3,12)=4,MAX(K28*(1+Assumptions!$F$14),Assumptions!$F12),'Monthly Revenue'!K28)</f>
        <v>200</v>
      </c>
      <c r="M28" s="79">
        <f>IF(MOD(M$3,12)=4,MAX(L28*(1+Assumptions!$F$14),Assumptions!$F12),'Monthly Revenue'!L28)</f>
        <v>200</v>
      </c>
      <c r="N28" s="79">
        <f>IF(MOD(N$3,12)=4,MAX(M28*(1+Assumptions!$F$14),Assumptions!$F12),'Monthly Revenue'!M28)</f>
        <v>200</v>
      </c>
      <c r="O28" s="79">
        <f>IF(MOD(O$3,12)=4,MAX(N28*(1+Assumptions!$F$14),Assumptions!$F12),'Monthly Revenue'!N28)</f>
        <v>200</v>
      </c>
      <c r="P28" s="79">
        <f>IF(MOD(P$3,12)=4,MAX(O28*(1+Assumptions!$F$14),Assumptions!$F12),'Monthly Revenue'!O28)</f>
        <v>200</v>
      </c>
      <c r="Q28" s="79">
        <f>IF(MOD(Q$3,12)=4,MAX(P28*(1+Assumptions!$F$14),Assumptions!$F12),'Monthly Revenue'!P28)</f>
        <v>200</v>
      </c>
      <c r="R28" s="79">
        <f>IF(MOD(R$3,12)=4,MAX(Q28*(1+Assumptions!$F$14),Assumptions!$F12),'Monthly Revenue'!Q28)</f>
        <v>200</v>
      </c>
      <c r="S28" s="79">
        <f>IF(MOD(S$3,12)=4,MAX(R28*(1+Assumptions!$F$14),Assumptions!$F12),'Monthly Revenue'!R28)</f>
        <v>200</v>
      </c>
      <c r="T28" s="79">
        <f>IF(MOD(T$3,12)=4,MAX(S28*(1+Assumptions!$F$14),Assumptions!$F12),'Monthly Revenue'!S28)</f>
        <v>210</v>
      </c>
      <c r="U28" s="79">
        <f>IF(MOD(U$3,12)=4,MAX(T28*(1+Assumptions!$F$14),Assumptions!$F12),'Monthly Revenue'!T28)</f>
        <v>210</v>
      </c>
      <c r="V28" s="79">
        <f>IF(MOD(V$3,12)=4,MAX(U28*(1+Assumptions!$F$14),Assumptions!$F12),'Monthly Revenue'!U28)</f>
        <v>210</v>
      </c>
      <c r="W28" s="79">
        <f>IF(MOD(W$3,12)=4,MAX(V28*(1+Assumptions!$F$14),Assumptions!$F12),'Monthly Revenue'!V28)</f>
        <v>210</v>
      </c>
      <c r="X28" s="79">
        <f>IF(MOD(X$3,12)=4,MAX(W28*(1+Assumptions!$F$14),Assumptions!$F12),'Monthly Revenue'!W28)</f>
        <v>210</v>
      </c>
      <c r="Y28" s="79">
        <f>IF(MOD(Y$3,12)=4,MAX(X28*(1+Assumptions!$F$14),Assumptions!$F12),'Monthly Revenue'!X28)</f>
        <v>210</v>
      </c>
      <c r="Z28" s="79">
        <f>IF(MOD(Z$3,12)=4,MAX(Y28*(1+Assumptions!$F$14),Assumptions!$F12),'Monthly Revenue'!Y28)</f>
        <v>210</v>
      </c>
      <c r="AA28" s="79">
        <f>IF(MOD(AA$3,12)=4,MAX(Z28*(1+Assumptions!$F$14),Assumptions!$F12),'Monthly Revenue'!Z28)</f>
        <v>210</v>
      </c>
      <c r="AB28" s="79">
        <f>IF(MOD(AB$3,12)=4,MAX(AA28*(1+Assumptions!$F$14),Assumptions!$F12),'Monthly Revenue'!AA28)</f>
        <v>210</v>
      </c>
      <c r="AC28" s="79">
        <f>IF(MOD(AC$3,12)=4,MAX(AB28*(1+Assumptions!$F$14),Assumptions!$F12),'Monthly Revenue'!AB28)</f>
        <v>210</v>
      </c>
      <c r="AD28" s="79">
        <f>IF(MOD(AD$3,12)=4,MAX(AC28*(1+Assumptions!$F$14),Assumptions!$F12),'Monthly Revenue'!AC28)</f>
        <v>210</v>
      </c>
      <c r="AE28" s="79">
        <f>IF(MOD(AE$3,12)=4,MAX(AD28*(1+Assumptions!$F$14),Assumptions!$F12),'Monthly Revenue'!AD28)</f>
        <v>210</v>
      </c>
      <c r="AF28" s="79">
        <f>IF(MOD(AF$3,12)=4,MAX(AE28*(1+Assumptions!$F$14),Assumptions!$F12),'Monthly Revenue'!AE28)</f>
        <v>220.5</v>
      </c>
      <c r="AG28" s="79">
        <f>IF(MOD(AG$3,12)=4,MAX(AF28*(1+Assumptions!$F$14),Assumptions!$F12),'Monthly Revenue'!AF28)</f>
        <v>220.5</v>
      </c>
      <c r="AH28" s="79">
        <f>IF(MOD(AH$3,12)=4,MAX(AG28*(1+Assumptions!$F$14),Assumptions!$F12),'Monthly Revenue'!AG28)</f>
        <v>220.5</v>
      </c>
      <c r="AI28" s="79">
        <f>IF(MOD(AI$3,12)=4,MAX(AH28*(1+Assumptions!$F$14),Assumptions!$F12),'Monthly Revenue'!AH28)</f>
        <v>220.5</v>
      </c>
      <c r="AJ28" s="79">
        <f>IF(MOD(AJ$3,12)=4,MAX(AI28*(1+Assumptions!$F$14),Assumptions!$F12),'Monthly Revenue'!AI28)</f>
        <v>220.5</v>
      </c>
      <c r="AK28" s="79">
        <f>IF(MOD(AK$3,12)=4,MAX(AJ28*(1+Assumptions!$F$14),Assumptions!$F12),'Monthly Revenue'!AJ28)</f>
        <v>220.5</v>
      </c>
      <c r="AL28" s="79">
        <f>IF(MOD(AL$3,12)=4,MAX(AK28*(1+Assumptions!$F$14),Assumptions!$F12),'Monthly Revenue'!AK28)</f>
        <v>220.5</v>
      </c>
      <c r="AM28" s="79">
        <f>IF(MOD(AM$3,12)=4,MAX(AL28*(1+Assumptions!$F$14),Assumptions!$F12),'Monthly Revenue'!AL28)</f>
        <v>220.5</v>
      </c>
      <c r="AN28" s="79">
        <f>IF(MOD(AN$3,12)=4,MAX(AM28*(1+Assumptions!$F$14),Assumptions!$F12),'Monthly Revenue'!AM28)</f>
        <v>220.5</v>
      </c>
    </row>
    <row r="29" spans="1:40" x14ac:dyDescent="0.3">
      <c r="A29" s="81" t="s">
        <v>13</v>
      </c>
      <c r="E29" s="79">
        <f>IF(MOD(E$3,12)=4,MAX(D29*(1+Assumptions!$F$14),Assumptions!$F13),'Monthly Revenue'!D29)</f>
        <v>0</v>
      </c>
      <c r="F29" s="79">
        <f>IF(MOD(F$3,12)=4,MAX(E29*(1+Assumptions!$F$14),Assumptions!$F13),'Monthly Revenue'!E29)</f>
        <v>0</v>
      </c>
      <c r="G29" s="79">
        <f>IF(MOD(G$3,12)=4,MAX(F29*(1+Assumptions!$F$14),Assumptions!$F13),'Monthly Revenue'!F29)</f>
        <v>0</v>
      </c>
      <c r="H29" s="79">
        <f>IF(MOD(H$3,12)=4,MAX(G29*(1+Assumptions!$F$14),Assumptions!$F13),'Monthly Revenue'!G29)</f>
        <v>1000</v>
      </c>
      <c r="I29" s="79">
        <f>IF(MOD(I$3,12)=4,MAX(H29*(1+Assumptions!$F$14),Assumptions!$F13),'Monthly Revenue'!H29)</f>
        <v>1000</v>
      </c>
      <c r="J29" s="79">
        <f>IF(MOD(J$3,12)=4,MAX(I29*(1+Assumptions!$F$14),Assumptions!$F13),'Monthly Revenue'!I29)</f>
        <v>1000</v>
      </c>
      <c r="K29" s="79">
        <f>IF(MOD(K$3,12)=4,MAX(J29*(1+Assumptions!$F$14),Assumptions!$F13),'Monthly Revenue'!J29)</f>
        <v>1000</v>
      </c>
      <c r="L29" s="79">
        <f>IF(MOD(L$3,12)=4,MAX(K29*(1+Assumptions!$F$14),Assumptions!$F13),'Monthly Revenue'!K29)</f>
        <v>1000</v>
      </c>
      <c r="M29" s="79">
        <f>IF(MOD(M$3,12)=4,MAX(L29*(1+Assumptions!$F$14),Assumptions!$F13),'Monthly Revenue'!L29)</f>
        <v>1000</v>
      </c>
      <c r="N29" s="79">
        <f>IF(MOD(N$3,12)=4,MAX(M29*(1+Assumptions!$F$14),Assumptions!$F13),'Monthly Revenue'!M29)</f>
        <v>1000</v>
      </c>
      <c r="O29" s="79">
        <f>IF(MOD(O$3,12)=4,MAX(N29*(1+Assumptions!$F$14),Assumptions!$F13),'Monthly Revenue'!N29)</f>
        <v>1000</v>
      </c>
      <c r="P29" s="79">
        <f>IF(MOD(P$3,12)=4,MAX(O29*(1+Assumptions!$F$14),Assumptions!$F13),'Monthly Revenue'!O29)</f>
        <v>1000</v>
      </c>
      <c r="Q29" s="79">
        <f>IF(MOD(Q$3,12)=4,MAX(P29*(1+Assumptions!$F$14),Assumptions!$F13),'Monthly Revenue'!P29)</f>
        <v>1000</v>
      </c>
      <c r="R29" s="79">
        <f>IF(MOD(R$3,12)=4,MAX(Q29*(1+Assumptions!$F$14),Assumptions!$F13),'Monthly Revenue'!Q29)</f>
        <v>1000</v>
      </c>
      <c r="S29" s="79">
        <f>IF(MOD(S$3,12)=4,MAX(R29*(1+Assumptions!$F$14),Assumptions!$F13),'Monthly Revenue'!R29)</f>
        <v>1000</v>
      </c>
      <c r="T29" s="79">
        <f>IF(MOD(T$3,12)=4,MAX(S29*(1+Assumptions!$F$14),Assumptions!$F13),'Monthly Revenue'!S29)</f>
        <v>1050</v>
      </c>
      <c r="U29" s="79">
        <f>IF(MOD(U$3,12)=4,MAX(T29*(1+Assumptions!$F$14),Assumptions!$F13),'Monthly Revenue'!T29)</f>
        <v>1050</v>
      </c>
      <c r="V29" s="79">
        <f>IF(MOD(V$3,12)=4,MAX(U29*(1+Assumptions!$F$14),Assumptions!$F13),'Monthly Revenue'!U29)</f>
        <v>1050</v>
      </c>
      <c r="W29" s="79">
        <f>IF(MOD(W$3,12)=4,MAX(V29*(1+Assumptions!$F$14),Assumptions!$F13),'Monthly Revenue'!V29)</f>
        <v>1050</v>
      </c>
      <c r="X29" s="79">
        <f>IF(MOD(X$3,12)=4,MAX(W29*(1+Assumptions!$F$14),Assumptions!$F13),'Monthly Revenue'!W29)</f>
        <v>1050</v>
      </c>
      <c r="Y29" s="79">
        <f>IF(MOD(Y$3,12)=4,MAX(X29*(1+Assumptions!$F$14),Assumptions!$F13),'Monthly Revenue'!X29)</f>
        <v>1050</v>
      </c>
      <c r="Z29" s="79">
        <f>IF(MOD(Z$3,12)=4,MAX(Y29*(1+Assumptions!$F$14),Assumptions!$F13),'Monthly Revenue'!Y29)</f>
        <v>1050</v>
      </c>
      <c r="AA29" s="79">
        <f>IF(MOD(AA$3,12)=4,MAX(Z29*(1+Assumptions!$F$14),Assumptions!$F13),'Monthly Revenue'!Z29)</f>
        <v>1050</v>
      </c>
      <c r="AB29" s="79">
        <f>IF(MOD(AB$3,12)=4,MAX(AA29*(1+Assumptions!$F$14),Assumptions!$F13),'Monthly Revenue'!AA29)</f>
        <v>1050</v>
      </c>
      <c r="AC29" s="79">
        <f>IF(MOD(AC$3,12)=4,MAX(AB29*(1+Assumptions!$F$14),Assumptions!$F13),'Monthly Revenue'!AB29)</f>
        <v>1050</v>
      </c>
      <c r="AD29" s="79">
        <f>IF(MOD(AD$3,12)=4,MAX(AC29*(1+Assumptions!$F$14),Assumptions!$F13),'Monthly Revenue'!AC29)</f>
        <v>1050</v>
      </c>
      <c r="AE29" s="79">
        <f>IF(MOD(AE$3,12)=4,MAX(AD29*(1+Assumptions!$F$14),Assumptions!$F13),'Monthly Revenue'!AD29)</f>
        <v>1050</v>
      </c>
      <c r="AF29" s="79">
        <f>IF(MOD(AF$3,12)=4,MAX(AE29*(1+Assumptions!$F$14),Assumptions!$F13),'Monthly Revenue'!AE29)</f>
        <v>1102.5</v>
      </c>
      <c r="AG29" s="79">
        <f>IF(MOD(AG$3,12)=4,MAX(AF29*(1+Assumptions!$F$14),Assumptions!$F13),'Monthly Revenue'!AF29)</f>
        <v>1102.5</v>
      </c>
      <c r="AH29" s="79">
        <f>IF(MOD(AH$3,12)=4,MAX(AG29*(1+Assumptions!$F$14),Assumptions!$F13),'Monthly Revenue'!AG29)</f>
        <v>1102.5</v>
      </c>
      <c r="AI29" s="79">
        <f>IF(MOD(AI$3,12)=4,MAX(AH29*(1+Assumptions!$F$14),Assumptions!$F13),'Monthly Revenue'!AH29)</f>
        <v>1102.5</v>
      </c>
      <c r="AJ29" s="79">
        <f>IF(MOD(AJ$3,12)=4,MAX(AI29*(1+Assumptions!$F$14),Assumptions!$F13),'Monthly Revenue'!AI29)</f>
        <v>1102.5</v>
      </c>
      <c r="AK29" s="79">
        <f>IF(MOD(AK$3,12)=4,MAX(AJ29*(1+Assumptions!$F$14),Assumptions!$F13),'Monthly Revenue'!AJ29)</f>
        <v>1102.5</v>
      </c>
      <c r="AL29" s="79">
        <f>IF(MOD(AL$3,12)=4,MAX(AK29*(1+Assumptions!$F$14),Assumptions!$F13),'Monthly Revenue'!AK29)</f>
        <v>1102.5</v>
      </c>
      <c r="AM29" s="79">
        <f>IF(MOD(AM$3,12)=4,MAX(AL29*(1+Assumptions!$F$14),Assumptions!$F13),'Monthly Revenue'!AL29)</f>
        <v>1102.5</v>
      </c>
      <c r="AN29" s="79">
        <f>IF(MOD(AN$3,12)=4,MAX(AM29*(1+Assumptions!$F$14),Assumptions!$F13),'Monthly Revenue'!AM29)</f>
        <v>1102.5</v>
      </c>
    </row>
    <row r="30" spans="1:40" s="88" customFormat="1" x14ac:dyDescent="0.3">
      <c r="A30" s="82" t="s">
        <v>32</v>
      </c>
      <c r="E30" s="89">
        <f>SUM(E27:E29)</f>
        <v>0</v>
      </c>
      <c r="F30" s="89">
        <f t="shared" ref="F30:AN30" si="6">SUM(F27:F29)</f>
        <v>0</v>
      </c>
      <c r="G30" s="89">
        <f t="shared" si="6"/>
        <v>0</v>
      </c>
      <c r="H30" s="89">
        <f t="shared" si="6"/>
        <v>1600</v>
      </c>
      <c r="I30" s="89">
        <f t="shared" si="6"/>
        <v>1600</v>
      </c>
      <c r="J30" s="89">
        <f t="shared" si="6"/>
        <v>1600</v>
      </c>
      <c r="K30" s="89">
        <f t="shared" si="6"/>
        <v>1600</v>
      </c>
      <c r="L30" s="89">
        <f t="shared" si="6"/>
        <v>1600</v>
      </c>
      <c r="M30" s="89">
        <f t="shared" si="6"/>
        <v>1600</v>
      </c>
      <c r="N30" s="89">
        <f t="shared" si="6"/>
        <v>1600</v>
      </c>
      <c r="O30" s="89">
        <f t="shared" si="6"/>
        <v>1600</v>
      </c>
      <c r="P30" s="89">
        <f t="shared" si="6"/>
        <v>1600</v>
      </c>
      <c r="Q30" s="89">
        <f t="shared" si="6"/>
        <v>1600</v>
      </c>
      <c r="R30" s="89">
        <f t="shared" si="6"/>
        <v>1600</v>
      </c>
      <c r="S30" s="89">
        <f t="shared" si="6"/>
        <v>1600</v>
      </c>
      <c r="T30" s="89">
        <f t="shared" si="6"/>
        <v>1680</v>
      </c>
      <c r="U30" s="89">
        <f t="shared" si="6"/>
        <v>1680</v>
      </c>
      <c r="V30" s="89">
        <f t="shared" si="6"/>
        <v>1680</v>
      </c>
      <c r="W30" s="89">
        <f t="shared" si="6"/>
        <v>1680</v>
      </c>
      <c r="X30" s="89">
        <f t="shared" si="6"/>
        <v>1680</v>
      </c>
      <c r="Y30" s="89">
        <f t="shared" si="6"/>
        <v>1680</v>
      </c>
      <c r="Z30" s="89">
        <f t="shared" si="6"/>
        <v>1680</v>
      </c>
      <c r="AA30" s="89">
        <f t="shared" si="6"/>
        <v>1680</v>
      </c>
      <c r="AB30" s="89">
        <f t="shared" si="6"/>
        <v>1680</v>
      </c>
      <c r="AC30" s="89">
        <f t="shared" si="6"/>
        <v>1680</v>
      </c>
      <c r="AD30" s="89">
        <f t="shared" si="6"/>
        <v>1680</v>
      </c>
      <c r="AE30" s="89">
        <f t="shared" si="6"/>
        <v>1680</v>
      </c>
      <c r="AF30" s="89">
        <f t="shared" si="6"/>
        <v>1764</v>
      </c>
      <c r="AG30" s="89">
        <f t="shared" si="6"/>
        <v>1764</v>
      </c>
      <c r="AH30" s="89">
        <f t="shared" si="6"/>
        <v>1764</v>
      </c>
      <c r="AI30" s="89">
        <f t="shared" si="6"/>
        <v>1764</v>
      </c>
      <c r="AJ30" s="89">
        <f t="shared" si="6"/>
        <v>1764</v>
      </c>
      <c r="AK30" s="89">
        <f t="shared" si="6"/>
        <v>1764</v>
      </c>
      <c r="AL30" s="89">
        <f t="shared" si="6"/>
        <v>1764</v>
      </c>
      <c r="AM30" s="89">
        <f t="shared" si="6"/>
        <v>1764</v>
      </c>
      <c r="AN30" s="89">
        <f t="shared" si="6"/>
        <v>1764</v>
      </c>
    </row>
    <row r="32" spans="1:40" x14ac:dyDescent="0.3">
      <c r="A32" s="86" t="s">
        <v>114</v>
      </c>
    </row>
    <row r="33" spans="1:40" x14ac:dyDescent="0.3">
      <c r="A33" s="80" t="s">
        <v>9</v>
      </c>
    </row>
    <row r="34" spans="1:40" x14ac:dyDescent="0.3">
      <c r="A34" s="81" t="s">
        <v>11</v>
      </c>
      <c r="E34" s="79">
        <f>IF(MOD(E$3,12)=4,MAX(Assumptions!$C11,'Monthly Revenue'!D34*(1+Assumptions!$C$14)),'Monthly Revenue'!D34)</f>
        <v>0</v>
      </c>
      <c r="F34" s="79">
        <f>IF(MOD(F$3,12)=4,MAX(Assumptions!$C11,'Monthly Revenue'!E34*(1+Assumptions!$C$14)),'Monthly Revenue'!E34)</f>
        <v>0</v>
      </c>
      <c r="G34" s="79">
        <f>IF(MOD(G$3,12)=4,MAX(Assumptions!$C11,'Monthly Revenue'!F34*(1+Assumptions!$C$14)),'Monthly Revenue'!F34)</f>
        <v>0</v>
      </c>
      <c r="H34" s="79">
        <f>IF(MOD(H$3,12)=4,MAX(Assumptions!$C11,'Monthly Revenue'!G34*(1+Assumptions!$C$14)),'Monthly Revenue'!G34)</f>
        <v>500</v>
      </c>
      <c r="I34" s="79">
        <f>IF(MOD(I$3,12)=4,MAX(Assumptions!$C11,'Monthly Revenue'!H34*(1+Assumptions!$C$14)),'Monthly Revenue'!H34)</f>
        <v>500</v>
      </c>
      <c r="J34" s="79">
        <f>IF(MOD(J$3,12)=4,MAX(Assumptions!$C11,'Monthly Revenue'!I34*(1+Assumptions!$C$14)),'Monthly Revenue'!I34)</f>
        <v>500</v>
      </c>
      <c r="K34" s="79">
        <f>IF(MOD(K$3,12)=4,MAX(Assumptions!$C11,'Monthly Revenue'!J34*(1+Assumptions!$C$14)),'Monthly Revenue'!J34)</f>
        <v>500</v>
      </c>
      <c r="L34" s="79">
        <f>IF(MOD(L$3,12)=4,MAX(Assumptions!$C11,'Monthly Revenue'!K34*(1+Assumptions!$C$14)),'Monthly Revenue'!K34)</f>
        <v>500</v>
      </c>
      <c r="M34" s="79">
        <f>IF(MOD(M$3,12)=4,MAX(Assumptions!$C11,'Monthly Revenue'!L34*(1+Assumptions!$C$14)),'Monthly Revenue'!L34)</f>
        <v>500</v>
      </c>
      <c r="N34" s="79">
        <f>IF(MOD(N$3,12)=4,MAX(Assumptions!$C11,'Monthly Revenue'!M34*(1+Assumptions!$C$14)),'Monthly Revenue'!M34)</f>
        <v>500</v>
      </c>
      <c r="O34" s="79">
        <f>IF(MOD(O$3,12)=4,MAX(Assumptions!$C11,'Monthly Revenue'!N34*(1+Assumptions!$C$14)),'Monthly Revenue'!N34)</f>
        <v>500</v>
      </c>
      <c r="P34" s="79">
        <f>IF(MOD(P$3,12)=4,MAX(Assumptions!$C11,'Monthly Revenue'!O34*(1+Assumptions!$C$14)),'Monthly Revenue'!O34)</f>
        <v>500</v>
      </c>
      <c r="Q34" s="79">
        <f>IF(MOD(Q$3,12)=4,MAX(Assumptions!$C11,'Monthly Revenue'!P34*(1+Assumptions!$C$14)),'Monthly Revenue'!P34)</f>
        <v>500</v>
      </c>
      <c r="R34" s="79">
        <f>IF(MOD(R$3,12)=4,MAX(Assumptions!$C11,'Monthly Revenue'!Q34*(1+Assumptions!$C$14)),'Monthly Revenue'!Q34)</f>
        <v>500</v>
      </c>
      <c r="S34" s="79">
        <f>IF(MOD(S$3,12)=4,MAX(Assumptions!$C11,'Monthly Revenue'!R34*(1+Assumptions!$C$14)),'Monthly Revenue'!R34)</f>
        <v>500</v>
      </c>
      <c r="T34" s="79">
        <f>IF(MOD(T$3,12)=4,MAX(Assumptions!$C11,'Monthly Revenue'!S34*(1+Assumptions!$C$14)),'Monthly Revenue'!S34)</f>
        <v>525</v>
      </c>
      <c r="U34" s="79">
        <f>IF(MOD(U$3,12)=4,MAX(Assumptions!$C11,'Monthly Revenue'!T34*(1+Assumptions!$C$14)),'Monthly Revenue'!T34)</f>
        <v>525</v>
      </c>
      <c r="V34" s="79">
        <f>IF(MOD(V$3,12)=4,MAX(Assumptions!$C11,'Monthly Revenue'!U34*(1+Assumptions!$C$14)),'Monthly Revenue'!U34)</f>
        <v>525</v>
      </c>
      <c r="W34" s="79">
        <f>IF(MOD(W$3,12)=4,MAX(Assumptions!$C11,'Monthly Revenue'!V34*(1+Assumptions!$C$14)),'Monthly Revenue'!V34)</f>
        <v>525</v>
      </c>
      <c r="X34" s="79">
        <f>IF(MOD(X$3,12)=4,MAX(Assumptions!$C11,'Monthly Revenue'!W34*(1+Assumptions!$C$14)),'Monthly Revenue'!W34)</f>
        <v>525</v>
      </c>
      <c r="Y34" s="79">
        <f>IF(MOD(Y$3,12)=4,MAX(Assumptions!$C11,'Monthly Revenue'!X34*(1+Assumptions!$C$14)),'Monthly Revenue'!X34)</f>
        <v>525</v>
      </c>
      <c r="Z34" s="79">
        <f>IF(MOD(Z$3,12)=4,MAX(Assumptions!$C11,'Monthly Revenue'!Y34*(1+Assumptions!$C$14)),'Monthly Revenue'!Y34)</f>
        <v>525</v>
      </c>
      <c r="AA34" s="79">
        <f>IF(MOD(AA$3,12)=4,MAX(Assumptions!$C11,'Monthly Revenue'!Z34*(1+Assumptions!$C$14)),'Monthly Revenue'!Z34)</f>
        <v>525</v>
      </c>
      <c r="AB34" s="79">
        <f>IF(MOD(AB$3,12)=4,MAX(Assumptions!$C11,'Monthly Revenue'!AA34*(1+Assumptions!$C$14)),'Monthly Revenue'!AA34)</f>
        <v>525</v>
      </c>
      <c r="AC34" s="79">
        <f>IF(MOD(AC$3,12)=4,MAX(Assumptions!$C11,'Monthly Revenue'!AB34*(1+Assumptions!$C$14)),'Monthly Revenue'!AB34)</f>
        <v>525</v>
      </c>
      <c r="AD34" s="79">
        <f>IF(MOD(AD$3,12)=4,MAX(Assumptions!$C11,'Monthly Revenue'!AC34*(1+Assumptions!$C$14)),'Monthly Revenue'!AC34)</f>
        <v>525</v>
      </c>
      <c r="AE34" s="79">
        <f>IF(MOD(AE$3,12)=4,MAX(Assumptions!$C11,'Monthly Revenue'!AD34*(1+Assumptions!$C$14)),'Monthly Revenue'!AD34)</f>
        <v>525</v>
      </c>
      <c r="AF34" s="79">
        <f>IF(MOD(AF$3,12)=4,MAX(Assumptions!$C11,'Monthly Revenue'!AE34*(1+Assumptions!$C$14)),'Monthly Revenue'!AE34)</f>
        <v>551.25</v>
      </c>
      <c r="AG34" s="79">
        <f>IF(MOD(AG$3,12)=4,MAX(Assumptions!$C11,'Monthly Revenue'!AF34*(1+Assumptions!$C$14)),'Monthly Revenue'!AF34)</f>
        <v>551.25</v>
      </c>
      <c r="AH34" s="79">
        <f>IF(MOD(AH$3,12)=4,MAX(Assumptions!$C11,'Monthly Revenue'!AG34*(1+Assumptions!$C$14)),'Monthly Revenue'!AG34)</f>
        <v>551.25</v>
      </c>
      <c r="AI34" s="79">
        <f>IF(MOD(AI$3,12)=4,MAX(Assumptions!$C11,'Monthly Revenue'!AH34*(1+Assumptions!$C$14)),'Monthly Revenue'!AH34)</f>
        <v>551.25</v>
      </c>
      <c r="AJ34" s="79">
        <f>IF(MOD(AJ$3,12)=4,MAX(Assumptions!$C11,'Monthly Revenue'!AI34*(1+Assumptions!$C$14)),'Monthly Revenue'!AI34)</f>
        <v>551.25</v>
      </c>
      <c r="AK34" s="79">
        <f>IF(MOD(AK$3,12)=4,MAX(Assumptions!$C11,'Monthly Revenue'!AJ34*(1+Assumptions!$C$14)),'Monthly Revenue'!AJ34)</f>
        <v>551.25</v>
      </c>
      <c r="AL34" s="79">
        <f>IF(MOD(AL$3,12)=4,MAX(Assumptions!$C11,'Monthly Revenue'!AK34*(1+Assumptions!$C$14)),'Monthly Revenue'!AK34)</f>
        <v>551.25</v>
      </c>
      <c r="AM34" s="79">
        <f>IF(MOD(AM$3,12)=4,MAX(Assumptions!$C11,'Monthly Revenue'!AL34*(1+Assumptions!$C$14)),'Monthly Revenue'!AL34)</f>
        <v>551.25</v>
      </c>
      <c r="AN34" s="79">
        <f>IF(MOD(AN$3,12)=4,MAX(Assumptions!$C11,'Monthly Revenue'!AM34*(1+Assumptions!$C$14)),'Monthly Revenue'!AM34)</f>
        <v>551.25</v>
      </c>
    </row>
    <row r="35" spans="1:40" x14ac:dyDescent="0.3">
      <c r="A35" s="81" t="s">
        <v>12</v>
      </c>
      <c r="E35" s="79">
        <f>IF(MOD(E$3,12)=4,MAX(Assumptions!$C12,'Monthly Revenue'!D35*(1+Assumptions!$C$14)),'Monthly Revenue'!D35)</f>
        <v>0</v>
      </c>
      <c r="F35" s="79">
        <f>IF(MOD(F$3,12)=4,MAX(Assumptions!$C12,'Monthly Revenue'!E35*(1+Assumptions!$C$14)),'Monthly Revenue'!E35)</f>
        <v>0</v>
      </c>
      <c r="G35" s="79">
        <f>IF(MOD(G$3,12)=4,MAX(Assumptions!$C12,'Monthly Revenue'!F35*(1+Assumptions!$C$14)),'Monthly Revenue'!F35)</f>
        <v>0</v>
      </c>
      <c r="H35" s="79">
        <f>IF(MOD(H$3,12)=4,MAX(Assumptions!$C12,'Monthly Revenue'!G35*(1+Assumptions!$C$14)),'Monthly Revenue'!G35)</f>
        <v>200</v>
      </c>
      <c r="I35" s="79">
        <f>IF(MOD(I$3,12)=4,MAX(Assumptions!$C12,'Monthly Revenue'!H35*(1+Assumptions!$C$14)),'Monthly Revenue'!H35)</f>
        <v>200</v>
      </c>
      <c r="J35" s="79">
        <f>IF(MOD(J$3,12)=4,MAX(Assumptions!$C12,'Monthly Revenue'!I35*(1+Assumptions!$C$14)),'Monthly Revenue'!I35)</f>
        <v>200</v>
      </c>
      <c r="K35" s="79">
        <f>IF(MOD(K$3,12)=4,MAX(Assumptions!$C12,'Monthly Revenue'!J35*(1+Assumptions!$C$14)),'Monthly Revenue'!J35)</f>
        <v>200</v>
      </c>
      <c r="L35" s="79">
        <f>IF(MOD(L$3,12)=4,MAX(Assumptions!$C12,'Monthly Revenue'!K35*(1+Assumptions!$C$14)),'Monthly Revenue'!K35)</f>
        <v>200</v>
      </c>
      <c r="M35" s="79">
        <f>IF(MOD(M$3,12)=4,MAX(Assumptions!$C12,'Monthly Revenue'!L35*(1+Assumptions!$C$14)),'Monthly Revenue'!L35)</f>
        <v>200</v>
      </c>
      <c r="N35" s="79">
        <f>IF(MOD(N$3,12)=4,MAX(Assumptions!$C12,'Monthly Revenue'!M35*(1+Assumptions!$C$14)),'Monthly Revenue'!M35)</f>
        <v>200</v>
      </c>
      <c r="O35" s="79">
        <f>IF(MOD(O$3,12)=4,MAX(Assumptions!$C12,'Monthly Revenue'!N35*(1+Assumptions!$C$14)),'Monthly Revenue'!N35)</f>
        <v>200</v>
      </c>
      <c r="P35" s="79">
        <f>IF(MOD(P$3,12)=4,MAX(Assumptions!$C12,'Monthly Revenue'!O35*(1+Assumptions!$C$14)),'Monthly Revenue'!O35)</f>
        <v>200</v>
      </c>
      <c r="Q35" s="79">
        <f>IF(MOD(Q$3,12)=4,MAX(Assumptions!$C12,'Monthly Revenue'!P35*(1+Assumptions!$C$14)),'Monthly Revenue'!P35)</f>
        <v>200</v>
      </c>
      <c r="R35" s="79">
        <f>IF(MOD(R$3,12)=4,MAX(Assumptions!$C12,'Monthly Revenue'!Q35*(1+Assumptions!$C$14)),'Monthly Revenue'!Q35)</f>
        <v>200</v>
      </c>
      <c r="S35" s="79">
        <f>IF(MOD(S$3,12)=4,MAX(Assumptions!$C12,'Monthly Revenue'!R35*(1+Assumptions!$C$14)),'Monthly Revenue'!R35)</f>
        <v>200</v>
      </c>
      <c r="T35" s="79">
        <f>IF(MOD(T$3,12)=4,MAX(Assumptions!$C12,'Monthly Revenue'!S35*(1+Assumptions!$C$14)),'Monthly Revenue'!S35)</f>
        <v>210</v>
      </c>
      <c r="U35" s="79">
        <f>IF(MOD(U$3,12)=4,MAX(Assumptions!$C12,'Monthly Revenue'!T35*(1+Assumptions!$C$14)),'Monthly Revenue'!T35)</f>
        <v>210</v>
      </c>
      <c r="V35" s="79">
        <f>IF(MOD(V$3,12)=4,MAX(Assumptions!$C12,'Monthly Revenue'!U35*(1+Assumptions!$C$14)),'Monthly Revenue'!U35)</f>
        <v>210</v>
      </c>
      <c r="W35" s="79">
        <f>IF(MOD(W$3,12)=4,MAX(Assumptions!$C12,'Monthly Revenue'!V35*(1+Assumptions!$C$14)),'Monthly Revenue'!V35)</f>
        <v>210</v>
      </c>
      <c r="X35" s="79">
        <f>IF(MOD(X$3,12)=4,MAX(Assumptions!$C12,'Monthly Revenue'!W35*(1+Assumptions!$C$14)),'Monthly Revenue'!W35)</f>
        <v>210</v>
      </c>
      <c r="Y35" s="79">
        <f>IF(MOD(Y$3,12)=4,MAX(Assumptions!$C12,'Monthly Revenue'!X35*(1+Assumptions!$C$14)),'Monthly Revenue'!X35)</f>
        <v>210</v>
      </c>
      <c r="Z35" s="79">
        <f>IF(MOD(Z$3,12)=4,MAX(Assumptions!$C12,'Monthly Revenue'!Y35*(1+Assumptions!$C$14)),'Monthly Revenue'!Y35)</f>
        <v>210</v>
      </c>
      <c r="AA35" s="79">
        <f>IF(MOD(AA$3,12)=4,MAX(Assumptions!$C12,'Monthly Revenue'!Z35*(1+Assumptions!$C$14)),'Monthly Revenue'!Z35)</f>
        <v>210</v>
      </c>
      <c r="AB35" s="79">
        <f>IF(MOD(AB$3,12)=4,MAX(Assumptions!$C12,'Monthly Revenue'!AA35*(1+Assumptions!$C$14)),'Monthly Revenue'!AA35)</f>
        <v>210</v>
      </c>
      <c r="AC35" s="79">
        <f>IF(MOD(AC$3,12)=4,MAX(Assumptions!$C12,'Monthly Revenue'!AB35*(1+Assumptions!$C$14)),'Monthly Revenue'!AB35)</f>
        <v>210</v>
      </c>
      <c r="AD35" s="79">
        <f>IF(MOD(AD$3,12)=4,MAX(Assumptions!$C12,'Monthly Revenue'!AC35*(1+Assumptions!$C$14)),'Monthly Revenue'!AC35)</f>
        <v>210</v>
      </c>
      <c r="AE35" s="79">
        <f>IF(MOD(AE$3,12)=4,MAX(Assumptions!$C12,'Monthly Revenue'!AD35*(1+Assumptions!$C$14)),'Monthly Revenue'!AD35)</f>
        <v>210</v>
      </c>
      <c r="AF35" s="79">
        <f>IF(MOD(AF$3,12)=4,MAX(Assumptions!$C12,'Monthly Revenue'!AE35*(1+Assumptions!$C$14)),'Monthly Revenue'!AE35)</f>
        <v>220.5</v>
      </c>
      <c r="AG35" s="79">
        <f>IF(MOD(AG$3,12)=4,MAX(Assumptions!$C12,'Monthly Revenue'!AF35*(1+Assumptions!$C$14)),'Monthly Revenue'!AF35)</f>
        <v>220.5</v>
      </c>
      <c r="AH35" s="79">
        <f>IF(MOD(AH$3,12)=4,MAX(Assumptions!$C12,'Monthly Revenue'!AG35*(1+Assumptions!$C$14)),'Monthly Revenue'!AG35)</f>
        <v>220.5</v>
      </c>
      <c r="AI35" s="79">
        <f>IF(MOD(AI$3,12)=4,MAX(Assumptions!$C12,'Monthly Revenue'!AH35*(1+Assumptions!$C$14)),'Monthly Revenue'!AH35)</f>
        <v>220.5</v>
      </c>
      <c r="AJ35" s="79">
        <f>IF(MOD(AJ$3,12)=4,MAX(Assumptions!$C12,'Monthly Revenue'!AI35*(1+Assumptions!$C$14)),'Monthly Revenue'!AI35)</f>
        <v>220.5</v>
      </c>
      <c r="AK35" s="79">
        <f>IF(MOD(AK$3,12)=4,MAX(Assumptions!$C12,'Monthly Revenue'!AJ35*(1+Assumptions!$C$14)),'Monthly Revenue'!AJ35)</f>
        <v>220.5</v>
      </c>
      <c r="AL35" s="79">
        <f>IF(MOD(AL$3,12)=4,MAX(Assumptions!$C12,'Monthly Revenue'!AK35*(1+Assumptions!$C$14)),'Monthly Revenue'!AK35)</f>
        <v>220.5</v>
      </c>
      <c r="AM35" s="79">
        <f>IF(MOD(AM$3,12)=4,MAX(Assumptions!$C12,'Monthly Revenue'!AL35*(1+Assumptions!$C$14)),'Monthly Revenue'!AL35)</f>
        <v>220.5</v>
      </c>
      <c r="AN35" s="79">
        <f>IF(MOD(AN$3,12)=4,MAX(Assumptions!$C12,'Monthly Revenue'!AM35*(1+Assumptions!$C$14)),'Monthly Revenue'!AM35)</f>
        <v>220.5</v>
      </c>
    </row>
    <row r="36" spans="1:40" x14ac:dyDescent="0.3">
      <c r="A36" s="81" t="s">
        <v>13</v>
      </c>
      <c r="E36" s="79">
        <f>IF(MOD(E$3,12)=4,MAX(Assumptions!$C13,'Monthly Revenue'!D36*(1+Assumptions!$C$14)),'Monthly Revenue'!D36)</f>
        <v>0</v>
      </c>
      <c r="F36" s="79">
        <f>IF(MOD(F$3,12)=4,MAX(Assumptions!$C13,'Monthly Revenue'!E36*(1+Assumptions!$C$14)),'Monthly Revenue'!E36)</f>
        <v>0</v>
      </c>
      <c r="G36" s="79">
        <f>IF(MOD(G$3,12)=4,MAX(Assumptions!$C13,'Monthly Revenue'!F36*(1+Assumptions!$C$14)),'Monthly Revenue'!F36)</f>
        <v>0</v>
      </c>
      <c r="H36" s="79">
        <f>IF(MOD(H$3,12)=4,MAX(Assumptions!$C13,'Monthly Revenue'!G36*(1+Assumptions!$C$14)),'Monthly Revenue'!G36)</f>
        <v>1000</v>
      </c>
      <c r="I36" s="79">
        <f>IF(MOD(I$3,12)=4,MAX(Assumptions!$C13,'Monthly Revenue'!H36*(1+Assumptions!$C$14)),'Monthly Revenue'!H36)</f>
        <v>1000</v>
      </c>
      <c r="J36" s="79">
        <f>IF(MOD(J$3,12)=4,MAX(Assumptions!$C13,'Monthly Revenue'!I36*(1+Assumptions!$C$14)),'Monthly Revenue'!I36)</f>
        <v>1000</v>
      </c>
      <c r="K36" s="79">
        <f>IF(MOD(K$3,12)=4,MAX(Assumptions!$C13,'Monthly Revenue'!J36*(1+Assumptions!$C$14)),'Monthly Revenue'!J36)</f>
        <v>1000</v>
      </c>
      <c r="L36" s="79">
        <f>IF(MOD(L$3,12)=4,MAX(Assumptions!$C13,'Monthly Revenue'!K36*(1+Assumptions!$C$14)),'Monthly Revenue'!K36)</f>
        <v>1000</v>
      </c>
      <c r="M36" s="79">
        <f>IF(MOD(M$3,12)=4,MAX(Assumptions!$C13,'Monthly Revenue'!L36*(1+Assumptions!$C$14)),'Monthly Revenue'!L36)</f>
        <v>1000</v>
      </c>
      <c r="N36" s="79">
        <f>IF(MOD(N$3,12)=4,MAX(Assumptions!$C13,'Monthly Revenue'!M36*(1+Assumptions!$C$14)),'Monthly Revenue'!M36)</f>
        <v>1000</v>
      </c>
      <c r="O36" s="79">
        <f>IF(MOD(O$3,12)=4,MAX(Assumptions!$C13,'Monthly Revenue'!N36*(1+Assumptions!$C$14)),'Monthly Revenue'!N36)</f>
        <v>1000</v>
      </c>
      <c r="P36" s="79">
        <f>IF(MOD(P$3,12)=4,MAX(Assumptions!$C13,'Monthly Revenue'!O36*(1+Assumptions!$C$14)),'Monthly Revenue'!O36)</f>
        <v>1000</v>
      </c>
      <c r="Q36" s="79">
        <f>IF(MOD(Q$3,12)=4,MAX(Assumptions!$C13,'Monthly Revenue'!P36*(1+Assumptions!$C$14)),'Monthly Revenue'!P36)</f>
        <v>1000</v>
      </c>
      <c r="R36" s="79">
        <f>IF(MOD(R$3,12)=4,MAX(Assumptions!$C13,'Monthly Revenue'!Q36*(1+Assumptions!$C$14)),'Monthly Revenue'!Q36)</f>
        <v>1000</v>
      </c>
      <c r="S36" s="79">
        <f>IF(MOD(S$3,12)=4,MAX(Assumptions!$C13,'Monthly Revenue'!R36*(1+Assumptions!$C$14)),'Monthly Revenue'!R36)</f>
        <v>1000</v>
      </c>
      <c r="T36" s="79">
        <f>IF(MOD(T$3,12)=4,MAX(Assumptions!$C13,'Monthly Revenue'!S36*(1+Assumptions!$C$14)),'Monthly Revenue'!S36)</f>
        <v>1050</v>
      </c>
      <c r="U36" s="79">
        <f>IF(MOD(U$3,12)=4,MAX(Assumptions!$C13,'Monthly Revenue'!T36*(1+Assumptions!$C$14)),'Monthly Revenue'!T36)</f>
        <v>1050</v>
      </c>
      <c r="V36" s="79">
        <f>IF(MOD(V$3,12)=4,MAX(Assumptions!$C13,'Monthly Revenue'!U36*(1+Assumptions!$C$14)),'Monthly Revenue'!U36)</f>
        <v>1050</v>
      </c>
      <c r="W36" s="79">
        <f>IF(MOD(W$3,12)=4,MAX(Assumptions!$C13,'Monthly Revenue'!V36*(1+Assumptions!$C$14)),'Monthly Revenue'!V36)</f>
        <v>1050</v>
      </c>
      <c r="X36" s="79">
        <f>IF(MOD(X$3,12)=4,MAX(Assumptions!$C13,'Monthly Revenue'!W36*(1+Assumptions!$C$14)),'Monthly Revenue'!W36)</f>
        <v>1050</v>
      </c>
      <c r="Y36" s="79">
        <f>IF(MOD(Y$3,12)=4,MAX(Assumptions!$C13,'Monthly Revenue'!X36*(1+Assumptions!$C$14)),'Monthly Revenue'!X36)</f>
        <v>1050</v>
      </c>
      <c r="Z36" s="79">
        <f>IF(MOD(Z$3,12)=4,MAX(Assumptions!$C13,'Monthly Revenue'!Y36*(1+Assumptions!$C$14)),'Monthly Revenue'!Y36)</f>
        <v>1050</v>
      </c>
      <c r="AA36" s="79">
        <f>IF(MOD(AA$3,12)=4,MAX(Assumptions!$C13,'Monthly Revenue'!Z36*(1+Assumptions!$C$14)),'Monthly Revenue'!Z36)</f>
        <v>1050</v>
      </c>
      <c r="AB36" s="79">
        <f>IF(MOD(AB$3,12)=4,MAX(Assumptions!$C13,'Monthly Revenue'!AA36*(1+Assumptions!$C$14)),'Monthly Revenue'!AA36)</f>
        <v>1050</v>
      </c>
      <c r="AC36" s="79">
        <f>IF(MOD(AC$3,12)=4,MAX(Assumptions!$C13,'Monthly Revenue'!AB36*(1+Assumptions!$C$14)),'Monthly Revenue'!AB36)</f>
        <v>1050</v>
      </c>
      <c r="AD36" s="79">
        <f>IF(MOD(AD$3,12)=4,MAX(Assumptions!$C13,'Monthly Revenue'!AC36*(1+Assumptions!$C$14)),'Monthly Revenue'!AC36)</f>
        <v>1050</v>
      </c>
      <c r="AE36" s="79">
        <f>IF(MOD(AE$3,12)=4,MAX(Assumptions!$C13,'Monthly Revenue'!AD36*(1+Assumptions!$C$14)),'Monthly Revenue'!AD36)</f>
        <v>1050</v>
      </c>
      <c r="AF36" s="79">
        <f>IF(MOD(AF$3,12)=4,MAX(Assumptions!$C13,'Monthly Revenue'!AE36*(1+Assumptions!$C$14)),'Monthly Revenue'!AE36)</f>
        <v>1102.5</v>
      </c>
      <c r="AG36" s="79">
        <f>IF(MOD(AG$3,12)=4,MAX(Assumptions!$C13,'Monthly Revenue'!AF36*(1+Assumptions!$C$14)),'Monthly Revenue'!AF36)</f>
        <v>1102.5</v>
      </c>
      <c r="AH36" s="79">
        <f>IF(MOD(AH$3,12)=4,MAX(Assumptions!$C13,'Monthly Revenue'!AG36*(1+Assumptions!$C$14)),'Monthly Revenue'!AG36)</f>
        <v>1102.5</v>
      </c>
      <c r="AI36" s="79">
        <f>IF(MOD(AI$3,12)=4,MAX(Assumptions!$C13,'Monthly Revenue'!AH36*(1+Assumptions!$C$14)),'Monthly Revenue'!AH36)</f>
        <v>1102.5</v>
      </c>
      <c r="AJ36" s="79">
        <f>IF(MOD(AJ$3,12)=4,MAX(Assumptions!$C13,'Monthly Revenue'!AI36*(1+Assumptions!$C$14)),'Monthly Revenue'!AI36)</f>
        <v>1102.5</v>
      </c>
      <c r="AK36" s="79">
        <f>IF(MOD(AK$3,12)=4,MAX(Assumptions!$C13,'Monthly Revenue'!AJ36*(1+Assumptions!$C$14)),'Monthly Revenue'!AJ36)</f>
        <v>1102.5</v>
      </c>
      <c r="AL36" s="79">
        <f>IF(MOD(AL$3,12)=4,MAX(Assumptions!$C13,'Monthly Revenue'!AK36*(1+Assumptions!$C$14)),'Monthly Revenue'!AK36)</f>
        <v>1102.5</v>
      </c>
      <c r="AM36" s="79">
        <f>IF(MOD(AM$3,12)=4,MAX(Assumptions!$C13,'Monthly Revenue'!AL36*(1+Assumptions!$C$14)),'Monthly Revenue'!AL36)</f>
        <v>1102.5</v>
      </c>
      <c r="AN36" s="79">
        <f>IF(MOD(AN$3,12)=4,MAX(Assumptions!$C13,'Monthly Revenue'!AM36*(1+Assumptions!$C$14)),'Monthly Revenue'!AM36)</f>
        <v>1102.5</v>
      </c>
    </row>
    <row r="37" spans="1:40" s="88" customFormat="1" x14ac:dyDescent="0.3">
      <c r="A37" s="82" t="s">
        <v>32</v>
      </c>
      <c r="E37" s="89">
        <f>SUM(E34:E36)</f>
        <v>0</v>
      </c>
      <c r="F37" s="89">
        <f t="shared" ref="F37:AN37" si="7">SUM(F34:F36)</f>
        <v>0</v>
      </c>
      <c r="G37" s="89">
        <f t="shared" si="7"/>
        <v>0</v>
      </c>
      <c r="H37" s="89">
        <f t="shared" si="7"/>
        <v>1700</v>
      </c>
      <c r="I37" s="89">
        <f t="shared" si="7"/>
        <v>1700</v>
      </c>
      <c r="J37" s="89">
        <f t="shared" si="7"/>
        <v>1700</v>
      </c>
      <c r="K37" s="89">
        <f t="shared" si="7"/>
        <v>1700</v>
      </c>
      <c r="L37" s="89">
        <f t="shared" si="7"/>
        <v>1700</v>
      </c>
      <c r="M37" s="89">
        <f t="shared" si="7"/>
        <v>1700</v>
      </c>
      <c r="N37" s="89">
        <f t="shared" si="7"/>
        <v>1700</v>
      </c>
      <c r="O37" s="89">
        <f t="shared" si="7"/>
        <v>1700</v>
      </c>
      <c r="P37" s="89">
        <f t="shared" si="7"/>
        <v>1700</v>
      </c>
      <c r="Q37" s="89">
        <f t="shared" si="7"/>
        <v>1700</v>
      </c>
      <c r="R37" s="89">
        <f t="shared" si="7"/>
        <v>1700</v>
      </c>
      <c r="S37" s="89">
        <f t="shared" si="7"/>
        <v>1700</v>
      </c>
      <c r="T37" s="89">
        <f t="shared" si="7"/>
        <v>1785</v>
      </c>
      <c r="U37" s="89">
        <f t="shared" si="7"/>
        <v>1785</v>
      </c>
      <c r="V37" s="89">
        <f t="shared" si="7"/>
        <v>1785</v>
      </c>
      <c r="W37" s="89">
        <f t="shared" si="7"/>
        <v>1785</v>
      </c>
      <c r="X37" s="89">
        <f t="shared" si="7"/>
        <v>1785</v>
      </c>
      <c r="Y37" s="89">
        <f t="shared" si="7"/>
        <v>1785</v>
      </c>
      <c r="Z37" s="89">
        <f t="shared" si="7"/>
        <v>1785</v>
      </c>
      <c r="AA37" s="89">
        <f t="shared" si="7"/>
        <v>1785</v>
      </c>
      <c r="AB37" s="89">
        <f t="shared" si="7"/>
        <v>1785</v>
      </c>
      <c r="AC37" s="89">
        <f t="shared" si="7"/>
        <v>1785</v>
      </c>
      <c r="AD37" s="89">
        <f t="shared" si="7"/>
        <v>1785</v>
      </c>
      <c r="AE37" s="89">
        <f t="shared" si="7"/>
        <v>1785</v>
      </c>
      <c r="AF37" s="89">
        <f t="shared" si="7"/>
        <v>1874.25</v>
      </c>
      <c r="AG37" s="89">
        <f t="shared" si="7"/>
        <v>1874.25</v>
      </c>
      <c r="AH37" s="89">
        <f t="shared" si="7"/>
        <v>1874.25</v>
      </c>
      <c r="AI37" s="89">
        <f t="shared" si="7"/>
        <v>1874.25</v>
      </c>
      <c r="AJ37" s="89">
        <f t="shared" si="7"/>
        <v>1874.25</v>
      </c>
      <c r="AK37" s="89">
        <f t="shared" si="7"/>
        <v>1874.25</v>
      </c>
      <c r="AL37" s="89">
        <f t="shared" si="7"/>
        <v>1874.25</v>
      </c>
      <c r="AM37" s="89">
        <f t="shared" si="7"/>
        <v>1874.25</v>
      </c>
      <c r="AN37" s="89">
        <f t="shared" si="7"/>
        <v>1874.25</v>
      </c>
    </row>
    <row r="38" spans="1:40" x14ac:dyDescent="0.3">
      <c r="A38" s="80"/>
    </row>
    <row r="39" spans="1:40" x14ac:dyDescent="0.3">
      <c r="A39" s="80" t="s">
        <v>21</v>
      </c>
    </row>
    <row r="40" spans="1:40" x14ac:dyDescent="0.3">
      <c r="A40" s="81" t="s">
        <v>11</v>
      </c>
      <c r="E40" s="79">
        <f>IF(MOD(E$3,12)=4,MAX(D40*(1+Assumptions!$G$14),Assumptions!$G11),'Monthly Revenue'!D40)</f>
        <v>0</v>
      </c>
      <c r="F40" s="79">
        <f>IF(MOD(F$3,12)=4,MAX(E40*(1+Assumptions!$G$14),Assumptions!$G11),'Monthly Revenue'!E40)</f>
        <v>0</v>
      </c>
      <c r="G40" s="79">
        <f>IF(MOD(G$3,12)=4,MAX(F40*(1+Assumptions!$G$14),Assumptions!$G11),'Monthly Revenue'!F40)</f>
        <v>0</v>
      </c>
      <c r="H40" s="79">
        <f>IF(MOD(H$3,12)=4,MAX(G40*(1+Assumptions!$G$14),Assumptions!$G11),'Monthly Revenue'!G40)</f>
        <v>650</v>
      </c>
      <c r="I40" s="79">
        <f>IF(MOD(I$3,12)=4,MAX(H40*(1+Assumptions!$G$14),Assumptions!$G11),'Monthly Revenue'!H40)</f>
        <v>650</v>
      </c>
      <c r="J40" s="79">
        <f>IF(MOD(J$3,12)=4,MAX(I40*(1+Assumptions!$G$14),Assumptions!$G11),'Monthly Revenue'!I40)</f>
        <v>650</v>
      </c>
      <c r="K40" s="79">
        <f>IF(MOD(K$3,12)=4,MAX(J40*(1+Assumptions!$G$14),Assumptions!$G11),'Monthly Revenue'!J40)</f>
        <v>650</v>
      </c>
      <c r="L40" s="79">
        <f>IF(MOD(L$3,12)=4,MAX(K40*(1+Assumptions!$G$14),Assumptions!$G11),'Monthly Revenue'!K40)</f>
        <v>650</v>
      </c>
      <c r="M40" s="79">
        <f>IF(MOD(M$3,12)=4,MAX(L40*(1+Assumptions!$G$14),Assumptions!$G11),'Monthly Revenue'!L40)</f>
        <v>650</v>
      </c>
      <c r="N40" s="79">
        <f>IF(MOD(N$3,12)=4,MAX(M40*(1+Assumptions!$G$14),Assumptions!$G11),'Monthly Revenue'!M40)</f>
        <v>650</v>
      </c>
      <c r="O40" s="79">
        <f>IF(MOD(O$3,12)=4,MAX(N40*(1+Assumptions!$G$14),Assumptions!$G11),'Monthly Revenue'!N40)</f>
        <v>650</v>
      </c>
      <c r="P40" s="79">
        <f>IF(MOD(P$3,12)=4,MAX(O40*(1+Assumptions!$G$14),Assumptions!$G11),'Monthly Revenue'!O40)</f>
        <v>650</v>
      </c>
      <c r="Q40" s="79">
        <f>IF(MOD(Q$3,12)=4,MAX(P40*(1+Assumptions!$G$14),Assumptions!$G11),'Monthly Revenue'!P40)</f>
        <v>650</v>
      </c>
      <c r="R40" s="79">
        <f>IF(MOD(R$3,12)=4,MAX(Q40*(1+Assumptions!$G$14),Assumptions!$G11),'Monthly Revenue'!Q40)</f>
        <v>650</v>
      </c>
      <c r="S40" s="79">
        <f>IF(MOD(S$3,12)=4,MAX(R40*(1+Assumptions!$G$14),Assumptions!$G11),'Monthly Revenue'!R40)</f>
        <v>650</v>
      </c>
      <c r="T40" s="79">
        <f>IF(MOD(T$3,12)=4,MAX(S40*(1+Assumptions!$G$14),Assumptions!$G11),'Monthly Revenue'!S40)</f>
        <v>682.5</v>
      </c>
      <c r="U40" s="79">
        <f>IF(MOD(U$3,12)=4,MAX(T40*(1+Assumptions!$G$14),Assumptions!$G11),'Monthly Revenue'!T40)</f>
        <v>682.5</v>
      </c>
      <c r="V40" s="79">
        <f>IF(MOD(V$3,12)=4,MAX(U40*(1+Assumptions!$G$14),Assumptions!$G11),'Monthly Revenue'!U40)</f>
        <v>682.5</v>
      </c>
      <c r="W40" s="79">
        <f>IF(MOD(W$3,12)=4,MAX(V40*(1+Assumptions!$G$14),Assumptions!$G11),'Monthly Revenue'!V40)</f>
        <v>682.5</v>
      </c>
      <c r="X40" s="79">
        <f>IF(MOD(X$3,12)=4,MAX(W40*(1+Assumptions!$G$14),Assumptions!$G11),'Monthly Revenue'!W40)</f>
        <v>682.5</v>
      </c>
      <c r="Y40" s="79">
        <f>IF(MOD(Y$3,12)=4,MAX(X40*(1+Assumptions!$G$14),Assumptions!$G11),'Monthly Revenue'!X40)</f>
        <v>682.5</v>
      </c>
      <c r="Z40" s="79">
        <f>IF(MOD(Z$3,12)=4,MAX(Y40*(1+Assumptions!$G$14),Assumptions!$G11),'Monthly Revenue'!Y40)</f>
        <v>682.5</v>
      </c>
      <c r="AA40" s="79">
        <f>IF(MOD(AA$3,12)=4,MAX(Z40*(1+Assumptions!$G$14),Assumptions!$G11),'Monthly Revenue'!Z40)</f>
        <v>682.5</v>
      </c>
      <c r="AB40" s="79">
        <f>IF(MOD(AB$3,12)=4,MAX(AA40*(1+Assumptions!$G$14),Assumptions!$G11),'Monthly Revenue'!AA40)</f>
        <v>682.5</v>
      </c>
      <c r="AC40" s="79">
        <f>IF(MOD(AC$3,12)=4,MAX(AB40*(1+Assumptions!$G$14),Assumptions!$G11),'Monthly Revenue'!AB40)</f>
        <v>682.5</v>
      </c>
      <c r="AD40" s="79">
        <f>IF(MOD(AD$3,12)=4,MAX(AC40*(1+Assumptions!$G$14),Assumptions!$G11),'Monthly Revenue'!AC40)</f>
        <v>682.5</v>
      </c>
      <c r="AE40" s="79">
        <f>IF(MOD(AE$3,12)=4,MAX(AD40*(1+Assumptions!$G$14),Assumptions!$G11),'Monthly Revenue'!AD40)</f>
        <v>682.5</v>
      </c>
      <c r="AF40" s="79">
        <f>IF(MOD(AF$3,12)=4,MAX(AE40*(1+Assumptions!$G$14),Assumptions!$G11),'Monthly Revenue'!AE40)</f>
        <v>716.625</v>
      </c>
      <c r="AG40" s="79">
        <f>IF(MOD(AG$3,12)=4,MAX(AF40*(1+Assumptions!$G$14),Assumptions!$G11),'Monthly Revenue'!AF40)</f>
        <v>716.625</v>
      </c>
      <c r="AH40" s="79">
        <f>IF(MOD(AH$3,12)=4,MAX(AG40*(1+Assumptions!$G$14),Assumptions!$G11),'Monthly Revenue'!AG40)</f>
        <v>716.625</v>
      </c>
      <c r="AI40" s="79">
        <f>IF(MOD(AI$3,12)=4,MAX(AH40*(1+Assumptions!$G$14),Assumptions!$G11),'Monthly Revenue'!AH40)</f>
        <v>716.625</v>
      </c>
      <c r="AJ40" s="79">
        <f>IF(MOD(AJ$3,12)=4,MAX(AI40*(1+Assumptions!$G$14),Assumptions!$G11),'Monthly Revenue'!AI40)</f>
        <v>716.625</v>
      </c>
      <c r="AK40" s="79">
        <f>IF(MOD(AK$3,12)=4,MAX(AJ40*(1+Assumptions!$G$14),Assumptions!$G11),'Monthly Revenue'!AJ40)</f>
        <v>716.625</v>
      </c>
      <c r="AL40" s="79">
        <f>IF(MOD(AL$3,12)=4,MAX(AK40*(1+Assumptions!$G$14),Assumptions!$G11),'Monthly Revenue'!AK40)</f>
        <v>716.625</v>
      </c>
      <c r="AM40" s="79">
        <f>IF(MOD(AM$3,12)=4,MAX(AL40*(1+Assumptions!$G$14),Assumptions!$G11),'Monthly Revenue'!AL40)</f>
        <v>716.625</v>
      </c>
      <c r="AN40" s="79">
        <f>IF(MOD(AN$3,12)=4,MAX(AM40*(1+Assumptions!$G$14),Assumptions!$G11),'Monthly Revenue'!AM40)</f>
        <v>716.625</v>
      </c>
    </row>
    <row r="41" spans="1:40" x14ac:dyDescent="0.3">
      <c r="A41" s="81" t="s">
        <v>12</v>
      </c>
      <c r="E41" s="79">
        <f>IF(MOD(E$3,12)=4,MAX(D41*(1+Assumptions!$G$14),Assumptions!$G12),'Monthly Revenue'!D41)</f>
        <v>0</v>
      </c>
      <c r="F41" s="79">
        <f>IF(MOD(F$3,12)=4,MAX(E41*(1+Assumptions!$G$14),Assumptions!$G12),'Monthly Revenue'!E41)</f>
        <v>0</v>
      </c>
      <c r="G41" s="79">
        <f>IF(MOD(G$3,12)=4,MAX(F41*(1+Assumptions!$G$14),Assumptions!$G12),'Monthly Revenue'!F41)</f>
        <v>0</v>
      </c>
      <c r="H41" s="79">
        <f>IF(MOD(H$3,12)=4,MAX(G41*(1+Assumptions!$G$14),Assumptions!$G12),'Monthly Revenue'!G41)</f>
        <v>250</v>
      </c>
      <c r="I41" s="79">
        <f>IF(MOD(I$3,12)=4,MAX(H41*(1+Assumptions!$G$14),Assumptions!$G12),'Monthly Revenue'!H41)</f>
        <v>250</v>
      </c>
      <c r="J41" s="79">
        <f>IF(MOD(J$3,12)=4,MAX(I41*(1+Assumptions!$G$14),Assumptions!$G12),'Monthly Revenue'!I41)</f>
        <v>250</v>
      </c>
      <c r="K41" s="79">
        <f>IF(MOD(K$3,12)=4,MAX(J41*(1+Assumptions!$G$14),Assumptions!$G12),'Monthly Revenue'!J41)</f>
        <v>250</v>
      </c>
      <c r="L41" s="79">
        <f>IF(MOD(L$3,12)=4,MAX(K41*(1+Assumptions!$G$14),Assumptions!$G12),'Monthly Revenue'!K41)</f>
        <v>250</v>
      </c>
      <c r="M41" s="79">
        <f>IF(MOD(M$3,12)=4,MAX(L41*(1+Assumptions!$G$14),Assumptions!$G12),'Monthly Revenue'!L41)</f>
        <v>250</v>
      </c>
      <c r="N41" s="79">
        <f>IF(MOD(N$3,12)=4,MAX(M41*(1+Assumptions!$G$14),Assumptions!$G12),'Monthly Revenue'!M41)</f>
        <v>250</v>
      </c>
      <c r="O41" s="79">
        <f>IF(MOD(O$3,12)=4,MAX(N41*(1+Assumptions!$G$14),Assumptions!$G12),'Monthly Revenue'!N41)</f>
        <v>250</v>
      </c>
      <c r="P41" s="79">
        <f>IF(MOD(P$3,12)=4,MAX(O41*(1+Assumptions!$G$14),Assumptions!$G12),'Monthly Revenue'!O41)</f>
        <v>250</v>
      </c>
      <c r="Q41" s="79">
        <f>IF(MOD(Q$3,12)=4,MAX(P41*(1+Assumptions!$G$14),Assumptions!$G12),'Monthly Revenue'!P41)</f>
        <v>250</v>
      </c>
      <c r="R41" s="79">
        <f>IF(MOD(R$3,12)=4,MAX(Q41*(1+Assumptions!$G$14),Assumptions!$G12),'Monthly Revenue'!Q41)</f>
        <v>250</v>
      </c>
      <c r="S41" s="79">
        <f>IF(MOD(S$3,12)=4,MAX(R41*(1+Assumptions!$G$14),Assumptions!$G12),'Monthly Revenue'!R41)</f>
        <v>250</v>
      </c>
      <c r="T41" s="79">
        <f>IF(MOD(T$3,12)=4,MAX(S41*(1+Assumptions!$G$14),Assumptions!$G12),'Monthly Revenue'!S41)</f>
        <v>262.5</v>
      </c>
      <c r="U41" s="79">
        <f>IF(MOD(U$3,12)=4,MAX(T41*(1+Assumptions!$G$14),Assumptions!$G12),'Monthly Revenue'!T41)</f>
        <v>262.5</v>
      </c>
      <c r="V41" s="79">
        <f>IF(MOD(V$3,12)=4,MAX(U41*(1+Assumptions!$G$14),Assumptions!$G12),'Monthly Revenue'!U41)</f>
        <v>262.5</v>
      </c>
      <c r="W41" s="79">
        <f>IF(MOD(W$3,12)=4,MAX(V41*(1+Assumptions!$G$14),Assumptions!$G12),'Monthly Revenue'!V41)</f>
        <v>262.5</v>
      </c>
      <c r="X41" s="79">
        <f>IF(MOD(X$3,12)=4,MAX(W41*(1+Assumptions!$G$14),Assumptions!$G12),'Monthly Revenue'!W41)</f>
        <v>262.5</v>
      </c>
      <c r="Y41" s="79">
        <f>IF(MOD(Y$3,12)=4,MAX(X41*(1+Assumptions!$G$14),Assumptions!$G12),'Monthly Revenue'!X41)</f>
        <v>262.5</v>
      </c>
      <c r="Z41" s="79">
        <f>IF(MOD(Z$3,12)=4,MAX(Y41*(1+Assumptions!$G$14),Assumptions!$G12),'Monthly Revenue'!Y41)</f>
        <v>262.5</v>
      </c>
      <c r="AA41" s="79">
        <f>IF(MOD(AA$3,12)=4,MAX(Z41*(1+Assumptions!$G$14),Assumptions!$G12),'Monthly Revenue'!Z41)</f>
        <v>262.5</v>
      </c>
      <c r="AB41" s="79">
        <f>IF(MOD(AB$3,12)=4,MAX(AA41*(1+Assumptions!$G$14),Assumptions!$G12),'Monthly Revenue'!AA41)</f>
        <v>262.5</v>
      </c>
      <c r="AC41" s="79">
        <f>IF(MOD(AC$3,12)=4,MAX(AB41*(1+Assumptions!$G$14),Assumptions!$G12),'Monthly Revenue'!AB41)</f>
        <v>262.5</v>
      </c>
      <c r="AD41" s="79">
        <f>IF(MOD(AD$3,12)=4,MAX(AC41*(1+Assumptions!$G$14),Assumptions!$G12),'Monthly Revenue'!AC41)</f>
        <v>262.5</v>
      </c>
      <c r="AE41" s="79">
        <f>IF(MOD(AE$3,12)=4,MAX(AD41*(1+Assumptions!$G$14),Assumptions!$G12),'Monthly Revenue'!AD41)</f>
        <v>262.5</v>
      </c>
      <c r="AF41" s="79">
        <f>IF(MOD(AF$3,12)=4,MAX(AE41*(1+Assumptions!$G$14),Assumptions!$G12),'Monthly Revenue'!AE41)</f>
        <v>275.625</v>
      </c>
      <c r="AG41" s="79">
        <f>IF(MOD(AG$3,12)=4,MAX(AF41*(1+Assumptions!$G$14),Assumptions!$G12),'Monthly Revenue'!AF41)</f>
        <v>275.625</v>
      </c>
      <c r="AH41" s="79">
        <f>IF(MOD(AH$3,12)=4,MAX(AG41*(1+Assumptions!$G$14),Assumptions!$G12),'Monthly Revenue'!AG41)</f>
        <v>275.625</v>
      </c>
      <c r="AI41" s="79">
        <f>IF(MOD(AI$3,12)=4,MAX(AH41*(1+Assumptions!$G$14),Assumptions!$G12),'Monthly Revenue'!AH41)</f>
        <v>275.625</v>
      </c>
      <c r="AJ41" s="79">
        <f>IF(MOD(AJ$3,12)=4,MAX(AI41*(1+Assumptions!$G$14),Assumptions!$G12),'Monthly Revenue'!AI41)</f>
        <v>275.625</v>
      </c>
      <c r="AK41" s="79">
        <f>IF(MOD(AK$3,12)=4,MAX(AJ41*(1+Assumptions!$G$14),Assumptions!$G12),'Monthly Revenue'!AJ41)</f>
        <v>275.625</v>
      </c>
      <c r="AL41" s="79">
        <f>IF(MOD(AL$3,12)=4,MAX(AK41*(1+Assumptions!$G$14),Assumptions!$G12),'Monthly Revenue'!AK41)</f>
        <v>275.625</v>
      </c>
      <c r="AM41" s="79">
        <f>IF(MOD(AM$3,12)=4,MAX(AL41*(1+Assumptions!$G$14),Assumptions!$G12),'Monthly Revenue'!AL41)</f>
        <v>275.625</v>
      </c>
      <c r="AN41" s="79">
        <f>IF(MOD(AN$3,12)=4,MAX(AM41*(1+Assumptions!$G$14),Assumptions!$G12),'Monthly Revenue'!AM41)</f>
        <v>275.625</v>
      </c>
    </row>
    <row r="42" spans="1:40" x14ac:dyDescent="0.3">
      <c r="A42" s="81" t="s">
        <v>13</v>
      </c>
      <c r="E42" s="79">
        <f>IF(MOD(E$3,12)=4,MAX(D42*(1+Assumptions!$G$14),Assumptions!$G13),'Monthly Revenue'!D42)</f>
        <v>0</v>
      </c>
      <c r="F42" s="79">
        <f>IF(MOD(F$3,12)=4,MAX(E42*(1+Assumptions!$G$14),Assumptions!$G13),'Monthly Revenue'!E42)</f>
        <v>0</v>
      </c>
      <c r="G42" s="79">
        <f>IF(MOD(G$3,12)=4,MAX(F42*(1+Assumptions!$G$14),Assumptions!$G13),'Monthly Revenue'!F42)</f>
        <v>0</v>
      </c>
      <c r="H42" s="79">
        <f>IF(MOD(H$3,12)=4,MAX(G42*(1+Assumptions!$G$14),Assumptions!$G13),'Monthly Revenue'!G42)</f>
        <v>1000</v>
      </c>
      <c r="I42" s="79">
        <f>IF(MOD(I$3,12)=4,MAX(H42*(1+Assumptions!$G$14),Assumptions!$G13),'Monthly Revenue'!H42)</f>
        <v>1000</v>
      </c>
      <c r="J42" s="79">
        <f>IF(MOD(J$3,12)=4,MAX(I42*(1+Assumptions!$G$14),Assumptions!$G13),'Monthly Revenue'!I42)</f>
        <v>1000</v>
      </c>
      <c r="K42" s="79">
        <f>IF(MOD(K$3,12)=4,MAX(J42*(1+Assumptions!$G$14),Assumptions!$G13),'Monthly Revenue'!J42)</f>
        <v>1000</v>
      </c>
      <c r="L42" s="79">
        <f>IF(MOD(L$3,12)=4,MAX(K42*(1+Assumptions!$G$14),Assumptions!$G13),'Monthly Revenue'!K42)</f>
        <v>1000</v>
      </c>
      <c r="M42" s="79">
        <f>IF(MOD(M$3,12)=4,MAX(L42*(1+Assumptions!$G$14),Assumptions!$G13),'Monthly Revenue'!L42)</f>
        <v>1000</v>
      </c>
      <c r="N42" s="79">
        <f>IF(MOD(N$3,12)=4,MAX(M42*(1+Assumptions!$G$14),Assumptions!$G13),'Monthly Revenue'!M42)</f>
        <v>1000</v>
      </c>
      <c r="O42" s="79">
        <f>IF(MOD(O$3,12)=4,MAX(N42*(1+Assumptions!$G$14),Assumptions!$G13),'Monthly Revenue'!N42)</f>
        <v>1000</v>
      </c>
      <c r="P42" s="79">
        <f>IF(MOD(P$3,12)=4,MAX(O42*(1+Assumptions!$G$14),Assumptions!$G13),'Monthly Revenue'!O42)</f>
        <v>1000</v>
      </c>
      <c r="Q42" s="79">
        <f>IF(MOD(Q$3,12)=4,MAX(P42*(1+Assumptions!$G$14),Assumptions!$G13),'Monthly Revenue'!P42)</f>
        <v>1000</v>
      </c>
      <c r="R42" s="79">
        <f>IF(MOD(R$3,12)=4,MAX(Q42*(1+Assumptions!$G$14),Assumptions!$G13),'Monthly Revenue'!Q42)</f>
        <v>1000</v>
      </c>
      <c r="S42" s="79">
        <f>IF(MOD(S$3,12)=4,MAX(R42*(1+Assumptions!$G$14),Assumptions!$G13),'Monthly Revenue'!R42)</f>
        <v>1000</v>
      </c>
      <c r="T42" s="79">
        <f>IF(MOD(T$3,12)=4,MAX(S42*(1+Assumptions!$G$14),Assumptions!$G13),'Monthly Revenue'!S42)</f>
        <v>1050</v>
      </c>
      <c r="U42" s="79">
        <f>IF(MOD(U$3,12)=4,MAX(T42*(1+Assumptions!$G$14),Assumptions!$G13),'Monthly Revenue'!T42)</f>
        <v>1050</v>
      </c>
      <c r="V42" s="79">
        <f>IF(MOD(V$3,12)=4,MAX(U42*(1+Assumptions!$G$14),Assumptions!$G13),'Monthly Revenue'!U42)</f>
        <v>1050</v>
      </c>
      <c r="W42" s="79">
        <f>IF(MOD(W$3,12)=4,MAX(V42*(1+Assumptions!$G$14),Assumptions!$G13),'Monthly Revenue'!V42)</f>
        <v>1050</v>
      </c>
      <c r="X42" s="79">
        <f>IF(MOD(X$3,12)=4,MAX(W42*(1+Assumptions!$G$14),Assumptions!$G13),'Monthly Revenue'!W42)</f>
        <v>1050</v>
      </c>
      <c r="Y42" s="79">
        <f>IF(MOD(Y$3,12)=4,MAX(X42*(1+Assumptions!$G$14),Assumptions!$G13),'Monthly Revenue'!X42)</f>
        <v>1050</v>
      </c>
      <c r="Z42" s="79">
        <f>IF(MOD(Z$3,12)=4,MAX(Y42*(1+Assumptions!$G$14),Assumptions!$G13),'Monthly Revenue'!Y42)</f>
        <v>1050</v>
      </c>
      <c r="AA42" s="79">
        <f>IF(MOD(AA$3,12)=4,MAX(Z42*(1+Assumptions!$G$14),Assumptions!$G13),'Monthly Revenue'!Z42)</f>
        <v>1050</v>
      </c>
      <c r="AB42" s="79">
        <f>IF(MOD(AB$3,12)=4,MAX(AA42*(1+Assumptions!$G$14),Assumptions!$G13),'Monthly Revenue'!AA42)</f>
        <v>1050</v>
      </c>
      <c r="AC42" s="79">
        <f>IF(MOD(AC$3,12)=4,MAX(AB42*(1+Assumptions!$G$14),Assumptions!$G13),'Monthly Revenue'!AB42)</f>
        <v>1050</v>
      </c>
      <c r="AD42" s="79">
        <f>IF(MOD(AD$3,12)=4,MAX(AC42*(1+Assumptions!$G$14),Assumptions!$G13),'Monthly Revenue'!AC42)</f>
        <v>1050</v>
      </c>
      <c r="AE42" s="79">
        <f>IF(MOD(AE$3,12)=4,MAX(AD42*(1+Assumptions!$G$14),Assumptions!$G13),'Monthly Revenue'!AD42)</f>
        <v>1050</v>
      </c>
      <c r="AF42" s="79">
        <f>IF(MOD(AF$3,12)=4,MAX(AE42*(1+Assumptions!$G$14),Assumptions!$G13),'Monthly Revenue'!AE42)</f>
        <v>1102.5</v>
      </c>
      <c r="AG42" s="79">
        <f>IF(MOD(AG$3,12)=4,MAX(AF42*(1+Assumptions!$G$14),Assumptions!$G13),'Monthly Revenue'!AF42)</f>
        <v>1102.5</v>
      </c>
      <c r="AH42" s="79">
        <f>IF(MOD(AH$3,12)=4,MAX(AG42*(1+Assumptions!$G$14),Assumptions!$G13),'Monthly Revenue'!AG42)</f>
        <v>1102.5</v>
      </c>
      <c r="AI42" s="79">
        <f>IF(MOD(AI$3,12)=4,MAX(AH42*(1+Assumptions!$G$14),Assumptions!$G13),'Monthly Revenue'!AH42)</f>
        <v>1102.5</v>
      </c>
      <c r="AJ42" s="79">
        <f>IF(MOD(AJ$3,12)=4,MAX(AI42*(1+Assumptions!$G$14),Assumptions!$G13),'Monthly Revenue'!AI42)</f>
        <v>1102.5</v>
      </c>
      <c r="AK42" s="79">
        <f>IF(MOD(AK$3,12)=4,MAX(AJ42*(1+Assumptions!$G$14),Assumptions!$G13),'Monthly Revenue'!AJ42)</f>
        <v>1102.5</v>
      </c>
      <c r="AL42" s="79">
        <f>IF(MOD(AL$3,12)=4,MAX(AK42*(1+Assumptions!$G$14),Assumptions!$G13),'Monthly Revenue'!AK42)</f>
        <v>1102.5</v>
      </c>
      <c r="AM42" s="79">
        <f>IF(MOD(AM$3,12)=4,MAX(AL42*(1+Assumptions!$G$14),Assumptions!$G13),'Monthly Revenue'!AL42)</f>
        <v>1102.5</v>
      </c>
      <c r="AN42" s="79">
        <f>IF(MOD(AN$3,12)=4,MAX(AM42*(1+Assumptions!$G$14),Assumptions!$G13),'Monthly Revenue'!AM42)</f>
        <v>1102.5</v>
      </c>
    </row>
    <row r="43" spans="1:40" s="88" customFormat="1" x14ac:dyDescent="0.3">
      <c r="A43" s="82" t="s">
        <v>32</v>
      </c>
      <c r="E43" s="89">
        <f>SUM(E40:E42)</f>
        <v>0</v>
      </c>
      <c r="F43" s="89">
        <f t="shared" ref="F43:AN43" si="8">SUM(F40:F42)</f>
        <v>0</v>
      </c>
      <c r="G43" s="89">
        <f t="shared" si="8"/>
        <v>0</v>
      </c>
      <c r="H43" s="89">
        <f t="shared" si="8"/>
        <v>1900</v>
      </c>
      <c r="I43" s="89">
        <f t="shared" si="8"/>
        <v>1900</v>
      </c>
      <c r="J43" s="89">
        <f t="shared" si="8"/>
        <v>1900</v>
      </c>
      <c r="K43" s="89">
        <f t="shared" si="8"/>
        <v>1900</v>
      </c>
      <c r="L43" s="89">
        <f t="shared" si="8"/>
        <v>1900</v>
      </c>
      <c r="M43" s="89">
        <f t="shared" si="8"/>
        <v>1900</v>
      </c>
      <c r="N43" s="89">
        <f t="shared" si="8"/>
        <v>1900</v>
      </c>
      <c r="O43" s="89">
        <f t="shared" si="8"/>
        <v>1900</v>
      </c>
      <c r="P43" s="89">
        <f t="shared" si="8"/>
        <v>1900</v>
      </c>
      <c r="Q43" s="89">
        <f t="shared" si="8"/>
        <v>1900</v>
      </c>
      <c r="R43" s="89">
        <f t="shared" si="8"/>
        <v>1900</v>
      </c>
      <c r="S43" s="89">
        <f t="shared" si="8"/>
        <v>1900</v>
      </c>
      <c r="T43" s="89">
        <f t="shared" si="8"/>
        <v>1995</v>
      </c>
      <c r="U43" s="89">
        <f t="shared" si="8"/>
        <v>1995</v>
      </c>
      <c r="V43" s="89">
        <f t="shared" si="8"/>
        <v>1995</v>
      </c>
      <c r="W43" s="89">
        <f t="shared" si="8"/>
        <v>1995</v>
      </c>
      <c r="X43" s="89">
        <f t="shared" si="8"/>
        <v>1995</v>
      </c>
      <c r="Y43" s="89">
        <f t="shared" si="8"/>
        <v>1995</v>
      </c>
      <c r="Z43" s="89">
        <f t="shared" si="8"/>
        <v>1995</v>
      </c>
      <c r="AA43" s="89">
        <f t="shared" si="8"/>
        <v>1995</v>
      </c>
      <c r="AB43" s="89">
        <f t="shared" si="8"/>
        <v>1995</v>
      </c>
      <c r="AC43" s="89">
        <f t="shared" si="8"/>
        <v>1995</v>
      </c>
      <c r="AD43" s="89">
        <f t="shared" si="8"/>
        <v>1995</v>
      </c>
      <c r="AE43" s="89">
        <f t="shared" si="8"/>
        <v>1995</v>
      </c>
      <c r="AF43" s="89">
        <f t="shared" si="8"/>
        <v>2094.75</v>
      </c>
      <c r="AG43" s="89">
        <f t="shared" si="8"/>
        <v>2094.75</v>
      </c>
      <c r="AH43" s="89">
        <f t="shared" si="8"/>
        <v>2094.75</v>
      </c>
      <c r="AI43" s="89">
        <f t="shared" si="8"/>
        <v>2094.75</v>
      </c>
      <c r="AJ43" s="89">
        <f t="shared" si="8"/>
        <v>2094.75</v>
      </c>
      <c r="AK43" s="89">
        <f t="shared" si="8"/>
        <v>2094.75</v>
      </c>
      <c r="AL43" s="89">
        <f t="shared" si="8"/>
        <v>2094.75</v>
      </c>
      <c r="AM43" s="89">
        <f t="shared" si="8"/>
        <v>2094.75</v>
      </c>
      <c r="AN43" s="89">
        <f t="shared" si="8"/>
        <v>2094.75</v>
      </c>
    </row>
    <row r="45" spans="1:40" x14ac:dyDescent="0.3">
      <c r="A45" s="93" t="s">
        <v>117</v>
      </c>
    </row>
    <row r="46" spans="1:40" x14ac:dyDescent="0.3">
      <c r="A46" s="87" t="s">
        <v>7</v>
      </c>
    </row>
    <row r="47" spans="1:40" x14ac:dyDescent="0.3">
      <c r="A47" s="80" t="s">
        <v>9</v>
      </c>
    </row>
    <row r="48" spans="1:40" x14ac:dyDescent="0.3">
      <c r="A48" s="81" t="s">
        <v>11</v>
      </c>
      <c r="E48" s="83">
        <f t="shared" ref="E48:AN48" si="9">E$11*E21*E$6/den</f>
        <v>0</v>
      </c>
      <c r="F48" s="83">
        <f t="shared" si="9"/>
        <v>0</v>
      </c>
      <c r="G48" s="83">
        <f t="shared" si="9"/>
        <v>0</v>
      </c>
      <c r="H48" s="83">
        <f t="shared" si="9"/>
        <v>1.38</v>
      </c>
      <c r="I48" s="83">
        <f t="shared" si="9"/>
        <v>1.2851999999999999</v>
      </c>
      <c r="J48" s="83">
        <f t="shared" si="9"/>
        <v>1.3733279999999999</v>
      </c>
      <c r="K48" s="83">
        <f t="shared" si="9"/>
        <v>1.40079456</v>
      </c>
      <c r="L48" s="83">
        <f t="shared" si="9"/>
        <v>1.3638645216</v>
      </c>
      <c r="M48" s="83">
        <f t="shared" si="9"/>
        <v>1.5236315084160004</v>
      </c>
      <c r="N48" s="83">
        <f t="shared" si="9"/>
        <v>1.4189646482726401</v>
      </c>
      <c r="O48" s="83">
        <f t="shared" si="9"/>
        <v>1.3784228011791362</v>
      </c>
      <c r="P48" s="83">
        <f t="shared" si="9"/>
        <v>1.6168899457831265</v>
      </c>
      <c r="Q48" s="83">
        <f t="shared" si="9"/>
        <v>1.5775221905814505</v>
      </c>
      <c r="R48" s="83">
        <f t="shared" si="9"/>
        <v>1.5359329691933938</v>
      </c>
      <c r="S48" s="83">
        <f t="shared" si="9"/>
        <v>1.6412540870809413</v>
      </c>
      <c r="T48" s="83">
        <f t="shared" si="9"/>
        <v>1.7577831272636877</v>
      </c>
      <c r="U48" s="83">
        <f t="shared" si="9"/>
        <v>1.7929387898089615</v>
      </c>
      <c r="V48" s="83">
        <f t="shared" si="9"/>
        <v>1.8287975656051407</v>
      </c>
      <c r="W48" s="83">
        <f t="shared" si="9"/>
        <v>1.7805838116028236</v>
      </c>
      <c r="X48" s="83">
        <f t="shared" si="9"/>
        <v>1.902680987255589</v>
      </c>
      <c r="Y48" s="83">
        <f t="shared" si="9"/>
        <v>2.0289498164098236</v>
      </c>
      <c r="Z48" s="83">
        <f t="shared" si="9"/>
        <v>1.8895697855434095</v>
      </c>
      <c r="AA48" s="83">
        <f t="shared" si="9"/>
        <v>1.8355820773850264</v>
      </c>
      <c r="AB48" s="83">
        <f t="shared" si="9"/>
        <v>2.1531377767726361</v>
      </c>
      <c r="AC48" s="83">
        <f t="shared" si="9"/>
        <v>2.0052265729769507</v>
      </c>
      <c r="AD48" s="83">
        <f t="shared" si="9"/>
        <v>2.14272782369537</v>
      </c>
      <c r="AE48" s="83">
        <f t="shared" si="9"/>
        <v>2.1855823801692775</v>
      </c>
      <c r="AF48" s="83">
        <f t="shared" si="9"/>
        <v>2.2343606051085101</v>
      </c>
      <c r="AG48" s="83">
        <f t="shared" si="9"/>
        <v>2.4960999902783638</v>
      </c>
      <c r="AH48" s="83">
        <f t="shared" si="9"/>
        <v>2.4353253818194127</v>
      </c>
      <c r="AI48" s="83">
        <f t="shared" si="9"/>
        <v>2.3711213490259917</v>
      </c>
      <c r="AJ48" s="83">
        <f t="shared" si="9"/>
        <v>2.5337125272449175</v>
      </c>
      <c r="AK48" s="83">
        <f t="shared" si="9"/>
        <v>2.5843867777898155</v>
      </c>
      <c r="AL48" s="83">
        <f t="shared" si="9"/>
        <v>2.636074513345612</v>
      </c>
      <c r="AM48" s="83">
        <f t="shared" si="9"/>
        <v>2.4443600032841131</v>
      </c>
      <c r="AN48" s="83">
        <f t="shared" si="9"/>
        <v>2.8672342838522646</v>
      </c>
    </row>
    <row r="49" spans="1:40" x14ac:dyDescent="0.3">
      <c r="A49" s="81" t="s">
        <v>12</v>
      </c>
      <c r="E49" s="83">
        <f t="shared" ref="E49:AN49" si="10">E$11*E22*E$6/den</f>
        <v>0</v>
      </c>
      <c r="F49" s="83">
        <f t="shared" si="10"/>
        <v>0</v>
      </c>
      <c r="G49" s="83">
        <f t="shared" si="10"/>
        <v>0</v>
      </c>
      <c r="H49" s="83">
        <f t="shared" si="10"/>
        <v>0.92</v>
      </c>
      <c r="I49" s="83">
        <f t="shared" si="10"/>
        <v>0.8567999999999999</v>
      </c>
      <c r="J49" s="83">
        <f t="shared" si="10"/>
        <v>0.91555200000000014</v>
      </c>
      <c r="K49" s="83">
        <f t="shared" si="10"/>
        <v>0.93386304000000009</v>
      </c>
      <c r="L49" s="83">
        <f t="shared" si="10"/>
        <v>0.9092430144000001</v>
      </c>
      <c r="M49" s="83">
        <f t="shared" si="10"/>
        <v>1.015754338944</v>
      </c>
      <c r="N49" s="83">
        <f t="shared" si="10"/>
        <v>0.9459764321817602</v>
      </c>
      <c r="O49" s="83">
        <f t="shared" si="10"/>
        <v>0.91894853411942401</v>
      </c>
      <c r="P49" s="83">
        <f t="shared" si="10"/>
        <v>1.0779266305220845</v>
      </c>
      <c r="Q49" s="83">
        <f t="shared" si="10"/>
        <v>1.0516814603876337</v>
      </c>
      <c r="R49" s="83">
        <f t="shared" si="10"/>
        <v>1.023955312795596</v>
      </c>
      <c r="S49" s="83">
        <f t="shared" si="10"/>
        <v>1.0941693913872941</v>
      </c>
      <c r="T49" s="83">
        <f t="shared" si="10"/>
        <v>1.1718554181757921</v>
      </c>
      <c r="U49" s="83">
        <f t="shared" si="10"/>
        <v>1.1952925265393077</v>
      </c>
      <c r="V49" s="83">
        <f t="shared" si="10"/>
        <v>1.219198377070094</v>
      </c>
      <c r="W49" s="83">
        <f t="shared" si="10"/>
        <v>1.1870558744018824</v>
      </c>
      <c r="X49" s="83">
        <f t="shared" si="10"/>
        <v>1.2684539915037258</v>
      </c>
      <c r="Y49" s="83">
        <f t="shared" si="10"/>
        <v>1.3526332109398822</v>
      </c>
      <c r="Z49" s="83">
        <f t="shared" si="10"/>
        <v>1.2597131903622729</v>
      </c>
      <c r="AA49" s="83">
        <f t="shared" si="10"/>
        <v>1.2237213849233508</v>
      </c>
      <c r="AB49" s="83">
        <f t="shared" si="10"/>
        <v>1.4354251845150903</v>
      </c>
      <c r="AC49" s="83">
        <f t="shared" si="10"/>
        <v>1.336817715317967</v>
      </c>
      <c r="AD49" s="83">
        <f t="shared" si="10"/>
        <v>1.4284852157969132</v>
      </c>
      <c r="AE49" s="83">
        <f t="shared" si="10"/>
        <v>1.4570549201128515</v>
      </c>
      <c r="AF49" s="83">
        <f t="shared" si="10"/>
        <v>1.4895737367390067</v>
      </c>
      <c r="AG49" s="83">
        <f t="shared" si="10"/>
        <v>1.6640666601855758</v>
      </c>
      <c r="AH49" s="83">
        <f t="shared" si="10"/>
        <v>1.6235502545462752</v>
      </c>
      <c r="AI49" s="83">
        <f t="shared" si="10"/>
        <v>1.580747566017328</v>
      </c>
      <c r="AJ49" s="83">
        <f t="shared" si="10"/>
        <v>1.6891416848299448</v>
      </c>
      <c r="AK49" s="83">
        <f t="shared" si="10"/>
        <v>1.7229245185265436</v>
      </c>
      <c r="AL49" s="83">
        <f t="shared" si="10"/>
        <v>1.7573830088970745</v>
      </c>
      <c r="AM49" s="83">
        <f t="shared" si="10"/>
        <v>1.6295733355227418</v>
      </c>
      <c r="AN49" s="83">
        <f t="shared" si="10"/>
        <v>1.9114895225681767</v>
      </c>
    </row>
    <row r="50" spans="1:40" x14ac:dyDescent="0.3">
      <c r="A50" s="81" t="s">
        <v>13</v>
      </c>
      <c r="E50" s="83">
        <f t="shared" ref="E50:AN50" si="11">E$11*E23*E$6/den</f>
        <v>0</v>
      </c>
      <c r="F50" s="83">
        <f t="shared" si="11"/>
        <v>0</v>
      </c>
      <c r="G50" s="83">
        <f t="shared" si="11"/>
        <v>0</v>
      </c>
      <c r="H50" s="83">
        <f t="shared" si="11"/>
        <v>4.5999999999999996</v>
      </c>
      <c r="I50" s="83">
        <f t="shared" si="11"/>
        <v>4.2839999999999998</v>
      </c>
      <c r="J50" s="83">
        <f t="shared" si="11"/>
        <v>4.5777599999999996</v>
      </c>
      <c r="K50" s="83">
        <f t="shared" si="11"/>
        <v>4.6693151999999998</v>
      </c>
      <c r="L50" s="83">
        <f t="shared" si="11"/>
        <v>4.5462150720000007</v>
      </c>
      <c r="M50" s="83">
        <f t="shared" si="11"/>
        <v>5.0787716947200003</v>
      </c>
      <c r="N50" s="83">
        <f t="shared" si="11"/>
        <v>4.7298821609088009</v>
      </c>
      <c r="O50" s="83">
        <f t="shared" si="11"/>
        <v>4.5947426705971202</v>
      </c>
      <c r="P50" s="83">
        <f t="shared" si="11"/>
        <v>5.389633152610422</v>
      </c>
      <c r="Q50" s="83">
        <f t="shared" si="11"/>
        <v>5.2584073019381679</v>
      </c>
      <c r="R50" s="83">
        <f t="shared" si="11"/>
        <v>5.1197765639779798</v>
      </c>
      <c r="S50" s="83">
        <f t="shared" si="11"/>
        <v>5.4708469569364704</v>
      </c>
      <c r="T50" s="83">
        <f t="shared" si="11"/>
        <v>5.8592770908789609</v>
      </c>
      <c r="U50" s="83">
        <f t="shared" si="11"/>
        <v>5.9764626326965393</v>
      </c>
      <c r="V50" s="83">
        <f t="shared" si="11"/>
        <v>6.09599188535047</v>
      </c>
      <c r="W50" s="83">
        <f t="shared" si="11"/>
        <v>5.935279372009413</v>
      </c>
      <c r="X50" s="83">
        <f t="shared" si="11"/>
        <v>6.3422699575186288</v>
      </c>
      <c r="Y50" s="83">
        <f t="shared" si="11"/>
        <v>6.7631660546994112</v>
      </c>
      <c r="Z50" s="83">
        <f t="shared" si="11"/>
        <v>6.2985659518113648</v>
      </c>
      <c r="AA50" s="83">
        <f t="shared" si="11"/>
        <v>6.1186069246167536</v>
      </c>
      <c r="AB50" s="83">
        <f t="shared" si="11"/>
        <v>7.1771259225754536</v>
      </c>
      <c r="AC50" s="83">
        <f t="shared" si="11"/>
        <v>6.6840885765898346</v>
      </c>
      <c r="AD50" s="83">
        <f t="shared" si="11"/>
        <v>7.1424260789845659</v>
      </c>
      <c r="AE50" s="83">
        <f t="shared" si="11"/>
        <v>7.2852746005642581</v>
      </c>
      <c r="AF50" s="83">
        <f t="shared" si="11"/>
        <v>7.4478686836950345</v>
      </c>
      <c r="AG50" s="83">
        <f t="shared" si="11"/>
        <v>8.3203333009278797</v>
      </c>
      <c r="AH50" s="83">
        <f t="shared" si="11"/>
        <v>8.1177512727313772</v>
      </c>
      <c r="AI50" s="83">
        <f t="shared" si="11"/>
        <v>7.9037378300866399</v>
      </c>
      <c r="AJ50" s="83">
        <f t="shared" si="11"/>
        <v>8.4457084241497249</v>
      </c>
      <c r="AK50" s="83">
        <f t="shared" si="11"/>
        <v>8.6146225926327187</v>
      </c>
      <c r="AL50" s="83">
        <f t="shared" si="11"/>
        <v>8.7869150444853723</v>
      </c>
      <c r="AM50" s="83">
        <f t="shared" si="11"/>
        <v>8.1478666776137096</v>
      </c>
      <c r="AN50" s="83">
        <f t="shared" si="11"/>
        <v>9.5574476128408818</v>
      </c>
    </row>
    <row r="51" spans="1:40" s="88" customFormat="1" x14ac:dyDescent="0.3">
      <c r="A51" s="82" t="s">
        <v>32</v>
      </c>
      <c r="E51" s="90">
        <f>SUM(E48:E50)</f>
        <v>0</v>
      </c>
      <c r="F51" s="90">
        <f t="shared" ref="F51:AN51" si="12">SUM(F48:F50)</f>
        <v>0</v>
      </c>
      <c r="G51" s="90">
        <f t="shared" si="12"/>
        <v>0</v>
      </c>
      <c r="H51" s="90">
        <f t="shared" si="12"/>
        <v>6.8999999999999995</v>
      </c>
      <c r="I51" s="90">
        <f t="shared" si="12"/>
        <v>6.4260000000000002</v>
      </c>
      <c r="J51" s="90">
        <f t="shared" si="12"/>
        <v>6.8666399999999994</v>
      </c>
      <c r="K51" s="90">
        <f t="shared" si="12"/>
        <v>7.0039727999999997</v>
      </c>
      <c r="L51" s="90">
        <f t="shared" si="12"/>
        <v>6.8193226080000011</v>
      </c>
      <c r="M51" s="90">
        <f t="shared" si="12"/>
        <v>7.6181575420800005</v>
      </c>
      <c r="N51" s="90">
        <f t="shared" si="12"/>
        <v>7.0948232413632013</v>
      </c>
      <c r="O51" s="90">
        <f t="shared" si="12"/>
        <v>6.8921140058956798</v>
      </c>
      <c r="P51" s="90">
        <f t="shared" si="12"/>
        <v>8.084449728915633</v>
      </c>
      <c r="Q51" s="90">
        <f t="shared" si="12"/>
        <v>7.8876109529072522</v>
      </c>
      <c r="R51" s="90">
        <f t="shared" si="12"/>
        <v>7.6796648459669701</v>
      </c>
      <c r="S51" s="90">
        <f t="shared" si="12"/>
        <v>8.206270435404706</v>
      </c>
      <c r="T51" s="90">
        <f t="shared" si="12"/>
        <v>8.7889156363184409</v>
      </c>
      <c r="U51" s="90">
        <f t="shared" si="12"/>
        <v>8.9646939490448077</v>
      </c>
      <c r="V51" s="90">
        <f t="shared" si="12"/>
        <v>9.1439878280257041</v>
      </c>
      <c r="W51" s="90">
        <f t="shared" si="12"/>
        <v>8.9029190580141186</v>
      </c>
      <c r="X51" s="90">
        <f t="shared" si="12"/>
        <v>9.5134049362779436</v>
      </c>
      <c r="Y51" s="90">
        <f t="shared" si="12"/>
        <v>10.144749082049117</v>
      </c>
      <c r="Z51" s="90">
        <f t="shared" si="12"/>
        <v>9.4478489277170468</v>
      </c>
      <c r="AA51" s="90">
        <f t="shared" si="12"/>
        <v>9.1779103869251308</v>
      </c>
      <c r="AB51" s="90">
        <f t="shared" si="12"/>
        <v>10.765688883863181</v>
      </c>
      <c r="AC51" s="90">
        <f t="shared" si="12"/>
        <v>10.026132864884753</v>
      </c>
      <c r="AD51" s="90">
        <f t="shared" si="12"/>
        <v>10.713639118476848</v>
      </c>
      <c r="AE51" s="90">
        <f t="shared" si="12"/>
        <v>10.927911900846388</v>
      </c>
      <c r="AF51" s="90">
        <f t="shared" si="12"/>
        <v>11.171803025542552</v>
      </c>
      <c r="AG51" s="90">
        <f t="shared" si="12"/>
        <v>12.48049995139182</v>
      </c>
      <c r="AH51" s="90">
        <f t="shared" si="12"/>
        <v>12.176626909097065</v>
      </c>
      <c r="AI51" s="90">
        <f t="shared" si="12"/>
        <v>11.855606745129959</v>
      </c>
      <c r="AJ51" s="90">
        <f t="shared" si="12"/>
        <v>12.668562636224587</v>
      </c>
      <c r="AK51" s="90">
        <f t="shared" si="12"/>
        <v>12.921933888949077</v>
      </c>
      <c r="AL51" s="90">
        <f t="shared" si="12"/>
        <v>13.180372566728058</v>
      </c>
      <c r="AM51" s="90">
        <f t="shared" si="12"/>
        <v>12.221800016420564</v>
      </c>
      <c r="AN51" s="90">
        <f t="shared" si="12"/>
        <v>14.336171419261323</v>
      </c>
    </row>
    <row r="52" spans="1:40" x14ac:dyDescent="0.3">
      <c r="A52" s="80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</row>
    <row r="53" spans="1:40" x14ac:dyDescent="0.3">
      <c r="A53" s="80" t="s">
        <v>21</v>
      </c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</row>
    <row r="54" spans="1:40" x14ac:dyDescent="0.3">
      <c r="A54" s="81" t="s">
        <v>11</v>
      </c>
      <c r="E54" s="83">
        <f t="shared" ref="E54:AN54" si="13">E$6*E$12*E27/den</f>
        <v>0</v>
      </c>
      <c r="F54" s="83">
        <f t="shared" si="13"/>
        <v>0</v>
      </c>
      <c r="G54" s="83">
        <f t="shared" si="13"/>
        <v>0</v>
      </c>
      <c r="H54" s="83">
        <f t="shared" si="13"/>
        <v>2.3919999999999999</v>
      </c>
      <c r="I54" s="83">
        <f t="shared" si="13"/>
        <v>2.2276799999999999</v>
      </c>
      <c r="J54" s="83">
        <f t="shared" si="13"/>
        <v>2.3804352</v>
      </c>
      <c r="K54" s="83">
        <f t="shared" si="13"/>
        <v>2.4280439039999999</v>
      </c>
      <c r="L54" s="83">
        <f t="shared" si="13"/>
        <v>2.3640318374399998</v>
      </c>
      <c r="M54" s="83">
        <f t="shared" si="13"/>
        <v>2.6409612812543997</v>
      </c>
      <c r="N54" s="83">
        <f t="shared" si="13"/>
        <v>2.4595387236725759</v>
      </c>
      <c r="O54" s="83">
        <f t="shared" si="13"/>
        <v>2.3892661887105024</v>
      </c>
      <c r="P54" s="83">
        <f t="shared" si="13"/>
        <v>2.8026092393574196</v>
      </c>
      <c r="Q54" s="83">
        <f t="shared" si="13"/>
        <v>2.7343717970078472</v>
      </c>
      <c r="R54" s="83">
        <f t="shared" si="13"/>
        <v>2.6622838132685498</v>
      </c>
      <c r="S54" s="83">
        <f t="shared" si="13"/>
        <v>2.8448404176069646</v>
      </c>
      <c r="T54" s="83">
        <f t="shared" si="13"/>
        <v>3.0468240872570589</v>
      </c>
      <c r="U54" s="83">
        <f t="shared" si="13"/>
        <v>3.1077605690021999</v>
      </c>
      <c r="V54" s="83">
        <f t="shared" si="13"/>
        <v>3.1699157803822442</v>
      </c>
      <c r="W54" s="83">
        <f t="shared" si="13"/>
        <v>3.086345273444894</v>
      </c>
      <c r="X54" s="83">
        <f t="shared" si="13"/>
        <v>3.2979803779096866</v>
      </c>
      <c r="Y54" s="83">
        <f t="shared" si="13"/>
        <v>3.5168463484436927</v>
      </c>
      <c r="Z54" s="83">
        <f t="shared" si="13"/>
        <v>3.275254294941909</v>
      </c>
      <c r="AA54" s="83">
        <f t="shared" si="13"/>
        <v>3.1816756008007121</v>
      </c>
      <c r="AB54" s="83">
        <f t="shared" si="13"/>
        <v>3.7321054797392352</v>
      </c>
      <c r="AC54" s="83">
        <f t="shared" si="13"/>
        <v>3.4757260598267137</v>
      </c>
      <c r="AD54" s="83">
        <f t="shared" si="13"/>
        <v>3.7140615610719747</v>
      </c>
      <c r="AE54" s="83">
        <f t="shared" si="13"/>
        <v>3.7883427922934136</v>
      </c>
      <c r="AF54" s="83">
        <f t="shared" si="13"/>
        <v>3.8728917155214164</v>
      </c>
      <c r="AG54" s="83">
        <f t="shared" si="13"/>
        <v>4.3265733164824969</v>
      </c>
      <c r="AH54" s="83">
        <f t="shared" si="13"/>
        <v>4.2212306618203144</v>
      </c>
      <c r="AI54" s="83">
        <f t="shared" si="13"/>
        <v>4.1099436716450519</v>
      </c>
      <c r="AJ54" s="83">
        <f t="shared" si="13"/>
        <v>4.3917683805578553</v>
      </c>
      <c r="AK54" s="83">
        <f t="shared" si="13"/>
        <v>4.479603748169013</v>
      </c>
      <c r="AL54" s="83">
        <f t="shared" si="13"/>
        <v>4.569195823132393</v>
      </c>
      <c r="AM54" s="83">
        <f t="shared" si="13"/>
        <v>4.2368906723591282</v>
      </c>
      <c r="AN54" s="83">
        <f t="shared" si="13"/>
        <v>4.9698727586772566</v>
      </c>
    </row>
    <row r="55" spans="1:40" x14ac:dyDescent="0.3">
      <c r="A55" s="81" t="s">
        <v>12</v>
      </c>
      <c r="E55" s="83">
        <f t="shared" ref="E55:AN55" si="14">E$6*E$12*E28/den</f>
        <v>0</v>
      </c>
      <c r="F55" s="83">
        <f t="shared" si="14"/>
        <v>0</v>
      </c>
      <c r="G55" s="83">
        <f t="shared" si="14"/>
        <v>0</v>
      </c>
      <c r="H55" s="83">
        <f t="shared" si="14"/>
        <v>1.196</v>
      </c>
      <c r="I55" s="83">
        <f t="shared" si="14"/>
        <v>1.1138399999999999</v>
      </c>
      <c r="J55" s="83">
        <f t="shared" si="14"/>
        <v>1.1902176</v>
      </c>
      <c r="K55" s="83">
        <f t="shared" si="14"/>
        <v>1.214021952</v>
      </c>
      <c r="L55" s="83">
        <f t="shared" si="14"/>
        <v>1.1820159187199999</v>
      </c>
      <c r="M55" s="83">
        <f t="shared" si="14"/>
        <v>1.3204806406271998</v>
      </c>
      <c r="N55" s="83">
        <f t="shared" si="14"/>
        <v>1.2297693618362879</v>
      </c>
      <c r="O55" s="83">
        <f t="shared" si="14"/>
        <v>1.1946330943552512</v>
      </c>
      <c r="P55" s="83">
        <f t="shared" si="14"/>
        <v>1.4013046196787098</v>
      </c>
      <c r="Q55" s="83">
        <f t="shared" si="14"/>
        <v>1.3671858985039236</v>
      </c>
      <c r="R55" s="83">
        <f t="shared" si="14"/>
        <v>1.3311419066342749</v>
      </c>
      <c r="S55" s="83">
        <f t="shared" si="14"/>
        <v>1.4224202088034823</v>
      </c>
      <c r="T55" s="83">
        <f t="shared" si="14"/>
        <v>1.5234120436285294</v>
      </c>
      <c r="U55" s="83">
        <f t="shared" si="14"/>
        <v>1.5538802845010999</v>
      </c>
      <c r="V55" s="83">
        <f t="shared" si="14"/>
        <v>1.5849578901911221</v>
      </c>
      <c r="W55" s="83">
        <f t="shared" si="14"/>
        <v>1.543172636722447</v>
      </c>
      <c r="X55" s="83">
        <f t="shared" si="14"/>
        <v>1.6489901889548433</v>
      </c>
      <c r="Y55" s="83">
        <f t="shared" si="14"/>
        <v>1.7584231742218464</v>
      </c>
      <c r="Z55" s="83">
        <f t="shared" si="14"/>
        <v>1.6376271474709545</v>
      </c>
      <c r="AA55" s="83">
        <f t="shared" si="14"/>
        <v>1.5908378004003561</v>
      </c>
      <c r="AB55" s="83">
        <f t="shared" si="14"/>
        <v>1.8660527398696176</v>
      </c>
      <c r="AC55" s="83">
        <f t="shared" si="14"/>
        <v>1.7378630299133568</v>
      </c>
      <c r="AD55" s="83">
        <f t="shared" si="14"/>
        <v>1.8570307805359874</v>
      </c>
      <c r="AE55" s="83">
        <f t="shared" si="14"/>
        <v>1.8941713961467068</v>
      </c>
      <c r="AF55" s="83">
        <f t="shared" si="14"/>
        <v>1.9364458577607082</v>
      </c>
      <c r="AG55" s="83">
        <f t="shared" si="14"/>
        <v>2.1632866582412484</v>
      </c>
      <c r="AH55" s="83">
        <f t="shared" si="14"/>
        <v>2.1106153309101572</v>
      </c>
      <c r="AI55" s="83">
        <f t="shared" si="14"/>
        <v>2.054971835822526</v>
      </c>
      <c r="AJ55" s="83">
        <f t="shared" si="14"/>
        <v>2.1958841902789277</v>
      </c>
      <c r="AK55" s="83">
        <f t="shared" si="14"/>
        <v>2.2398018740845065</v>
      </c>
      <c r="AL55" s="83">
        <f t="shared" si="14"/>
        <v>2.2845979115661965</v>
      </c>
      <c r="AM55" s="83">
        <f t="shared" si="14"/>
        <v>2.1184453361795641</v>
      </c>
      <c r="AN55" s="83">
        <f t="shared" si="14"/>
        <v>2.4849363793386283</v>
      </c>
    </row>
    <row r="56" spans="1:40" x14ac:dyDescent="0.3">
      <c r="A56" s="81" t="s">
        <v>13</v>
      </c>
      <c r="E56" s="83">
        <f t="shared" ref="E56:AN56" si="15">E$6*E$12*E29/den</f>
        <v>0</v>
      </c>
      <c r="F56" s="83">
        <f t="shared" si="15"/>
        <v>0</v>
      </c>
      <c r="G56" s="83">
        <f t="shared" si="15"/>
        <v>0</v>
      </c>
      <c r="H56" s="83">
        <f t="shared" si="15"/>
        <v>5.98</v>
      </c>
      <c r="I56" s="83">
        <f t="shared" si="15"/>
        <v>5.5692000000000004</v>
      </c>
      <c r="J56" s="83">
        <f t="shared" si="15"/>
        <v>5.9510879999999995</v>
      </c>
      <c r="K56" s="83">
        <f t="shared" si="15"/>
        <v>6.0701097600000002</v>
      </c>
      <c r="L56" s="83">
        <f t="shared" si="15"/>
        <v>5.9100795935999999</v>
      </c>
      <c r="M56" s="83">
        <f t="shared" si="15"/>
        <v>6.6024032031360003</v>
      </c>
      <c r="N56" s="83">
        <f t="shared" si="15"/>
        <v>6.1488468091814399</v>
      </c>
      <c r="O56" s="83">
        <f t="shared" si="15"/>
        <v>5.9731654717762561</v>
      </c>
      <c r="P56" s="83">
        <f t="shared" si="15"/>
        <v>7.006523098393548</v>
      </c>
      <c r="Q56" s="83">
        <f t="shared" si="15"/>
        <v>6.835929492519619</v>
      </c>
      <c r="R56" s="83">
        <f t="shared" si="15"/>
        <v>6.6557095331713745</v>
      </c>
      <c r="S56" s="83">
        <f t="shared" si="15"/>
        <v>7.1121010440174102</v>
      </c>
      <c r="T56" s="83">
        <f t="shared" si="15"/>
        <v>7.6170602181426457</v>
      </c>
      <c r="U56" s="83">
        <f t="shared" si="15"/>
        <v>7.7694014225055001</v>
      </c>
      <c r="V56" s="83">
        <f t="shared" si="15"/>
        <v>7.9247894509556112</v>
      </c>
      <c r="W56" s="83">
        <f t="shared" si="15"/>
        <v>7.7158631836122353</v>
      </c>
      <c r="X56" s="83">
        <f t="shared" si="15"/>
        <v>8.2449509447742173</v>
      </c>
      <c r="Y56" s="83">
        <f t="shared" si="15"/>
        <v>8.7921158711092318</v>
      </c>
      <c r="Z56" s="83">
        <f t="shared" si="15"/>
        <v>8.1881357373547736</v>
      </c>
      <c r="AA56" s="83">
        <f t="shared" si="15"/>
        <v>7.9541890020017796</v>
      </c>
      <c r="AB56" s="83">
        <f t="shared" si="15"/>
        <v>9.3302636993480874</v>
      </c>
      <c r="AC56" s="83">
        <f t="shared" si="15"/>
        <v>8.6893151495667844</v>
      </c>
      <c r="AD56" s="83">
        <f t="shared" si="15"/>
        <v>9.2851539026799355</v>
      </c>
      <c r="AE56" s="83">
        <f t="shared" si="15"/>
        <v>9.4708569807335348</v>
      </c>
      <c r="AF56" s="83">
        <f t="shared" si="15"/>
        <v>9.6822292888035424</v>
      </c>
      <c r="AG56" s="83">
        <f t="shared" si="15"/>
        <v>10.816433291206243</v>
      </c>
      <c r="AH56" s="83">
        <f t="shared" si="15"/>
        <v>10.553076654550788</v>
      </c>
      <c r="AI56" s="83">
        <f t="shared" si="15"/>
        <v>10.274859179112628</v>
      </c>
      <c r="AJ56" s="83">
        <f t="shared" si="15"/>
        <v>10.979420951394639</v>
      </c>
      <c r="AK56" s="83">
        <f t="shared" si="15"/>
        <v>11.19900937042253</v>
      </c>
      <c r="AL56" s="83">
        <f t="shared" si="15"/>
        <v>11.422989557830983</v>
      </c>
      <c r="AM56" s="83">
        <f t="shared" si="15"/>
        <v>10.592226680897818</v>
      </c>
      <c r="AN56" s="83">
        <f t="shared" si="15"/>
        <v>12.424681896693142</v>
      </c>
    </row>
    <row r="57" spans="1:40" s="88" customFormat="1" x14ac:dyDescent="0.3">
      <c r="A57" s="82" t="s">
        <v>32</v>
      </c>
      <c r="E57" s="90">
        <f>SUM(E54:E56)</f>
        <v>0</v>
      </c>
      <c r="F57" s="90">
        <f t="shared" ref="F57:AN57" si="16">SUM(F54:F56)</f>
        <v>0</v>
      </c>
      <c r="G57" s="90">
        <f t="shared" si="16"/>
        <v>0</v>
      </c>
      <c r="H57" s="90">
        <f t="shared" si="16"/>
        <v>9.5680000000000014</v>
      </c>
      <c r="I57" s="90">
        <f t="shared" si="16"/>
        <v>8.9107200000000013</v>
      </c>
      <c r="J57" s="90">
        <f t="shared" si="16"/>
        <v>9.5217407999999999</v>
      </c>
      <c r="K57" s="90">
        <f t="shared" si="16"/>
        <v>9.7121756159999997</v>
      </c>
      <c r="L57" s="90">
        <f t="shared" si="16"/>
        <v>9.4561273497599991</v>
      </c>
      <c r="M57" s="90">
        <f t="shared" si="16"/>
        <v>10.5638451250176</v>
      </c>
      <c r="N57" s="90">
        <f t="shared" si="16"/>
        <v>9.8381548946903035</v>
      </c>
      <c r="O57" s="90">
        <f t="shared" si="16"/>
        <v>9.5570647548420098</v>
      </c>
      <c r="P57" s="90">
        <f t="shared" si="16"/>
        <v>11.210436957429678</v>
      </c>
      <c r="Q57" s="90">
        <f t="shared" si="16"/>
        <v>10.93748718803139</v>
      </c>
      <c r="R57" s="90">
        <f t="shared" si="16"/>
        <v>10.649135253074199</v>
      </c>
      <c r="S57" s="90">
        <f t="shared" si="16"/>
        <v>11.379361670427858</v>
      </c>
      <c r="T57" s="90">
        <f t="shared" si="16"/>
        <v>12.187296349028234</v>
      </c>
      <c r="U57" s="90">
        <f t="shared" si="16"/>
        <v>12.4310422760088</v>
      </c>
      <c r="V57" s="90">
        <f t="shared" si="16"/>
        <v>12.679663121528979</v>
      </c>
      <c r="W57" s="90">
        <f t="shared" si="16"/>
        <v>12.345381093779576</v>
      </c>
      <c r="X57" s="90">
        <f t="shared" si="16"/>
        <v>13.191921511638746</v>
      </c>
      <c r="Y57" s="90">
        <f t="shared" si="16"/>
        <v>14.067385393774771</v>
      </c>
      <c r="Z57" s="90">
        <f t="shared" si="16"/>
        <v>13.101017179767638</v>
      </c>
      <c r="AA57" s="90">
        <f t="shared" si="16"/>
        <v>12.726702403202847</v>
      </c>
      <c r="AB57" s="90">
        <f t="shared" si="16"/>
        <v>14.928421918956939</v>
      </c>
      <c r="AC57" s="90">
        <f t="shared" si="16"/>
        <v>13.902904239306855</v>
      </c>
      <c r="AD57" s="90">
        <f t="shared" si="16"/>
        <v>14.856246244287897</v>
      </c>
      <c r="AE57" s="90">
        <f t="shared" si="16"/>
        <v>15.153371169173656</v>
      </c>
      <c r="AF57" s="90">
        <f t="shared" si="16"/>
        <v>15.491566862085667</v>
      </c>
      <c r="AG57" s="90">
        <f t="shared" si="16"/>
        <v>17.306293265929988</v>
      </c>
      <c r="AH57" s="90">
        <f t="shared" si="16"/>
        <v>16.884922647281257</v>
      </c>
      <c r="AI57" s="90">
        <f t="shared" si="16"/>
        <v>16.439774686580208</v>
      </c>
      <c r="AJ57" s="90">
        <f t="shared" si="16"/>
        <v>17.567073522231421</v>
      </c>
      <c r="AK57" s="90">
        <f t="shared" si="16"/>
        <v>17.918414992676048</v>
      </c>
      <c r="AL57" s="90">
        <f t="shared" si="16"/>
        <v>18.276783292529572</v>
      </c>
      <c r="AM57" s="90">
        <f t="shared" si="16"/>
        <v>16.947562689436509</v>
      </c>
      <c r="AN57" s="90">
        <f t="shared" si="16"/>
        <v>19.879491034709027</v>
      </c>
    </row>
    <row r="58" spans="1:40" x14ac:dyDescent="0.3"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</row>
    <row r="59" spans="1:40" x14ac:dyDescent="0.3">
      <c r="A59" s="87" t="s">
        <v>114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</row>
    <row r="60" spans="1:40" x14ac:dyDescent="0.3">
      <c r="A60" s="80" t="s">
        <v>9</v>
      </c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</row>
    <row r="61" spans="1:40" x14ac:dyDescent="0.3">
      <c r="A61" s="81" t="s">
        <v>11</v>
      </c>
      <c r="E61" s="83">
        <f t="shared" ref="E61:AN61" si="17">E$7*E$15*E34/den</f>
        <v>0</v>
      </c>
      <c r="F61" s="83">
        <f t="shared" si="17"/>
        <v>0</v>
      </c>
      <c r="G61" s="83">
        <f t="shared" si="17"/>
        <v>0</v>
      </c>
      <c r="H61" s="83">
        <f t="shared" si="17"/>
        <v>1.04</v>
      </c>
      <c r="I61" s="83">
        <f t="shared" si="17"/>
        <v>1.3520000000000001</v>
      </c>
      <c r="J61" s="83">
        <f t="shared" si="17"/>
        <v>1.1248640000000001</v>
      </c>
      <c r="K61" s="83">
        <f t="shared" si="17"/>
        <v>1.3160908800000002</v>
      </c>
      <c r="L61" s="83">
        <f t="shared" si="17"/>
        <v>1.3687345152000003</v>
      </c>
      <c r="M61" s="83">
        <f t="shared" si="17"/>
        <v>1.2653190184960001</v>
      </c>
      <c r="N61" s="83">
        <f t="shared" si="17"/>
        <v>1.6449147240448001</v>
      </c>
      <c r="O61" s="83">
        <f t="shared" si="17"/>
        <v>1.3685690504052737</v>
      </c>
      <c r="P61" s="83">
        <f t="shared" si="17"/>
        <v>1.4233118124214847</v>
      </c>
      <c r="Q61" s="83">
        <f t="shared" si="17"/>
        <v>1.4802442849183444</v>
      </c>
      <c r="R61" s="83">
        <f t="shared" si="17"/>
        <v>1.924317570393848</v>
      </c>
      <c r="S61" s="83">
        <f t="shared" si="17"/>
        <v>1.6010322185676815</v>
      </c>
      <c r="T61" s="83">
        <f t="shared" si="17"/>
        <v>1.9668680805103971</v>
      </c>
      <c r="U61" s="83">
        <f t="shared" si="17"/>
        <v>2.0455428037308128</v>
      </c>
      <c r="V61" s="83">
        <f t="shared" si="17"/>
        <v>1.8909906807822627</v>
      </c>
      <c r="W61" s="83">
        <f t="shared" si="17"/>
        <v>2.4582878850169418</v>
      </c>
      <c r="X61" s="83">
        <f t="shared" si="17"/>
        <v>2.0452955203340957</v>
      </c>
      <c r="Y61" s="83">
        <f t="shared" si="17"/>
        <v>2.1271073411474597</v>
      </c>
      <c r="Z61" s="83">
        <f t="shared" si="17"/>
        <v>2.7652395434916972</v>
      </c>
      <c r="AA61" s="83">
        <f t="shared" si="17"/>
        <v>2.300679300185092</v>
      </c>
      <c r="AB61" s="83">
        <f t="shared" si="17"/>
        <v>2.3927064721924962</v>
      </c>
      <c r="AC61" s="83">
        <f t="shared" si="17"/>
        <v>2.7994665724652203</v>
      </c>
      <c r="AD61" s="83">
        <f t="shared" si="17"/>
        <v>2.9114452353638294</v>
      </c>
      <c r="AE61" s="83">
        <f t="shared" si="17"/>
        <v>2.6914693731363402</v>
      </c>
      <c r="AF61" s="83">
        <f t="shared" si="17"/>
        <v>3.6738556943311051</v>
      </c>
      <c r="AG61" s="83">
        <f t="shared" si="17"/>
        <v>3.0566479376834792</v>
      </c>
      <c r="AH61" s="83">
        <f t="shared" si="17"/>
        <v>3.1789138551908183</v>
      </c>
      <c r="AI61" s="83">
        <f t="shared" si="17"/>
        <v>4.132588011748064</v>
      </c>
      <c r="AJ61" s="83">
        <f t="shared" si="17"/>
        <v>3.4383132257743894</v>
      </c>
      <c r="AK61" s="83">
        <f t="shared" si="17"/>
        <v>3.9689999999999999</v>
      </c>
      <c r="AL61" s="83">
        <f t="shared" si="17"/>
        <v>3.9689999999999999</v>
      </c>
      <c r="AM61" s="83">
        <f t="shared" si="17"/>
        <v>3.528</v>
      </c>
      <c r="AN61" s="83">
        <f t="shared" si="17"/>
        <v>3.528</v>
      </c>
    </row>
    <row r="62" spans="1:40" x14ac:dyDescent="0.3">
      <c r="A62" s="81" t="s">
        <v>12</v>
      </c>
      <c r="E62" s="83">
        <f t="shared" ref="E62:AN62" si="18">E$7*E$15*E35/den</f>
        <v>0</v>
      </c>
      <c r="F62" s="83">
        <f t="shared" si="18"/>
        <v>0</v>
      </c>
      <c r="G62" s="83">
        <f t="shared" si="18"/>
        <v>0</v>
      </c>
      <c r="H62" s="83">
        <f t="shared" si="18"/>
        <v>0.41599999999999998</v>
      </c>
      <c r="I62" s="83">
        <f t="shared" si="18"/>
        <v>0.54079999999999995</v>
      </c>
      <c r="J62" s="83">
        <f t="shared" si="18"/>
        <v>0.4499456</v>
      </c>
      <c r="K62" s="83">
        <f t="shared" si="18"/>
        <v>0.52643635200000005</v>
      </c>
      <c r="L62" s="83">
        <f t="shared" si="18"/>
        <v>0.54749380608000009</v>
      </c>
      <c r="M62" s="83">
        <f t="shared" si="18"/>
        <v>0.50612760739840001</v>
      </c>
      <c r="N62" s="83">
        <f t="shared" si="18"/>
        <v>0.65796588961792002</v>
      </c>
      <c r="O62" s="83">
        <f t="shared" si="18"/>
        <v>0.54742762016210955</v>
      </c>
      <c r="P62" s="83">
        <f t="shared" si="18"/>
        <v>0.56932472496859399</v>
      </c>
      <c r="Q62" s="83">
        <f t="shared" si="18"/>
        <v>0.59209771396733779</v>
      </c>
      <c r="R62" s="83">
        <f t="shared" si="18"/>
        <v>0.76972702815753913</v>
      </c>
      <c r="S62" s="83">
        <f t="shared" si="18"/>
        <v>0.64041288742707259</v>
      </c>
      <c r="T62" s="83">
        <f t="shared" si="18"/>
        <v>0.78674723220415876</v>
      </c>
      <c r="U62" s="83">
        <f t="shared" si="18"/>
        <v>0.81821712149232506</v>
      </c>
      <c r="V62" s="83">
        <f t="shared" si="18"/>
        <v>0.75639627231290507</v>
      </c>
      <c r="W62" s="83">
        <f t="shared" si="18"/>
        <v>0.98331515400677671</v>
      </c>
      <c r="X62" s="83">
        <f t="shared" si="18"/>
        <v>0.81811820813363823</v>
      </c>
      <c r="Y62" s="83">
        <f t="shared" si="18"/>
        <v>0.85084293645898379</v>
      </c>
      <c r="Z62" s="83">
        <f t="shared" si="18"/>
        <v>1.1060958173966788</v>
      </c>
      <c r="AA62" s="83">
        <f t="shared" si="18"/>
        <v>0.9202717200740369</v>
      </c>
      <c r="AB62" s="83">
        <f t="shared" si="18"/>
        <v>0.95708258887699837</v>
      </c>
      <c r="AC62" s="83">
        <f t="shared" si="18"/>
        <v>1.1197866289860883</v>
      </c>
      <c r="AD62" s="83">
        <f t="shared" si="18"/>
        <v>1.1645780941455317</v>
      </c>
      <c r="AE62" s="83">
        <f t="shared" si="18"/>
        <v>1.0765877492545362</v>
      </c>
      <c r="AF62" s="83">
        <f t="shared" si="18"/>
        <v>1.4695422777324421</v>
      </c>
      <c r="AG62" s="83">
        <f t="shared" si="18"/>
        <v>1.2226591750733917</v>
      </c>
      <c r="AH62" s="83">
        <f t="shared" si="18"/>
        <v>1.2715655420763274</v>
      </c>
      <c r="AI62" s="83">
        <f t="shared" si="18"/>
        <v>1.6530352046992258</v>
      </c>
      <c r="AJ62" s="83">
        <f t="shared" si="18"/>
        <v>1.3753252903097559</v>
      </c>
      <c r="AK62" s="83">
        <f t="shared" si="18"/>
        <v>1.5875999999999999</v>
      </c>
      <c r="AL62" s="83">
        <f t="shared" si="18"/>
        <v>1.5875999999999999</v>
      </c>
      <c r="AM62" s="83">
        <f t="shared" si="18"/>
        <v>1.4112</v>
      </c>
      <c r="AN62" s="83">
        <f t="shared" si="18"/>
        <v>1.4112</v>
      </c>
    </row>
    <row r="63" spans="1:40" x14ac:dyDescent="0.3">
      <c r="A63" s="81" t="s">
        <v>13</v>
      </c>
      <c r="E63" s="83">
        <f t="shared" ref="E63:AN63" si="19">E$7*E$15*E36/den</f>
        <v>0</v>
      </c>
      <c r="F63" s="83">
        <f t="shared" si="19"/>
        <v>0</v>
      </c>
      <c r="G63" s="83">
        <f t="shared" si="19"/>
        <v>0</v>
      </c>
      <c r="H63" s="83">
        <f t="shared" si="19"/>
        <v>2.08</v>
      </c>
      <c r="I63" s="83">
        <f t="shared" si="19"/>
        <v>2.7040000000000002</v>
      </c>
      <c r="J63" s="83">
        <f t="shared" si="19"/>
        <v>2.2497280000000002</v>
      </c>
      <c r="K63" s="83">
        <f t="shared" si="19"/>
        <v>2.6321817600000004</v>
      </c>
      <c r="L63" s="83">
        <f t="shared" si="19"/>
        <v>2.7374690304000007</v>
      </c>
      <c r="M63" s="83">
        <f t="shared" si="19"/>
        <v>2.5306380369920003</v>
      </c>
      <c r="N63" s="83">
        <f t="shared" si="19"/>
        <v>3.2898294480896002</v>
      </c>
      <c r="O63" s="83">
        <f t="shared" si="19"/>
        <v>2.7371381008105473</v>
      </c>
      <c r="P63" s="83">
        <f t="shared" si="19"/>
        <v>2.8466236248429695</v>
      </c>
      <c r="Q63" s="83">
        <f t="shared" si="19"/>
        <v>2.9604885698366887</v>
      </c>
      <c r="R63" s="83">
        <f t="shared" si="19"/>
        <v>3.848635140787696</v>
      </c>
      <c r="S63" s="83">
        <f t="shared" si="19"/>
        <v>3.202064437135363</v>
      </c>
      <c r="T63" s="83">
        <f t="shared" si="19"/>
        <v>3.9337361610207942</v>
      </c>
      <c r="U63" s="83">
        <f t="shared" si="19"/>
        <v>4.0910856074616255</v>
      </c>
      <c r="V63" s="83">
        <f t="shared" si="19"/>
        <v>3.7819813615645255</v>
      </c>
      <c r="W63" s="83">
        <f t="shared" si="19"/>
        <v>4.9165757700338837</v>
      </c>
      <c r="X63" s="83">
        <f t="shared" si="19"/>
        <v>4.0905910406681913</v>
      </c>
      <c r="Y63" s="83">
        <f t="shared" si="19"/>
        <v>4.2542146822949194</v>
      </c>
      <c r="Z63" s="83">
        <f t="shared" si="19"/>
        <v>5.5304790869833944</v>
      </c>
      <c r="AA63" s="83">
        <f t="shared" si="19"/>
        <v>4.6013586003701841</v>
      </c>
      <c r="AB63" s="83">
        <f t="shared" si="19"/>
        <v>4.7854129443849924</v>
      </c>
      <c r="AC63" s="83">
        <f t="shared" si="19"/>
        <v>5.5989331449304407</v>
      </c>
      <c r="AD63" s="83">
        <f t="shared" si="19"/>
        <v>5.8228904707276588</v>
      </c>
      <c r="AE63" s="83">
        <f t="shared" si="19"/>
        <v>5.3829387462726803</v>
      </c>
      <c r="AF63" s="83">
        <f t="shared" si="19"/>
        <v>7.3477113886622103</v>
      </c>
      <c r="AG63" s="83">
        <f t="shared" si="19"/>
        <v>6.1132958753669584</v>
      </c>
      <c r="AH63" s="83">
        <f t="shared" si="19"/>
        <v>6.3578277103816365</v>
      </c>
      <c r="AI63" s="83">
        <f t="shared" si="19"/>
        <v>8.265176023496128</v>
      </c>
      <c r="AJ63" s="83">
        <f t="shared" si="19"/>
        <v>6.8766264515487787</v>
      </c>
      <c r="AK63" s="83">
        <f t="shared" si="19"/>
        <v>7.9379999999999997</v>
      </c>
      <c r="AL63" s="83">
        <f t="shared" si="19"/>
        <v>7.9379999999999997</v>
      </c>
      <c r="AM63" s="83">
        <f t="shared" si="19"/>
        <v>7.056</v>
      </c>
      <c r="AN63" s="83">
        <f t="shared" si="19"/>
        <v>7.056</v>
      </c>
    </row>
    <row r="64" spans="1:40" s="88" customFormat="1" x14ac:dyDescent="0.3">
      <c r="A64" s="82" t="s">
        <v>32</v>
      </c>
      <c r="E64" s="90">
        <f>SUM(E61:E63)</f>
        <v>0</v>
      </c>
      <c r="F64" s="90">
        <f t="shared" ref="F64:AN64" si="20">SUM(F61:F63)</f>
        <v>0</v>
      </c>
      <c r="G64" s="90">
        <f t="shared" si="20"/>
        <v>0</v>
      </c>
      <c r="H64" s="90">
        <f t="shared" si="20"/>
        <v>3.536</v>
      </c>
      <c r="I64" s="90">
        <f t="shared" si="20"/>
        <v>4.5968</v>
      </c>
      <c r="J64" s="90">
        <f t="shared" si="20"/>
        <v>3.8245376000000002</v>
      </c>
      <c r="K64" s="90">
        <f t="shared" si="20"/>
        <v>4.4747089920000001</v>
      </c>
      <c r="L64" s="90">
        <f t="shared" si="20"/>
        <v>4.6536973516800009</v>
      </c>
      <c r="M64" s="90">
        <f t="shared" si="20"/>
        <v>4.3020846628864007</v>
      </c>
      <c r="N64" s="90">
        <f t="shared" si="20"/>
        <v>5.5927100617523209</v>
      </c>
      <c r="O64" s="90">
        <f t="shared" si="20"/>
        <v>4.6531347713779301</v>
      </c>
      <c r="P64" s="90">
        <f t="shared" si="20"/>
        <v>4.8392601622330478</v>
      </c>
      <c r="Q64" s="90">
        <f t="shared" si="20"/>
        <v>5.0328305687223711</v>
      </c>
      <c r="R64" s="90">
        <f t="shared" si="20"/>
        <v>6.542679739339083</v>
      </c>
      <c r="S64" s="90">
        <f t="shared" si="20"/>
        <v>5.4435095431301175</v>
      </c>
      <c r="T64" s="90">
        <f t="shared" si="20"/>
        <v>6.6873514737353501</v>
      </c>
      <c r="U64" s="90">
        <f t="shared" si="20"/>
        <v>6.9548455326847636</v>
      </c>
      <c r="V64" s="90">
        <f t="shared" si="20"/>
        <v>6.4293683146596932</v>
      </c>
      <c r="W64" s="90">
        <f t="shared" si="20"/>
        <v>8.3581788090576019</v>
      </c>
      <c r="X64" s="90">
        <f t="shared" si="20"/>
        <v>6.954004769135925</v>
      </c>
      <c r="Y64" s="90">
        <f t="shared" si="20"/>
        <v>7.2321649599013629</v>
      </c>
      <c r="Z64" s="90">
        <f t="shared" si="20"/>
        <v>9.4018144478717716</v>
      </c>
      <c r="AA64" s="90">
        <f t="shared" si="20"/>
        <v>7.822309620629313</v>
      </c>
      <c r="AB64" s="90">
        <f t="shared" si="20"/>
        <v>8.135202005454488</v>
      </c>
      <c r="AC64" s="90">
        <f t="shared" si="20"/>
        <v>9.51818634638175</v>
      </c>
      <c r="AD64" s="90">
        <f t="shared" si="20"/>
        <v>9.8989138002370201</v>
      </c>
      <c r="AE64" s="90">
        <f t="shared" si="20"/>
        <v>9.1509958686635571</v>
      </c>
      <c r="AF64" s="90">
        <f t="shared" si="20"/>
        <v>12.491109360725758</v>
      </c>
      <c r="AG64" s="90">
        <f t="shared" si="20"/>
        <v>10.39260298812383</v>
      </c>
      <c r="AH64" s="90">
        <f t="shared" si="20"/>
        <v>10.808307107648783</v>
      </c>
      <c r="AI64" s="90">
        <f t="shared" si="20"/>
        <v>14.050799239943418</v>
      </c>
      <c r="AJ64" s="90">
        <f t="shared" si="20"/>
        <v>11.690264967632924</v>
      </c>
      <c r="AK64" s="90">
        <f t="shared" si="20"/>
        <v>13.494599999999998</v>
      </c>
      <c r="AL64" s="90">
        <f t="shared" si="20"/>
        <v>13.494599999999998</v>
      </c>
      <c r="AM64" s="90">
        <f t="shared" si="20"/>
        <v>11.995200000000001</v>
      </c>
      <c r="AN64" s="90">
        <f t="shared" si="20"/>
        <v>11.995200000000001</v>
      </c>
    </row>
    <row r="65" spans="1:40" x14ac:dyDescent="0.3">
      <c r="A65" s="80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</row>
    <row r="66" spans="1:40" x14ac:dyDescent="0.3">
      <c r="A66" s="80" t="s">
        <v>21</v>
      </c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</row>
    <row r="67" spans="1:40" x14ac:dyDescent="0.3">
      <c r="A67" s="81" t="s">
        <v>11</v>
      </c>
      <c r="E67" s="83">
        <f t="shared" ref="E67:AN67" si="21">E$7*E$16*E40/den</f>
        <v>0</v>
      </c>
      <c r="F67" s="83">
        <f t="shared" si="21"/>
        <v>0</v>
      </c>
      <c r="G67" s="83">
        <f t="shared" si="21"/>
        <v>0</v>
      </c>
      <c r="H67" s="83">
        <f t="shared" si="21"/>
        <v>1.56</v>
      </c>
      <c r="I67" s="83">
        <f t="shared" si="21"/>
        <v>2.028</v>
      </c>
      <c r="J67" s="83">
        <f t="shared" si="21"/>
        <v>1.6872960000000004</v>
      </c>
      <c r="K67" s="83">
        <f t="shared" si="21"/>
        <v>1.9741363200000006</v>
      </c>
      <c r="L67" s="83">
        <f t="shared" si="21"/>
        <v>2.0531017728000007</v>
      </c>
      <c r="M67" s="83">
        <f t="shared" si="21"/>
        <v>1.8979785277440007</v>
      </c>
      <c r="N67" s="83">
        <f t="shared" si="21"/>
        <v>2.4673720860672006</v>
      </c>
      <c r="O67" s="83">
        <f t="shared" si="21"/>
        <v>2.0528535756079109</v>
      </c>
      <c r="P67" s="83">
        <f t="shared" si="21"/>
        <v>2.1349677186322271</v>
      </c>
      <c r="Q67" s="83">
        <f t="shared" si="21"/>
        <v>2.2203664273775163</v>
      </c>
      <c r="R67" s="83">
        <f t="shared" si="21"/>
        <v>2.8864763555907715</v>
      </c>
      <c r="S67" s="83">
        <f t="shared" si="21"/>
        <v>2.4015483278515224</v>
      </c>
      <c r="T67" s="83">
        <f t="shared" si="21"/>
        <v>2.9503021207655955</v>
      </c>
      <c r="U67" s="83">
        <f t="shared" si="21"/>
        <v>3.0683142055962196</v>
      </c>
      <c r="V67" s="83">
        <f t="shared" si="21"/>
        <v>2.8364860211733931</v>
      </c>
      <c r="W67" s="83">
        <f t="shared" si="21"/>
        <v>3.6874318275254114</v>
      </c>
      <c r="X67" s="83">
        <f t="shared" si="21"/>
        <v>3.0679432805011428</v>
      </c>
      <c r="Y67" s="83">
        <f t="shared" si="21"/>
        <v>3.1906610117211884</v>
      </c>
      <c r="Z67" s="83">
        <f t="shared" si="21"/>
        <v>4.1478593152375458</v>
      </c>
      <c r="AA67" s="83">
        <f t="shared" si="21"/>
        <v>3.4510189502776378</v>
      </c>
      <c r="AB67" s="83">
        <f t="shared" si="21"/>
        <v>3.5890597082887434</v>
      </c>
      <c r="AC67" s="83">
        <f t="shared" si="21"/>
        <v>4.1991998586978303</v>
      </c>
      <c r="AD67" s="83">
        <f t="shared" si="21"/>
        <v>4.3671678530457436</v>
      </c>
      <c r="AE67" s="83">
        <f t="shared" si="21"/>
        <v>4.0372040597045098</v>
      </c>
      <c r="AF67" s="83">
        <f t="shared" si="21"/>
        <v>5.5107835414966573</v>
      </c>
      <c r="AG67" s="83">
        <f t="shared" si="21"/>
        <v>4.5849719065252188</v>
      </c>
      <c r="AH67" s="83">
        <f t="shared" si="21"/>
        <v>4.7683707827862269</v>
      </c>
      <c r="AI67" s="83">
        <f t="shared" si="21"/>
        <v>6.1988820176220951</v>
      </c>
      <c r="AJ67" s="83">
        <f t="shared" si="21"/>
        <v>5.1574698386615836</v>
      </c>
      <c r="AK67" s="83">
        <f t="shared" si="21"/>
        <v>5.8046625000000001</v>
      </c>
      <c r="AL67" s="83">
        <f t="shared" si="21"/>
        <v>5.8046625000000001</v>
      </c>
      <c r="AM67" s="83">
        <f t="shared" si="21"/>
        <v>5.1597</v>
      </c>
      <c r="AN67" s="83">
        <f t="shared" si="21"/>
        <v>5.1597</v>
      </c>
    </row>
    <row r="68" spans="1:40" x14ac:dyDescent="0.3">
      <c r="A68" s="81" t="s">
        <v>12</v>
      </c>
      <c r="E68" s="83">
        <f t="shared" ref="E68:AN68" si="22">E$7*E$16*E41/den</f>
        <v>0</v>
      </c>
      <c r="F68" s="83">
        <f t="shared" si="22"/>
        <v>0</v>
      </c>
      <c r="G68" s="83">
        <f t="shared" si="22"/>
        <v>0</v>
      </c>
      <c r="H68" s="83">
        <f t="shared" si="22"/>
        <v>0.6</v>
      </c>
      <c r="I68" s="83">
        <f t="shared" si="22"/>
        <v>0.78</v>
      </c>
      <c r="J68" s="83">
        <f t="shared" si="22"/>
        <v>0.64896000000000009</v>
      </c>
      <c r="K68" s="83">
        <f t="shared" si="22"/>
        <v>0.75928320000000027</v>
      </c>
      <c r="L68" s="83">
        <f t="shared" si="22"/>
        <v>0.78965452800000024</v>
      </c>
      <c r="M68" s="83">
        <f t="shared" si="22"/>
        <v>0.72999174144000023</v>
      </c>
      <c r="N68" s="83">
        <f t="shared" si="22"/>
        <v>0.94898926387200011</v>
      </c>
      <c r="O68" s="83">
        <f t="shared" si="22"/>
        <v>0.78955906754150418</v>
      </c>
      <c r="P68" s="83">
        <f t="shared" si="22"/>
        <v>0.82114143024316433</v>
      </c>
      <c r="Q68" s="83">
        <f t="shared" si="22"/>
        <v>0.85398708745289098</v>
      </c>
      <c r="R68" s="83">
        <f t="shared" si="22"/>
        <v>1.1101832136887582</v>
      </c>
      <c r="S68" s="83">
        <f t="shared" si="22"/>
        <v>0.92367243378904706</v>
      </c>
      <c r="T68" s="83">
        <f t="shared" si="22"/>
        <v>1.1347315849098445</v>
      </c>
      <c r="U68" s="83">
        <f t="shared" si="22"/>
        <v>1.1801208483062382</v>
      </c>
      <c r="V68" s="83">
        <f t="shared" si="22"/>
        <v>1.0909561619897667</v>
      </c>
      <c r="W68" s="83">
        <f t="shared" si="22"/>
        <v>1.418243010586697</v>
      </c>
      <c r="X68" s="83">
        <f t="shared" si="22"/>
        <v>1.1799781848081319</v>
      </c>
      <c r="Y68" s="83">
        <f t="shared" si="22"/>
        <v>1.227177312200457</v>
      </c>
      <c r="Z68" s="83">
        <f t="shared" si="22"/>
        <v>1.5953305058605947</v>
      </c>
      <c r="AA68" s="83">
        <f t="shared" si="22"/>
        <v>1.3273149808760145</v>
      </c>
      <c r="AB68" s="83">
        <f t="shared" si="22"/>
        <v>1.3804075801110549</v>
      </c>
      <c r="AC68" s="83">
        <f t="shared" si="22"/>
        <v>1.6150768687299348</v>
      </c>
      <c r="AD68" s="83">
        <f t="shared" si="22"/>
        <v>1.6796799434791323</v>
      </c>
      <c r="AE68" s="83">
        <f t="shared" si="22"/>
        <v>1.5527707921940423</v>
      </c>
      <c r="AF68" s="83">
        <f t="shared" si="22"/>
        <v>2.1195321313448683</v>
      </c>
      <c r="AG68" s="83">
        <f t="shared" si="22"/>
        <v>1.7634507332789302</v>
      </c>
      <c r="AH68" s="83">
        <f t="shared" si="22"/>
        <v>1.8339887626100873</v>
      </c>
      <c r="AI68" s="83">
        <f t="shared" si="22"/>
        <v>2.3841853913931139</v>
      </c>
      <c r="AJ68" s="83">
        <f t="shared" si="22"/>
        <v>1.9836422456390705</v>
      </c>
      <c r="AK68" s="83">
        <f t="shared" si="22"/>
        <v>2.2325624999999998</v>
      </c>
      <c r="AL68" s="83">
        <f t="shared" si="22"/>
        <v>2.2325624999999998</v>
      </c>
      <c r="AM68" s="83">
        <f t="shared" si="22"/>
        <v>1.9844999999999999</v>
      </c>
      <c r="AN68" s="83">
        <f t="shared" si="22"/>
        <v>1.9844999999999999</v>
      </c>
    </row>
    <row r="69" spans="1:40" x14ac:dyDescent="0.3">
      <c r="A69" s="81" t="s">
        <v>13</v>
      </c>
      <c r="E69" s="83">
        <f t="shared" ref="E69:AN69" si="23">E$7*E$16*E42/den</f>
        <v>0</v>
      </c>
      <c r="F69" s="83">
        <f t="shared" si="23"/>
        <v>0</v>
      </c>
      <c r="G69" s="83">
        <f t="shared" si="23"/>
        <v>0</v>
      </c>
      <c r="H69" s="83">
        <f t="shared" si="23"/>
        <v>2.4</v>
      </c>
      <c r="I69" s="83">
        <f t="shared" si="23"/>
        <v>3.12</v>
      </c>
      <c r="J69" s="83">
        <f t="shared" si="23"/>
        <v>2.5958400000000004</v>
      </c>
      <c r="K69" s="83">
        <f t="shared" si="23"/>
        <v>3.0371328000000011</v>
      </c>
      <c r="L69" s="83">
        <f t="shared" si="23"/>
        <v>3.158618112000001</v>
      </c>
      <c r="M69" s="83">
        <f t="shared" si="23"/>
        <v>2.9199669657600009</v>
      </c>
      <c r="N69" s="83">
        <f t="shared" si="23"/>
        <v>3.7959570554880004</v>
      </c>
      <c r="O69" s="83">
        <f t="shared" si="23"/>
        <v>3.1582362701660167</v>
      </c>
      <c r="P69" s="83">
        <f t="shared" si="23"/>
        <v>3.2845657209726573</v>
      </c>
      <c r="Q69" s="83">
        <f t="shared" si="23"/>
        <v>3.4159483498115639</v>
      </c>
      <c r="R69" s="83">
        <f t="shared" si="23"/>
        <v>4.4407328547550327</v>
      </c>
      <c r="S69" s="83">
        <f t="shared" si="23"/>
        <v>3.6946897351561883</v>
      </c>
      <c r="T69" s="83">
        <f t="shared" si="23"/>
        <v>4.538926339639378</v>
      </c>
      <c r="U69" s="83">
        <f t="shared" si="23"/>
        <v>4.7204833932249528</v>
      </c>
      <c r="V69" s="83">
        <f t="shared" si="23"/>
        <v>4.363824647959067</v>
      </c>
      <c r="W69" s="83">
        <f t="shared" si="23"/>
        <v>5.672972042346788</v>
      </c>
      <c r="X69" s="83">
        <f t="shared" si="23"/>
        <v>4.7199127392325275</v>
      </c>
      <c r="Y69" s="83">
        <f t="shared" si="23"/>
        <v>4.908709248801828</v>
      </c>
      <c r="Z69" s="83">
        <f t="shared" si="23"/>
        <v>6.3813220234423786</v>
      </c>
      <c r="AA69" s="83">
        <f t="shared" si="23"/>
        <v>5.3092599235040581</v>
      </c>
      <c r="AB69" s="83">
        <f t="shared" si="23"/>
        <v>5.5216303204442196</v>
      </c>
      <c r="AC69" s="83">
        <f t="shared" si="23"/>
        <v>6.4603074749197393</v>
      </c>
      <c r="AD69" s="83">
        <f t="shared" si="23"/>
        <v>6.7187197739165292</v>
      </c>
      <c r="AE69" s="83">
        <f t="shared" si="23"/>
        <v>6.2110831687761694</v>
      </c>
      <c r="AF69" s="83">
        <f t="shared" si="23"/>
        <v>8.4781285253794731</v>
      </c>
      <c r="AG69" s="83">
        <f t="shared" si="23"/>
        <v>7.0538029331157208</v>
      </c>
      <c r="AH69" s="83">
        <f t="shared" si="23"/>
        <v>7.335955050440349</v>
      </c>
      <c r="AI69" s="83">
        <f t="shared" si="23"/>
        <v>9.5367415655724557</v>
      </c>
      <c r="AJ69" s="83">
        <f t="shared" si="23"/>
        <v>7.9345689825562822</v>
      </c>
      <c r="AK69" s="83">
        <f t="shared" si="23"/>
        <v>8.9302499999999991</v>
      </c>
      <c r="AL69" s="83">
        <f t="shared" si="23"/>
        <v>8.9302499999999991</v>
      </c>
      <c r="AM69" s="83">
        <f t="shared" si="23"/>
        <v>7.9379999999999997</v>
      </c>
      <c r="AN69" s="83">
        <f t="shared" si="23"/>
        <v>7.9379999999999997</v>
      </c>
    </row>
    <row r="70" spans="1:40" s="88" customFormat="1" x14ac:dyDescent="0.3">
      <c r="A70" s="82" t="s">
        <v>32</v>
      </c>
      <c r="E70" s="90">
        <f>SUM(E67:E69)</f>
        <v>0</v>
      </c>
      <c r="F70" s="90">
        <f t="shared" ref="F70:AN70" si="24">SUM(F67:F69)</f>
        <v>0</v>
      </c>
      <c r="G70" s="90">
        <f t="shared" si="24"/>
        <v>0</v>
      </c>
      <c r="H70" s="90">
        <f t="shared" si="24"/>
        <v>4.5600000000000005</v>
      </c>
      <c r="I70" s="90">
        <f t="shared" si="24"/>
        <v>5.9279999999999999</v>
      </c>
      <c r="J70" s="90">
        <f t="shared" si="24"/>
        <v>4.9320960000000014</v>
      </c>
      <c r="K70" s="90">
        <f t="shared" si="24"/>
        <v>5.770552320000002</v>
      </c>
      <c r="L70" s="90">
        <f t="shared" si="24"/>
        <v>6.0013744128000024</v>
      </c>
      <c r="M70" s="90">
        <f t="shared" si="24"/>
        <v>5.5479372349440013</v>
      </c>
      <c r="N70" s="90">
        <f t="shared" si="24"/>
        <v>7.2123184054272009</v>
      </c>
      <c r="O70" s="90">
        <f t="shared" si="24"/>
        <v>6.0006489133154322</v>
      </c>
      <c r="P70" s="90">
        <f t="shared" si="24"/>
        <v>6.240674869848049</v>
      </c>
      <c r="Q70" s="90">
        <f t="shared" si="24"/>
        <v>6.490301864641971</v>
      </c>
      <c r="R70" s="90">
        <f t="shared" si="24"/>
        <v>8.437392424034563</v>
      </c>
      <c r="S70" s="90">
        <f t="shared" si="24"/>
        <v>7.0199104967967578</v>
      </c>
      <c r="T70" s="90">
        <f t="shared" si="24"/>
        <v>8.6239600453148171</v>
      </c>
      <c r="U70" s="90">
        <f t="shared" si="24"/>
        <v>8.968918447127411</v>
      </c>
      <c r="V70" s="90">
        <f t="shared" si="24"/>
        <v>8.2912668311222273</v>
      </c>
      <c r="W70" s="90">
        <f t="shared" si="24"/>
        <v>10.778646880458897</v>
      </c>
      <c r="X70" s="90">
        <f t="shared" si="24"/>
        <v>8.967834204541802</v>
      </c>
      <c r="Y70" s="90">
        <f t="shared" si="24"/>
        <v>9.3265475727234737</v>
      </c>
      <c r="Z70" s="90">
        <f t="shared" si="24"/>
        <v>12.124511844540519</v>
      </c>
      <c r="AA70" s="90">
        <f t="shared" si="24"/>
        <v>10.08759385465771</v>
      </c>
      <c r="AB70" s="90">
        <f t="shared" si="24"/>
        <v>10.491097608844019</v>
      </c>
      <c r="AC70" s="90">
        <f t="shared" si="24"/>
        <v>12.274584202347505</v>
      </c>
      <c r="AD70" s="90">
        <f t="shared" si="24"/>
        <v>12.765567570441405</v>
      </c>
      <c r="AE70" s="90">
        <f t="shared" si="24"/>
        <v>11.801058020674722</v>
      </c>
      <c r="AF70" s="90">
        <f t="shared" si="24"/>
        <v>16.108444198221001</v>
      </c>
      <c r="AG70" s="90">
        <f t="shared" si="24"/>
        <v>13.402225572919869</v>
      </c>
      <c r="AH70" s="90">
        <f t="shared" si="24"/>
        <v>13.938314595836664</v>
      </c>
      <c r="AI70" s="90">
        <f t="shared" si="24"/>
        <v>18.119808974587663</v>
      </c>
      <c r="AJ70" s="90">
        <f t="shared" si="24"/>
        <v>15.075681066856937</v>
      </c>
      <c r="AK70" s="90">
        <f t="shared" si="24"/>
        <v>16.967475</v>
      </c>
      <c r="AL70" s="90">
        <f t="shared" si="24"/>
        <v>16.967475</v>
      </c>
      <c r="AM70" s="90">
        <f t="shared" si="24"/>
        <v>15.0822</v>
      </c>
      <c r="AN70" s="90">
        <f t="shared" si="24"/>
        <v>15.0822</v>
      </c>
    </row>
    <row r="72" spans="1:40" x14ac:dyDescent="0.3">
      <c r="A72" s="94" t="s">
        <v>118</v>
      </c>
    </row>
    <row r="73" spans="1:40" x14ac:dyDescent="0.3">
      <c r="A73" s="81" t="s">
        <v>11</v>
      </c>
      <c r="E73" s="83">
        <f>E48+E54+E61+E67</f>
        <v>0</v>
      </c>
      <c r="F73" s="83">
        <f t="shared" ref="F73:AN73" si="25">F48+F54+F61+F67</f>
        <v>0</v>
      </c>
      <c r="G73" s="83">
        <f t="shared" si="25"/>
        <v>0</v>
      </c>
      <c r="H73" s="83">
        <f t="shared" si="25"/>
        <v>6.3719999999999999</v>
      </c>
      <c r="I73" s="83">
        <f t="shared" si="25"/>
        <v>6.8928799999999999</v>
      </c>
      <c r="J73" s="83">
        <f t="shared" si="25"/>
        <v>6.5659232000000003</v>
      </c>
      <c r="K73" s="83">
        <f t="shared" si="25"/>
        <v>7.1190656640000007</v>
      </c>
      <c r="L73" s="83">
        <f t="shared" si="25"/>
        <v>7.1497326470400013</v>
      </c>
      <c r="M73" s="83">
        <f t="shared" si="25"/>
        <v>7.3278903359104008</v>
      </c>
      <c r="N73" s="83">
        <f t="shared" si="25"/>
        <v>7.9907901820572169</v>
      </c>
      <c r="O73" s="83">
        <f t="shared" si="25"/>
        <v>7.1891116159028225</v>
      </c>
      <c r="P73" s="83">
        <f t="shared" si="25"/>
        <v>7.9777787161942584</v>
      </c>
      <c r="Q73" s="83">
        <f t="shared" si="25"/>
        <v>8.0125046998851595</v>
      </c>
      <c r="R73" s="83">
        <f t="shared" si="25"/>
        <v>9.0090107084465636</v>
      </c>
      <c r="S73" s="83">
        <f t="shared" si="25"/>
        <v>8.4886750511071103</v>
      </c>
      <c r="T73" s="83">
        <f t="shared" si="25"/>
        <v>9.7217774157967405</v>
      </c>
      <c r="U73" s="83">
        <f t="shared" si="25"/>
        <v>10.014556368138194</v>
      </c>
      <c r="V73" s="83">
        <f t="shared" si="25"/>
        <v>9.7261900479430405</v>
      </c>
      <c r="W73" s="83">
        <f t="shared" si="25"/>
        <v>11.012648797590071</v>
      </c>
      <c r="X73" s="83">
        <f t="shared" si="25"/>
        <v>10.313900166000515</v>
      </c>
      <c r="Y73" s="83">
        <f t="shared" si="25"/>
        <v>10.863564517722164</v>
      </c>
      <c r="Z73" s="83">
        <f t="shared" si="25"/>
        <v>12.077922939214561</v>
      </c>
      <c r="AA73" s="83">
        <f t="shared" si="25"/>
        <v>10.768955928648468</v>
      </c>
      <c r="AB73" s="83">
        <f t="shared" si="25"/>
        <v>11.867009436993111</v>
      </c>
      <c r="AC73" s="83">
        <f t="shared" si="25"/>
        <v>12.479619063966716</v>
      </c>
      <c r="AD73" s="83">
        <f t="shared" si="25"/>
        <v>13.135402473176917</v>
      </c>
      <c r="AE73" s="83">
        <f t="shared" si="25"/>
        <v>12.702598605303542</v>
      </c>
      <c r="AF73" s="83">
        <f t="shared" si="25"/>
        <v>15.291891556457688</v>
      </c>
      <c r="AG73" s="83">
        <f t="shared" si="25"/>
        <v>14.464293150969558</v>
      </c>
      <c r="AH73" s="83">
        <f t="shared" si="25"/>
        <v>14.603840681616774</v>
      </c>
      <c r="AI73" s="83">
        <f t="shared" si="25"/>
        <v>16.812535050041205</v>
      </c>
      <c r="AJ73" s="83">
        <f t="shared" si="25"/>
        <v>15.521263972238746</v>
      </c>
      <c r="AK73" s="83">
        <f t="shared" si="25"/>
        <v>16.837653025958829</v>
      </c>
      <c r="AL73" s="83">
        <f t="shared" si="25"/>
        <v>16.978932836478005</v>
      </c>
      <c r="AM73" s="83">
        <f t="shared" si="25"/>
        <v>15.368950675643241</v>
      </c>
      <c r="AN73" s="83">
        <f t="shared" si="25"/>
        <v>16.52480704252952</v>
      </c>
    </row>
    <row r="74" spans="1:40" x14ac:dyDescent="0.3">
      <c r="A74" s="81" t="s">
        <v>12</v>
      </c>
      <c r="E74" s="83">
        <f t="shared" ref="E74:AN74" si="26">E49+E55+E62+E68</f>
        <v>0</v>
      </c>
      <c r="F74" s="83">
        <f t="shared" si="26"/>
        <v>0</v>
      </c>
      <c r="G74" s="83">
        <f t="shared" si="26"/>
        <v>0</v>
      </c>
      <c r="H74" s="83">
        <f t="shared" si="26"/>
        <v>3.1320000000000001</v>
      </c>
      <c r="I74" s="83">
        <f t="shared" si="26"/>
        <v>3.2914399999999997</v>
      </c>
      <c r="J74" s="83">
        <f t="shared" si="26"/>
        <v>3.2046752000000005</v>
      </c>
      <c r="K74" s="83">
        <f t="shared" si="26"/>
        <v>3.4336045440000005</v>
      </c>
      <c r="L74" s="83">
        <f t="shared" si="26"/>
        <v>3.4284072672000003</v>
      </c>
      <c r="M74" s="83">
        <f t="shared" si="26"/>
        <v>3.5723543284095998</v>
      </c>
      <c r="N74" s="83">
        <f t="shared" si="26"/>
        <v>3.7827009475079683</v>
      </c>
      <c r="O74" s="83">
        <f t="shared" si="26"/>
        <v>3.450568316178289</v>
      </c>
      <c r="P74" s="83">
        <f t="shared" si="26"/>
        <v>3.8696974054125528</v>
      </c>
      <c r="Q74" s="83">
        <f t="shared" si="26"/>
        <v>3.8649521603117858</v>
      </c>
      <c r="R74" s="83">
        <f t="shared" si="26"/>
        <v>4.2350074612761679</v>
      </c>
      <c r="S74" s="83">
        <f t="shared" si="26"/>
        <v>4.0806749214068958</v>
      </c>
      <c r="T74" s="83">
        <f t="shared" si="26"/>
        <v>4.616746278918324</v>
      </c>
      <c r="U74" s="83">
        <f t="shared" si="26"/>
        <v>4.7475107808389714</v>
      </c>
      <c r="V74" s="83">
        <f t="shared" si="26"/>
        <v>4.6515087015638876</v>
      </c>
      <c r="W74" s="83">
        <f t="shared" si="26"/>
        <v>5.1317866757178034</v>
      </c>
      <c r="X74" s="83">
        <f t="shared" si="26"/>
        <v>4.9155405734003388</v>
      </c>
      <c r="Y74" s="83">
        <f t="shared" si="26"/>
        <v>5.1890766338211698</v>
      </c>
      <c r="Z74" s="83">
        <f t="shared" si="26"/>
        <v>5.5987666610905009</v>
      </c>
      <c r="AA74" s="83">
        <f t="shared" si="26"/>
        <v>5.0621458862737576</v>
      </c>
      <c r="AB74" s="83">
        <f t="shared" si="26"/>
        <v>5.6389680933727613</v>
      </c>
      <c r="AC74" s="83">
        <f t="shared" si="26"/>
        <v>5.8095442429473465</v>
      </c>
      <c r="AD74" s="83">
        <f t="shared" si="26"/>
        <v>6.129774033957565</v>
      </c>
      <c r="AE74" s="83">
        <f t="shared" si="26"/>
        <v>5.9805848577081377</v>
      </c>
      <c r="AF74" s="83">
        <f t="shared" si="26"/>
        <v>7.0150940035770262</v>
      </c>
      <c r="AG74" s="83">
        <f t="shared" si="26"/>
        <v>6.8134632267791453</v>
      </c>
      <c r="AH74" s="83">
        <f t="shared" si="26"/>
        <v>6.8397198901428471</v>
      </c>
      <c r="AI74" s="83">
        <f t="shared" si="26"/>
        <v>7.6729399979321933</v>
      </c>
      <c r="AJ74" s="83">
        <f t="shared" si="26"/>
        <v>7.2439934110576987</v>
      </c>
      <c r="AK74" s="83">
        <f t="shared" si="26"/>
        <v>7.7828888926110498</v>
      </c>
      <c r="AL74" s="83">
        <f t="shared" si="26"/>
        <v>7.862143420463271</v>
      </c>
      <c r="AM74" s="83">
        <f t="shared" si="26"/>
        <v>7.1437186717023051</v>
      </c>
      <c r="AN74" s="83">
        <f t="shared" si="26"/>
        <v>7.7921259019068048</v>
      </c>
    </row>
    <row r="75" spans="1:40" x14ac:dyDescent="0.3">
      <c r="A75" s="81" t="s">
        <v>13</v>
      </c>
      <c r="E75" s="83">
        <f t="shared" ref="E75:AN75" si="27">E50+E56+E63+E69</f>
        <v>0</v>
      </c>
      <c r="F75" s="83">
        <f t="shared" si="27"/>
        <v>0</v>
      </c>
      <c r="G75" s="83">
        <f t="shared" si="27"/>
        <v>0</v>
      </c>
      <c r="H75" s="83">
        <f t="shared" si="27"/>
        <v>15.06</v>
      </c>
      <c r="I75" s="83">
        <f t="shared" si="27"/>
        <v>15.677200000000003</v>
      </c>
      <c r="J75" s="83">
        <f t="shared" si="27"/>
        <v>15.374416000000002</v>
      </c>
      <c r="K75" s="83">
        <f t="shared" si="27"/>
        <v>16.408739520000001</v>
      </c>
      <c r="L75" s="83">
        <f t="shared" si="27"/>
        <v>16.352381808000004</v>
      </c>
      <c r="M75" s="83">
        <f t="shared" si="27"/>
        <v>17.131779900608002</v>
      </c>
      <c r="N75" s="83">
        <f t="shared" si="27"/>
        <v>17.964515473667841</v>
      </c>
      <c r="O75" s="83">
        <f t="shared" si="27"/>
        <v>16.463282513349942</v>
      </c>
      <c r="P75" s="83">
        <f t="shared" si="27"/>
        <v>18.527345596819597</v>
      </c>
      <c r="Q75" s="83">
        <f t="shared" si="27"/>
        <v>18.470773714106041</v>
      </c>
      <c r="R75" s="83">
        <f t="shared" si="27"/>
        <v>20.064854092692084</v>
      </c>
      <c r="S75" s="83">
        <f t="shared" si="27"/>
        <v>19.479702173245432</v>
      </c>
      <c r="T75" s="83">
        <f t="shared" si="27"/>
        <v>21.948999809681776</v>
      </c>
      <c r="U75" s="83">
        <f t="shared" si="27"/>
        <v>22.557433055888616</v>
      </c>
      <c r="V75" s="83">
        <f t="shared" si="27"/>
        <v>22.166587345829672</v>
      </c>
      <c r="W75" s="83">
        <f t="shared" si="27"/>
        <v>24.240690368002323</v>
      </c>
      <c r="X75" s="83">
        <f t="shared" si="27"/>
        <v>23.397724682193562</v>
      </c>
      <c r="Y75" s="83">
        <f t="shared" si="27"/>
        <v>24.718205856905389</v>
      </c>
      <c r="Z75" s="83">
        <f t="shared" si="27"/>
        <v>26.398502799591913</v>
      </c>
      <c r="AA75" s="83">
        <f t="shared" si="27"/>
        <v>23.983414450492774</v>
      </c>
      <c r="AB75" s="83">
        <f t="shared" si="27"/>
        <v>26.814432886752751</v>
      </c>
      <c r="AC75" s="83">
        <f t="shared" si="27"/>
        <v>27.432644346006796</v>
      </c>
      <c r="AD75" s="83">
        <f t="shared" si="27"/>
        <v>28.969190226308687</v>
      </c>
      <c r="AE75" s="83">
        <f t="shared" si="27"/>
        <v>28.350153496346643</v>
      </c>
      <c r="AF75" s="83">
        <f t="shared" si="27"/>
        <v>32.955937886540262</v>
      </c>
      <c r="AG75" s="83">
        <f t="shared" si="27"/>
        <v>32.3038654006168</v>
      </c>
      <c r="AH75" s="83">
        <f t="shared" si="27"/>
        <v>32.36461068810415</v>
      </c>
      <c r="AI75" s="83">
        <f t="shared" si="27"/>
        <v>35.980514598267852</v>
      </c>
      <c r="AJ75" s="83">
        <f t="shared" si="27"/>
        <v>34.236324809649432</v>
      </c>
      <c r="AK75" s="83">
        <f t="shared" si="27"/>
        <v>36.681881963055247</v>
      </c>
      <c r="AL75" s="83">
        <f t="shared" si="27"/>
        <v>37.078154602316353</v>
      </c>
      <c r="AM75" s="83">
        <f t="shared" si="27"/>
        <v>33.734093358511529</v>
      </c>
      <c r="AN75" s="83">
        <f t="shared" si="27"/>
        <v>36.976129509534026</v>
      </c>
    </row>
    <row r="76" spans="1:40" s="91" customFormat="1" ht="15" thickBot="1" x14ac:dyDescent="0.35">
      <c r="A76" s="91" t="s">
        <v>32</v>
      </c>
      <c r="E76" s="92">
        <f>SUM(E73:E75)</f>
        <v>0</v>
      </c>
      <c r="F76" s="92">
        <f t="shared" ref="F76:AN76" si="28">SUM(F73:F75)</f>
        <v>0</v>
      </c>
      <c r="G76" s="92">
        <f t="shared" si="28"/>
        <v>0</v>
      </c>
      <c r="H76" s="92">
        <f t="shared" si="28"/>
        <v>24.564</v>
      </c>
      <c r="I76" s="92">
        <f t="shared" si="28"/>
        <v>25.861520000000002</v>
      </c>
      <c r="J76" s="92">
        <f t="shared" si="28"/>
        <v>25.145014400000001</v>
      </c>
      <c r="K76" s="92">
        <f t="shared" si="28"/>
        <v>26.961409728000003</v>
      </c>
      <c r="L76" s="92">
        <f t="shared" si="28"/>
        <v>26.930521722240005</v>
      </c>
      <c r="M76" s="92">
        <f t="shared" si="28"/>
        <v>28.032024564928001</v>
      </c>
      <c r="N76" s="92">
        <f t="shared" si="28"/>
        <v>29.738006603233025</v>
      </c>
      <c r="O76" s="92">
        <f t="shared" si="28"/>
        <v>27.102962445431054</v>
      </c>
      <c r="P76" s="92">
        <f t="shared" si="28"/>
        <v>30.374821718426407</v>
      </c>
      <c r="Q76" s="92">
        <f t="shared" si="28"/>
        <v>30.348230574302988</v>
      </c>
      <c r="R76" s="92">
        <f t="shared" si="28"/>
        <v>33.308872262414816</v>
      </c>
      <c r="S76" s="92">
        <f t="shared" si="28"/>
        <v>32.04905214575944</v>
      </c>
      <c r="T76" s="92">
        <f t="shared" si="28"/>
        <v>36.287523504396844</v>
      </c>
      <c r="U76" s="92">
        <f t="shared" si="28"/>
        <v>37.319500204865783</v>
      </c>
      <c r="V76" s="92">
        <f t="shared" si="28"/>
        <v>36.544286095336602</v>
      </c>
      <c r="W76" s="92">
        <f t="shared" si="28"/>
        <v>40.385125841310199</v>
      </c>
      <c r="X76" s="92">
        <f t="shared" si="28"/>
        <v>38.627165421594412</v>
      </c>
      <c r="Y76" s="92">
        <f t="shared" si="28"/>
        <v>40.770847008448726</v>
      </c>
      <c r="Z76" s="92">
        <f t="shared" si="28"/>
        <v>44.075192399896977</v>
      </c>
      <c r="AA76" s="92">
        <f t="shared" si="28"/>
        <v>39.814516265415001</v>
      </c>
      <c r="AB76" s="92">
        <f t="shared" si="28"/>
        <v>44.320410417118623</v>
      </c>
      <c r="AC76" s="92">
        <f t="shared" si="28"/>
        <v>45.721807652920859</v>
      </c>
      <c r="AD76" s="92">
        <f t="shared" si="28"/>
        <v>48.234366733443167</v>
      </c>
      <c r="AE76" s="92">
        <f t="shared" si="28"/>
        <v>47.033336959358323</v>
      </c>
      <c r="AF76" s="92">
        <f t="shared" si="28"/>
        <v>55.262923446574973</v>
      </c>
      <c r="AG76" s="92">
        <f t="shared" si="28"/>
        <v>53.581621778365502</v>
      </c>
      <c r="AH76" s="92">
        <f t="shared" si="28"/>
        <v>53.808171259863769</v>
      </c>
      <c r="AI76" s="92">
        <f t="shared" si="28"/>
        <v>60.465989646241255</v>
      </c>
      <c r="AJ76" s="92">
        <f t="shared" si="28"/>
        <v>57.001582192945875</v>
      </c>
      <c r="AK76" s="92">
        <f t="shared" si="28"/>
        <v>61.302423881625124</v>
      </c>
      <c r="AL76" s="92">
        <f t="shared" si="28"/>
        <v>61.919230859257631</v>
      </c>
      <c r="AM76" s="92">
        <f t="shared" si="28"/>
        <v>56.24676270585708</v>
      </c>
      <c r="AN76" s="92">
        <f t="shared" si="28"/>
        <v>61.29306245397035</v>
      </c>
    </row>
    <row r="77" spans="1:40" ht="15" thickTop="1" x14ac:dyDescent="0.3"/>
    <row r="78" spans="1:40" s="117" customFormat="1" x14ac:dyDescent="0.3">
      <c r="A78" s="116" t="s">
        <v>119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35"/>
  <sheetViews>
    <sheetView zoomScale="87" workbookViewId="0">
      <pane xSplit="4" ySplit="9" topLeftCell="E14" activePane="bottomRight" state="frozen"/>
      <selection pane="topRight" activeCell="E1" sqref="E1"/>
      <selection pane="bottomLeft" activeCell="A10" sqref="A10"/>
      <selection pane="bottomRight" activeCell="F23" sqref="F23"/>
    </sheetView>
  </sheetViews>
  <sheetFormatPr defaultRowHeight="14.4" outlineLevelRow="1" x14ac:dyDescent="0.3"/>
  <cols>
    <col min="1" max="1" width="37.109375" bestFit="1" customWidth="1"/>
    <col min="2" max="2" width="5.5546875" bestFit="1" customWidth="1"/>
    <col min="4" max="4" width="2" bestFit="1" customWidth="1"/>
    <col min="5" max="40" width="10.5546875" bestFit="1" customWidth="1"/>
  </cols>
  <sheetData>
    <row r="1" spans="1:40" x14ac:dyDescent="0.3">
      <c r="A1" t="s">
        <v>109</v>
      </c>
      <c r="B1" s="66" t="str">
        <f>Convertor!C1</f>
        <v>Lakhs</v>
      </c>
    </row>
    <row r="3" spans="1:40" x14ac:dyDescent="0.3">
      <c r="E3" s="71">
        <v>1</v>
      </c>
      <c r="F3" s="71">
        <f>E3+1</f>
        <v>2</v>
      </c>
      <c r="G3" s="71">
        <f t="shared" ref="G3:AN3" si="0">F3+1</f>
        <v>3</v>
      </c>
      <c r="H3" s="71">
        <f t="shared" si="0"/>
        <v>4</v>
      </c>
      <c r="I3" s="71">
        <f t="shared" si="0"/>
        <v>5</v>
      </c>
      <c r="J3" s="71">
        <f t="shared" si="0"/>
        <v>6</v>
      </c>
      <c r="K3" s="71">
        <f t="shared" si="0"/>
        <v>7</v>
      </c>
      <c r="L3" s="71">
        <f t="shared" si="0"/>
        <v>8</v>
      </c>
      <c r="M3" s="71">
        <f t="shared" si="0"/>
        <v>9</v>
      </c>
      <c r="N3" s="71">
        <f t="shared" si="0"/>
        <v>10</v>
      </c>
      <c r="O3" s="71">
        <f t="shared" si="0"/>
        <v>11</v>
      </c>
      <c r="P3" s="71">
        <f t="shared" si="0"/>
        <v>12</v>
      </c>
      <c r="Q3" s="71">
        <f t="shared" si="0"/>
        <v>13</v>
      </c>
      <c r="R3" s="71">
        <f t="shared" si="0"/>
        <v>14</v>
      </c>
      <c r="S3" s="71">
        <f t="shared" si="0"/>
        <v>15</v>
      </c>
      <c r="T3" s="71">
        <f t="shared" si="0"/>
        <v>16</v>
      </c>
      <c r="U3" s="71">
        <f t="shared" si="0"/>
        <v>17</v>
      </c>
      <c r="V3" s="71">
        <f t="shared" si="0"/>
        <v>18</v>
      </c>
      <c r="W3" s="71">
        <f t="shared" si="0"/>
        <v>19</v>
      </c>
      <c r="X3" s="71">
        <f t="shared" si="0"/>
        <v>20</v>
      </c>
      <c r="Y3" s="71">
        <f t="shared" si="0"/>
        <v>21</v>
      </c>
      <c r="Z3" s="71">
        <f t="shared" si="0"/>
        <v>22</v>
      </c>
      <c r="AA3" s="71">
        <f t="shared" si="0"/>
        <v>23</v>
      </c>
      <c r="AB3" s="71">
        <f t="shared" si="0"/>
        <v>24</v>
      </c>
      <c r="AC3" s="71">
        <f t="shared" si="0"/>
        <v>25</v>
      </c>
      <c r="AD3" s="71">
        <f t="shared" si="0"/>
        <v>26</v>
      </c>
      <c r="AE3" s="71">
        <f t="shared" si="0"/>
        <v>27</v>
      </c>
      <c r="AF3" s="71">
        <f t="shared" si="0"/>
        <v>28</v>
      </c>
      <c r="AG3" s="71">
        <f t="shared" si="0"/>
        <v>29</v>
      </c>
      <c r="AH3" s="71">
        <f t="shared" si="0"/>
        <v>30</v>
      </c>
      <c r="AI3" s="71">
        <f t="shared" si="0"/>
        <v>31</v>
      </c>
      <c r="AJ3" s="71">
        <f t="shared" si="0"/>
        <v>32</v>
      </c>
      <c r="AK3" s="71">
        <f t="shared" si="0"/>
        <v>33</v>
      </c>
      <c r="AL3" s="71">
        <f t="shared" si="0"/>
        <v>34</v>
      </c>
      <c r="AM3" s="71">
        <f t="shared" si="0"/>
        <v>35</v>
      </c>
      <c r="AN3" s="71">
        <f t="shared" si="0"/>
        <v>36</v>
      </c>
    </row>
    <row r="4" spans="1:40" x14ac:dyDescent="0.3">
      <c r="E4" s="72">
        <f>EOMONTH(Assumptions!G3,0)</f>
        <v>43951</v>
      </c>
      <c r="F4" s="72">
        <f>EOMONTH(E4,1)</f>
        <v>43982</v>
      </c>
      <c r="G4" s="72">
        <f t="shared" ref="G4:AN4" si="1">EOMONTH(F4,1)</f>
        <v>44012</v>
      </c>
      <c r="H4" s="72">
        <f t="shared" si="1"/>
        <v>44043</v>
      </c>
      <c r="I4" s="72">
        <f t="shared" si="1"/>
        <v>44074</v>
      </c>
      <c r="J4" s="72">
        <f t="shared" si="1"/>
        <v>44104</v>
      </c>
      <c r="K4" s="72">
        <f t="shared" si="1"/>
        <v>44135</v>
      </c>
      <c r="L4" s="72">
        <f t="shared" si="1"/>
        <v>44165</v>
      </c>
      <c r="M4" s="72">
        <f t="shared" si="1"/>
        <v>44196</v>
      </c>
      <c r="N4" s="72">
        <f t="shared" si="1"/>
        <v>44227</v>
      </c>
      <c r="O4" s="72">
        <f t="shared" si="1"/>
        <v>44255</v>
      </c>
      <c r="P4" s="72">
        <f t="shared" si="1"/>
        <v>44286</v>
      </c>
      <c r="Q4" s="72">
        <f t="shared" si="1"/>
        <v>44316</v>
      </c>
      <c r="R4" s="72">
        <f t="shared" si="1"/>
        <v>44347</v>
      </c>
      <c r="S4" s="72">
        <f t="shared" si="1"/>
        <v>44377</v>
      </c>
      <c r="T4" s="72">
        <f t="shared" si="1"/>
        <v>44408</v>
      </c>
      <c r="U4" s="72">
        <f t="shared" si="1"/>
        <v>44439</v>
      </c>
      <c r="V4" s="72">
        <f t="shared" si="1"/>
        <v>44469</v>
      </c>
      <c r="W4" s="72">
        <f t="shared" si="1"/>
        <v>44500</v>
      </c>
      <c r="X4" s="72">
        <f t="shared" si="1"/>
        <v>44530</v>
      </c>
      <c r="Y4" s="72">
        <f t="shared" si="1"/>
        <v>44561</v>
      </c>
      <c r="Z4" s="72">
        <f t="shared" si="1"/>
        <v>44592</v>
      </c>
      <c r="AA4" s="72">
        <f t="shared" si="1"/>
        <v>44620</v>
      </c>
      <c r="AB4" s="72">
        <f t="shared" si="1"/>
        <v>44651</v>
      </c>
      <c r="AC4" s="72">
        <f t="shared" si="1"/>
        <v>44681</v>
      </c>
      <c r="AD4" s="72">
        <f t="shared" si="1"/>
        <v>44712</v>
      </c>
      <c r="AE4" s="72">
        <f t="shared" si="1"/>
        <v>44742</v>
      </c>
      <c r="AF4" s="72">
        <f t="shared" si="1"/>
        <v>44773</v>
      </c>
      <c r="AG4" s="72">
        <f t="shared" si="1"/>
        <v>44804</v>
      </c>
      <c r="AH4" s="72">
        <f t="shared" si="1"/>
        <v>44834</v>
      </c>
      <c r="AI4" s="72">
        <f t="shared" si="1"/>
        <v>44865</v>
      </c>
      <c r="AJ4" s="72">
        <f t="shared" si="1"/>
        <v>44895</v>
      </c>
      <c r="AK4" s="72">
        <f t="shared" si="1"/>
        <v>44926</v>
      </c>
      <c r="AL4" s="72">
        <f t="shared" si="1"/>
        <v>44957</v>
      </c>
      <c r="AM4" s="72">
        <f t="shared" si="1"/>
        <v>44985</v>
      </c>
      <c r="AN4" s="72">
        <f t="shared" si="1"/>
        <v>45016</v>
      </c>
    </row>
    <row r="5" spans="1:40" outlineLevel="1" x14ac:dyDescent="0.3">
      <c r="A5" s="76" t="s">
        <v>5</v>
      </c>
    </row>
    <row r="6" spans="1:40" outlineLevel="1" x14ac:dyDescent="0.3">
      <c r="A6" t="str">
        <f>'Monthly Revenue'!A73</f>
        <v xml:space="preserve">Alcoholic Beverages </v>
      </c>
      <c r="E6" s="98">
        <f>'Monthly Revenue'!E73</f>
        <v>0</v>
      </c>
      <c r="F6" s="98">
        <f>'Monthly Revenue'!F73</f>
        <v>0</v>
      </c>
      <c r="G6" s="98">
        <f>'Monthly Revenue'!G73</f>
        <v>0</v>
      </c>
      <c r="H6" s="98">
        <f>'Monthly Revenue'!H73</f>
        <v>6.3719999999999999</v>
      </c>
      <c r="I6" s="98">
        <f>'Monthly Revenue'!I73</f>
        <v>6.8928799999999999</v>
      </c>
      <c r="J6" s="98">
        <f>'Monthly Revenue'!J73</f>
        <v>6.5659232000000003</v>
      </c>
      <c r="K6" s="98">
        <f>'Monthly Revenue'!K73</f>
        <v>7.1190656640000007</v>
      </c>
      <c r="L6" s="98">
        <f>'Monthly Revenue'!L73</f>
        <v>7.1497326470400013</v>
      </c>
      <c r="M6" s="98">
        <f>'Monthly Revenue'!M73</f>
        <v>7.3278903359104008</v>
      </c>
      <c r="N6" s="98">
        <f>'Monthly Revenue'!N73</f>
        <v>7.9907901820572169</v>
      </c>
      <c r="O6" s="98">
        <f>'Monthly Revenue'!O73</f>
        <v>7.1891116159028225</v>
      </c>
      <c r="P6" s="98">
        <f>'Monthly Revenue'!P73</f>
        <v>7.9777787161942584</v>
      </c>
      <c r="Q6" s="98">
        <f>'Monthly Revenue'!Q73</f>
        <v>8.0125046998851595</v>
      </c>
      <c r="R6" s="98">
        <f>'Monthly Revenue'!R73</f>
        <v>9.0090107084465636</v>
      </c>
      <c r="S6" s="98">
        <f>'Monthly Revenue'!S73</f>
        <v>8.4886750511071103</v>
      </c>
      <c r="T6" s="98">
        <f>'Monthly Revenue'!T73</f>
        <v>9.7217774157967405</v>
      </c>
      <c r="U6" s="98">
        <f>'Monthly Revenue'!U73</f>
        <v>10.014556368138194</v>
      </c>
      <c r="V6" s="98">
        <f>'Monthly Revenue'!V73</f>
        <v>9.7261900479430405</v>
      </c>
      <c r="W6" s="98">
        <f>'Monthly Revenue'!W73</f>
        <v>11.012648797590071</v>
      </c>
      <c r="X6" s="98">
        <f>'Monthly Revenue'!X73</f>
        <v>10.313900166000515</v>
      </c>
      <c r="Y6" s="98">
        <f>'Monthly Revenue'!Y73</f>
        <v>10.863564517722164</v>
      </c>
      <c r="Z6" s="98">
        <f>'Monthly Revenue'!Z73</f>
        <v>12.077922939214561</v>
      </c>
      <c r="AA6" s="98">
        <f>'Monthly Revenue'!AA73</f>
        <v>10.768955928648468</v>
      </c>
      <c r="AB6" s="98">
        <f>'Monthly Revenue'!AB73</f>
        <v>11.867009436993111</v>
      </c>
      <c r="AC6" s="98">
        <f>'Monthly Revenue'!AC73</f>
        <v>12.479619063966716</v>
      </c>
      <c r="AD6" s="98">
        <f>'Monthly Revenue'!AD73</f>
        <v>13.135402473176917</v>
      </c>
      <c r="AE6" s="98">
        <f>'Monthly Revenue'!AE73</f>
        <v>12.702598605303542</v>
      </c>
      <c r="AF6" s="98">
        <f>'Monthly Revenue'!AF73</f>
        <v>15.291891556457688</v>
      </c>
      <c r="AG6" s="98">
        <f>'Monthly Revenue'!AG73</f>
        <v>14.464293150969558</v>
      </c>
      <c r="AH6" s="98">
        <f>'Monthly Revenue'!AH73</f>
        <v>14.603840681616774</v>
      </c>
      <c r="AI6" s="98">
        <f>'Monthly Revenue'!AI73</f>
        <v>16.812535050041205</v>
      </c>
      <c r="AJ6" s="98">
        <f>'Monthly Revenue'!AJ73</f>
        <v>15.521263972238746</v>
      </c>
      <c r="AK6" s="98">
        <f>'Monthly Revenue'!AK73</f>
        <v>16.837653025958829</v>
      </c>
      <c r="AL6" s="98">
        <f>'Monthly Revenue'!AL73</f>
        <v>16.978932836478005</v>
      </c>
      <c r="AM6" s="98">
        <f>'Monthly Revenue'!AM73</f>
        <v>15.368950675643241</v>
      </c>
      <c r="AN6" s="98">
        <f>'Monthly Revenue'!AN73</f>
        <v>16.52480704252952</v>
      </c>
    </row>
    <row r="7" spans="1:40" outlineLevel="1" x14ac:dyDescent="0.3">
      <c r="A7" t="str">
        <f>'Monthly Revenue'!A74</f>
        <v xml:space="preserve">Non Alcoholic Beverages </v>
      </c>
      <c r="E7" s="98">
        <f>'Monthly Revenue'!E74</f>
        <v>0</v>
      </c>
      <c r="F7" s="98">
        <f>'Monthly Revenue'!F74</f>
        <v>0</v>
      </c>
      <c r="G7" s="98">
        <f>'Monthly Revenue'!G74</f>
        <v>0</v>
      </c>
      <c r="H7" s="98">
        <f>'Monthly Revenue'!H74</f>
        <v>3.1320000000000001</v>
      </c>
      <c r="I7" s="98">
        <f>'Monthly Revenue'!I74</f>
        <v>3.2914399999999997</v>
      </c>
      <c r="J7" s="98">
        <f>'Monthly Revenue'!J74</f>
        <v>3.2046752000000005</v>
      </c>
      <c r="K7" s="98">
        <f>'Monthly Revenue'!K74</f>
        <v>3.4336045440000005</v>
      </c>
      <c r="L7" s="98">
        <f>'Monthly Revenue'!L74</f>
        <v>3.4284072672000003</v>
      </c>
      <c r="M7" s="98">
        <f>'Monthly Revenue'!M74</f>
        <v>3.5723543284095998</v>
      </c>
      <c r="N7" s="98">
        <f>'Monthly Revenue'!N74</f>
        <v>3.7827009475079683</v>
      </c>
      <c r="O7" s="98">
        <f>'Monthly Revenue'!O74</f>
        <v>3.450568316178289</v>
      </c>
      <c r="P7" s="98">
        <f>'Monthly Revenue'!P74</f>
        <v>3.8696974054125528</v>
      </c>
      <c r="Q7" s="98">
        <f>'Monthly Revenue'!Q74</f>
        <v>3.8649521603117858</v>
      </c>
      <c r="R7" s="98">
        <f>'Monthly Revenue'!R74</f>
        <v>4.2350074612761679</v>
      </c>
      <c r="S7" s="98">
        <f>'Monthly Revenue'!S74</f>
        <v>4.0806749214068958</v>
      </c>
      <c r="T7" s="98">
        <f>'Monthly Revenue'!T74</f>
        <v>4.616746278918324</v>
      </c>
      <c r="U7" s="98">
        <f>'Monthly Revenue'!U74</f>
        <v>4.7475107808389714</v>
      </c>
      <c r="V7" s="98">
        <f>'Monthly Revenue'!V74</f>
        <v>4.6515087015638876</v>
      </c>
      <c r="W7" s="98">
        <f>'Monthly Revenue'!W74</f>
        <v>5.1317866757178034</v>
      </c>
      <c r="X7" s="98">
        <f>'Monthly Revenue'!X74</f>
        <v>4.9155405734003388</v>
      </c>
      <c r="Y7" s="98">
        <f>'Monthly Revenue'!Y74</f>
        <v>5.1890766338211698</v>
      </c>
      <c r="Z7" s="98">
        <f>'Monthly Revenue'!Z74</f>
        <v>5.5987666610905009</v>
      </c>
      <c r="AA7" s="98">
        <f>'Monthly Revenue'!AA74</f>
        <v>5.0621458862737576</v>
      </c>
      <c r="AB7" s="98">
        <f>'Monthly Revenue'!AB74</f>
        <v>5.6389680933727613</v>
      </c>
      <c r="AC7" s="98">
        <f>'Monthly Revenue'!AC74</f>
        <v>5.8095442429473465</v>
      </c>
      <c r="AD7" s="98">
        <f>'Monthly Revenue'!AD74</f>
        <v>6.129774033957565</v>
      </c>
      <c r="AE7" s="98">
        <f>'Monthly Revenue'!AE74</f>
        <v>5.9805848577081377</v>
      </c>
      <c r="AF7" s="98">
        <f>'Monthly Revenue'!AF74</f>
        <v>7.0150940035770262</v>
      </c>
      <c r="AG7" s="98">
        <f>'Monthly Revenue'!AG74</f>
        <v>6.8134632267791453</v>
      </c>
      <c r="AH7" s="98">
        <f>'Monthly Revenue'!AH74</f>
        <v>6.8397198901428471</v>
      </c>
      <c r="AI7" s="98">
        <f>'Monthly Revenue'!AI74</f>
        <v>7.6729399979321933</v>
      </c>
      <c r="AJ7" s="98">
        <f>'Monthly Revenue'!AJ74</f>
        <v>7.2439934110576987</v>
      </c>
      <c r="AK7" s="98">
        <f>'Monthly Revenue'!AK74</f>
        <v>7.7828888926110498</v>
      </c>
      <c r="AL7" s="98">
        <f>'Monthly Revenue'!AL74</f>
        <v>7.862143420463271</v>
      </c>
      <c r="AM7" s="98">
        <f>'Monthly Revenue'!AM74</f>
        <v>7.1437186717023051</v>
      </c>
      <c r="AN7" s="98">
        <f>'Monthly Revenue'!AN74</f>
        <v>7.7921259019068048</v>
      </c>
    </row>
    <row r="8" spans="1:40" outlineLevel="1" x14ac:dyDescent="0.3">
      <c r="A8" t="str">
        <f>'Monthly Revenue'!A75</f>
        <v>Food</v>
      </c>
      <c r="E8" s="98">
        <f>'Monthly Revenue'!E75</f>
        <v>0</v>
      </c>
      <c r="F8" s="98">
        <f>'Monthly Revenue'!F75</f>
        <v>0</v>
      </c>
      <c r="G8" s="98">
        <f>'Monthly Revenue'!G75</f>
        <v>0</v>
      </c>
      <c r="H8" s="98">
        <f>'Monthly Revenue'!H75</f>
        <v>15.06</v>
      </c>
      <c r="I8" s="98">
        <f>'Monthly Revenue'!I75</f>
        <v>15.677200000000003</v>
      </c>
      <c r="J8" s="98">
        <f>'Monthly Revenue'!J75</f>
        <v>15.374416000000002</v>
      </c>
      <c r="K8" s="98">
        <f>'Monthly Revenue'!K75</f>
        <v>16.408739520000001</v>
      </c>
      <c r="L8" s="98">
        <f>'Monthly Revenue'!L75</f>
        <v>16.352381808000004</v>
      </c>
      <c r="M8" s="98">
        <f>'Monthly Revenue'!M75</f>
        <v>17.131779900608002</v>
      </c>
      <c r="N8" s="98">
        <f>'Monthly Revenue'!N75</f>
        <v>17.964515473667841</v>
      </c>
      <c r="O8" s="98">
        <f>'Monthly Revenue'!O75</f>
        <v>16.463282513349942</v>
      </c>
      <c r="P8" s="98">
        <f>'Monthly Revenue'!P75</f>
        <v>18.527345596819597</v>
      </c>
      <c r="Q8" s="98">
        <f>'Monthly Revenue'!Q75</f>
        <v>18.470773714106041</v>
      </c>
      <c r="R8" s="98">
        <f>'Monthly Revenue'!R75</f>
        <v>20.064854092692084</v>
      </c>
      <c r="S8" s="98">
        <f>'Monthly Revenue'!S75</f>
        <v>19.479702173245432</v>
      </c>
      <c r="T8" s="98">
        <f>'Monthly Revenue'!T75</f>
        <v>21.948999809681776</v>
      </c>
      <c r="U8" s="98">
        <f>'Monthly Revenue'!U75</f>
        <v>22.557433055888616</v>
      </c>
      <c r="V8" s="98">
        <f>'Monthly Revenue'!V75</f>
        <v>22.166587345829672</v>
      </c>
      <c r="W8" s="98">
        <f>'Monthly Revenue'!W75</f>
        <v>24.240690368002323</v>
      </c>
      <c r="X8" s="98">
        <f>'Monthly Revenue'!X75</f>
        <v>23.397724682193562</v>
      </c>
      <c r="Y8" s="98">
        <f>'Monthly Revenue'!Y75</f>
        <v>24.718205856905389</v>
      </c>
      <c r="Z8" s="98">
        <f>'Monthly Revenue'!Z75</f>
        <v>26.398502799591913</v>
      </c>
      <c r="AA8" s="98">
        <f>'Monthly Revenue'!AA75</f>
        <v>23.983414450492774</v>
      </c>
      <c r="AB8" s="98">
        <f>'Monthly Revenue'!AB75</f>
        <v>26.814432886752751</v>
      </c>
      <c r="AC8" s="98">
        <f>'Monthly Revenue'!AC75</f>
        <v>27.432644346006796</v>
      </c>
      <c r="AD8" s="98">
        <f>'Monthly Revenue'!AD75</f>
        <v>28.969190226308687</v>
      </c>
      <c r="AE8" s="98">
        <f>'Monthly Revenue'!AE75</f>
        <v>28.350153496346643</v>
      </c>
      <c r="AF8" s="98">
        <f>'Monthly Revenue'!AF75</f>
        <v>32.955937886540262</v>
      </c>
      <c r="AG8" s="98">
        <f>'Monthly Revenue'!AG75</f>
        <v>32.3038654006168</v>
      </c>
      <c r="AH8" s="98">
        <f>'Monthly Revenue'!AH75</f>
        <v>32.36461068810415</v>
      </c>
      <c r="AI8" s="98">
        <f>'Monthly Revenue'!AI75</f>
        <v>35.980514598267852</v>
      </c>
      <c r="AJ8" s="98">
        <f>'Monthly Revenue'!AJ75</f>
        <v>34.236324809649432</v>
      </c>
      <c r="AK8" s="98">
        <f>'Monthly Revenue'!AK75</f>
        <v>36.681881963055247</v>
      </c>
      <c r="AL8" s="98">
        <f>'Monthly Revenue'!AL75</f>
        <v>37.078154602316353</v>
      </c>
      <c r="AM8" s="98">
        <f>'Monthly Revenue'!AM75</f>
        <v>33.734093358511529</v>
      </c>
      <c r="AN8" s="98">
        <f>'Monthly Revenue'!AN75</f>
        <v>36.976129509534026</v>
      </c>
    </row>
    <row r="9" spans="1:40" s="95" customFormat="1" x14ac:dyDescent="0.3">
      <c r="A9" s="95" t="str">
        <f>'Monthly Revenue'!A76</f>
        <v>Total</v>
      </c>
      <c r="E9" s="106">
        <f>SUM(E6:E8)</f>
        <v>0</v>
      </c>
      <c r="F9" s="106">
        <f t="shared" ref="F9:AN9" si="2">SUM(F6:F8)</f>
        <v>0</v>
      </c>
      <c r="G9" s="106">
        <f t="shared" si="2"/>
        <v>0</v>
      </c>
      <c r="H9" s="106">
        <f t="shared" si="2"/>
        <v>24.564</v>
      </c>
      <c r="I9" s="106">
        <f t="shared" si="2"/>
        <v>25.861520000000002</v>
      </c>
      <c r="J9" s="106">
        <f t="shared" si="2"/>
        <v>25.145014400000001</v>
      </c>
      <c r="K9" s="106">
        <f t="shared" si="2"/>
        <v>26.961409728000003</v>
      </c>
      <c r="L9" s="106">
        <f t="shared" si="2"/>
        <v>26.930521722240005</v>
      </c>
      <c r="M9" s="106">
        <f t="shared" si="2"/>
        <v>28.032024564928001</v>
      </c>
      <c r="N9" s="106">
        <f t="shared" si="2"/>
        <v>29.738006603233025</v>
      </c>
      <c r="O9" s="106">
        <f t="shared" si="2"/>
        <v>27.102962445431054</v>
      </c>
      <c r="P9" s="106">
        <f t="shared" si="2"/>
        <v>30.374821718426407</v>
      </c>
      <c r="Q9" s="106">
        <f t="shared" si="2"/>
        <v>30.348230574302988</v>
      </c>
      <c r="R9" s="106">
        <f t="shared" si="2"/>
        <v>33.308872262414816</v>
      </c>
      <c r="S9" s="106">
        <f t="shared" si="2"/>
        <v>32.04905214575944</v>
      </c>
      <c r="T9" s="106">
        <f t="shared" si="2"/>
        <v>36.287523504396844</v>
      </c>
      <c r="U9" s="106">
        <f t="shared" si="2"/>
        <v>37.319500204865783</v>
      </c>
      <c r="V9" s="106">
        <f t="shared" si="2"/>
        <v>36.544286095336602</v>
      </c>
      <c r="W9" s="106">
        <f t="shared" si="2"/>
        <v>40.385125841310199</v>
      </c>
      <c r="X9" s="106">
        <f t="shared" si="2"/>
        <v>38.627165421594412</v>
      </c>
      <c r="Y9" s="106">
        <f t="shared" si="2"/>
        <v>40.770847008448726</v>
      </c>
      <c r="Z9" s="106">
        <f t="shared" si="2"/>
        <v>44.075192399896977</v>
      </c>
      <c r="AA9" s="106">
        <f t="shared" si="2"/>
        <v>39.814516265415001</v>
      </c>
      <c r="AB9" s="106">
        <f t="shared" si="2"/>
        <v>44.320410417118623</v>
      </c>
      <c r="AC9" s="106">
        <f t="shared" si="2"/>
        <v>45.721807652920859</v>
      </c>
      <c r="AD9" s="106">
        <f t="shared" si="2"/>
        <v>48.234366733443167</v>
      </c>
      <c r="AE9" s="106">
        <f t="shared" si="2"/>
        <v>47.033336959358323</v>
      </c>
      <c r="AF9" s="106">
        <f t="shared" si="2"/>
        <v>55.262923446574973</v>
      </c>
      <c r="AG9" s="106">
        <f t="shared" si="2"/>
        <v>53.581621778365502</v>
      </c>
      <c r="AH9" s="106">
        <f t="shared" si="2"/>
        <v>53.808171259863769</v>
      </c>
      <c r="AI9" s="106">
        <f t="shared" si="2"/>
        <v>60.465989646241255</v>
      </c>
      <c r="AJ9" s="106">
        <f t="shared" si="2"/>
        <v>57.001582192945875</v>
      </c>
      <c r="AK9" s="106">
        <f t="shared" si="2"/>
        <v>61.302423881625124</v>
      </c>
      <c r="AL9" s="106">
        <f t="shared" si="2"/>
        <v>61.919230859257631</v>
      </c>
      <c r="AM9" s="106">
        <f t="shared" si="2"/>
        <v>56.24676270585708</v>
      </c>
      <c r="AN9" s="106">
        <f t="shared" si="2"/>
        <v>61.29306245397035</v>
      </c>
    </row>
    <row r="10" spans="1:40" x14ac:dyDescent="0.3">
      <c r="K10" t="s">
        <v>110</v>
      </c>
    </row>
    <row r="11" spans="1:40" outlineLevel="1" x14ac:dyDescent="0.3">
      <c r="A11" s="2" t="s">
        <v>120</v>
      </c>
      <c r="F11" s="79"/>
    </row>
    <row r="12" spans="1:40" outlineLevel="1" x14ac:dyDescent="0.3">
      <c r="A12" s="97" t="s">
        <v>23</v>
      </c>
      <c r="E12" s="98">
        <f>E6*Assumptions!$G25</f>
        <v>0</v>
      </c>
      <c r="F12" s="98">
        <f>F6*Assumptions!$G25</f>
        <v>0</v>
      </c>
      <c r="G12" s="98">
        <f>G6*Assumptions!$G25</f>
        <v>0</v>
      </c>
      <c r="H12" s="98">
        <f>H6*Assumptions!$G25</f>
        <v>2.2302</v>
      </c>
      <c r="I12" s="98">
        <f>I6*Assumptions!$G25</f>
        <v>2.4125079999999999</v>
      </c>
      <c r="J12" s="98">
        <f>J6*Assumptions!$G25</f>
        <v>2.2980731199999997</v>
      </c>
      <c r="K12" s="98">
        <f>K6*Assumptions!$G25</f>
        <v>2.4916729823999999</v>
      </c>
      <c r="L12" s="98">
        <f>L6*Assumptions!$G25</f>
        <v>2.5024064264640002</v>
      </c>
      <c r="M12" s="98">
        <f>M6*Assumptions!$G25</f>
        <v>2.5647616175686401</v>
      </c>
      <c r="N12" s="98">
        <f>N6*Assumptions!$G25</f>
        <v>2.7967765637200257</v>
      </c>
      <c r="O12" s="98">
        <f>O6*Assumptions!$G25</f>
        <v>2.5161890655659875</v>
      </c>
      <c r="P12" s="98">
        <f>P6*Assumptions!$G25</f>
        <v>2.7922225506679901</v>
      </c>
      <c r="Q12" s="98">
        <f>Q6*Assumptions!$G25</f>
        <v>2.8043766449598055</v>
      </c>
      <c r="R12" s="98">
        <f>R6*Assumptions!$G25</f>
        <v>3.153153747956297</v>
      </c>
      <c r="S12" s="98">
        <f>S6*Assumptions!$G25</f>
        <v>2.9710362678874884</v>
      </c>
      <c r="T12" s="98">
        <f>T6*Assumptions!$G25</f>
        <v>3.4026220955288591</v>
      </c>
      <c r="U12" s="98">
        <f>U6*Assumptions!$G25</f>
        <v>3.5050947288483676</v>
      </c>
      <c r="V12" s="98">
        <f>V6*Assumptions!$G25</f>
        <v>3.4041665167800641</v>
      </c>
      <c r="W12" s="98">
        <f>W6*Assumptions!$G25</f>
        <v>3.8544270791565247</v>
      </c>
      <c r="X12" s="98">
        <f>X6*Assumptions!$G25</f>
        <v>3.6098650581001799</v>
      </c>
      <c r="Y12" s="98">
        <f>Y6*Assumptions!$G25</f>
        <v>3.802247581202757</v>
      </c>
      <c r="Z12" s="98">
        <f>Z6*Assumptions!$G25</f>
        <v>4.2272730287250964</v>
      </c>
      <c r="AA12" s="98">
        <f>AA6*Assumptions!$G25</f>
        <v>3.7691345750269636</v>
      </c>
      <c r="AB12" s="98">
        <f>AB6*Assumptions!$G25</f>
        <v>4.1534533029475886</v>
      </c>
      <c r="AC12" s="98">
        <f>AC6*Assumptions!$G25</f>
        <v>4.3678666723883506</v>
      </c>
      <c r="AD12" s="98">
        <f>AD6*Assumptions!$G25</f>
        <v>4.5973908656119207</v>
      </c>
      <c r="AE12" s="98">
        <f>AE6*Assumptions!$G25</f>
        <v>4.4459095118562395</v>
      </c>
      <c r="AF12" s="98">
        <f>AF6*Assumptions!$G25</f>
        <v>5.352162044760191</v>
      </c>
      <c r="AG12" s="98">
        <f>AG6*Assumptions!$G25</f>
        <v>5.0625026028393449</v>
      </c>
      <c r="AH12" s="98">
        <f>AH6*Assumptions!$G25</f>
        <v>5.1113442385658701</v>
      </c>
      <c r="AI12" s="98">
        <f>AI6*Assumptions!$G25</f>
        <v>5.8843872675144215</v>
      </c>
      <c r="AJ12" s="98">
        <f>AJ6*Assumptions!$G25</f>
        <v>5.432442390283561</v>
      </c>
      <c r="AK12" s="98">
        <f>AK6*Assumptions!$G25</f>
        <v>5.8931785590855901</v>
      </c>
      <c r="AL12" s="98">
        <f>AL6*Assumptions!$G25</f>
        <v>5.9426264927673014</v>
      </c>
      <c r="AM12" s="98">
        <f>AM6*Assumptions!$G25</f>
        <v>5.3791327364751336</v>
      </c>
      <c r="AN12" s="98">
        <f>AN6*Assumptions!$G25</f>
        <v>5.7836824648853318</v>
      </c>
    </row>
    <row r="13" spans="1:40" outlineLevel="1" x14ac:dyDescent="0.3">
      <c r="A13" s="97" t="s">
        <v>24</v>
      </c>
      <c r="E13" s="98">
        <f>E7*Assumptions!$G26</f>
        <v>0</v>
      </c>
      <c r="F13" s="98">
        <f>F7*Assumptions!$G26</f>
        <v>0</v>
      </c>
      <c r="G13" s="98">
        <f>G7*Assumptions!$G26</f>
        <v>0</v>
      </c>
      <c r="H13" s="98">
        <f>H7*Assumptions!$G26</f>
        <v>1.2528000000000001</v>
      </c>
      <c r="I13" s="98">
        <f>I7*Assumptions!$G26</f>
        <v>1.316576</v>
      </c>
      <c r="J13" s="98">
        <f>J7*Assumptions!$G26</f>
        <v>1.2818700800000002</v>
      </c>
      <c r="K13" s="98">
        <f>K7*Assumptions!$G26</f>
        <v>1.3734418176000003</v>
      </c>
      <c r="L13" s="98">
        <f>L7*Assumptions!$G26</f>
        <v>1.3713629068800002</v>
      </c>
      <c r="M13" s="98">
        <f>M7*Assumptions!$G26</f>
        <v>1.42894173136384</v>
      </c>
      <c r="N13" s="98">
        <f>N7*Assumptions!$G26</f>
        <v>1.5130803790031875</v>
      </c>
      <c r="O13" s="98">
        <f>O7*Assumptions!$G26</f>
        <v>1.3802273264713156</v>
      </c>
      <c r="P13" s="98">
        <f>P7*Assumptions!$G26</f>
        <v>1.5478789621650213</v>
      </c>
      <c r="Q13" s="98">
        <f>Q7*Assumptions!$G26</f>
        <v>1.5459808641247144</v>
      </c>
      <c r="R13" s="98">
        <f>R7*Assumptions!$G26</f>
        <v>1.6940029845104672</v>
      </c>
      <c r="S13" s="98">
        <f>S7*Assumptions!$G26</f>
        <v>1.6322699685627584</v>
      </c>
      <c r="T13" s="98">
        <f>T7*Assumptions!$G26</f>
        <v>1.8466985115673298</v>
      </c>
      <c r="U13" s="98">
        <f>U7*Assumptions!$G26</f>
        <v>1.8990043123355886</v>
      </c>
      <c r="V13" s="98">
        <f>V7*Assumptions!$G26</f>
        <v>1.8606034806255551</v>
      </c>
      <c r="W13" s="98">
        <f>W7*Assumptions!$G26</f>
        <v>2.0527146702871213</v>
      </c>
      <c r="X13" s="98">
        <f>X7*Assumptions!$G26</f>
        <v>1.9662162293601355</v>
      </c>
      <c r="Y13" s="98">
        <f>Y7*Assumptions!$G26</f>
        <v>2.0756306535284681</v>
      </c>
      <c r="Z13" s="98">
        <f>Z7*Assumptions!$G26</f>
        <v>2.2395066644362003</v>
      </c>
      <c r="AA13" s="98">
        <f>AA7*Assumptions!$G26</f>
        <v>2.0248583545095031</v>
      </c>
      <c r="AB13" s="98">
        <f>AB7*Assumptions!$G26</f>
        <v>2.2555872373491046</v>
      </c>
      <c r="AC13" s="98">
        <f>AC7*Assumptions!$G26</f>
        <v>2.3238176971789386</v>
      </c>
      <c r="AD13" s="98">
        <f>AD7*Assumptions!$G26</f>
        <v>2.4519096135830263</v>
      </c>
      <c r="AE13" s="98">
        <f>AE7*Assumptions!$G26</f>
        <v>2.3922339430832551</v>
      </c>
      <c r="AF13" s="98">
        <f>AF7*Assumptions!$G26</f>
        <v>2.8060376014308108</v>
      </c>
      <c r="AG13" s="98">
        <f>AG7*Assumptions!$G26</f>
        <v>2.7253852907116585</v>
      </c>
      <c r="AH13" s="98">
        <f>AH7*Assumptions!$G26</f>
        <v>2.7358879560571392</v>
      </c>
      <c r="AI13" s="98">
        <f>AI7*Assumptions!$G26</f>
        <v>3.0691759991728773</v>
      </c>
      <c r="AJ13" s="98">
        <f>AJ7*Assumptions!$G26</f>
        <v>2.8975973644230795</v>
      </c>
      <c r="AK13" s="98">
        <f>AK7*Assumptions!$G26</f>
        <v>3.1131555570444203</v>
      </c>
      <c r="AL13" s="98">
        <f>AL7*Assumptions!$G26</f>
        <v>3.1448573681853085</v>
      </c>
      <c r="AM13" s="98">
        <f>AM7*Assumptions!$G26</f>
        <v>2.8574874686809224</v>
      </c>
      <c r="AN13" s="98">
        <f>AN7*Assumptions!$G26</f>
        <v>3.1168503607627223</v>
      </c>
    </row>
    <row r="14" spans="1:40" outlineLevel="1" x14ac:dyDescent="0.3">
      <c r="A14" s="1" t="s">
        <v>25</v>
      </c>
      <c r="E14" s="98">
        <f>E8*Assumptions!$G27</f>
        <v>0</v>
      </c>
      <c r="F14" s="98">
        <f>F8*Assumptions!$G27</f>
        <v>0</v>
      </c>
      <c r="G14" s="98">
        <f>G8*Assumptions!$G27</f>
        <v>0</v>
      </c>
      <c r="H14" s="98">
        <f>H8*Assumptions!$G27</f>
        <v>4.5179999999999998</v>
      </c>
      <c r="I14" s="98">
        <f>I8*Assumptions!$G27</f>
        <v>4.7031600000000005</v>
      </c>
      <c r="J14" s="98">
        <f>J8*Assumptions!$G27</f>
        <v>4.6123248000000006</v>
      </c>
      <c r="K14" s="98">
        <f>K8*Assumptions!$G27</f>
        <v>4.9226218560000001</v>
      </c>
      <c r="L14" s="98">
        <f>L8*Assumptions!$G27</f>
        <v>4.905714542400001</v>
      </c>
      <c r="M14" s="98">
        <f>M8*Assumptions!$G27</f>
        <v>5.1395339701824003</v>
      </c>
      <c r="N14" s="98">
        <f>N8*Assumptions!$G27</f>
        <v>5.3893546421003524</v>
      </c>
      <c r="O14" s="98">
        <f>O8*Assumptions!$G27</f>
        <v>4.9389847540049825</v>
      </c>
      <c r="P14" s="98">
        <f>P8*Assumptions!$G27</f>
        <v>5.5582036790458789</v>
      </c>
      <c r="Q14" s="98">
        <f>Q8*Assumptions!$G27</f>
        <v>5.5412321142318124</v>
      </c>
      <c r="R14" s="98">
        <f>R8*Assumptions!$G27</f>
        <v>6.0194562278076251</v>
      </c>
      <c r="S14" s="98">
        <f>S8*Assumptions!$G27</f>
        <v>5.843910651973629</v>
      </c>
      <c r="T14" s="98">
        <f>T8*Assumptions!$G27</f>
        <v>6.5846999429045328</v>
      </c>
      <c r="U14" s="98">
        <f>U8*Assumptions!$G27</f>
        <v>6.7672299167665848</v>
      </c>
      <c r="V14" s="98">
        <f>V8*Assumptions!$G27</f>
        <v>6.6499762037489019</v>
      </c>
      <c r="W14" s="98">
        <f>W8*Assumptions!$G27</f>
        <v>7.2722071104006965</v>
      </c>
      <c r="X14" s="98">
        <f>X8*Assumptions!$G27</f>
        <v>7.0193174046580689</v>
      </c>
      <c r="Y14" s="98">
        <f>Y8*Assumptions!$G27</f>
        <v>7.4154617570716166</v>
      </c>
      <c r="Z14" s="98">
        <f>Z8*Assumptions!$G27</f>
        <v>7.9195508398775738</v>
      </c>
      <c r="AA14" s="98">
        <f>AA8*Assumptions!$G27</f>
        <v>7.1950243351478314</v>
      </c>
      <c r="AB14" s="98">
        <f>AB8*Assumptions!$G27</f>
        <v>8.0443298660258247</v>
      </c>
      <c r="AC14" s="98">
        <f>AC8*Assumptions!$G27</f>
        <v>8.2297933038020386</v>
      </c>
      <c r="AD14" s="98">
        <f>AD8*Assumptions!$G27</f>
        <v>8.6907570678926049</v>
      </c>
      <c r="AE14" s="98">
        <f>AE8*Assumptions!$G27</f>
        <v>8.5050460489039921</v>
      </c>
      <c r="AF14" s="98">
        <f>AF8*Assumptions!$G27</f>
        <v>9.8867813659620776</v>
      </c>
      <c r="AG14" s="98">
        <f>AG8*Assumptions!$G27</f>
        <v>9.6911596201850401</v>
      </c>
      <c r="AH14" s="98">
        <f>AH8*Assumptions!$G27</f>
        <v>9.7093832064312444</v>
      </c>
      <c r="AI14" s="98">
        <f>AI8*Assumptions!$G27</f>
        <v>10.794154379480355</v>
      </c>
      <c r="AJ14" s="98">
        <f>AJ8*Assumptions!$G27</f>
        <v>10.27089744289483</v>
      </c>
      <c r="AK14" s="98">
        <f>AK8*Assumptions!$G27</f>
        <v>11.004564588916574</v>
      </c>
      <c r="AL14" s="98">
        <f>AL8*Assumptions!$G27</f>
        <v>11.123446380694906</v>
      </c>
      <c r="AM14" s="98">
        <f>AM8*Assumptions!$G27</f>
        <v>10.120228007553459</v>
      </c>
      <c r="AN14" s="98">
        <f>AN8*Assumptions!$G27</f>
        <v>11.092838852860208</v>
      </c>
    </row>
    <row r="15" spans="1:40" outlineLevel="1" x14ac:dyDescent="0.3">
      <c r="A15" s="99" t="s">
        <v>121</v>
      </c>
      <c r="E15" s="98">
        <f>IF(MOD(E$3,12)=4,MAX(D15*(1+Assumptions!$G$41),Assumptions!$G$40/den),'Monthly P&amp;L'!D15)</f>
        <v>0</v>
      </c>
      <c r="F15" s="98">
        <f>IF(MOD(F$3,12)=4,MAX(E15*(1+Assumptions!$G$41),Assumptions!$G$40/den),'Monthly P&amp;L'!E15)</f>
        <v>0</v>
      </c>
      <c r="G15" s="98">
        <f>IF(MOD(G$3,12)=4,MAX(F15*(1+Assumptions!$G$41),Assumptions!$G$40/den),'Monthly P&amp;L'!F15)</f>
        <v>0</v>
      </c>
      <c r="H15" s="98">
        <f>IF(MOD(H$3,12)=4,MAX(G15*(1+Assumptions!$G$41),Assumptions!$G$40/den),'Monthly P&amp;L'!G15)</f>
        <v>9.86</v>
      </c>
      <c r="I15" s="98">
        <f>IF(MOD(I$3,12)=4,MAX(H15*(1+Assumptions!$G$41),Assumptions!$G$40/den),'Monthly P&amp;L'!H15)</f>
        <v>9.86</v>
      </c>
      <c r="J15" s="98">
        <f>IF(MOD(J$3,12)=4,MAX(I15*(1+Assumptions!$G$41),Assumptions!$G$40/den),'Monthly P&amp;L'!I15)</f>
        <v>9.86</v>
      </c>
      <c r="K15" s="98">
        <f>IF(MOD(K$3,12)=4,MAX(J15*(1+Assumptions!$G$41),Assumptions!$G$40/den),'Monthly P&amp;L'!J15)</f>
        <v>9.86</v>
      </c>
      <c r="L15" s="98">
        <f>IF(MOD(L$3,12)=4,MAX(K15*(1+Assumptions!$G$41),Assumptions!$G$40/den),'Monthly P&amp;L'!K15)</f>
        <v>9.86</v>
      </c>
      <c r="M15" s="98">
        <f>IF(MOD(M$3,12)=4,MAX(L15*(1+Assumptions!$G$41),Assumptions!$G$40/den),'Monthly P&amp;L'!L15)</f>
        <v>9.86</v>
      </c>
      <c r="N15" s="98">
        <f>IF(MOD(N$3,12)=4,MAX(M15*(1+Assumptions!$G$41),Assumptions!$G$40/den),'Monthly P&amp;L'!M15)</f>
        <v>9.86</v>
      </c>
      <c r="O15" s="98">
        <f>IF(MOD(O$3,12)=4,MAX(N15*(1+Assumptions!$G$41),Assumptions!$G$40/den),'Monthly P&amp;L'!N15)</f>
        <v>9.86</v>
      </c>
      <c r="P15" s="98">
        <f>IF(MOD(P$3,12)=4,MAX(O15*(1+Assumptions!$G$41),Assumptions!$G$40/den),'Monthly P&amp;L'!O15)</f>
        <v>9.86</v>
      </c>
      <c r="Q15" s="98">
        <f>IF(MOD(Q$3,12)=4,MAX(P15*(1+Assumptions!$G$41),Assumptions!$G$40/den),'Monthly P&amp;L'!P15)</f>
        <v>9.86</v>
      </c>
      <c r="R15" s="98">
        <f>IF(MOD(R$3,12)=4,MAX(Q15*(1+Assumptions!$G$41),Assumptions!$G$40/den),'Monthly P&amp;L'!Q15)</f>
        <v>9.86</v>
      </c>
      <c r="S15" s="98">
        <f>IF(MOD(S$3,12)=4,MAX(R15*(1+Assumptions!$G$41),Assumptions!$G$40/den),'Monthly P&amp;L'!R15)</f>
        <v>9.86</v>
      </c>
      <c r="T15" s="98">
        <f>IF(MOD(T$3,12)=4,MAX(S15*(1+Assumptions!$G$41),Assumptions!$G$40/den),'Monthly P&amp;L'!S15)</f>
        <v>10.6488</v>
      </c>
      <c r="U15" s="98">
        <f>IF(MOD(U$3,12)=4,MAX(T15*(1+Assumptions!$G$41),Assumptions!$G$40/den),'Monthly P&amp;L'!T15)</f>
        <v>10.6488</v>
      </c>
      <c r="V15" s="98">
        <f>IF(MOD(V$3,12)=4,MAX(U15*(1+Assumptions!$G$41),Assumptions!$G$40/den),'Monthly P&amp;L'!U15)</f>
        <v>10.6488</v>
      </c>
      <c r="W15" s="98">
        <f>IF(MOD(W$3,12)=4,MAX(V15*(1+Assumptions!$G$41),Assumptions!$G$40/den),'Monthly P&amp;L'!V15)</f>
        <v>10.6488</v>
      </c>
      <c r="X15" s="98">
        <f>IF(MOD(X$3,12)=4,MAX(W15*(1+Assumptions!$G$41),Assumptions!$G$40/den),'Monthly P&amp;L'!W15)</f>
        <v>10.6488</v>
      </c>
      <c r="Y15" s="98">
        <f>IF(MOD(Y$3,12)=4,MAX(X15*(1+Assumptions!$G$41),Assumptions!$G$40/den),'Monthly P&amp;L'!X15)</f>
        <v>10.6488</v>
      </c>
      <c r="Z15" s="98">
        <f>IF(MOD(Z$3,12)=4,MAX(Y15*(1+Assumptions!$G$41),Assumptions!$G$40/den),'Monthly P&amp;L'!Y15)</f>
        <v>10.6488</v>
      </c>
      <c r="AA15" s="98">
        <f>IF(MOD(AA$3,12)=4,MAX(Z15*(1+Assumptions!$G$41),Assumptions!$G$40/den),'Monthly P&amp;L'!Z15)</f>
        <v>10.6488</v>
      </c>
      <c r="AB15" s="98">
        <f>IF(MOD(AB$3,12)=4,MAX(AA15*(1+Assumptions!$G$41),Assumptions!$G$40/den),'Monthly P&amp;L'!AA15)</f>
        <v>10.6488</v>
      </c>
      <c r="AC15" s="98">
        <f>IF(MOD(AC$3,12)=4,MAX(AB15*(1+Assumptions!$G$41),Assumptions!$G$40/den),'Monthly P&amp;L'!AB15)</f>
        <v>10.6488</v>
      </c>
      <c r="AD15" s="98">
        <f>IF(MOD(AD$3,12)=4,MAX(AC15*(1+Assumptions!$G$41),Assumptions!$G$40/den),'Monthly P&amp;L'!AC15)</f>
        <v>10.6488</v>
      </c>
      <c r="AE15" s="98">
        <f>IF(MOD(AE$3,12)=4,MAX(AD15*(1+Assumptions!$G$41),Assumptions!$G$40/den),'Monthly P&amp;L'!AD15)</f>
        <v>10.6488</v>
      </c>
      <c r="AF15" s="98">
        <f>IF(MOD(AF$3,12)=4,MAX(AE15*(1+Assumptions!$G$41),Assumptions!$G$40/den),'Monthly P&amp;L'!AE15)</f>
        <v>11.500704000000001</v>
      </c>
      <c r="AG15" s="98">
        <f>IF(MOD(AG$3,12)=4,MAX(AF15*(1+Assumptions!$G$41),Assumptions!$G$40/den),'Monthly P&amp;L'!AF15)</f>
        <v>11.500704000000001</v>
      </c>
      <c r="AH15" s="98">
        <f>IF(MOD(AH$3,12)=4,MAX(AG15*(1+Assumptions!$G$41),Assumptions!$G$40/den),'Monthly P&amp;L'!AG15)</f>
        <v>11.500704000000001</v>
      </c>
      <c r="AI15" s="98">
        <f>IF(MOD(AI$3,12)=4,MAX(AH15*(1+Assumptions!$G$41),Assumptions!$G$40/den),'Monthly P&amp;L'!AH15)</f>
        <v>11.500704000000001</v>
      </c>
      <c r="AJ15" s="98">
        <f>IF(MOD(AJ$3,12)=4,MAX(AI15*(1+Assumptions!$G$41),Assumptions!$G$40/den),'Monthly P&amp;L'!AI15)</f>
        <v>11.500704000000001</v>
      </c>
      <c r="AK15" s="98">
        <f>IF(MOD(AK$3,12)=4,MAX(AJ15*(1+Assumptions!$G$41),Assumptions!$G$40/den),'Monthly P&amp;L'!AJ15)</f>
        <v>11.500704000000001</v>
      </c>
      <c r="AL15" s="98">
        <f>IF(MOD(AL$3,12)=4,MAX(AK15*(1+Assumptions!$G$41),Assumptions!$G$40/den),'Monthly P&amp;L'!AK15)</f>
        <v>11.500704000000001</v>
      </c>
      <c r="AM15" s="98">
        <f>IF(MOD(AM$3,12)=4,MAX(AL15*(1+Assumptions!$G$41),Assumptions!$G$40/den),'Monthly P&amp;L'!AL15)</f>
        <v>11.500704000000001</v>
      </c>
      <c r="AN15" s="98">
        <f>IF(MOD(AN$3,12)=4,MAX(AM15*(1+Assumptions!$G$41),Assumptions!$G$40/den),'Monthly P&amp;L'!AM15)</f>
        <v>11.500704000000001</v>
      </c>
    </row>
    <row r="16" spans="1:40" s="88" customFormat="1" x14ac:dyDescent="0.3">
      <c r="A16" s="102" t="s">
        <v>124</v>
      </c>
      <c r="E16" s="100">
        <f>SUM(E12:E15)</f>
        <v>0</v>
      </c>
      <c r="F16" s="100">
        <f t="shared" ref="F16:AN16" si="3">SUM(F12:F15)</f>
        <v>0</v>
      </c>
      <c r="G16" s="100">
        <f t="shared" si="3"/>
        <v>0</v>
      </c>
      <c r="H16" s="100">
        <f t="shared" si="3"/>
        <v>17.860999999999997</v>
      </c>
      <c r="I16" s="100">
        <f t="shared" si="3"/>
        <v>18.292244</v>
      </c>
      <c r="J16" s="100">
        <f t="shared" si="3"/>
        <v>18.052267999999998</v>
      </c>
      <c r="K16" s="100">
        <f t="shared" si="3"/>
        <v>18.647736655999999</v>
      </c>
      <c r="L16" s="100">
        <f t="shared" si="3"/>
        <v>18.639483875744002</v>
      </c>
      <c r="M16" s="100">
        <f t="shared" si="3"/>
        <v>18.993237319114879</v>
      </c>
      <c r="N16" s="100">
        <f t="shared" si="3"/>
        <v>19.559211584823565</v>
      </c>
      <c r="O16" s="100">
        <f t="shared" si="3"/>
        <v>18.695401146042286</v>
      </c>
      <c r="P16" s="100">
        <f t="shared" si="3"/>
        <v>19.75830519187889</v>
      </c>
      <c r="Q16" s="100">
        <f t="shared" si="3"/>
        <v>19.751589623316331</v>
      </c>
      <c r="R16" s="100">
        <f t="shared" si="3"/>
        <v>20.726612960274387</v>
      </c>
      <c r="S16" s="100">
        <f t="shared" si="3"/>
        <v>20.307216888423874</v>
      </c>
      <c r="T16" s="100">
        <f t="shared" si="3"/>
        <v>22.482820550000724</v>
      </c>
      <c r="U16" s="100">
        <f t="shared" si="3"/>
        <v>22.820128957950541</v>
      </c>
      <c r="V16" s="100">
        <f t="shared" si="3"/>
        <v>22.563546201154523</v>
      </c>
      <c r="W16" s="100">
        <f t="shared" si="3"/>
        <v>23.82814885984434</v>
      </c>
      <c r="X16" s="100">
        <f t="shared" si="3"/>
        <v>23.244198692118381</v>
      </c>
      <c r="Y16" s="100">
        <f t="shared" si="3"/>
        <v>23.94213999180284</v>
      </c>
      <c r="Z16" s="100">
        <f t="shared" si="3"/>
        <v>25.035130533038867</v>
      </c>
      <c r="AA16" s="100">
        <f t="shared" si="3"/>
        <v>23.637817264684298</v>
      </c>
      <c r="AB16" s="100">
        <f t="shared" si="3"/>
        <v>25.102170406322518</v>
      </c>
      <c r="AC16" s="100">
        <f t="shared" si="3"/>
        <v>25.570277673369326</v>
      </c>
      <c r="AD16" s="100">
        <f t="shared" si="3"/>
        <v>26.388857547087554</v>
      </c>
      <c r="AE16" s="100">
        <f t="shared" si="3"/>
        <v>25.991989503843484</v>
      </c>
      <c r="AF16" s="100">
        <f t="shared" si="3"/>
        <v>29.545685012153079</v>
      </c>
      <c r="AG16" s="100">
        <f t="shared" si="3"/>
        <v>28.979751513736041</v>
      </c>
      <c r="AH16" s="100">
        <f t="shared" si="3"/>
        <v>29.057319401054251</v>
      </c>
      <c r="AI16" s="100">
        <f t="shared" si="3"/>
        <v>31.248421646167657</v>
      </c>
      <c r="AJ16" s="100">
        <f t="shared" si="3"/>
        <v>30.101641197601467</v>
      </c>
      <c r="AK16" s="100">
        <f t="shared" si="3"/>
        <v>31.511602705046585</v>
      </c>
      <c r="AL16" s="100">
        <f t="shared" si="3"/>
        <v>31.711634241647516</v>
      </c>
      <c r="AM16" s="100">
        <f t="shared" si="3"/>
        <v>29.857552212709514</v>
      </c>
      <c r="AN16" s="100">
        <f t="shared" si="3"/>
        <v>31.49407567850826</v>
      </c>
    </row>
    <row r="17" spans="1:40" x14ac:dyDescent="0.3">
      <c r="A17" s="81"/>
    </row>
    <row r="18" spans="1:40" outlineLevel="1" x14ac:dyDescent="0.3">
      <c r="A18" s="101" t="s">
        <v>122</v>
      </c>
    </row>
    <row r="19" spans="1:40" outlineLevel="1" x14ac:dyDescent="0.3">
      <c r="A19" s="99" t="s">
        <v>123</v>
      </c>
      <c r="E19" s="98">
        <f>IF(MOD(E$3,12)=4,MAX(D19*(1+Assumptions!$G$41),Assumptions!$G$50/den),'Monthly P&amp;L'!D19)</f>
        <v>0</v>
      </c>
      <c r="F19" s="98">
        <f>IF(MOD(F$3,12)=4,MAX(E19*(1+Assumptions!$G$41),Assumptions!$G$50/den),'Monthly P&amp;L'!E19)</f>
        <v>0</v>
      </c>
      <c r="G19" s="98">
        <f>IF(MOD(G$3,12)=4,MAX(F19*(1+Assumptions!$G$41),Assumptions!$G$50/den),'Monthly P&amp;L'!F19)</f>
        <v>0</v>
      </c>
      <c r="H19" s="98">
        <f>IF(MOD(H$3,12)=4,MAX(G19*(1+Assumptions!$G$41),Assumptions!$G$50/den),'Monthly P&amp;L'!G19)</f>
        <v>3.8</v>
      </c>
      <c r="I19" s="98">
        <f>IF(MOD(I$3,12)=4,MAX(H19*(1+Assumptions!$G$41),Assumptions!$G$50/den),'Monthly P&amp;L'!H19)</f>
        <v>3.8</v>
      </c>
      <c r="J19" s="98">
        <f>IF(MOD(J$3,12)=4,MAX(I19*(1+Assumptions!$G$41),Assumptions!$G$50/den),'Monthly P&amp;L'!I19)</f>
        <v>3.8</v>
      </c>
      <c r="K19" s="98">
        <f>IF(MOD(K$3,12)=4,MAX(J19*(1+Assumptions!$G$41),Assumptions!$G$50/den),'Monthly P&amp;L'!J19)</f>
        <v>3.8</v>
      </c>
      <c r="L19" s="98">
        <f>IF(MOD(L$3,12)=4,MAX(K19*(1+Assumptions!$G$41),Assumptions!$G$50/den),'Monthly P&amp;L'!K19)</f>
        <v>3.8</v>
      </c>
      <c r="M19" s="98">
        <f>IF(MOD(M$3,12)=4,MAX(L19*(1+Assumptions!$G$41),Assumptions!$G$50/den),'Monthly P&amp;L'!L19)</f>
        <v>3.8</v>
      </c>
      <c r="N19" s="98">
        <f>IF(MOD(N$3,12)=4,MAX(M19*(1+Assumptions!$G$41),Assumptions!$G$50/den),'Monthly P&amp;L'!M19)</f>
        <v>3.8</v>
      </c>
      <c r="O19" s="98">
        <f>IF(MOD(O$3,12)=4,MAX(N19*(1+Assumptions!$G$41),Assumptions!$G$50/den),'Monthly P&amp;L'!N19)</f>
        <v>3.8</v>
      </c>
      <c r="P19" s="98">
        <f>IF(MOD(P$3,12)=4,MAX(O19*(1+Assumptions!$G$41),Assumptions!$G$50/den),'Monthly P&amp;L'!O19)</f>
        <v>3.8</v>
      </c>
      <c r="Q19" s="98">
        <f>IF(MOD(Q$3,12)=4,MAX(P19*(1+Assumptions!$G$41),Assumptions!$G$50/den),'Monthly P&amp;L'!P19)</f>
        <v>3.8</v>
      </c>
      <c r="R19" s="98">
        <f>IF(MOD(R$3,12)=4,MAX(Q19*(1+Assumptions!$G$41),Assumptions!$G$50/den),'Monthly P&amp;L'!Q19)</f>
        <v>3.8</v>
      </c>
      <c r="S19" s="98">
        <f>IF(MOD(S$3,12)=4,MAX(R19*(1+Assumptions!$G$41),Assumptions!$G$50/den),'Monthly P&amp;L'!R19)</f>
        <v>3.8</v>
      </c>
      <c r="T19" s="98">
        <f>IF(MOD(T$3,12)=4,MAX(S19*(1+Assumptions!$G$41),Assumptions!$G$50/den),'Monthly P&amp;L'!S19)</f>
        <v>4.1040000000000001</v>
      </c>
      <c r="U19" s="98">
        <f>IF(MOD(U$3,12)=4,MAX(T19*(1+Assumptions!$G$41),Assumptions!$G$50/den),'Monthly P&amp;L'!T19)</f>
        <v>4.1040000000000001</v>
      </c>
      <c r="V19" s="98">
        <f>IF(MOD(V$3,12)=4,MAX(U19*(1+Assumptions!$G$41),Assumptions!$G$50/den),'Monthly P&amp;L'!U19)</f>
        <v>4.1040000000000001</v>
      </c>
      <c r="W19" s="98">
        <f>IF(MOD(W$3,12)=4,MAX(V19*(1+Assumptions!$G$41),Assumptions!$G$50/den),'Monthly P&amp;L'!V19)</f>
        <v>4.1040000000000001</v>
      </c>
      <c r="X19" s="98">
        <f>IF(MOD(X$3,12)=4,MAX(W19*(1+Assumptions!$G$41),Assumptions!$G$50/den),'Monthly P&amp;L'!W19)</f>
        <v>4.1040000000000001</v>
      </c>
      <c r="Y19" s="98">
        <f>IF(MOD(Y$3,12)=4,MAX(X19*(1+Assumptions!$G$41),Assumptions!$G$50/den),'Monthly P&amp;L'!X19)</f>
        <v>4.1040000000000001</v>
      </c>
      <c r="Z19" s="98">
        <f>IF(MOD(Z$3,12)=4,MAX(Y19*(1+Assumptions!$G$41),Assumptions!$G$50/den),'Monthly P&amp;L'!Y19)</f>
        <v>4.1040000000000001</v>
      </c>
      <c r="AA19" s="98">
        <f>IF(MOD(AA$3,12)=4,MAX(Z19*(1+Assumptions!$G$41),Assumptions!$G$50/den),'Monthly P&amp;L'!Z19)</f>
        <v>4.1040000000000001</v>
      </c>
      <c r="AB19" s="98">
        <f>IF(MOD(AB$3,12)=4,MAX(AA19*(1+Assumptions!$G$41),Assumptions!$G$50/den),'Monthly P&amp;L'!AA19)</f>
        <v>4.1040000000000001</v>
      </c>
      <c r="AC19" s="98">
        <f>IF(MOD(AC$3,12)=4,MAX(AB19*(1+Assumptions!$G$41),Assumptions!$G$50/den),'Monthly P&amp;L'!AB19)</f>
        <v>4.1040000000000001</v>
      </c>
      <c r="AD19" s="98">
        <f>IF(MOD(AD$3,12)=4,MAX(AC19*(1+Assumptions!$G$41),Assumptions!$G$50/den),'Monthly P&amp;L'!AC19)</f>
        <v>4.1040000000000001</v>
      </c>
      <c r="AE19" s="98">
        <f>IF(MOD(AE$3,12)=4,MAX(AD19*(1+Assumptions!$G$41),Assumptions!$G$50/den),'Monthly P&amp;L'!AD19)</f>
        <v>4.1040000000000001</v>
      </c>
      <c r="AF19" s="98">
        <f>IF(MOD(AF$3,12)=4,MAX(AE19*(1+Assumptions!$G$41),Assumptions!$G$50/den),'Monthly P&amp;L'!AE19)</f>
        <v>4.4323200000000007</v>
      </c>
      <c r="AG19" s="98">
        <f>IF(MOD(AG$3,12)=4,MAX(AF19*(1+Assumptions!$G$41),Assumptions!$G$50/den),'Monthly P&amp;L'!AF19)</f>
        <v>4.4323200000000007</v>
      </c>
      <c r="AH19" s="98">
        <f>IF(MOD(AH$3,12)=4,MAX(AG19*(1+Assumptions!$G$41),Assumptions!$G$50/den),'Monthly P&amp;L'!AG19)</f>
        <v>4.4323200000000007</v>
      </c>
      <c r="AI19" s="98">
        <f>IF(MOD(AI$3,12)=4,MAX(AH19*(1+Assumptions!$G$41),Assumptions!$G$50/den),'Monthly P&amp;L'!AH19)</f>
        <v>4.4323200000000007</v>
      </c>
      <c r="AJ19" s="98">
        <f>IF(MOD(AJ$3,12)=4,MAX(AI19*(1+Assumptions!$G$41),Assumptions!$G$50/den),'Monthly P&amp;L'!AI19)</f>
        <v>4.4323200000000007</v>
      </c>
      <c r="AK19" s="98">
        <f>IF(MOD(AK$3,12)=4,MAX(AJ19*(1+Assumptions!$G$41),Assumptions!$G$50/den),'Monthly P&amp;L'!AJ19)</f>
        <v>4.4323200000000007</v>
      </c>
      <c r="AL19" s="98">
        <f>IF(MOD(AL$3,12)=4,MAX(AK19*(1+Assumptions!$G$41),Assumptions!$G$50/den),'Monthly P&amp;L'!AK19)</f>
        <v>4.4323200000000007</v>
      </c>
      <c r="AM19" s="98">
        <f>IF(MOD(AM$3,12)=4,MAX(AL19*(1+Assumptions!$G$41),Assumptions!$G$50/den),'Monthly P&amp;L'!AL19)</f>
        <v>4.4323200000000007</v>
      </c>
      <c r="AN19" s="98">
        <f>IF(MOD(AN$3,12)=4,MAX(AM19*(1+Assumptions!$G$41),Assumptions!$G$50/den),'Monthly P&amp;L'!AM19)</f>
        <v>4.4323200000000007</v>
      </c>
    </row>
    <row r="20" spans="1:40" outlineLevel="1" x14ac:dyDescent="0.3">
      <c r="A20" t="str">
        <f>Assumptions!A52</f>
        <v>Royalty to brand (% of Revenue)</v>
      </c>
      <c r="E20" s="98">
        <f>E$9*Assumptions!$G52</f>
        <v>0</v>
      </c>
      <c r="F20" s="98">
        <f>F$9*Assumptions!$G52</f>
        <v>0</v>
      </c>
      <c r="G20" s="98">
        <f>G$9*Assumptions!$G52</f>
        <v>0</v>
      </c>
      <c r="H20" s="98">
        <f>H$9*Assumptions!$G52</f>
        <v>1.2282000000000002</v>
      </c>
      <c r="I20" s="98">
        <f>I$9*Assumptions!$G52</f>
        <v>1.2930760000000001</v>
      </c>
      <c r="J20" s="98">
        <f>J$9*Assumptions!$G52</f>
        <v>1.25725072</v>
      </c>
      <c r="K20" s="98">
        <f>K$9*Assumptions!$G52</f>
        <v>1.3480704864000002</v>
      </c>
      <c r="L20" s="98">
        <f>L$9*Assumptions!$G52</f>
        <v>1.3465260861120003</v>
      </c>
      <c r="M20" s="98">
        <f>M$9*Assumptions!$G52</f>
        <v>1.4016012282464001</v>
      </c>
      <c r="N20" s="98">
        <f>N$9*Assumptions!$G52</f>
        <v>1.4869003301616512</v>
      </c>
      <c r="O20" s="98">
        <f>O$9*Assumptions!$G52</f>
        <v>1.3551481222715527</v>
      </c>
      <c r="P20" s="98">
        <f>P$9*Assumptions!$G52</f>
        <v>1.5187410859213204</v>
      </c>
      <c r="Q20" s="98">
        <f>Q$9*Assumptions!$G52</f>
        <v>1.5174115287151495</v>
      </c>
      <c r="R20" s="98">
        <f>R$9*Assumptions!$G52</f>
        <v>1.6654436131207409</v>
      </c>
      <c r="S20" s="98">
        <f>S$9*Assumptions!$G52</f>
        <v>1.6024526072879721</v>
      </c>
      <c r="T20" s="98">
        <f>T$9*Assumptions!$G52</f>
        <v>1.8143761752198424</v>
      </c>
      <c r="U20" s="98">
        <f>U$9*Assumptions!$G52</f>
        <v>1.8659750102432893</v>
      </c>
      <c r="V20" s="98">
        <f>V$9*Assumptions!$G52</f>
        <v>1.8272143047668301</v>
      </c>
      <c r="W20" s="98">
        <f>W$9*Assumptions!$G52</f>
        <v>2.0192562920655099</v>
      </c>
      <c r="X20" s="98">
        <f>X$9*Assumptions!$G52</f>
        <v>1.9313582710797208</v>
      </c>
      <c r="Y20" s="98">
        <f>Y$9*Assumptions!$G52</f>
        <v>2.0385423504224365</v>
      </c>
      <c r="Z20" s="98">
        <f>Z$9*Assumptions!$G52</f>
        <v>2.203759619994849</v>
      </c>
      <c r="AA20" s="98">
        <f>AA$9*Assumptions!$G52</f>
        <v>1.9907258132707502</v>
      </c>
      <c r="AB20" s="98">
        <f>AB$9*Assumptions!$G52</f>
        <v>2.2160205208559312</v>
      </c>
      <c r="AC20" s="98">
        <f>AC$9*Assumptions!$G52</f>
        <v>2.286090382646043</v>
      </c>
      <c r="AD20" s="98">
        <f>AD$9*Assumptions!$G52</f>
        <v>2.4117183366721586</v>
      </c>
      <c r="AE20" s="98">
        <f>AE$9*Assumptions!$G52</f>
        <v>2.3516668479679161</v>
      </c>
      <c r="AF20" s="98">
        <f>AF$9*Assumptions!$G52</f>
        <v>2.7631461723287489</v>
      </c>
      <c r="AG20" s="98">
        <f>AG$9*Assumptions!$G52</f>
        <v>2.6790810889182755</v>
      </c>
      <c r="AH20" s="98">
        <f>AH$9*Assumptions!$G52</f>
        <v>2.6904085629931886</v>
      </c>
      <c r="AI20" s="98">
        <f>AI$9*Assumptions!$G52</f>
        <v>3.0232994823120629</v>
      </c>
      <c r="AJ20" s="98">
        <f>AJ$9*Assumptions!$G52</f>
        <v>2.8500791096472939</v>
      </c>
      <c r="AK20" s="98">
        <f>AK$9*Assumptions!$G52</f>
        <v>3.0651211940812564</v>
      </c>
      <c r="AL20" s="98">
        <f>AL$9*Assumptions!$G52</f>
        <v>3.0959615429628817</v>
      </c>
      <c r="AM20" s="98">
        <f>AM$9*Assumptions!$G52</f>
        <v>2.8123381352928543</v>
      </c>
      <c r="AN20" s="98">
        <f>AN$9*Assumptions!$G52</f>
        <v>3.0646531226985179</v>
      </c>
    </row>
    <row r="21" spans="1:40" outlineLevel="1" x14ac:dyDescent="0.3">
      <c r="A21" t="str">
        <f>Assumptions!A53</f>
        <v>Rent (as per contract) (% of Revenue)</v>
      </c>
      <c r="E21" s="98">
        <f>E$9*Assumptions!$G53</f>
        <v>0</v>
      </c>
      <c r="F21" s="98">
        <f>F$9*Assumptions!$G53</f>
        <v>0</v>
      </c>
      <c r="G21" s="98">
        <f>G$9*Assumptions!$G53</f>
        <v>0</v>
      </c>
      <c r="H21" s="98">
        <f>H$9*Assumptions!$G53</f>
        <v>2.4564000000000004</v>
      </c>
      <c r="I21" s="98">
        <f>I$9*Assumptions!$G53</f>
        <v>2.5861520000000002</v>
      </c>
      <c r="J21" s="98">
        <f>J$9*Assumptions!$G53</f>
        <v>2.5145014400000001</v>
      </c>
      <c r="K21" s="98">
        <f>K$9*Assumptions!$G53</f>
        <v>2.6961409728000003</v>
      </c>
      <c r="L21" s="98">
        <f>L$9*Assumptions!$G53</f>
        <v>2.6930521722240006</v>
      </c>
      <c r="M21" s="98">
        <f>M$9*Assumptions!$G53</f>
        <v>2.8032024564928002</v>
      </c>
      <c r="N21" s="98">
        <f>N$9*Assumptions!$G53</f>
        <v>2.9738006603233025</v>
      </c>
      <c r="O21" s="98">
        <f>O$9*Assumptions!$G53</f>
        <v>2.7102962445431054</v>
      </c>
      <c r="P21" s="98">
        <f>P$9*Assumptions!$G53</f>
        <v>3.0374821718426408</v>
      </c>
      <c r="Q21" s="98">
        <f>Q$9*Assumptions!$G53</f>
        <v>3.034823057430299</v>
      </c>
      <c r="R21" s="98">
        <f>R$9*Assumptions!$G53</f>
        <v>3.3308872262414817</v>
      </c>
      <c r="S21" s="98">
        <f>S$9*Assumptions!$G53</f>
        <v>3.2049052145759442</v>
      </c>
      <c r="T21" s="98">
        <f>T$9*Assumptions!$G53</f>
        <v>3.6287523504396848</v>
      </c>
      <c r="U21" s="98">
        <f>U$9*Assumptions!$G53</f>
        <v>3.7319500204865785</v>
      </c>
      <c r="V21" s="98">
        <f>V$9*Assumptions!$G53</f>
        <v>3.6544286095336602</v>
      </c>
      <c r="W21" s="98">
        <f>W$9*Assumptions!$G53</f>
        <v>4.0385125841310199</v>
      </c>
      <c r="X21" s="98">
        <f>X$9*Assumptions!$G53</f>
        <v>3.8627165421594416</v>
      </c>
      <c r="Y21" s="98">
        <f>Y$9*Assumptions!$G53</f>
        <v>4.077084700844873</v>
      </c>
      <c r="Z21" s="98">
        <f>Z$9*Assumptions!$G53</f>
        <v>4.4075192399896981</v>
      </c>
      <c r="AA21" s="98">
        <f>AA$9*Assumptions!$G53</f>
        <v>3.9814516265415003</v>
      </c>
      <c r="AB21" s="98">
        <f>AB$9*Assumptions!$G53</f>
        <v>4.4320410417118623</v>
      </c>
      <c r="AC21" s="98">
        <f>AC$9*Assumptions!$G53</f>
        <v>4.5721807652920861</v>
      </c>
      <c r="AD21" s="98">
        <f>AD$9*Assumptions!$G53</f>
        <v>4.8234366733443172</v>
      </c>
      <c r="AE21" s="98">
        <f>AE$9*Assumptions!$G53</f>
        <v>4.7033336959358323</v>
      </c>
      <c r="AF21" s="98">
        <f>AF$9*Assumptions!$G53</f>
        <v>5.5262923446574979</v>
      </c>
      <c r="AG21" s="98">
        <f>AG$9*Assumptions!$G53</f>
        <v>5.3581621778365509</v>
      </c>
      <c r="AH21" s="98">
        <f>AH$9*Assumptions!$G53</f>
        <v>5.3808171259863773</v>
      </c>
      <c r="AI21" s="98">
        <f>AI$9*Assumptions!$G53</f>
        <v>6.0465989646241258</v>
      </c>
      <c r="AJ21" s="98">
        <f>AJ$9*Assumptions!$G53</f>
        <v>5.7001582192945879</v>
      </c>
      <c r="AK21" s="98">
        <f>AK$9*Assumptions!$G53</f>
        <v>6.1302423881625128</v>
      </c>
      <c r="AL21" s="98">
        <f>AL$9*Assumptions!$G53</f>
        <v>6.1919230859257635</v>
      </c>
      <c r="AM21" s="98">
        <f>AM$9*Assumptions!$G53</f>
        <v>5.6246762705857085</v>
      </c>
      <c r="AN21" s="98">
        <f>AN$9*Assumptions!$G53</f>
        <v>6.1293062453970357</v>
      </c>
    </row>
    <row r="22" spans="1:40" outlineLevel="1" x14ac:dyDescent="0.3">
      <c r="A22" t="str">
        <f>Assumptions!A54</f>
        <v>Water Cost (per month)</v>
      </c>
      <c r="E22" s="98">
        <f>IF(MOD(E$3,12)=4,MAX(D22*(1+Assumptions!$G$41),Assumptions!$G54/den),'Monthly P&amp;L'!D22)</f>
        <v>0</v>
      </c>
      <c r="F22" s="98">
        <f>IF(MOD(F$3,12)=4,MAX(E22*(1+Assumptions!$G$41),Assumptions!$G54/den),'Monthly P&amp;L'!E22)</f>
        <v>0</v>
      </c>
      <c r="G22" s="98">
        <f>IF(MOD(G$3,12)=4,MAX(F22*(1+Assumptions!$G$41),Assumptions!$G54/den),'Monthly P&amp;L'!F22)</f>
        <v>0</v>
      </c>
      <c r="H22" s="98">
        <f>IF(MOD(H$3,12)=4,MAX(G22*(1+Assumptions!$G$41),Assumptions!$G54/den),'Monthly P&amp;L'!G22)</f>
        <v>0.1</v>
      </c>
      <c r="I22" s="98">
        <f>IF(MOD(I$3,12)=4,MAX(H22*(1+Assumptions!$G$41),Assumptions!$G54/den),'Monthly P&amp;L'!H22)</f>
        <v>0.1</v>
      </c>
      <c r="J22" s="98">
        <f>IF(MOD(J$3,12)=4,MAX(I22*(1+Assumptions!$G$41),Assumptions!$G54/den),'Monthly P&amp;L'!I22)</f>
        <v>0.1</v>
      </c>
      <c r="K22" s="98">
        <f>IF(MOD(K$3,12)=4,MAX(J22*(1+Assumptions!$G$41),Assumptions!$G54/den),'Monthly P&amp;L'!J22)</f>
        <v>0.1</v>
      </c>
      <c r="L22" s="98">
        <f>IF(MOD(L$3,12)=4,MAX(K22*(1+Assumptions!$G$41),Assumptions!$G54/den),'Monthly P&amp;L'!K22)</f>
        <v>0.1</v>
      </c>
      <c r="M22" s="98">
        <f>IF(MOD(M$3,12)=4,MAX(L22*(1+Assumptions!$G$41),Assumptions!$G54/den),'Monthly P&amp;L'!L22)</f>
        <v>0.1</v>
      </c>
      <c r="N22" s="98">
        <f>IF(MOD(N$3,12)=4,MAX(M22*(1+Assumptions!$G$41),Assumptions!$G54/den),'Monthly P&amp;L'!M22)</f>
        <v>0.1</v>
      </c>
      <c r="O22" s="98">
        <f>IF(MOD(O$3,12)=4,MAX(N22*(1+Assumptions!$G$41),Assumptions!$G54/den),'Monthly P&amp;L'!N22)</f>
        <v>0.1</v>
      </c>
      <c r="P22" s="98">
        <f>IF(MOD(P$3,12)=4,MAX(O22*(1+Assumptions!$G$41),Assumptions!$G54/den),'Monthly P&amp;L'!O22)</f>
        <v>0.1</v>
      </c>
      <c r="Q22" s="98">
        <f>IF(MOD(Q$3,12)=4,MAX(P22*(1+Assumptions!$G$41),Assumptions!$G54/den),'Monthly P&amp;L'!P22)</f>
        <v>0.1</v>
      </c>
      <c r="R22" s="98">
        <f>IF(MOD(R$3,12)=4,MAX(Q22*(1+Assumptions!$G$41),Assumptions!$G54/den),'Monthly P&amp;L'!Q22)</f>
        <v>0.1</v>
      </c>
      <c r="S22" s="98">
        <f>IF(MOD(S$3,12)=4,MAX(R22*(1+Assumptions!$G$41),Assumptions!$G54/den),'Monthly P&amp;L'!R22)</f>
        <v>0.1</v>
      </c>
      <c r="T22" s="98">
        <f>IF(MOD(T$3,12)=4,MAX(S22*(1+Assumptions!$G$41),Assumptions!$G54/den),'Monthly P&amp;L'!S22)</f>
        <v>0.10800000000000001</v>
      </c>
      <c r="U22" s="98">
        <f>IF(MOD(U$3,12)=4,MAX(T22*(1+Assumptions!$G$41),Assumptions!$G54/den),'Monthly P&amp;L'!T22)</f>
        <v>0.10800000000000001</v>
      </c>
      <c r="V22" s="98">
        <f>IF(MOD(V$3,12)=4,MAX(U22*(1+Assumptions!$G$41),Assumptions!$G54/den),'Monthly P&amp;L'!U22)</f>
        <v>0.10800000000000001</v>
      </c>
      <c r="W22" s="98">
        <f>IF(MOD(W$3,12)=4,MAX(V22*(1+Assumptions!$G$41),Assumptions!$G54/den),'Monthly P&amp;L'!V22)</f>
        <v>0.10800000000000001</v>
      </c>
      <c r="X22" s="98">
        <f>IF(MOD(X$3,12)=4,MAX(W22*(1+Assumptions!$G$41),Assumptions!$G54/den),'Monthly P&amp;L'!W22)</f>
        <v>0.10800000000000001</v>
      </c>
      <c r="Y22" s="98">
        <f>IF(MOD(Y$3,12)=4,MAX(X22*(1+Assumptions!$G$41),Assumptions!$G54/den),'Monthly P&amp;L'!X22)</f>
        <v>0.10800000000000001</v>
      </c>
      <c r="Z22" s="98">
        <f>IF(MOD(Z$3,12)=4,MAX(Y22*(1+Assumptions!$G$41),Assumptions!$G54/den),'Monthly P&amp;L'!Y22)</f>
        <v>0.10800000000000001</v>
      </c>
      <c r="AA22" s="98">
        <f>IF(MOD(AA$3,12)=4,MAX(Z22*(1+Assumptions!$G$41),Assumptions!$G54/den),'Monthly P&amp;L'!Z22)</f>
        <v>0.10800000000000001</v>
      </c>
      <c r="AB22" s="98">
        <f>IF(MOD(AB$3,12)=4,MAX(AA22*(1+Assumptions!$G$41),Assumptions!$G54/den),'Monthly P&amp;L'!AA22)</f>
        <v>0.10800000000000001</v>
      </c>
      <c r="AC22" s="98">
        <f>IF(MOD(AC$3,12)=4,MAX(AB22*(1+Assumptions!$G$41),Assumptions!$G54/den),'Monthly P&amp;L'!AB22)</f>
        <v>0.10800000000000001</v>
      </c>
      <c r="AD22" s="98">
        <f>IF(MOD(AD$3,12)=4,MAX(AC22*(1+Assumptions!$G$41),Assumptions!$G54/den),'Monthly P&amp;L'!AC22)</f>
        <v>0.10800000000000001</v>
      </c>
      <c r="AE22" s="98">
        <f>IF(MOD(AE$3,12)=4,MAX(AD22*(1+Assumptions!$G$41),Assumptions!$G54/den),'Monthly P&amp;L'!AD22)</f>
        <v>0.10800000000000001</v>
      </c>
      <c r="AF22" s="98">
        <f>IF(MOD(AF$3,12)=4,MAX(AE22*(1+Assumptions!$G$41),Assumptions!$G54/den),'Monthly P&amp;L'!AE22)</f>
        <v>0.11664000000000002</v>
      </c>
      <c r="AG22" s="98">
        <f>IF(MOD(AG$3,12)=4,MAX(AF22*(1+Assumptions!$G$41),Assumptions!$G54/den),'Monthly P&amp;L'!AF22)</f>
        <v>0.11664000000000002</v>
      </c>
      <c r="AH22" s="98">
        <f>IF(MOD(AH$3,12)=4,MAX(AG22*(1+Assumptions!$G$41),Assumptions!$G54/den),'Monthly P&amp;L'!AG22)</f>
        <v>0.11664000000000002</v>
      </c>
      <c r="AI22" s="98">
        <f>IF(MOD(AI$3,12)=4,MAX(AH22*(1+Assumptions!$G$41),Assumptions!$G54/den),'Monthly P&amp;L'!AH22)</f>
        <v>0.11664000000000002</v>
      </c>
      <c r="AJ22" s="98">
        <f>IF(MOD(AJ$3,12)=4,MAX(AI22*(1+Assumptions!$G$41),Assumptions!$G54/den),'Monthly P&amp;L'!AI22)</f>
        <v>0.11664000000000002</v>
      </c>
      <c r="AK22" s="98">
        <f>IF(MOD(AK$3,12)=4,MAX(AJ22*(1+Assumptions!$G$41),Assumptions!$G54/den),'Monthly P&amp;L'!AJ22)</f>
        <v>0.11664000000000002</v>
      </c>
      <c r="AL22" s="98">
        <f>IF(MOD(AL$3,12)=4,MAX(AK22*(1+Assumptions!$G$41),Assumptions!$G54/den),'Monthly P&amp;L'!AK22)</f>
        <v>0.11664000000000002</v>
      </c>
      <c r="AM22" s="98">
        <f>IF(MOD(AM$3,12)=4,MAX(AL22*(1+Assumptions!$G$41),Assumptions!$G54/den),'Monthly P&amp;L'!AL22)</f>
        <v>0.11664000000000002</v>
      </c>
      <c r="AN22" s="98">
        <f>IF(MOD(AN$3,12)=4,MAX(AM22*(1+Assumptions!$G$41),Assumptions!$G54/den),'Monthly P&amp;L'!AM22)</f>
        <v>0.11664000000000002</v>
      </c>
    </row>
    <row r="23" spans="1:40" outlineLevel="1" x14ac:dyDescent="0.3">
      <c r="A23" t="str">
        <f>Assumptions!A55</f>
        <v>Maintenance (per month)</v>
      </c>
      <c r="E23" s="98">
        <f>IF(MOD(E$3,12)=4,MAX(D23*(1+Assumptions!$G$41),Assumptions!$G55/den),'Monthly P&amp;L'!D23)</f>
        <v>0</v>
      </c>
      <c r="F23" s="98">
        <f>IF(MOD(F$3,12)=4,MAX(E23*(1+Assumptions!$G$41),Assumptions!$G55/den),'Monthly P&amp;L'!E23)</f>
        <v>0</v>
      </c>
      <c r="G23" s="98">
        <f>IF(MOD(G$3,12)=4,MAX(F23*(1+Assumptions!$G$41),Assumptions!$G55/den),'Monthly P&amp;L'!F23)</f>
        <v>0</v>
      </c>
      <c r="H23" s="98">
        <f>IF(MOD(H$3,12)=4,MAX(G23*(1+Assumptions!$G$41),Assumptions!$G55/den),'Monthly P&amp;L'!G23)</f>
        <v>0.5</v>
      </c>
      <c r="I23" s="98">
        <f>IF(MOD(I$3,12)=4,MAX(H23*(1+Assumptions!$G$41),Assumptions!$G55/den),'Monthly P&amp;L'!H23)</f>
        <v>0.5</v>
      </c>
      <c r="J23" s="98">
        <f>IF(MOD(J$3,12)=4,MAX(I23*(1+Assumptions!$G$41),Assumptions!$G55/den),'Monthly P&amp;L'!I23)</f>
        <v>0.5</v>
      </c>
      <c r="K23" s="98">
        <f>IF(MOD(K$3,12)=4,MAX(J23*(1+Assumptions!$G$41),Assumptions!$G55/den),'Monthly P&amp;L'!J23)</f>
        <v>0.5</v>
      </c>
      <c r="L23" s="98">
        <f>IF(MOD(L$3,12)=4,MAX(K23*(1+Assumptions!$G$41),Assumptions!$G55/den),'Monthly P&amp;L'!K23)</f>
        <v>0.5</v>
      </c>
      <c r="M23" s="98">
        <f>IF(MOD(M$3,12)=4,MAX(L23*(1+Assumptions!$G$41),Assumptions!$G55/den),'Monthly P&amp;L'!L23)</f>
        <v>0.5</v>
      </c>
      <c r="N23" s="98">
        <f>IF(MOD(N$3,12)=4,MAX(M23*(1+Assumptions!$G$41),Assumptions!$G55/den),'Monthly P&amp;L'!M23)</f>
        <v>0.5</v>
      </c>
      <c r="O23" s="98">
        <f>IF(MOD(O$3,12)=4,MAX(N23*(1+Assumptions!$G$41),Assumptions!$G55/den),'Monthly P&amp;L'!N23)</f>
        <v>0.5</v>
      </c>
      <c r="P23" s="98">
        <f>IF(MOD(P$3,12)=4,MAX(O23*(1+Assumptions!$G$41),Assumptions!$G55/den),'Monthly P&amp;L'!O23)</f>
        <v>0.5</v>
      </c>
      <c r="Q23" s="98">
        <f>IF(MOD(Q$3,12)=4,MAX(P23*(1+Assumptions!$G$41),Assumptions!$G55/den),'Monthly P&amp;L'!P23)</f>
        <v>0.5</v>
      </c>
      <c r="R23" s="98">
        <f>IF(MOD(R$3,12)=4,MAX(Q23*(1+Assumptions!$G$41),Assumptions!$G55/den),'Monthly P&amp;L'!Q23)</f>
        <v>0.5</v>
      </c>
      <c r="S23" s="98">
        <f>IF(MOD(S$3,12)=4,MAX(R23*(1+Assumptions!$G$41),Assumptions!$G55/den),'Monthly P&amp;L'!R23)</f>
        <v>0.5</v>
      </c>
      <c r="T23" s="98">
        <f>IF(MOD(T$3,12)=4,MAX(S23*(1+Assumptions!$G$41),Assumptions!$G55/den),'Monthly P&amp;L'!S23)</f>
        <v>0.54</v>
      </c>
      <c r="U23" s="98">
        <f>IF(MOD(U$3,12)=4,MAX(T23*(1+Assumptions!$G$41),Assumptions!$G55/den),'Monthly P&amp;L'!T23)</f>
        <v>0.54</v>
      </c>
      <c r="V23" s="98">
        <f>IF(MOD(V$3,12)=4,MAX(U23*(1+Assumptions!$G$41),Assumptions!$G55/den),'Monthly P&amp;L'!U23)</f>
        <v>0.54</v>
      </c>
      <c r="W23" s="98">
        <f>IF(MOD(W$3,12)=4,MAX(V23*(1+Assumptions!$G$41),Assumptions!$G55/den),'Monthly P&amp;L'!V23)</f>
        <v>0.54</v>
      </c>
      <c r="X23" s="98">
        <f>IF(MOD(X$3,12)=4,MAX(W23*(1+Assumptions!$G$41),Assumptions!$G55/den),'Monthly P&amp;L'!W23)</f>
        <v>0.54</v>
      </c>
      <c r="Y23" s="98">
        <f>IF(MOD(Y$3,12)=4,MAX(X23*(1+Assumptions!$G$41),Assumptions!$G55/den),'Monthly P&amp;L'!X23)</f>
        <v>0.54</v>
      </c>
      <c r="Z23" s="98">
        <f>IF(MOD(Z$3,12)=4,MAX(Y23*(1+Assumptions!$G$41),Assumptions!$G55/den),'Monthly P&amp;L'!Y23)</f>
        <v>0.54</v>
      </c>
      <c r="AA23" s="98">
        <f>IF(MOD(AA$3,12)=4,MAX(Z23*(1+Assumptions!$G$41),Assumptions!$G55/den),'Monthly P&amp;L'!Z23)</f>
        <v>0.54</v>
      </c>
      <c r="AB23" s="98">
        <f>IF(MOD(AB$3,12)=4,MAX(AA23*(1+Assumptions!$G$41),Assumptions!$G55/den),'Monthly P&amp;L'!AA23)</f>
        <v>0.54</v>
      </c>
      <c r="AC23" s="98">
        <f>IF(MOD(AC$3,12)=4,MAX(AB23*(1+Assumptions!$G$41),Assumptions!$G55/den),'Monthly P&amp;L'!AB23)</f>
        <v>0.54</v>
      </c>
      <c r="AD23" s="98">
        <f>IF(MOD(AD$3,12)=4,MAX(AC23*(1+Assumptions!$G$41),Assumptions!$G55/den),'Monthly P&amp;L'!AC23)</f>
        <v>0.54</v>
      </c>
      <c r="AE23" s="98">
        <f>IF(MOD(AE$3,12)=4,MAX(AD23*(1+Assumptions!$G$41),Assumptions!$G55/den),'Monthly P&amp;L'!AD23)</f>
        <v>0.54</v>
      </c>
      <c r="AF23" s="98">
        <f>IF(MOD(AF$3,12)=4,MAX(AE23*(1+Assumptions!$G$41),Assumptions!$G55/den),'Monthly P&amp;L'!AE23)</f>
        <v>0.58320000000000005</v>
      </c>
      <c r="AG23" s="98">
        <f>IF(MOD(AG$3,12)=4,MAX(AF23*(1+Assumptions!$G$41),Assumptions!$G55/den),'Monthly P&amp;L'!AF23)</f>
        <v>0.58320000000000005</v>
      </c>
      <c r="AH23" s="98">
        <f>IF(MOD(AH$3,12)=4,MAX(AG23*(1+Assumptions!$G$41),Assumptions!$G55/den),'Monthly P&amp;L'!AG23)</f>
        <v>0.58320000000000005</v>
      </c>
      <c r="AI23" s="98">
        <f>IF(MOD(AI$3,12)=4,MAX(AH23*(1+Assumptions!$G$41),Assumptions!$G55/den),'Monthly P&amp;L'!AH23)</f>
        <v>0.58320000000000005</v>
      </c>
      <c r="AJ23" s="98">
        <f>IF(MOD(AJ$3,12)=4,MAX(AI23*(1+Assumptions!$G$41),Assumptions!$G55/den),'Monthly P&amp;L'!AI23)</f>
        <v>0.58320000000000005</v>
      </c>
      <c r="AK23" s="98">
        <f>IF(MOD(AK$3,12)=4,MAX(AJ23*(1+Assumptions!$G$41),Assumptions!$G55/den),'Monthly P&amp;L'!AJ23)</f>
        <v>0.58320000000000005</v>
      </c>
      <c r="AL23" s="98">
        <f>IF(MOD(AL$3,12)=4,MAX(AK23*(1+Assumptions!$G$41),Assumptions!$G55/den),'Monthly P&amp;L'!AK23)</f>
        <v>0.58320000000000005</v>
      </c>
      <c r="AM23" s="98">
        <f>IF(MOD(AM$3,12)=4,MAX(AL23*(1+Assumptions!$G$41),Assumptions!$G55/den),'Monthly P&amp;L'!AL23)</f>
        <v>0.58320000000000005</v>
      </c>
      <c r="AN23" s="98">
        <f>IF(MOD(AN$3,12)=4,MAX(AM23*(1+Assumptions!$G$41),Assumptions!$G55/den),'Monthly P&amp;L'!AM23)</f>
        <v>0.58320000000000005</v>
      </c>
    </row>
    <row r="24" spans="1:40" outlineLevel="1" x14ac:dyDescent="0.3">
      <c r="A24" t="str">
        <f>Assumptions!A56</f>
        <v>Marketing cost (per month)</v>
      </c>
      <c r="E24" s="98">
        <f>IF(MOD(E$3,12)=4,MAX(D24*(1+Assumptions!$G$41),Assumptions!$G56/den),'Monthly P&amp;L'!D24)</f>
        <v>0</v>
      </c>
      <c r="F24" s="98">
        <f>IF(MOD(F$3,12)=4,MAX(E24*(1+Assumptions!$G$41),Assumptions!$G56/den),'Monthly P&amp;L'!E24)</f>
        <v>0</v>
      </c>
      <c r="G24" s="98">
        <f>IF(MOD(G$3,12)=4,MAX(F24*(1+Assumptions!$G$41),Assumptions!$G56/den),'Monthly P&amp;L'!F24)</f>
        <v>0</v>
      </c>
      <c r="H24" s="98">
        <f>IF(MOD(H$3,12)=4,MAX(G24*(1+Assumptions!$G$41),Assumptions!$G56/den),'Monthly P&amp;L'!G24)</f>
        <v>0.25</v>
      </c>
      <c r="I24" s="98">
        <f>IF(MOD(I$3,12)=4,MAX(H24*(1+Assumptions!$G$41),Assumptions!$G56/den),'Monthly P&amp;L'!H24)</f>
        <v>0.25</v>
      </c>
      <c r="J24" s="98">
        <f>IF(MOD(J$3,12)=4,MAX(I24*(1+Assumptions!$G$41),Assumptions!$G56/den),'Monthly P&amp;L'!I24)</f>
        <v>0.25</v>
      </c>
      <c r="K24" s="98">
        <f>IF(MOD(K$3,12)=4,MAX(J24*(1+Assumptions!$G$41),Assumptions!$G56/den),'Monthly P&amp;L'!J24)</f>
        <v>0.25</v>
      </c>
      <c r="L24" s="98">
        <f>IF(MOD(L$3,12)=4,MAX(K24*(1+Assumptions!$G$41),Assumptions!$G56/den),'Monthly P&amp;L'!K24)</f>
        <v>0.25</v>
      </c>
      <c r="M24" s="98">
        <f>IF(MOD(M$3,12)=4,MAX(L24*(1+Assumptions!$G$41),Assumptions!$G56/den),'Monthly P&amp;L'!L24)</f>
        <v>0.25</v>
      </c>
      <c r="N24" s="98">
        <f>IF(MOD(N$3,12)=4,MAX(M24*(1+Assumptions!$G$41),Assumptions!$G56/den),'Monthly P&amp;L'!M24)</f>
        <v>0.25</v>
      </c>
      <c r="O24" s="98">
        <f>IF(MOD(O$3,12)=4,MAX(N24*(1+Assumptions!$G$41),Assumptions!$G56/den),'Monthly P&amp;L'!N24)</f>
        <v>0.25</v>
      </c>
      <c r="P24" s="98">
        <f>IF(MOD(P$3,12)=4,MAX(O24*(1+Assumptions!$G$41),Assumptions!$G56/den),'Monthly P&amp;L'!O24)</f>
        <v>0.25</v>
      </c>
      <c r="Q24" s="98">
        <f>IF(MOD(Q$3,12)=4,MAX(P24*(1+Assumptions!$G$41),Assumptions!$G56/den),'Monthly P&amp;L'!P24)</f>
        <v>0.25</v>
      </c>
      <c r="R24" s="98">
        <f>IF(MOD(R$3,12)=4,MAX(Q24*(1+Assumptions!$G$41),Assumptions!$G56/den),'Monthly P&amp;L'!Q24)</f>
        <v>0.25</v>
      </c>
      <c r="S24" s="98">
        <f>IF(MOD(S$3,12)=4,MAX(R24*(1+Assumptions!$G$41),Assumptions!$G56/den),'Monthly P&amp;L'!R24)</f>
        <v>0.25</v>
      </c>
      <c r="T24" s="98">
        <f>IF(MOD(T$3,12)=4,MAX(S24*(1+Assumptions!$G$41),Assumptions!$G56/den),'Monthly P&amp;L'!S24)</f>
        <v>0.27</v>
      </c>
      <c r="U24" s="98">
        <f>IF(MOD(U$3,12)=4,MAX(T24*(1+Assumptions!$G$41),Assumptions!$G56/den),'Monthly P&amp;L'!T24)</f>
        <v>0.27</v>
      </c>
      <c r="V24" s="98">
        <f>IF(MOD(V$3,12)=4,MAX(U24*(1+Assumptions!$G$41),Assumptions!$G56/den),'Monthly P&amp;L'!U24)</f>
        <v>0.27</v>
      </c>
      <c r="W24" s="98">
        <f>IF(MOD(W$3,12)=4,MAX(V24*(1+Assumptions!$G$41),Assumptions!$G56/den),'Monthly P&amp;L'!V24)</f>
        <v>0.27</v>
      </c>
      <c r="X24" s="98">
        <f>IF(MOD(X$3,12)=4,MAX(W24*(1+Assumptions!$G$41),Assumptions!$G56/den),'Monthly P&amp;L'!W24)</f>
        <v>0.27</v>
      </c>
      <c r="Y24" s="98">
        <f>IF(MOD(Y$3,12)=4,MAX(X24*(1+Assumptions!$G$41),Assumptions!$G56/den),'Monthly P&amp;L'!X24)</f>
        <v>0.27</v>
      </c>
      <c r="Z24" s="98">
        <f>IF(MOD(Z$3,12)=4,MAX(Y24*(1+Assumptions!$G$41),Assumptions!$G56/den),'Monthly P&amp;L'!Y24)</f>
        <v>0.27</v>
      </c>
      <c r="AA24" s="98">
        <f>IF(MOD(AA$3,12)=4,MAX(Z24*(1+Assumptions!$G$41),Assumptions!$G56/den),'Monthly P&amp;L'!Z24)</f>
        <v>0.27</v>
      </c>
      <c r="AB24" s="98">
        <f>IF(MOD(AB$3,12)=4,MAX(AA24*(1+Assumptions!$G$41),Assumptions!$G56/den),'Monthly P&amp;L'!AA24)</f>
        <v>0.27</v>
      </c>
      <c r="AC24" s="98">
        <f>IF(MOD(AC$3,12)=4,MAX(AB24*(1+Assumptions!$G$41),Assumptions!$G56/den),'Monthly P&amp;L'!AB24)</f>
        <v>0.27</v>
      </c>
      <c r="AD24" s="98">
        <f>IF(MOD(AD$3,12)=4,MAX(AC24*(1+Assumptions!$G$41),Assumptions!$G56/den),'Monthly P&amp;L'!AC24)</f>
        <v>0.27</v>
      </c>
      <c r="AE24" s="98">
        <f>IF(MOD(AE$3,12)=4,MAX(AD24*(1+Assumptions!$G$41),Assumptions!$G56/den),'Monthly P&amp;L'!AD24)</f>
        <v>0.27</v>
      </c>
      <c r="AF24" s="98">
        <f>IF(MOD(AF$3,12)=4,MAX(AE24*(1+Assumptions!$G$41),Assumptions!$G56/den),'Monthly P&amp;L'!AE24)</f>
        <v>0.29160000000000003</v>
      </c>
      <c r="AG24" s="98">
        <f>IF(MOD(AG$3,12)=4,MAX(AF24*(1+Assumptions!$G$41),Assumptions!$G56/den),'Monthly P&amp;L'!AF24)</f>
        <v>0.29160000000000003</v>
      </c>
      <c r="AH24" s="98">
        <f>IF(MOD(AH$3,12)=4,MAX(AG24*(1+Assumptions!$G$41),Assumptions!$G56/den),'Monthly P&amp;L'!AG24)</f>
        <v>0.29160000000000003</v>
      </c>
      <c r="AI24" s="98">
        <f>IF(MOD(AI$3,12)=4,MAX(AH24*(1+Assumptions!$G$41),Assumptions!$G56/den),'Monthly P&amp;L'!AH24)</f>
        <v>0.29160000000000003</v>
      </c>
      <c r="AJ24" s="98">
        <f>IF(MOD(AJ$3,12)=4,MAX(AI24*(1+Assumptions!$G$41),Assumptions!$G56/den),'Monthly P&amp;L'!AI24)</f>
        <v>0.29160000000000003</v>
      </c>
      <c r="AK24" s="98">
        <f>IF(MOD(AK$3,12)=4,MAX(AJ24*(1+Assumptions!$G$41),Assumptions!$G56/den),'Monthly P&amp;L'!AJ24)</f>
        <v>0.29160000000000003</v>
      </c>
      <c r="AL24" s="98">
        <f>IF(MOD(AL$3,12)=4,MAX(AK24*(1+Assumptions!$G$41),Assumptions!$G56/den),'Monthly P&amp;L'!AK24)</f>
        <v>0.29160000000000003</v>
      </c>
      <c r="AM24" s="98">
        <f>IF(MOD(AM$3,12)=4,MAX(AL24*(1+Assumptions!$G$41),Assumptions!$G56/den),'Monthly P&amp;L'!AL24)</f>
        <v>0.29160000000000003</v>
      </c>
      <c r="AN24" s="98">
        <f>IF(MOD(AN$3,12)=4,MAX(AM24*(1+Assumptions!$G$41),Assumptions!$G56/den),'Monthly P&amp;L'!AM24)</f>
        <v>0.29160000000000003</v>
      </c>
    </row>
    <row r="25" spans="1:40" outlineLevel="1" x14ac:dyDescent="0.3">
      <c r="A25" t="str">
        <f>Assumptions!A57</f>
        <v>Electricity (Based on area Rs/sq. Ft.)</v>
      </c>
      <c r="E25" s="83">
        <f>IF(MOD(E$3,12)=4,MAX(D25*(1+Assumptions!$G$41),Assumptions!$G$57*Assumptions!$G$67/den),'Monthly P&amp;L'!D25)</f>
        <v>0</v>
      </c>
      <c r="F25" s="83">
        <f>IF(MOD(F$3,12)=4,MAX(E25*(1+Assumptions!$G$41),Assumptions!$G$57*Assumptions!$G$67/den),'Monthly P&amp;L'!E25)</f>
        <v>0</v>
      </c>
      <c r="G25" s="83">
        <f>IF(MOD(G$3,12)=4,MAX(F25*(1+Assumptions!$G$41),Assumptions!$G$57*Assumptions!$G$67/den),'Monthly P&amp;L'!F25)</f>
        <v>0</v>
      </c>
      <c r="H25" s="83">
        <f>IF(MOD(H$3,12)=4,MAX(G25*(1+Assumptions!$G$41),Assumptions!$G$57*Assumptions!$G$67/den),'Monthly P&amp;L'!G25)</f>
        <v>0.26600000000000001</v>
      </c>
      <c r="I25" s="83">
        <f>IF(MOD(I$3,12)=4,MAX(H25*(1+Assumptions!$G$41),Assumptions!$G$57*Assumptions!$G$67/den),'Monthly P&amp;L'!H25)</f>
        <v>0.26600000000000001</v>
      </c>
      <c r="J25" s="83">
        <f>IF(MOD(J$3,12)=4,MAX(I25*(1+Assumptions!$G$41),Assumptions!$G$57*Assumptions!$G$67/den),'Monthly P&amp;L'!I25)</f>
        <v>0.26600000000000001</v>
      </c>
      <c r="K25" s="83">
        <f>IF(MOD(K$3,12)=4,MAX(J25*(1+Assumptions!$G$41),Assumptions!$G$57*Assumptions!$G$67/den),'Monthly P&amp;L'!J25)</f>
        <v>0.26600000000000001</v>
      </c>
      <c r="L25" s="83">
        <f>IF(MOD(L$3,12)=4,MAX(K25*(1+Assumptions!$G$41),Assumptions!$G$57*Assumptions!$G$67/den),'Monthly P&amp;L'!K25)</f>
        <v>0.26600000000000001</v>
      </c>
      <c r="M25" s="83">
        <f>IF(MOD(M$3,12)=4,MAX(L25*(1+Assumptions!$G$41),Assumptions!$G$57*Assumptions!$G$67/den),'Monthly P&amp;L'!L25)</f>
        <v>0.26600000000000001</v>
      </c>
      <c r="N25" s="83">
        <f>IF(MOD(N$3,12)=4,MAX(M25*(1+Assumptions!$G$41),Assumptions!$G$57*Assumptions!$G$67/den),'Monthly P&amp;L'!M25)</f>
        <v>0.26600000000000001</v>
      </c>
      <c r="O25" s="83">
        <f>IF(MOD(O$3,12)=4,MAX(N25*(1+Assumptions!$G$41),Assumptions!$G$57*Assumptions!$G$67/den),'Monthly P&amp;L'!N25)</f>
        <v>0.26600000000000001</v>
      </c>
      <c r="P25" s="83">
        <f>IF(MOD(P$3,12)=4,MAX(O25*(1+Assumptions!$G$41),Assumptions!$G$57*Assumptions!$G$67/den),'Monthly P&amp;L'!O25)</f>
        <v>0.26600000000000001</v>
      </c>
      <c r="Q25" s="83">
        <f>IF(MOD(Q$3,12)=4,MAX(P25*(1+Assumptions!$G$41),Assumptions!$G$57*Assumptions!$G$67/den),'Monthly P&amp;L'!P25)</f>
        <v>0.26600000000000001</v>
      </c>
      <c r="R25" s="83">
        <f>IF(MOD(R$3,12)=4,MAX(Q25*(1+Assumptions!$G$41),Assumptions!$G$57*Assumptions!$G$67/den),'Monthly P&amp;L'!Q25)</f>
        <v>0.26600000000000001</v>
      </c>
      <c r="S25" s="83">
        <f>IF(MOD(S$3,12)=4,MAX(R25*(1+Assumptions!$G$41),Assumptions!$G$57*Assumptions!$G$67/den),'Monthly P&amp;L'!R25)</f>
        <v>0.26600000000000001</v>
      </c>
      <c r="T25" s="83">
        <f>IF(MOD(T$3,12)=4,MAX(S25*(1+Assumptions!$G$41),Assumptions!$G$57*Assumptions!$G$67/den),'Monthly P&amp;L'!S25)</f>
        <v>0.28728000000000004</v>
      </c>
      <c r="U25" s="83">
        <f>IF(MOD(U$3,12)=4,MAX(T25*(1+Assumptions!$G$41),Assumptions!$G$57*Assumptions!$G$67/den),'Monthly P&amp;L'!T25)</f>
        <v>0.28728000000000004</v>
      </c>
      <c r="V25" s="83">
        <f>IF(MOD(V$3,12)=4,MAX(U25*(1+Assumptions!$G$41),Assumptions!$G$57*Assumptions!$G$67/den),'Monthly P&amp;L'!U25)</f>
        <v>0.28728000000000004</v>
      </c>
      <c r="W25" s="83">
        <f>IF(MOD(W$3,12)=4,MAX(V25*(1+Assumptions!$G$41),Assumptions!$G$57*Assumptions!$G$67/den),'Monthly P&amp;L'!V25)</f>
        <v>0.28728000000000004</v>
      </c>
      <c r="X25" s="83">
        <f>IF(MOD(X$3,12)=4,MAX(W25*(1+Assumptions!$G$41),Assumptions!$G$57*Assumptions!$G$67/den),'Monthly P&amp;L'!W25)</f>
        <v>0.28728000000000004</v>
      </c>
      <c r="Y25" s="83">
        <f>IF(MOD(Y$3,12)=4,MAX(X25*(1+Assumptions!$G$41),Assumptions!$G$57*Assumptions!$G$67/den),'Monthly P&amp;L'!X25)</f>
        <v>0.28728000000000004</v>
      </c>
      <c r="Z25" s="83">
        <f>IF(MOD(Z$3,12)=4,MAX(Y25*(1+Assumptions!$G$41),Assumptions!$G$57*Assumptions!$G$67/den),'Monthly P&amp;L'!Y25)</f>
        <v>0.28728000000000004</v>
      </c>
      <c r="AA25" s="83">
        <f>IF(MOD(AA$3,12)=4,MAX(Z25*(1+Assumptions!$G$41),Assumptions!$G$57*Assumptions!$G$67/den),'Monthly P&amp;L'!Z25)</f>
        <v>0.28728000000000004</v>
      </c>
      <c r="AB25" s="83">
        <f>IF(MOD(AB$3,12)=4,MAX(AA25*(1+Assumptions!$G$41),Assumptions!$G$57*Assumptions!$G$67/den),'Monthly P&amp;L'!AA25)</f>
        <v>0.28728000000000004</v>
      </c>
      <c r="AC25" s="83">
        <f>IF(MOD(AC$3,12)=4,MAX(AB25*(1+Assumptions!$G$41),Assumptions!$G$57*Assumptions!$G$67/den),'Monthly P&amp;L'!AB25)</f>
        <v>0.28728000000000004</v>
      </c>
      <c r="AD25" s="83">
        <f>IF(MOD(AD$3,12)=4,MAX(AC25*(1+Assumptions!$G$41),Assumptions!$G$57*Assumptions!$G$67/den),'Monthly P&amp;L'!AC25)</f>
        <v>0.28728000000000004</v>
      </c>
      <c r="AE25" s="83">
        <f>IF(MOD(AE$3,12)=4,MAX(AD25*(1+Assumptions!$G$41),Assumptions!$G$57*Assumptions!$G$67/den),'Monthly P&amp;L'!AD25)</f>
        <v>0.28728000000000004</v>
      </c>
      <c r="AF25" s="83">
        <f>IF(MOD(AF$3,12)=4,MAX(AE25*(1+Assumptions!$G$41),Assumptions!$G$57*Assumptions!$G$67/den),'Monthly P&amp;L'!AE25)</f>
        <v>0.31026240000000005</v>
      </c>
      <c r="AG25" s="83">
        <f>IF(MOD(AG$3,12)=4,MAX(AF25*(1+Assumptions!$G$41),Assumptions!$G$57*Assumptions!$G$67/den),'Monthly P&amp;L'!AF25)</f>
        <v>0.31026240000000005</v>
      </c>
      <c r="AH25" s="83">
        <f>IF(MOD(AH$3,12)=4,MAX(AG25*(1+Assumptions!$G$41),Assumptions!$G$57*Assumptions!$G$67/den),'Monthly P&amp;L'!AG25)</f>
        <v>0.31026240000000005</v>
      </c>
      <c r="AI25" s="83">
        <f>IF(MOD(AI$3,12)=4,MAX(AH25*(1+Assumptions!$G$41),Assumptions!$G$57*Assumptions!$G$67/den),'Monthly P&amp;L'!AH25)</f>
        <v>0.31026240000000005</v>
      </c>
      <c r="AJ25" s="83">
        <f>IF(MOD(AJ$3,12)=4,MAX(AI25*(1+Assumptions!$G$41),Assumptions!$G$57*Assumptions!$G$67/den),'Monthly P&amp;L'!AI25)</f>
        <v>0.31026240000000005</v>
      </c>
      <c r="AK25" s="83">
        <f>IF(MOD(AK$3,12)=4,MAX(AJ25*(1+Assumptions!$G$41),Assumptions!$G$57*Assumptions!$G$67/den),'Monthly P&amp;L'!AJ25)</f>
        <v>0.31026240000000005</v>
      </c>
      <c r="AL25" s="83">
        <f>IF(MOD(AL$3,12)=4,MAX(AK25*(1+Assumptions!$G$41),Assumptions!$G$57*Assumptions!$G$67/den),'Monthly P&amp;L'!AK25)</f>
        <v>0.31026240000000005</v>
      </c>
      <c r="AM25" s="83">
        <f>IF(MOD(AM$3,12)=4,MAX(AL25*(1+Assumptions!$G$41),Assumptions!$G$57*Assumptions!$G$67/den),'Monthly P&amp;L'!AL25)</f>
        <v>0.31026240000000005</v>
      </c>
      <c r="AN25" s="83">
        <f>IF(MOD(AN$3,12)=4,MAX(AM25*(1+Assumptions!$G$41),Assumptions!$G$57*Assumptions!$G$67/den),'Monthly P&amp;L'!AM25)</f>
        <v>0.31026240000000005</v>
      </c>
    </row>
    <row r="26" spans="1:40" outlineLevel="1" x14ac:dyDescent="0.3">
      <c r="A26" t="str">
        <f>Assumptions!A58</f>
        <v>Phone and internet (per month)</v>
      </c>
      <c r="E26" s="83">
        <f>IF(MOD(E$3,12)=4,MAX(D26*(1+Assumptions!$G$41),Assumptions!$G$58/den),'Monthly P&amp;L'!D26)</f>
        <v>0</v>
      </c>
      <c r="F26" s="83">
        <f>IF(MOD(F$3,12)=4,MAX(E26*(1+Assumptions!$G$41),Assumptions!$G$58/den),'Monthly P&amp;L'!E26)</f>
        <v>0</v>
      </c>
      <c r="G26" s="83">
        <f>IF(MOD(G$3,12)=4,MAX(F26*(1+Assumptions!$G$41),Assumptions!$G$58/den),'Monthly P&amp;L'!F26)</f>
        <v>0</v>
      </c>
      <c r="H26" s="83">
        <f>IF(MOD(H$3,12)=4,MAX(G26*(1+Assumptions!$G$41),Assumptions!$G$58/den),'Monthly P&amp;L'!G26)</f>
        <v>0.15</v>
      </c>
      <c r="I26" s="83">
        <f>IF(MOD(I$3,12)=4,MAX(H26*(1+Assumptions!$G$41),Assumptions!$G$58/den),'Monthly P&amp;L'!H26)</f>
        <v>0.15</v>
      </c>
      <c r="J26" s="83">
        <f>IF(MOD(J$3,12)=4,MAX(I26*(1+Assumptions!$G$41),Assumptions!$G$58/den),'Monthly P&amp;L'!I26)</f>
        <v>0.15</v>
      </c>
      <c r="K26" s="83">
        <f>IF(MOD(K$3,12)=4,MAX(J26*(1+Assumptions!$G$41),Assumptions!$G$58/den),'Monthly P&amp;L'!J26)</f>
        <v>0.15</v>
      </c>
      <c r="L26" s="83">
        <f>IF(MOD(L$3,12)=4,MAX(K26*(1+Assumptions!$G$41),Assumptions!$G$58/den),'Monthly P&amp;L'!K26)</f>
        <v>0.15</v>
      </c>
      <c r="M26" s="83">
        <f>IF(MOD(M$3,12)=4,MAX(L26*(1+Assumptions!$G$41),Assumptions!$G$58/den),'Monthly P&amp;L'!L26)</f>
        <v>0.15</v>
      </c>
      <c r="N26" s="83">
        <f>IF(MOD(N$3,12)=4,MAX(M26*(1+Assumptions!$G$41),Assumptions!$G$58/den),'Monthly P&amp;L'!M26)</f>
        <v>0.15</v>
      </c>
      <c r="O26" s="83">
        <f>IF(MOD(O$3,12)=4,MAX(N26*(1+Assumptions!$G$41),Assumptions!$G$58/den),'Monthly P&amp;L'!N26)</f>
        <v>0.15</v>
      </c>
      <c r="P26" s="83">
        <f>IF(MOD(P$3,12)=4,MAX(O26*(1+Assumptions!$G$41),Assumptions!$G$58/den),'Monthly P&amp;L'!O26)</f>
        <v>0.15</v>
      </c>
      <c r="Q26" s="83">
        <f>IF(MOD(Q$3,12)=4,MAX(P26*(1+Assumptions!$G$41),Assumptions!$G$58/den),'Monthly P&amp;L'!P26)</f>
        <v>0.15</v>
      </c>
      <c r="R26" s="83">
        <f>IF(MOD(R$3,12)=4,MAX(Q26*(1+Assumptions!$G$41),Assumptions!$G$58/den),'Monthly P&amp;L'!Q26)</f>
        <v>0.15</v>
      </c>
      <c r="S26" s="83">
        <f>IF(MOD(S$3,12)=4,MAX(R26*(1+Assumptions!$G$41),Assumptions!$G$58/den),'Monthly P&amp;L'!R26)</f>
        <v>0.15</v>
      </c>
      <c r="T26" s="83">
        <f>IF(MOD(T$3,12)=4,MAX(S26*(1+Assumptions!$G$41),Assumptions!$G$58/den),'Monthly P&amp;L'!S26)</f>
        <v>0.16200000000000001</v>
      </c>
      <c r="U26" s="83">
        <f>IF(MOD(U$3,12)=4,MAX(T26*(1+Assumptions!$G$41),Assumptions!$G$58/den),'Monthly P&amp;L'!T26)</f>
        <v>0.16200000000000001</v>
      </c>
      <c r="V26" s="83">
        <f>IF(MOD(V$3,12)=4,MAX(U26*(1+Assumptions!$G$41),Assumptions!$G$58/den),'Monthly P&amp;L'!U26)</f>
        <v>0.16200000000000001</v>
      </c>
      <c r="W26" s="83">
        <f>IF(MOD(W$3,12)=4,MAX(V26*(1+Assumptions!$G$41),Assumptions!$G$58/den),'Monthly P&amp;L'!V26)</f>
        <v>0.16200000000000001</v>
      </c>
      <c r="X26" s="83">
        <f>IF(MOD(X$3,12)=4,MAX(W26*(1+Assumptions!$G$41),Assumptions!$G$58/den),'Monthly P&amp;L'!W26)</f>
        <v>0.16200000000000001</v>
      </c>
      <c r="Y26" s="83">
        <f>IF(MOD(Y$3,12)=4,MAX(X26*(1+Assumptions!$G$41),Assumptions!$G$58/den),'Monthly P&amp;L'!X26)</f>
        <v>0.16200000000000001</v>
      </c>
      <c r="Z26" s="83">
        <f>IF(MOD(Z$3,12)=4,MAX(Y26*(1+Assumptions!$G$41),Assumptions!$G$58/den),'Monthly P&amp;L'!Y26)</f>
        <v>0.16200000000000001</v>
      </c>
      <c r="AA26" s="83">
        <f>IF(MOD(AA$3,12)=4,MAX(Z26*(1+Assumptions!$G$41),Assumptions!$G$58/den),'Monthly P&amp;L'!Z26)</f>
        <v>0.16200000000000001</v>
      </c>
      <c r="AB26" s="83">
        <f>IF(MOD(AB$3,12)=4,MAX(AA26*(1+Assumptions!$G$41),Assumptions!$G$58/den),'Monthly P&amp;L'!AA26)</f>
        <v>0.16200000000000001</v>
      </c>
      <c r="AC26" s="83">
        <f>IF(MOD(AC$3,12)=4,MAX(AB26*(1+Assumptions!$G$41),Assumptions!$G$58/den),'Monthly P&amp;L'!AB26)</f>
        <v>0.16200000000000001</v>
      </c>
      <c r="AD26" s="83">
        <f>IF(MOD(AD$3,12)=4,MAX(AC26*(1+Assumptions!$G$41),Assumptions!$G$58/den),'Monthly P&amp;L'!AC26)</f>
        <v>0.16200000000000001</v>
      </c>
      <c r="AE26" s="83">
        <f>IF(MOD(AE$3,12)=4,MAX(AD26*(1+Assumptions!$G$41),Assumptions!$G$58/den),'Monthly P&amp;L'!AD26)</f>
        <v>0.16200000000000001</v>
      </c>
      <c r="AF26" s="83">
        <f>IF(MOD(AF$3,12)=4,MAX(AE26*(1+Assumptions!$G$41),Assumptions!$G$58/den),'Monthly P&amp;L'!AE26)</f>
        <v>0.17496</v>
      </c>
      <c r="AG26" s="83">
        <f>IF(MOD(AG$3,12)=4,MAX(AF26*(1+Assumptions!$G$41),Assumptions!$G$58/den),'Monthly P&amp;L'!AF26)</f>
        <v>0.17496</v>
      </c>
      <c r="AH26" s="83">
        <f>IF(MOD(AH$3,12)=4,MAX(AG26*(1+Assumptions!$G$41),Assumptions!$G$58/den),'Monthly P&amp;L'!AG26)</f>
        <v>0.17496</v>
      </c>
      <c r="AI26" s="83">
        <f>IF(MOD(AI$3,12)=4,MAX(AH26*(1+Assumptions!$G$41),Assumptions!$G$58/den),'Monthly P&amp;L'!AH26)</f>
        <v>0.17496</v>
      </c>
      <c r="AJ26" s="83">
        <f>IF(MOD(AJ$3,12)=4,MAX(AI26*(1+Assumptions!$G$41),Assumptions!$G$58/den),'Monthly P&amp;L'!AI26)</f>
        <v>0.17496</v>
      </c>
      <c r="AK26" s="83">
        <f>IF(MOD(AK$3,12)=4,MAX(AJ26*(1+Assumptions!$G$41),Assumptions!$G$58/den),'Monthly P&amp;L'!AJ26)</f>
        <v>0.17496</v>
      </c>
      <c r="AL26" s="83">
        <f>IF(MOD(AL$3,12)=4,MAX(AK26*(1+Assumptions!$G$41),Assumptions!$G$58/den),'Monthly P&amp;L'!AK26)</f>
        <v>0.17496</v>
      </c>
      <c r="AM26" s="83">
        <f>IF(MOD(AM$3,12)=4,MAX(AL26*(1+Assumptions!$G$41),Assumptions!$G$58/den),'Monthly P&amp;L'!AL26)</f>
        <v>0.17496</v>
      </c>
      <c r="AN26" s="83">
        <f>IF(MOD(AN$3,12)=4,MAX(AM26*(1+Assumptions!$G$41),Assumptions!$G$58/den),'Monthly P&amp;L'!AM26)</f>
        <v>0.17496</v>
      </c>
    </row>
    <row r="27" spans="1:40" outlineLevel="1" x14ac:dyDescent="0.3">
      <c r="A27" t="str">
        <f>Assumptions!A59</f>
        <v>Housekeeping &amp; Consumables (% of revenue)</v>
      </c>
      <c r="E27" s="98">
        <f>E$9*Assumptions!$G$59</f>
        <v>0</v>
      </c>
      <c r="F27" s="98">
        <f>F$9*Assumptions!$G$59</f>
        <v>0</v>
      </c>
      <c r="G27" s="98">
        <f>G$9*Assumptions!$G$59</f>
        <v>0</v>
      </c>
      <c r="H27" s="98">
        <f>H$9*Assumptions!$G$59</f>
        <v>0.49127999999999999</v>
      </c>
      <c r="I27" s="98">
        <f>I$9*Assumptions!$G$59</f>
        <v>0.51723040000000009</v>
      </c>
      <c r="J27" s="98">
        <f>J$9*Assumptions!$G$59</f>
        <v>0.50290028799999997</v>
      </c>
      <c r="K27" s="98">
        <f>K$9*Assumptions!$G$59</f>
        <v>0.53922819456000004</v>
      </c>
      <c r="L27" s="98">
        <f>L$9*Assumptions!$G$59</f>
        <v>0.53861043444480017</v>
      </c>
      <c r="M27" s="98">
        <f>M$9*Assumptions!$G$59</f>
        <v>0.56064049129856008</v>
      </c>
      <c r="N27" s="98">
        <f>N$9*Assumptions!$G$59</f>
        <v>0.5947601320646605</v>
      </c>
      <c r="O27" s="98">
        <f>O$9*Assumptions!$G$59</f>
        <v>0.54205924890862112</v>
      </c>
      <c r="P27" s="98">
        <f>P$9*Assumptions!$G$59</f>
        <v>0.60749643436852818</v>
      </c>
      <c r="Q27" s="98">
        <f>Q$9*Assumptions!$G$59</f>
        <v>0.60696461148605974</v>
      </c>
      <c r="R27" s="98">
        <f>R$9*Assumptions!$G$59</f>
        <v>0.66617744524829636</v>
      </c>
      <c r="S27" s="98">
        <f>S$9*Assumptions!$G$59</f>
        <v>0.64098104291518876</v>
      </c>
      <c r="T27" s="98">
        <f>T$9*Assumptions!$G$59</f>
        <v>0.72575047008793692</v>
      </c>
      <c r="U27" s="98">
        <f>U$9*Assumptions!$G$59</f>
        <v>0.74639000409731571</v>
      </c>
      <c r="V27" s="98">
        <f>V$9*Assumptions!$G$59</f>
        <v>0.73088572190673207</v>
      </c>
      <c r="W27" s="98">
        <f>W$9*Assumptions!$G$59</f>
        <v>0.80770251682620398</v>
      </c>
      <c r="X27" s="98">
        <f>X$9*Assumptions!$G$59</f>
        <v>0.77254330843188823</v>
      </c>
      <c r="Y27" s="98">
        <f>Y$9*Assumptions!$G$59</f>
        <v>0.81541694016897459</v>
      </c>
      <c r="Z27" s="98">
        <f>Z$9*Assumptions!$G$59</f>
        <v>0.88150384799793957</v>
      </c>
      <c r="AA27" s="98">
        <f>AA$9*Assumptions!$G$59</f>
        <v>0.79629032530830002</v>
      </c>
      <c r="AB27" s="98">
        <f>AB$9*Assumptions!$G$59</f>
        <v>0.88640820834237244</v>
      </c>
      <c r="AC27" s="98">
        <f>AC$9*Assumptions!$G$59</f>
        <v>0.91443615305841719</v>
      </c>
      <c r="AD27" s="98">
        <f>AD$9*Assumptions!$G$59</f>
        <v>0.96468733466886336</v>
      </c>
      <c r="AE27" s="98">
        <f>AE$9*Assumptions!$G$59</f>
        <v>0.94066673918716648</v>
      </c>
      <c r="AF27" s="98">
        <f>AF$9*Assumptions!$G$59</f>
        <v>1.1052584689314995</v>
      </c>
      <c r="AG27" s="98">
        <f>AG$9*Assumptions!$G$59</f>
        <v>1.0716324355673101</v>
      </c>
      <c r="AH27" s="98">
        <f>AH$9*Assumptions!$G$59</f>
        <v>1.0761634251972754</v>
      </c>
      <c r="AI27" s="98">
        <f>AI$9*Assumptions!$G$59</f>
        <v>1.2093197929248252</v>
      </c>
      <c r="AJ27" s="98">
        <f>AJ$9*Assumptions!$G$59</f>
        <v>1.1400316438589175</v>
      </c>
      <c r="AK27" s="98">
        <f>AK$9*Assumptions!$G$59</f>
        <v>1.2260484776325025</v>
      </c>
      <c r="AL27" s="98">
        <f>AL$9*Assumptions!$G$59</f>
        <v>1.2383846171851527</v>
      </c>
      <c r="AM27" s="98">
        <f>AM$9*Assumptions!$G$59</f>
        <v>1.1249352541171416</v>
      </c>
      <c r="AN27" s="98">
        <f>AN$9*Assumptions!$G$59</f>
        <v>1.225861249079407</v>
      </c>
    </row>
    <row r="28" spans="1:40" outlineLevel="1" x14ac:dyDescent="0.3">
      <c r="A28" t="str">
        <f>Assumptions!A60</f>
        <v>Payment Settlement Charges (% of revenue)</v>
      </c>
      <c r="E28" s="98">
        <f>E$9*Assumptions!$G$60*Assumptions!$G$61</f>
        <v>0</v>
      </c>
      <c r="F28" s="98">
        <f>F$9*Assumptions!$G$60*Assumptions!$G$61</f>
        <v>0</v>
      </c>
      <c r="G28" s="98">
        <f>G$9*Assumptions!$G$60*Assumptions!$G$61</f>
        <v>0</v>
      </c>
      <c r="H28" s="98">
        <f>H$9*Assumptions!$G$60*Assumptions!$G$61</f>
        <v>0.18423</v>
      </c>
      <c r="I28" s="98">
        <f>I$9*Assumptions!$G$60*Assumptions!$G$61</f>
        <v>0.19396140000000001</v>
      </c>
      <c r="J28" s="98">
        <f>J$9*Assumptions!$G$60*Assumptions!$G$61</f>
        <v>0.18858760799999999</v>
      </c>
      <c r="K28" s="98">
        <f>K$9*Assumptions!$G$60*Assumptions!$G$61</f>
        <v>0.20221057296000003</v>
      </c>
      <c r="L28" s="98">
        <f>L$9*Assumptions!$G$60*Assumptions!$G$61</f>
        <v>0.20197891291680004</v>
      </c>
      <c r="M28" s="98">
        <f>M$9*Assumptions!$G$60*Assumptions!$G$61</f>
        <v>0.21024018423696</v>
      </c>
      <c r="N28" s="98">
        <f>N$9*Assumptions!$G$60*Assumptions!$G$61</f>
        <v>0.22303504952424769</v>
      </c>
      <c r="O28" s="98">
        <f>O$9*Assumptions!$G$60*Assumptions!$G$61</f>
        <v>0.20327221834073289</v>
      </c>
      <c r="P28" s="98">
        <f>P$9*Assumptions!$G$60*Assumptions!$G$61</f>
        <v>0.22781116288819805</v>
      </c>
      <c r="Q28" s="98">
        <f>Q$9*Assumptions!$G$60*Assumptions!$G$61</f>
        <v>0.22761172930727241</v>
      </c>
      <c r="R28" s="98">
        <f>R$9*Assumptions!$G$60*Assumptions!$G$61</f>
        <v>0.24981654196811112</v>
      </c>
      <c r="S28" s="98">
        <f>S$9*Assumptions!$G$60*Assumptions!$G$61</f>
        <v>0.24036789109319578</v>
      </c>
      <c r="T28" s="98">
        <f>T$9*Assumptions!$G$60*Assumptions!$G$61</f>
        <v>0.27215642628297632</v>
      </c>
      <c r="U28" s="98">
        <f>U$9*Assumptions!$G$60*Assumptions!$G$61</f>
        <v>0.27989625153649333</v>
      </c>
      <c r="V28" s="98">
        <f>V$9*Assumptions!$G$60*Assumptions!$G$61</f>
        <v>0.27408214571502448</v>
      </c>
      <c r="W28" s="98">
        <f>W$9*Assumptions!$G$60*Assumptions!$G$61</f>
        <v>0.30288844380982649</v>
      </c>
      <c r="X28" s="98">
        <f>X$9*Assumptions!$G$60*Assumptions!$G$61</f>
        <v>0.28970374066195809</v>
      </c>
      <c r="Y28" s="98">
        <f>Y$9*Assumptions!$G$60*Assumptions!$G$61</f>
        <v>0.30578135256336542</v>
      </c>
      <c r="Z28" s="98">
        <f>Z$9*Assumptions!$G$60*Assumptions!$G$61</f>
        <v>0.33056394299922731</v>
      </c>
      <c r="AA28" s="98">
        <f>AA$9*Assumptions!$G$60*Assumptions!$G$61</f>
        <v>0.29860887199061248</v>
      </c>
      <c r="AB28" s="98">
        <f>AB$9*Assumptions!$G$60*Assumptions!$G$61</f>
        <v>0.33240307812838965</v>
      </c>
      <c r="AC28" s="98">
        <f>AC$9*Assumptions!$G$60*Assumptions!$G$61</f>
        <v>0.34291355739690643</v>
      </c>
      <c r="AD28" s="98">
        <f>AD$9*Assumptions!$G$60*Assumptions!$G$61</f>
        <v>0.36175775050082376</v>
      </c>
      <c r="AE28" s="98">
        <f>AE$9*Assumptions!$G$60*Assumptions!$G$61</f>
        <v>0.35275002719518739</v>
      </c>
      <c r="AF28" s="98">
        <f>AF$9*Assumptions!$G$60*Assumptions!$G$61</f>
        <v>0.41447192584931231</v>
      </c>
      <c r="AG28" s="98">
        <f>AG$9*Assumptions!$G$60*Assumptions!$G$61</f>
        <v>0.40186216333774127</v>
      </c>
      <c r="AH28" s="98">
        <f>AH$9*Assumptions!$G$60*Assumptions!$G$61</f>
        <v>0.40356128444897826</v>
      </c>
      <c r="AI28" s="98">
        <f>AI$9*Assumptions!$G$60*Assumptions!$G$61</f>
        <v>0.45349492234680938</v>
      </c>
      <c r="AJ28" s="98">
        <f>AJ$9*Assumptions!$G$60*Assumptions!$G$61</f>
        <v>0.42751186644709405</v>
      </c>
      <c r="AK28" s="98">
        <f>AK$9*Assumptions!$G$60*Assumptions!$G$61</f>
        <v>0.45976817911218842</v>
      </c>
      <c r="AL28" s="98">
        <f>AL$9*Assumptions!$G$60*Assumptions!$G$61</f>
        <v>0.4643942314444322</v>
      </c>
      <c r="AM28" s="98">
        <f>AM$9*Assumptions!$G$60*Assumptions!$G$61</f>
        <v>0.42185072029392806</v>
      </c>
      <c r="AN28" s="98">
        <f>AN$9*Assumptions!$G$60*Assumptions!$G$61</f>
        <v>0.45969796840477761</v>
      </c>
    </row>
    <row r="29" spans="1:40" s="88" customFormat="1" x14ac:dyDescent="0.3">
      <c r="A29" s="102" t="s">
        <v>125</v>
      </c>
      <c r="E29" s="100">
        <f>SUM(E19:E28)</f>
        <v>0</v>
      </c>
      <c r="F29" s="100">
        <f t="shared" ref="F29:AN29" si="4">SUM(F19:F28)</f>
        <v>0</v>
      </c>
      <c r="G29" s="100">
        <f t="shared" si="4"/>
        <v>0</v>
      </c>
      <c r="H29" s="100">
        <f t="shared" si="4"/>
        <v>9.4261099999999995</v>
      </c>
      <c r="I29" s="100">
        <f t="shared" si="4"/>
        <v>9.6564198000000001</v>
      </c>
      <c r="J29" s="100">
        <f t="shared" si="4"/>
        <v>9.5292400560000008</v>
      </c>
      <c r="K29" s="100">
        <f t="shared" si="4"/>
        <v>9.8516502267200003</v>
      </c>
      <c r="L29" s="100">
        <f t="shared" si="4"/>
        <v>9.8461676056976017</v>
      </c>
      <c r="M29" s="100">
        <f t="shared" si="4"/>
        <v>10.04168436027472</v>
      </c>
      <c r="N29" s="100">
        <f t="shared" si="4"/>
        <v>10.34449617207386</v>
      </c>
      <c r="O29" s="100">
        <f t="shared" si="4"/>
        <v>9.8767758340640128</v>
      </c>
      <c r="P29" s="100">
        <f t="shared" si="4"/>
        <v>10.457530855020687</v>
      </c>
      <c r="Q29" s="100">
        <f t="shared" si="4"/>
        <v>10.452810926938781</v>
      </c>
      <c r="R29" s="100">
        <f t="shared" si="4"/>
        <v>10.978324826578628</v>
      </c>
      <c r="S29" s="100">
        <f t="shared" si="4"/>
        <v>10.754706755872302</v>
      </c>
      <c r="T29" s="100">
        <f t="shared" si="4"/>
        <v>11.91231542203044</v>
      </c>
      <c r="U29" s="100">
        <f t="shared" si="4"/>
        <v>12.095491286363679</v>
      </c>
      <c r="V29" s="100">
        <f t="shared" si="4"/>
        <v>11.957890781922247</v>
      </c>
      <c r="W29" s="100">
        <f t="shared" si="4"/>
        <v>12.639639836832561</v>
      </c>
      <c r="X29" s="100">
        <f t="shared" si="4"/>
        <v>12.32760186233301</v>
      </c>
      <c r="Y29" s="100">
        <f t="shared" si="4"/>
        <v>12.70810534399965</v>
      </c>
      <c r="Z29" s="100">
        <f t="shared" si="4"/>
        <v>13.294626650981714</v>
      </c>
      <c r="AA29" s="100">
        <f t="shared" si="4"/>
        <v>12.538356637111166</v>
      </c>
      <c r="AB29" s="100">
        <f t="shared" si="4"/>
        <v>13.338152849038556</v>
      </c>
      <c r="AC29" s="100">
        <f t="shared" si="4"/>
        <v>13.586900858393454</v>
      </c>
      <c r="AD29" s="100">
        <f t="shared" si="4"/>
        <v>14.032880095186163</v>
      </c>
      <c r="AE29" s="100">
        <f t="shared" si="4"/>
        <v>13.819697310286102</v>
      </c>
      <c r="AF29" s="100">
        <f t="shared" si="4"/>
        <v>15.718151311767061</v>
      </c>
      <c r="AG29" s="100">
        <f t="shared" si="4"/>
        <v>15.41972026565988</v>
      </c>
      <c r="AH29" s="100">
        <f t="shared" si="4"/>
        <v>15.459932798625822</v>
      </c>
      <c r="AI29" s="100">
        <f t="shared" si="4"/>
        <v>16.641695562207826</v>
      </c>
      <c r="AJ29" s="100">
        <f t="shared" si="4"/>
        <v>16.026763239247895</v>
      </c>
      <c r="AK29" s="100">
        <f t="shared" si="4"/>
        <v>16.790162638988459</v>
      </c>
      <c r="AL29" s="100">
        <f t="shared" si="4"/>
        <v>16.899645877518232</v>
      </c>
      <c r="AM29" s="100">
        <f t="shared" si="4"/>
        <v>15.892782780289636</v>
      </c>
      <c r="AN29" s="100">
        <f t="shared" si="4"/>
        <v>16.788500985579741</v>
      </c>
    </row>
    <row r="31" spans="1:40" s="104" customFormat="1" ht="15" thickBot="1" x14ac:dyDescent="0.35">
      <c r="A31" s="103" t="s">
        <v>126</v>
      </c>
      <c r="E31" s="105">
        <f>E$9-E$16-E$29</f>
        <v>0</v>
      </c>
      <c r="F31" s="105">
        <f t="shared" ref="F31:AN31" si="5">F$9-F$16-F$29</f>
        <v>0</v>
      </c>
      <c r="G31" s="105">
        <f t="shared" si="5"/>
        <v>0</v>
      </c>
      <c r="H31" s="105">
        <f t="shared" si="5"/>
        <v>-2.7231099999999966</v>
      </c>
      <c r="I31" s="105">
        <f t="shared" si="5"/>
        <v>-2.087143799999998</v>
      </c>
      <c r="J31" s="105">
        <f t="shared" si="5"/>
        <v>-2.4364936559999979</v>
      </c>
      <c r="K31" s="105">
        <f t="shared" si="5"/>
        <v>-1.5379771547199965</v>
      </c>
      <c r="L31" s="105">
        <f t="shared" si="5"/>
        <v>-1.5551297592015985</v>
      </c>
      <c r="M31" s="105">
        <f t="shared" si="5"/>
        <v>-1.0028971144615983</v>
      </c>
      <c r="N31" s="105">
        <f t="shared" si="5"/>
        <v>-0.16570115366440064</v>
      </c>
      <c r="O31" s="105">
        <f t="shared" si="5"/>
        <v>-1.4692145346752454</v>
      </c>
      <c r="P31" s="105">
        <f t="shared" si="5"/>
        <v>0.15898567152683007</v>
      </c>
      <c r="Q31" s="105">
        <f t="shared" si="5"/>
        <v>0.14383002404787604</v>
      </c>
      <c r="R31" s="105">
        <f t="shared" si="5"/>
        <v>1.6039344755618004</v>
      </c>
      <c r="S31" s="105">
        <f t="shared" si="5"/>
        <v>0.98712850146326403</v>
      </c>
      <c r="T31" s="105">
        <f t="shared" si="5"/>
        <v>1.8923875323656798</v>
      </c>
      <c r="U31" s="105">
        <f t="shared" si="5"/>
        <v>2.4038799605515635</v>
      </c>
      <c r="V31" s="105">
        <f t="shared" si="5"/>
        <v>2.0228491122598324</v>
      </c>
      <c r="W31" s="105">
        <f t="shared" si="5"/>
        <v>3.9173371446332972</v>
      </c>
      <c r="X31" s="105">
        <f t="shared" si="5"/>
        <v>3.0553648671430214</v>
      </c>
      <c r="Y31" s="105">
        <f t="shared" si="5"/>
        <v>4.1206016726462362</v>
      </c>
      <c r="Z31" s="105">
        <f t="shared" si="5"/>
        <v>5.7454352158763964</v>
      </c>
      <c r="AA31" s="105">
        <f t="shared" si="5"/>
        <v>3.6383423636195378</v>
      </c>
      <c r="AB31" s="105">
        <f t="shared" si="5"/>
        <v>5.8800871617575492</v>
      </c>
      <c r="AC31" s="105">
        <f t="shared" si="5"/>
        <v>6.5646291211580792</v>
      </c>
      <c r="AD31" s="105">
        <f t="shared" si="5"/>
        <v>7.81262909116945</v>
      </c>
      <c r="AE31" s="105">
        <f t="shared" si="5"/>
        <v>7.2216501452287361</v>
      </c>
      <c r="AF31" s="105">
        <f t="shared" si="5"/>
        <v>9.9990871226548332</v>
      </c>
      <c r="AG31" s="105">
        <f t="shared" si="5"/>
        <v>9.1821499989695816</v>
      </c>
      <c r="AH31" s="105">
        <f t="shared" si="5"/>
        <v>9.2909190601836968</v>
      </c>
      <c r="AI31" s="105">
        <f t="shared" si="5"/>
        <v>12.575872437865772</v>
      </c>
      <c r="AJ31" s="105">
        <f t="shared" si="5"/>
        <v>10.873177756096513</v>
      </c>
      <c r="AK31" s="105">
        <f t="shared" si="5"/>
        <v>13.00065853759008</v>
      </c>
      <c r="AL31" s="105">
        <f t="shared" si="5"/>
        <v>13.307950740091883</v>
      </c>
      <c r="AM31" s="105">
        <f t="shared" si="5"/>
        <v>10.49642771285793</v>
      </c>
      <c r="AN31" s="105">
        <f t="shared" si="5"/>
        <v>13.010485789882349</v>
      </c>
    </row>
    <row r="33" spans="1:40" s="107" customFormat="1" ht="12" x14ac:dyDescent="0.25">
      <c r="A33" s="107" t="s">
        <v>127</v>
      </c>
      <c r="E33" s="108" t="e">
        <f>E$31/E$9</f>
        <v>#DIV/0!</v>
      </c>
      <c r="F33" s="108" t="e">
        <f t="shared" ref="F33:AN33" si="6">F$31/F$9</f>
        <v>#DIV/0!</v>
      </c>
      <c r="G33" s="108" t="e">
        <f t="shared" si="6"/>
        <v>#DIV/0!</v>
      </c>
      <c r="H33" s="108">
        <f t="shared" si="6"/>
        <v>-0.11085775932258576</v>
      </c>
      <c r="I33" s="108">
        <f t="shared" si="6"/>
        <v>-8.0704606689784589E-2</v>
      </c>
      <c r="J33" s="108">
        <f t="shared" si="6"/>
        <v>-9.6897683860542858E-2</v>
      </c>
      <c r="K33" s="108">
        <f t="shared" si="6"/>
        <v>-5.704364757762552E-2</v>
      </c>
      <c r="L33" s="108">
        <f t="shared" si="6"/>
        <v>-5.7745994498031847E-2</v>
      </c>
      <c r="M33" s="108">
        <f t="shared" si="6"/>
        <v>-3.5776834888920701E-2</v>
      </c>
      <c r="N33" s="108">
        <f t="shared" si="6"/>
        <v>-5.5720329837570925E-3</v>
      </c>
      <c r="O33" s="108">
        <f t="shared" si="6"/>
        <v>-5.4208632640559251E-2</v>
      </c>
      <c r="P33" s="108">
        <f t="shared" si="6"/>
        <v>5.234126902887595E-3</v>
      </c>
      <c r="Q33" s="108">
        <f t="shared" si="6"/>
        <v>4.739321579086144E-3</v>
      </c>
      <c r="R33" s="108">
        <f t="shared" si="6"/>
        <v>4.8153370757365858E-2</v>
      </c>
      <c r="S33" s="108">
        <f t="shared" si="6"/>
        <v>3.08005521340785E-2</v>
      </c>
      <c r="T33" s="108">
        <f t="shared" si="6"/>
        <v>5.2149812101021036E-2</v>
      </c>
      <c r="U33" s="108">
        <f t="shared" si="6"/>
        <v>6.4413508952570087E-2</v>
      </c>
      <c r="V33" s="108">
        <f t="shared" si="6"/>
        <v>5.5353362410272042E-2</v>
      </c>
      <c r="W33" s="108">
        <f t="shared" si="6"/>
        <v>9.6999503233594686E-2</v>
      </c>
      <c r="X33" s="108">
        <f t="shared" si="6"/>
        <v>7.9098863035777608E-2</v>
      </c>
      <c r="Y33" s="108">
        <f t="shared" si="6"/>
        <v>0.10106735510774024</v>
      </c>
      <c r="Z33" s="108">
        <f t="shared" si="6"/>
        <v>0.13035530653497104</v>
      </c>
      <c r="AA33" s="108">
        <f t="shared" si="6"/>
        <v>9.1382307381692215E-2</v>
      </c>
      <c r="AB33" s="108">
        <f t="shared" si="6"/>
        <v>0.13267221820415237</v>
      </c>
      <c r="AC33" s="108">
        <f t="shared" si="6"/>
        <v>0.14357763741518889</v>
      </c>
      <c r="AD33" s="108">
        <f t="shared" si="6"/>
        <v>0.16197225381529856</v>
      </c>
      <c r="AE33" s="108">
        <f t="shared" si="6"/>
        <v>0.15354322300093209</v>
      </c>
      <c r="AF33" s="108">
        <f t="shared" si="6"/>
        <v>0.18093662982417819</v>
      </c>
      <c r="AG33" s="108">
        <f t="shared" si="6"/>
        <v>0.17136752666708255</v>
      </c>
      <c r="AH33" s="108">
        <f t="shared" si="6"/>
        <v>0.17266743772639448</v>
      </c>
      <c r="AI33" s="108">
        <f t="shared" si="6"/>
        <v>0.20798257849481053</v>
      </c>
      <c r="AJ33" s="108">
        <f t="shared" si="6"/>
        <v>0.19075220963677222</v>
      </c>
      <c r="AK33" s="108">
        <f t="shared" si="6"/>
        <v>0.21207413531794975</v>
      </c>
      <c r="AL33" s="108">
        <f t="shared" si="6"/>
        <v>0.2149243547669519</v>
      </c>
      <c r="AM33" s="108">
        <f t="shared" si="6"/>
        <v>0.18661389932339906</v>
      </c>
      <c r="AN33" s="108">
        <f t="shared" si="6"/>
        <v>0.21226685809104281</v>
      </c>
    </row>
    <row r="35" spans="1:40" s="117" customFormat="1" x14ac:dyDescent="0.3">
      <c r="A35" s="116" t="s">
        <v>119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12" sqref="C12"/>
    </sheetView>
  </sheetViews>
  <sheetFormatPr defaultRowHeight="14.4" x14ac:dyDescent="0.3"/>
  <cols>
    <col min="1" max="1" width="17.109375" customWidth="1"/>
    <col min="2" max="2" width="9.6640625" bestFit="1" customWidth="1"/>
    <col min="3" max="3" width="9.109375" bestFit="1" customWidth="1"/>
    <col min="9" max="9" width="6.33203125" bestFit="1" customWidth="1"/>
  </cols>
  <sheetData>
    <row r="1" spans="1:9" x14ac:dyDescent="0.3">
      <c r="A1" t="s">
        <v>109</v>
      </c>
      <c r="B1" s="66" t="s">
        <v>102</v>
      </c>
    </row>
    <row r="3" spans="1:9" x14ac:dyDescent="0.3">
      <c r="C3" s="109">
        <v>0</v>
      </c>
    </row>
    <row r="4" spans="1:9" x14ac:dyDescent="0.3">
      <c r="C4" s="111">
        <f>Assumptions!G3</f>
        <v>43922</v>
      </c>
    </row>
    <row r="5" spans="1:9" x14ac:dyDescent="0.3">
      <c r="A5" s="76" t="s">
        <v>130</v>
      </c>
    </row>
    <row r="6" spans="1:9" x14ac:dyDescent="0.3">
      <c r="A6" t="str">
        <f>Assumptions!A79</f>
        <v>Kitchen Equipments and cutlery</v>
      </c>
      <c r="C6" s="98">
        <f>Assumptions!$G$79*Assumptions!$G$70/den</f>
        <v>30</v>
      </c>
      <c r="I6" t="s">
        <v>129</v>
      </c>
    </row>
    <row r="7" spans="1:9" x14ac:dyDescent="0.3">
      <c r="A7" t="str">
        <f>Assumptions!A80</f>
        <v>Refrigeration Equipments</v>
      </c>
      <c r="C7" s="98">
        <f>Assumptions!$G$80*Assumptions!$G$70/den</f>
        <v>50</v>
      </c>
    </row>
    <row r="8" spans="1:9" x14ac:dyDescent="0.3">
      <c r="A8" t="str">
        <f>Assumptions!A81</f>
        <v>Furniture &amp; Fixtures</v>
      </c>
      <c r="C8" s="98">
        <f>Assumptions!$G$81*Assumptions!$G$69/den</f>
        <v>51</v>
      </c>
    </row>
    <row r="9" spans="1:9" x14ac:dyDescent="0.3">
      <c r="A9" t="str">
        <f>Assumptions!A82</f>
        <v>Restaurants Décor</v>
      </c>
      <c r="C9" s="98">
        <f>Assumptions!$G$82*Assumptions!$G$69/den</f>
        <v>60</v>
      </c>
    </row>
    <row r="10" spans="1:9" s="96" customFormat="1" x14ac:dyDescent="0.3">
      <c r="A10" s="95" t="s">
        <v>32</v>
      </c>
      <c r="B10" s="95"/>
      <c r="C10" s="106">
        <f>SUM(C6:C9)</f>
        <v>191</v>
      </c>
    </row>
    <row r="11" spans="1:9" x14ac:dyDescent="0.3">
      <c r="A11" t="s">
        <v>131</v>
      </c>
      <c r="C11" s="98">
        <f>Assumptions!G83/den</f>
        <v>10</v>
      </c>
    </row>
    <row r="12" spans="1:9" x14ac:dyDescent="0.3">
      <c r="A12" t="s">
        <v>132</v>
      </c>
      <c r="C12" s="98">
        <f>Assumptions!$G$87/den</f>
        <v>24</v>
      </c>
    </row>
    <row r="13" spans="1:9" x14ac:dyDescent="0.3">
      <c r="C13" s="98"/>
    </row>
    <row r="14" spans="1:9" x14ac:dyDescent="0.3">
      <c r="A14" s="2" t="s">
        <v>133</v>
      </c>
      <c r="C14" s="112">
        <f>C10+C11+C12</f>
        <v>225</v>
      </c>
    </row>
    <row r="15" spans="1:9" x14ac:dyDescent="0.3">
      <c r="C15" s="98"/>
    </row>
    <row r="16" spans="1:9" x14ac:dyDescent="0.3">
      <c r="A16" s="2" t="s">
        <v>134</v>
      </c>
    </row>
    <row r="17" spans="1:3" x14ac:dyDescent="0.3">
      <c r="A17" t="s">
        <v>135</v>
      </c>
      <c r="B17" s="114">
        <f>Assumptions!$G$100</f>
        <v>1</v>
      </c>
      <c r="C17" s="98">
        <f>B17*$C$14</f>
        <v>225</v>
      </c>
    </row>
    <row r="18" spans="1:3" x14ac:dyDescent="0.3">
      <c r="A18" s="77" t="s">
        <v>91</v>
      </c>
      <c r="B18" s="114">
        <f>Assumptions!$G$101</f>
        <v>0</v>
      </c>
      <c r="C18" s="98">
        <f t="shared" ref="C18" si="0">B18*$C$14</f>
        <v>0</v>
      </c>
    </row>
    <row r="19" spans="1:3" x14ac:dyDescent="0.3">
      <c r="C19" s="98"/>
    </row>
    <row r="20" spans="1:3" x14ac:dyDescent="0.3">
      <c r="A20" s="95" t="s">
        <v>136</v>
      </c>
      <c r="B20" s="115"/>
      <c r="C20" s="106">
        <f>SUM(C17:C19)</f>
        <v>225</v>
      </c>
    </row>
    <row r="22" spans="1:3" s="117" customFormat="1" x14ac:dyDescent="0.3">
      <c r="A22" s="116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topLeftCell="A9" workbookViewId="0">
      <selection activeCell="A26" sqref="A26"/>
    </sheetView>
  </sheetViews>
  <sheetFormatPr defaultRowHeight="14.4" x14ac:dyDescent="0.3"/>
  <cols>
    <col min="1" max="1" width="14.5546875" bestFit="1" customWidth="1"/>
    <col min="2" max="2" width="5.5546875" bestFit="1" customWidth="1"/>
    <col min="5" max="7" width="9.6640625" bestFit="1" customWidth="1"/>
  </cols>
  <sheetData>
    <row r="1" spans="1:7" x14ac:dyDescent="0.3">
      <c r="A1" t="s">
        <v>109</v>
      </c>
      <c r="B1" s="66" t="str">
        <f>Convertor!C1</f>
        <v>Lakhs</v>
      </c>
    </row>
    <row r="3" spans="1:7" x14ac:dyDescent="0.3">
      <c r="E3" s="74">
        <v>1</v>
      </c>
      <c r="F3" s="74">
        <f>E3+1</f>
        <v>2</v>
      </c>
      <c r="G3" s="74">
        <f>F3+1</f>
        <v>3</v>
      </c>
    </row>
    <row r="4" spans="1:7" x14ac:dyDescent="0.3">
      <c r="E4" s="72">
        <f>EOMONTH(Assumptions!G3,11)</f>
        <v>44286</v>
      </c>
      <c r="F4" s="72">
        <f>EOMONTH(E4,12)</f>
        <v>44651</v>
      </c>
      <c r="G4" s="72">
        <f t="shared" ref="G4" si="0">EOMONTH(F4,12)</f>
        <v>45016</v>
      </c>
    </row>
    <row r="5" spans="1:7" x14ac:dyDescent="0.3">
      <c r="A5" s="119" t="s">
        <v>74</v>
      </c>
    </row>
    <row r="6" spans="1:7" x14ac:dyDescent="0.3">
      <c r="A6" t="s">
        <v>137</v>
      </c>
      <c r="E6" s="98">
        <f>0</f>
        <v>0</v>
      </c>
      <c r="F6" s="98">
        <f>E$10</f>
        <v>26.634246575342466</v>
      </c>
      <c r="G6" s="98">
        <f t="shared" ref="G6" si="1">F$10</f>
        <v>22.639109589041094</v>
      </c>
    </row>
    <row r="7" spans="1:7" x14ac:dyDescent="0.3">
      <c r="A7" t="s">
        <v>138</v>
      </c>
      <c r="E7" s="98">
        <f>'Capital Structure'!C6</f>
        <v>30</v>
      </c>
      <c r="F7" s="98">
        <f>0</f>
        <v>0</v>
      </c>
      <c r="G7" s="98">
        <f>0</f>
        <v>0</v>
      </c>
    </row>
    <row r="8" spans="1:7" x14ac:dyDescent="0.3">
      <c r="A8" t="s">
        <v>139</v>
      </c>
      <c r="E8" s="98">
        <f>0</f>
        <v>0</v>
      </c>
      <c r="F8" s="98">
        <f>0</f>
        <v>0</v>
      </c>
      <c r="G8" s="98">
        <f>0</f>
        <v>0</v>
      </c>
    </row>
    <row r="9" spans="1:7" x14ac:dyDescent="0.3">
      <c r="A9" t="s">
        <v>140</v>
      </c>
      <c r="E9" s="98">
        <f>(E6+E7-E8)*Assumptions!$G$96*MIN(365,_xlfn.DAYS('Fixed Asset Schedule'!E$4,Assumptions!G5))/365</f>
        <v>3.3657534246575342</v>
      </c>
      <c r="F9" s="98">
        <f>(F6+F7-F8)*Assumptions!$G$96*MIN(365,_xlfn.DAYS('Fixed Asset Schedule'!F$4,Assumptions!H5))/365</f>
        <v>3.9951369863013704</v>
      </c>
      <c r="G9" s="98">
        <f>(G6+G7-G8)*Assumptions!$G$96*MIN(365,_xlfn.DAYS('Fixed Asset Schedule'!G$4,Assumptions!I5))/365</f>
        <v>3.3958664383561636</v>
      </c>
    </row>
    <row r="10" spans="1:7" x14ac:dyDescent="0.3">
      <c r="A10" s="95" t="s">
        <v>141</v>
      </c>
      <c r="B10" s="115"/>
      <c r="C10" s="115"/>
      <c r="D10" s="115"/>
      <c r="E10" s="106">
        <f>E6+E7-E8-E9</f>
        <v>26.634246575342466</v>
      </c>
      <c r="F10" s="106">
        <f t="shared" ref="F10:G10" si="2">F6+F7-F8-F9</f>
        <v>22.639109589041094</v>
      </c>
      <c r="G10" s="106">
        <f t="shared" si="2"/>
        <v>19.243243150684933</v>
      </c>
    </row>
    <row r="12" spans="1:7" x14ac:dyDescent="0.3">
      <c r="A12" s="119" t="s">
        <v>128</v>
      </c>
    </row>
    <row r="13" spans="1:7" x14ac:dyDescent="0.3">
      <c r="A13" t="s">
        <v>137</v>
      </c>
      <c r="E13" s="98">
        <f>0</f>
        <v>0</v>
      </c>
      <c r="F13" s="98">
        <f>E$17</f>
        <v>44.390410958904113</v>
      </c>
      <c r="G13" s="98">
        <f t="shared" ref="G13" si="3">F$17</f>
        <v>37.731849315068494</v>
      </c>
    </row>
    <row r="14" spans="1:7" x14ac:dyDescent="0.3">
      <c r="A14" t="s">
        <v>138</v>
      </c>
      <c r="E14" s="98">
        <f>'Capital Structure'!C7</f>
        <v>50</v>
      </c>
      <c r="F14" s="98">
        <f>0</f>
        <v>0</v>
      </c>
      <c r="G14" s="98">
        <f>0</f>
        <v>0</v>
      </c>
    </row>
    <row r="15" spans="1:7" x14ac:dyDescent="0.3">
      <c r="A15" t="s">
        <v>139</v>
      </c>
      <c r="E15" s="98">
        <f>0</f>
        <v>0</v>
      </c>
      <c r="F15" s="98">
        <f>0</f>
        <v>0</v>
      </c>
      <c r="G15" s="98">
        <f>0</f>
        <v>0</v>
      </c>
    </row>
    <row r="16" spans="1:7" x14ac:dyDescent="0.3">
      <c r="A16" t="s">
        <v>140</v>
      </c>
      <c r="E16" s="98">
        <f>(E13+E14-E15)*MIN(365,_xlfn.DAYS(E$4,Assumptions!$G$5))*Assumptions!$G$96/365</f>
        <v>5.6095890410958908</v>
      </c>
      <c r="F16" s="98">
        <f>(F13+F14-F15)*MIN(365,_xlfn.DAYS(F$4,Assumptions!$G$5))*Assumptions!$G$96/365</f>
        <v>6.6585616438356166</v>
      </c>
      <c r="G16" s="98">
        <f>(G13+G14-G15)*MIN(365,_xlfn.DAYS(G$4,Assumptions!$G$5))*Assumptions!$G$96/365</f>
        <v>5.6597773972602736</v>
      </c>
    </row>
    <row r="17" spans="1:7" x14ac:dyDescent="0.3">
      <c r="A17" s="95" t="s">
        <v>141</v>
      </c>
      <c r="B17" s="115"/>
      <c r="C17" s="115"/>
      <c r="D17" s="115"/>
      <c r="E17" s="106">
        <f>E13+E14-E15-E16</f>
        <v>44.390410958904113</v>
      </c>
      <c r="F17" s="106">
        <f t="shared" ref="F17:G17" si="4">F13+F14-F15-F16</f>
        <v>37.731849315068494</v>
      </c>
      <c r="G17" s="106">
        <f t="shared" si="4"/>
        <v>32.072071917808223</v>
      </c>
    </row>
    <row r="19" spans="1:7" x14ac:dyDescent="0.3">
      <c r="A19" s="119" t="s">
        <v>75</v>
      </c>
    </row>
    <row r="20" spans="1:7" x14ac:dyDescent="0.3">
      <c r="A20" t="s">
        <v>137</v>
      </c>
      <c r="E20" s="98">
        <f>0</f>
        <v>0</v>
      </c>
      <c r="F20" s="98">
        <f>E$24</f>
        <v>47.185479452054793</v>
      </c>
      <c r="G20" s="98">
        <f t="shared" ref="G20" si="5">F$24</f>
        <v>42.466931506849313</v>
      </c>
    </row>
    <row r="21" spans="1:7" x14ac:dyDescent="0.3">
      <c r="A21" t="s">
        <v>138</v>
      </c>
      <c r="E21" s="98">
        <f>'Capital Structure'!C8</f>
        <v>51</v>
      </c>
      <c r="F21" s="98">
        <f>0</f>
        <v>0</v>
      </c>
      <c r="G21" s="98">
        <f>0</f>
        <v>0</v>
      </c>
    </row>
    <row r="22" spans="1:7" x14ac:dyDescent="0.3">
      <c r="A22" t="s">
        <v>139</v>
      </c>
      <c r="E22" s="98">
        <f>0</f>
        <v>0</v>
      </c>
      <c r="F22" s="98">
        <f>0</f>
        <v>0</v>
      </c>
      <c r="G22" s="98">
        <f>0</f>
        <v>0</v>
      </c>
    </row>
    <row r="23" spans="1:7" x14ac:dyDescent="0.3">
      <c r="A23" t="s">
        <v>140</v>
      </c>
      <c r="E23" s="98">
        <f>(E20+E21-E22)*Assumptions!$G$97*MIN(365,_xlfn.DAYS('Fixed Asset Schedule'!E$4,Assumptions!$G$5))/365</f>
        <v>3.814520547945206</v>
      </c>
      <c r="F23" s="98">
        <f>(F20+F21-F22)*Assumptions!$G$97*MIN(365,_xlfn.DAYS('Fixed Asset Schedule'!F$4,Assumptions!$G$5))/365</f>
        <v>4.7185479452054793</v>
      </c>
      <c r="G23" s="98">
        <f>(G20+G21-G22)*Assumptions!$G$97*MIN(365,_xlfn.DAYS('Fixed Asset Schedule'!G$4,Assumptions!$G$5))/365</f>
        <v>4.2466931506849317</v>
      </c>
    </row>
    <row r="24" spans="1:7" x14ac:dyDescent="0.3">
      <c r="A24" s="95" t="s">
        <v>141</v>
      </c>
      <c r="B24" s="115"/>
      <c r="C24" s="115"/>
      <c r="D24" s="115"/>
      <c r="E24" s="106">
        <f>E20+E21-E22-E23</f>
        <v>47.185479452054793</v>
      </c>
      <c r="F24" s="106">
        <f t="shared" ref="F24:G24" si="6">F20+F21-F22-F23</f>
        <v>42.466931506849313</v>
      </c>
      <c r="G24" s="106">
        <f t="shared" si="6"/>
        <v>38.22023835616438</v>
      </c>
    </row>
    <row r="26" spans="1:7" x14ac:dyDescent="0.3">
      <c r="A26" s="119" t="s">
        <v>76</v>
      </c>
    </row>
    <row r="27" spans="1:7" x14ac:dyDescent="0.3">
      <c r="A27" t="s">
        <v>137</v>
      </c>
      <c r="E27" s="98">
        <f>0</f>
        <v>0</v>
      </c>
      <c r="F27" s="98">
        <f>E$31</f>
        <v>55.512328767123286</v>
      </c>
      <c r="G27" s="98">
        <f t="shared" ref="G27" si="7">F$31</f>
        <v>49.961095890410959</v>
      </c>
    </row>
    <row r="28" spans="1:7" x14ac:dyDescent="0.3">
      <c r="A28" t="s">
        <v>138</v>
      </c>
      <c r="E28" s="98">
        <f>'Capital Structure'!C9</f>
        <v>60</v>
      </c>
      <c r="F28" s="98">
        <f>0</f>
        <v>0</v>
      </c>
      <c r="G28" s="98">
        <f>0</f>
        <v>0</v>
      </c>
    </row>
    <row r="29" spans="1:7" x14ac:dyDescent="0.3">
      <c r="A29" t="s">
        <v>139</v>
      </c>
      <c r="E29" s="98">
        <f>0</f>
        <v>0</v>
      </c>
      <c r="F29" s="98">
        <f>0</f>
        <v>0</v>
      </c>
      <c r="G29" s="98">
        <f>0</f>
        <v>0</v>
      </c>
    </row>
    <row r="30" spans="1:7" x14ac:dyDescent="0.3">
      <c r="A30" t="s">
        <v>140</v>
      </c>
      <c r="E30" s="98">
        <f>(E27+E28-E29)*MIN(365,_xlfn.DAYS(E$4,Assumptions!$G$5))*Assumptions!$G$97/365</f>
        <v>4.4876712328767123</v>
      </c>
      <c r="F30" s="98">
        <f>(F27+F28-F29)*MIN(365,_xlfn.DAYS(F$4,Assumptions!$G$5))*Assumptions!$G$97/365</f>
        <v>5.5512328767123291</v>
      </c>
      <c r="G30" s="98">
        <f>(G27+G28-G29)*MIN(365,_xlfn.DAYS(G$4,Assumptions!$G$5))*Assumptions!$G$97/365</f>
        <v>4.9961095890410956</v>
      </c>
    </row>
    <row r="31" spans="1:7" x14ac:dyDescent="0.3">
      <c r="A31" s="95" t="s">
        <v>141</v>
      </c>
      <c r="B31" s="115"/>
      <c r="C31" s="115"/>
      <c r="D31" s="115"/>
      <c r="E31" s="106">
        <f>E27+E28-E29-E30</f>
        <v>55.512328767123286</v>
      </c>
      <c r="F31" s="106">
        <f t="shared" ref="F31:G31" si="8">F27+F28-F29-F30</f>
        <v>49.961095890410959</v>
      </c>
      <c r="G31" s="106">
        <f t="shared" si="8"/>
        <v>44.964986301369862</v>
      </c>
    </row>
    <row r="33" spans="1:1" s="117" customFormat="1" x14ac:dyDescent="0.3">
      <c r="A33" s="116" t="s">
        <v>119</v>
      </c>
    </row>
  </sheetData>
  <pageMargins left="0.7" right="0.7" top="0.75" bottom="0.75" header="0.3" footer="0.3"/>
  <pageSetup orientation="portrait" r:id="rId1"/>
  <ignoredErrors>
    <ignoredError sqref="E7 E21 E28 E14" formula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opLeftCell="A3" workbookViewId="0">
      <selection activeCell="B9" sqref="B9"/>
    </sheetView>
  </sheetViews>
  <sheetFormatPr defaultRowHeight="14.4" x14ac:dyDescent="0.3"/>
  <cols>
    <col min="1" max="1" width="14.5546875" bestFit="1" customWidth="1"/>
    <col min="2" max="2" width="5.5546875" bestFit="1" customWidth="1"/>
    <col min="5" max="7" width="9.6640625" bestFit="1" customWidth="1"/>
  </cols>
  <sheetData>
    <row r="1" spans="1:7" x14ac:dyDescent="0.3">
      <c r="A1" t="s">
        <v>109</v>
      </c>
      <c r="B1" s="66" t="str">
        <f>Convertor!C1</f>
        <v>Lakhs</v>
      </c>
    </row>
    <row r="3" spans="1:7" x14ac:dyDescent="0.3">
      <c r="E3" s="74">
        <v>1</v>
      </c>
      <c r="F3" s="74">
        <f>E3+1</f>
        <v>2</v>
      </c>
      <c r="G3" s="74">
        <f>F3+1</f>
        <v>3</v>
      </c>
    </row>
    <row r="4" spans="1:7" x14ac:dyDescent="0.3">
      <c r="E4" s="72">
        <f>EOMONTH(Assumptions!G3,11)</f>
        <v>44286</v>
      </c>
      <c r="F4" s="72">
        <f>EOMONTH(E4,12)</f>
        <v>44651</v>
      </c>
      <c r="G4" s="72">
        <f t="shared" ref="G4" si="0">EOMONTH(F4,12)</f>
        <v>45016</v>
      </c>
    </row>
    <row r="5" spans="1:7" x14ac:dyDescent="0.3">
      <c r="A5" s="76" t="s">
        <v>142</v>
      </c>
    </row>
    <row r="6" spans="1:7" x14ac:dyDescent="0.3">
      <c r="A6" s="2" t="s">
        <v>80</v>
      </c>
    </row>
    <row r="7" spans="1:7" x14ac:dyDescent="0.3">
      <c r="A7" s="120" t="str">
        <f>'Monthly Revenue'!A73</f>
        <v xml:space="preserve">Alcoholic Beverages </v>
      </c>
      <c r="E7" s="98">
        <f>SUMIF('Monthly P&amp;L'!$E$4:$AN$4,'Working capital'!E$4,'Monthly P&amp;L'!$E12:$AN12)/30*Assumptions!$G$89</f>
        <v>2.7922225506679901</v>
      </c>
      <c r="F7" s="98">
        <f>SUMIF('Monthly P&amp;L'!$E$4:$AN$4,'Working capital'!F$4,'Monthly P&amp;L'!$E12:$AN12)/30*Assumptions!$G$89</f>
        <v>4.1534533029475886</v>
      </c>
      <c r="G7" s="98">
        <f>SUMIF('Monthly P&amp;L'!$E$4:$AN$4,'Working capital'!G$4,'Monthly P&amp;L'!$E12:$AN12)/30*Assumptions!$G$89</f>
        <v>5.7836824648853318</v>
      </c>
    </row>
    <row r="8" spans="1:7" x14ac:dyDescent="0.3">
      <c r="A8" s="120" t="str">
        <f>'Monthly Revenue'!A74</f>
        <v xml:space="preserve">Non Alcoholic Beverages </v>
      </c>
      <c r="E8" s="98">
        <f>SUMIF('Monthly P&amp;L'!$E$4:$AN$4,'Working capital'!E$4,'Monthly P&amp;L'!$E13:$AN13)/30*Assumptions!$G$90</f>
        <v>0.77393948108251065</v>
      </c>
      <c r="F8" s="98">
        <f>SUMIF('Monthly P&amp;L'!$E$4:$AN$4,'Working capital'!F$4,'Monthly P&amp;L'!$E13:$AN13)/30*Assumptions!$G$90</f>
        <v>1.1277936186745523</v>
      </c>
      <c r="G8" s="98">
        <f>SUMIF('Monthly P&amp;L'!$E$4:$AN$4,'Working capital'!G$4,'Monthly P&amp;L'!$E13:$AN13)/30*Assumptions!$G$90</f>
        <v>1.5584251803813611</v>
      </c>
    </row>
    <row r="9" spans="1:7" x14ac:dyDescent="0.3">
      <c r="A9" s="120" t="str">
        <f>'Monthly Revenue'!A75</f>
        <v>Food</v>
      </c>
      <c r="E9" s="98">
        <f>SUMIF('Monthly P&amp;L'!$E$4:$AN$4,'Working capital'!E$4,'Monthly P&amp;L'!$E14:$AN14)/30*Assumptions!$G$91</f>
        <v>0.92636727984097988</v>
      </c>
      <c r="F9" s="98">
        <f>SUMIF('Monthly P&amp;L'!$E$4:$AN$4,'Working capital'!F$4,'Monthly P&amp;L'!$E14:$AN14)/30*Assumptions!$G$91</f>
        <v>1.3407216443376373</v>
      </c>
      <c r="G9" s="98">
        <f>SUMIF('Monthly P&amp;L'!$E$4:$AN$4,'Working capital'!G$4,'Monthly P&amp;L'!$E14:$AN14)/30*Assumptions!$G$91</f>
        <v>1.8488064754767013</v>
      </c>
    </row>
    <row r="10" spans="1:7" x14ac:dyDescent="0.3">
      <c r="A10" s="121" t="str">
        <f>'Monthly Revenue'!A76</f>
        <v>Total</v>
      </c>
      <c r="B10" s="115"/>
      <c r="C10" s="115"/>
      <c r="D10" s="115"/>
      <c r="E10" s="106">
        <f>SUM(E7:E9)</f>
        <v>4.4925293115914808</v>
      </c>
      <c r="F10" s="106">
        <f t="shared" ref="F10:G10" si="1">SUM(F7:F9)</f>
        <v>6.6219685659597776</v>
      </c>
      <c r="G10" s="106">
        <f t="shared" si="1"/>
        <v>9.1909141207433933</v>
      </c>
    </row>
    <row r="11" spans="1:7" x14ac:dyDescent="0.3">
      <c r="A11" s="122"/>
      <c r="B11" s="1"/>
      <c r="C11" s="1"/>
      <c r="D11" s="1"/>
      <c r="E11" s="1"/>
      <c r="F11" s="1"/>
      <c r="G11" s="1"/>
    </row>
    <row r="12" spans="1:7" x14ac:dyDescent="0.3">
      <c r="A12" s="76" t="s">
        <v>143</v>
      </c>
    </row>
    <row r="13" spans="1:7" x14ac:dyDescent="0.3">
      <c r="A13" t="s">
        <v>82</v>
      </c>
      <c r="E13" s="98">
        <f>SUMIF('Monthly P&amp;L'!$E$4:$AN$4,'Working capital'!E$4,'Monthly P&amp;L'!$E29:$AN29)/30*Assumptions!$G$92</f>
        <v>10.457530855020687</v>
      </c>
      <c r="F13" s="98">
        <f>SUMIF('Monthly P&amp;L'!$E$4:$AN$4,'Working capital'!F$4,'Monthly P&amp;L'!$E29:$AN29)/30*Assumptions!$G$92</f>
        <v>13.338152849038556</v>
      </c>
      <c r="G13" s="98">
        <f>SUMIF('Monthly P&amp;L'!$E$4:$AN$4,'Working capital'!G$4,'Monthly P&amp;L'!$E29:$AN29)/30*Assumptions!$G$92</f>
        <v>16.788500985579741</v>
      </c>
    </row>
    <row r="14" spans="1:7" x14ac:dyDescent="0.3">
      <c r="A14" s="2" t="s">
        <v>144</v>
      </c>
    </row>
    <row r="15" spans="1:7" x14ac:dyDescent="0.3">
      <c r="A15" s="120" t="str">
        <f>A7</f>
        <v xml:space="preserve">Alcoholic Beverages </v>
      </c>
      <c r="E15" s="98">
        <f>SUMIF('Monthly P&amp;L'!$E$4:$AN$4,'Working capital'!E$4,'Monthly P&amp;L'!$E12:$AN12)/30*Assumptions!$G$93</f>
        <v>2.7922225506679901</v>
      </c>
      <c r="F15" s="98">
        <f>SUMIF('Monthly P&amp;L'!$E$4:$AN$4,'Working capital'!F$4,'Monthly P&amp;L'!$E12:$AN12)/30*Assumptions!$G$93</f>
        <v>4.1534533029475886</v>
      </c>
      <c r="G15" s="98">
        <f>SUMIF('Monthly P&amp;L'!$E$4:$AN$4,'Working capital'!G$4,'Monthly P&amp;L'!$E12:$AN12)/30*Assumptions!$G$93</f>
        <v>5.7836824648853318</v>
      </c>
    </row>
    <row r="16" spans="1:7" x14ac:dyDescent="0.3">
      <c r="A16" s="120" t="str">
        <f t="shared" ref="A16:A17" si="2">A8</f>
        <v xml:space="preserve">Non Alcoholic Beverages </v>
      </c>
      <c r="E16" s="98">
        <f>SUMIF('Monthly P&amp;L'!$E$4:$AN$4,'Working capital'!E$4,'Monthly P&amp;L'!$E13:$AN13)/30*Assumptions!$G$93</f>
        <v>1.5478789621650213</v>
      </c>
      <c r="F16" s="98">
        <f>SUMIF('Monthly P&amp;L'!$E$4:$AN$4,'Working capital'!F$4,'Monthly P&amp;L'!$E13:$AN13)/30*Assumptions!$G$93</f>
        <v>2.2555872373491046</v>
      </c>
      <c r="G16" s="98">
        <f>SUMIF('Monthly P&amp;L'!$E$4:$AN$4,'Working capital'!G$4,'Monthly P&amp;L'!$E13:$AN13)/30*Assumptions!$G$93</f>
        <v>3.1168503607627223</v>
      </c>
    </row>
    <row r="17" spans="1:7" x14ac:dyDescent="0.3">
      <c r="A17" s="120" t="str">
        <f t="shared" si="2"/>
        <v>Food</v>
      </c>
      <c r="E17" s="98">
        <f>SUMIF('Monthly P&amp;L'!$E$4:$AN$4,'Working capital'!E$4,'Monthly P&amp;L'!$E14:$AN14)/30*Assumptions!$G$93</f>
        <v>5.5582036790458789</v>
      </c>
      <c r="F17" s="98">
        <f>SUMIF('Monthly P&amp;L'!$E$4:$AN$4,'Working capital'!F$4,'Monthly P&amp;L'!$E14:$AN14)/30*Assumptions!$G$93</f>
        <v>8.0443298660258247</v>
      </c>
      <c r="G17" s="98">
        <f>SUMIF('Monthly P&amp;L'!$E$4:$AN$4,'Working capital'!G$4,'Monthly P&amp;L'!$E14:$AN14)/30*Assumptions!$G$93</f>
        <v>11.092838852860208</v>
      </c>
    </row>
    <row r="18" spans="1:7" x14ac:dyDescent="0.3">
      <c r="A18" s="121" t="s">
        <v>32</v>
      </c>
      <c r="B18" s="115"/>
      <c r="C18" s="115"/>
      <c r="D18" s="115"/>
      <c r="E18" s="106">
        <f>E13+E15+E16+E17</f>
        <v>20.355836046899576</v>
      </c>
      <c r="F18" s="106">
        <f t="shared" ref="F18:G18" si="3">F13+F15+F16+F17</f>
        <v>27.791523255361071</v>
      </c>
      <c r="G18" s="106">
        <f t="shared" si="3"/>
        <v>36.781872664087999</v>
      </c>
    </row>
    <row r="21" spans="1:7" x14ac:dyDescent="0.3">
      <c r="A21" t="s">
        <v>72</v>
      </c>
      <c r="E21" s="98">
        <f>E10-E18</f>
        <v>-15.863306735308095</v>
      </c>
      <c r="F21" s="98">
        <f t="shared" ref="F21:G21" si="4">F10-F18</f>
        <v>-21.169554689401295</v>
      </c>
      <c r="G21" s="98">
        <f t="shared" si="4"/>
        <v>-27.590958543344605</v>
      </c>
    </row>
    <row r="22" spans="1:7" x14ac:dyDescent="0.3">
      <c r="A22" t="s">
        <v>145</v>
      </c>
      <c r="E22" s="98">
        <f>-(E21-D21)</f>
        <v>15.863306735308095</v>
      </c>
      <c r="F22" s="98">
        <f t="shared" ref="F22:G22" si="5">-(F21-E21)</f>
        <v>5.3062479540931999</v>
      </c>
      <c r="G22" s="98">
        <f t="shared" si="5"/>
        <v>6.4214038539433105</v>
      </c>
    </row>
    <row r="24" spans="1:7" s="117" customFormat="1" x14ac:dyDescent="0.3">
      <c r="A24" s="116" t="s">
        <v>119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5"/>
  <sheetViews>
    <sheetView topLeftCell="A22" workbookViewId="0">
      <selection activeCell="G50" sqref="G50"/>
    </sheetView>
  </sheetViews>
  <sheetFormatPr defaultRowHeight="14.4" x14ac:dyDescent="0.3"/>
  <cols>
    <col min="1" max="1" width="38.33203125" bestFit="1" customWidth="1"/>
    <col min="2" max="2" width="5.5546875" bestFit="1" customWidth="1"/>
    <col min="4" max="4" width="9.109375" bestFit="1" customWidth="1"/>
    <col min="5" max="7" width="9.6640625" bestFit="1" customWidth="1"/>
  </cols>
  <sheetData>
    <row r="1" spans="1:7" x14ac:dyDescent="0.3">
      <c r="A1" t="s">
        <v>109</v>
      </c>
      <c r="B1" s="66" t="str">
        <f>Convertor!C1</f>
        <v>Lakhs</v>
      </c>
    </row>
    <row r="3" spans="1:7" x14ac:dyDescent="0.3">
      <c r="E3" s="74">
        <v>1</v>
      </c>
      <c r="F3" s="74">
        <f>E3+1</f>
        <v>2</v>
      </c>
      <c r="G3" s="74">
        <f>F3+1</f>
        <v>3</v>
      </c>
    </row>
    <row r="4" spans="1:7" x14ac:dyDescent="0.3">
      <c r="D4" s="111">
        <f>Assumptions!$G$3</f>
        <v>43922</v>
      </c>
      <c r="E4" s="72">
        <f>EOMONTH(Assumptions!G3,11)</f>
        <v>44286</v>
      </c>
      <c r="F4" s="72">
        <f>EOMONTH(E4,12)</f>
        <v>44651</v>
      </c>
      <c r="G4" s="72">
        <f t="shared" ref="G4" si="0">EOMONTH(F4,12)</f>
        <v>45016</v>
      </c>
    </row>
    <row r="5" spans="1:7" x14ac:dyDescent="0.3">
      <c r="A5" s="76" t="s">
        <v>5</v>
      </c>
      <c r="E5" s="83"/>
      <c r="F5" s="83"/>
      <c r="G5" s="83"/>
    </row>
    <row r="6" spans="1:7" x14ac:dyDescent="0.3">
      <c r="A6" t="str">
        <f>'Monthly Revenue'!A73</f>
        <v xml:space="preserve">Alcoholic Beverages </v>
      </c>
      <c r="E6" s="98">
        <f>SUMIFS('Monthly P&amp;L'!$E6:$AN6,'Monthly P&amp;L'!$E$4:$AN$4,"&gt;"&amp;'Annual P&amp;L'!D$4,'Monthly P&amp;L'!$E$4:$AN$4,"&lt;="&amp;'Annual P&amp;L'!E$4)</f>
        <v>64.585172361104696</v>
      </c>
      <c r="F6" s="98">
        <f>SUMIFS('Monthly P&amp;L'!$E6:$AN6,'Monthly P&amp;L'!$E$4:$AN$4,"&gt;"&amp;'Annual P&amp;L'!E$4,'Monthly P&amp;L'!$E$4:$AN$4,"&lt;="&amp;'Annual P&amp;L'!F$4)</f>
        <v>121.87671607748571</v>
      </c>
      <c r="G6" s="98">
        <f>SUMIFS('Monthly P&amp;L'!$E6:$AN6,'Monthly P&amp;L'!$E$4:$AN$4,"&gt;"&amp;'Annual P&amp;L'!F$4,'Monthly P&amp;L'!$E$4:$AN$4,"&lt;="&amp;'Annual P&amp;L'!G$4)</f>
        <v>180.72178813438074</v>
      </c>
    </row>
    <row r="7" spans="1:7" x14ac:dyDescent="0.3">
      <c r="A7" t="str">
        <f>'Monthly Revenue'!A74</f>
        <v xml:space="preserve">Non Alcoholic Beverages </v>
      </c>
      <c r="E7" s="98">
        <f>SUMIFS('Monthly P&amp;L'!$E7:$AN7,'Monthly P&amp;L'!$E$4:$AN$4,"&gt;"&amp;'Annual P&amp;L'!D$4,'Monthly P&amp;L'!$E$4:$AN$4,"&lt;="&amp;'Annual P&amp;L'!E$4)</f>
        <v>31.16544800870841</v>
      </c>
      <c r="F7" s="98">
        <f>SUMIFS('Monthly P&amp;L'!$E7:$AN7,'Monthly P&amp;L'!$E$4:$AN$4,"&gt;"&amp;'Annual P&amp;L'!E$4,'Monthly P&amp;L'!$E$4:$AN$4,"&lt;="&amp;'Annual P&amp;L'!F$4)</f>
        <v>57.732684827992365</v>
      </c>
      <c r="G7" s="98">
        <f>SUMIFS('Monthly P&amp;L'!$E7:$AN7,'Monthly P&amp;L'!$E$4:$AN$4,"&gt;"&amp;'Annual P&amp;L'!F$4,'Monthly P&amp;L'!$E$4:$AN$4,"&lt;="&amp;'Annual P&amp;L'!G$4)</f>
        <v>84.085990550785397</v>
      </c>
    </row>
    <row r="8" spans="1:7" x14ac:dyDescent="0.3">
      <c r="A8" t="str">
        <f>'Monthly Revenue'!A75</f>
        <v>Food</v>
      </c>
      <c r="E8" s="98">
        <f>SUMIFS('Monthly P&amp;L'!$E8:$AN8,'Monthly P&amp;L'!$E$4:$AN$4,"&gt;"&amp;'Annual P&amp;L'!D$4,'Monthly P&amp;L'!$E$4:$AN$4,"&lt;="&amp;'Annual P&amp;L'!E$4)</f>
        <v>148.95966081244541</v>
      </c>
      <c r="F8" s="98">
        <f>SUMIFS('Monthly P&amp;L'!$E8:$AN8,'Monthly P&amp;L'!$E$4:$AN$4,"&gt;"&amp;'Annual P&amp;L'!E$4,'Monthly P&amp;L'!$E$4:$AN$4,"&lt;="&amp;'Annual P&amp;L'!F$4)</f>
        <v>274.24132123538237</v>
      </c>
      <c r="G8" s="98">
        <f>SUMIFS('Monthly P&amp;L'!$E8:$AN8,'Monthly P&amp;L'!$E$4:$AN$4,"&gt;"&amp;'Annual P&amp;L'!F$4,'Monthly P&amp;L'!$E$4:$AN$4,"&lt;="&amp;'Annual P&amp;L'!G$4)</f>
        <v>397.06350088525784</v>
      </c>
    </row>
    <row r="9" spans="1:7" x14ac:dyDescent="0.3">
      <c r="A9" s="95" t="str">
        <f>'Monthly Revenue'!A76</f>
        <v>Total</v>
      </c>
      <c r="B9" s="115"/>
      <c r="C9" s="115"/>
      <c r="D9" s="115"/>
      <c r="E9" s="106">
        <f>SUMIFS('Monthly P&amp;L'!$E9:$AN9,'Monthly P&amp;L'!$E$4:$AN$4,"&gt;"&amp;'Annual P&amp;L'!D$4,'Monthly P&amp;L'!$E$4:$AN$4,"&lt;="&amp;'Annual P&amp;L'!E$4)</f>
        <v>244.71028118225851</v>
      </c>
      <c r="F9" s="106">
        <f>SUMIFS('Monthly P&amp;L'!$E9:$AN9,'Monthly P&amp;L'!$E$4:$AN$4,"&gt;"&amp;'Annual P&amp;L'!E$4,'Monthly P&amp;L'!$E$4:$AN$4,"&lt;="&amp;'Annual P&amp;L'!F$4)</f>
        <v>453.85072214086051</v>
      </c>
      <c r="G9" s="106">
        <f>SUMIFS('Monthly P&amp;L'!$E9:$AN9,'Monthly P&amp;L'!$E$4:$AN$4,"&gt;"&amp;'Annual P&amp;L'!F$4,'Monthly P&amp;L'!$E$4:$AN$4,"&lt;="&amp;'Annual P&amp;L'!G$4)</f>
        <v>661.87127957042401</v>
      </c>
    </row>
    <row r="10" spans="1:7" x14ac:dyDescent="0.3">
      <c r="E10" s="98"/>
      <c r="F10" s="98"/>
      <c r="G10" s="98"/>
    </row>
    <row r="11" spans="1:7" x14ac:dyDescent="0.3">
      <c r="A11" s="2" t="s">
        <v>120</v>
      </c>
      <c r="E11" s="98"/>
      <c r="F11" s="98"/>
      <c r="G11" s="98"/>
    </row>
    <row r="12" spans="1:7" x14ac:dyDescent="0.3">
      <c r="A12" s="97" t="s">
        <v>23</v>
      </c>
      <c r="E12" s="98">
        <f>SUMIFS('Monthly P&amp;L'!$E12:$AN12,'Monthly P&amp;L'!$E$4:$AN$4,"&gt;"&amp;'Annual P&amp;L'!D$4,'Monthly P&amp;L'!$E$4:$AN$4,"&lt;="&amp;'Annual P&amp;L'!E$4)</f>
        <v>22.604810326386644</v>
      </c>
      <c r="F12" s="98">
        <f>SUMIFS('Monthly P&amp;L'!$E12:$AN12,'Monthly P&amp;L'!$E$4:$AN$4,"&gt;"&amp;'Annual P&amp;L'!E$4,'Monthly P&amp;L'!$E$4:$AN$4,"&lt;="&amp;'Annual P&amp;L'!F$4)</f>
        <v>42.656850627119987</v>
      </c>
      <c r="G12" s="98">
        <f>SUMIFS('Monthly P&amp;L'!$E12:$AN12,'Monthly P&amp;L'!$E$4:$AN$4,"&gt;"&amp;'Annual P&amp;L'!F$4,'Monthly P&amp;L'!$E$4:$AN$4,"&lt;="&amp;'Annual P&amp;L'!G$4)</f>
        <v>63.252625847033258</v>
      </c>
    </row>
    <row r="13" spans="1:7" x14ac:dyDescent="0.3">
      <c r="A13" s="97" t="s">
        <v>24</v>
      </c>
      <c r="E13" s="98">
        <f>SUMIFS('Monthly P&amp;L'!$E13:$AN13,'Monthly P&amp;L'!$E$4:$AN$4,"&gt;"&amp;'Annual P&amp;L'!D$4,'Monthly P&amp;L'!$E$4:$AN$4,"&lt;="&amp;'Annual P&amp;L'!E$4)</f>
        <v>12.466179203483364</v>
      </c>
      <c r="F13" s="98">
        <f>SUMIFS('Monthly P&amp;L'!$E13:$AN13,'Monthly P&amp;L'!$E$4:$AN$4,"&gt;"&amp;'Annual P&amp;L'!E$4,'Monthly P&amp;L'!$E$4:$AN$4,"&lt;="&amp;'Annual P&amp;L'!F$4)</f>
        <v>23.093073931196948</v>
      </c>
      <c r="G13" s="98">
        <f>SUMIFS('Monthly P&amp;L'!$E13:$AN13,'Monthly P&amp;L'!$E$4:$AN$4,"&gt;"&amp;'Annual P&amp;L'!F$4,'Monthly P&amp;L'!$E$4:$AN$4,"&lt;="&amp;'Annual P&amp;L'!G$4)</f>
        <v>33.634396220314159</v>
      </c>
    </row>
    <row r="14" spans="1:7" x14ac:dyDescent="0.3">
      <c r="A14" s="1" t="s">
        <v>25</v>
      </c>
      <c r="E14" s="98">
        <f>SUMIFS('Monthly P&amp;L'!$E14:$AN14,'Monthly P&amp;L'!$E$4:$AN$4,"&gt;"&amp;'Annual P&amp;L'!D$4,'Monthly P&amp;L'!$E$4:$AN$4,"&lt;="&amp;'Annual P&amp;L'!E$4)</f>
        <v>44.687898243733621</v>
      </c>
      <c r="F14" s="98">
        <f>SUMIFS('Monthly P&amp;L'!$E14:$AN14,'Monthly P&amp;L'!$E$4:$AN$4,"&gt;"&amp;'Annual P&amp;L'!E$4,'Monthly P&amp;L'!$E$4:$AN$4,"&lt;="&amp;'Annual P&amp;L'!F$4)</f>
        <v>82.2723963706147</v>
      </c>
      <c r="G14" s="98">
        <f>SUMIFS('Monthly P&amp;L'!$E14:$AN14,'Monthly P&amp;L'!$E$4:$AN$4,"&gt;"&amp;'Annual P&amp;L'!F$4,'Monthly P&amp;L'!$E$4:$AN$4,"&lt;="&amp;'Annual P&amp;L'!G$4)</f>
        <v>119.11905026557736</v>
      </c>
    </row>
    <row r="15" spans="1:7" x14ac:dyDescent="0.3">
      <c r="A15" s="99" t="s">
        <v>121</v>
      </c>
      <c r="E15" s="98">
        <f>SUMIFS('Monthly P&amp;L'!$E15:$AN15,'Monthly P&amp;L'!$E$4:$AN$4,"&gt;"&amp;'Annual P&amp;L'!D$4,'Monthly P&amp;L'!$E$4:$AN$4,"&lt;="&amp;'Annual P&amp;L'!E$4)</f>
        <v>88.74</v>
      </c>
      <c r="F15" s="98">
        <f>SUMIFS('Monthly P&amp;L'!$E15:$AN15,'Monthly P&amp;L'!$E$4:$AN$4,"&gt;"&amp;'Annual P&amp;L'!E$4,'Monthly P&amp;L'!$E$4:$AN$4,"&lt;="&amp;'Annual P&amp;L'!F$4)</f>
        <v>125.41919999999998</v>
      </c>
      <c r="G15" s="98">
        <f>SUMIFS('Monthly P&amp;L'!$E15:$AN15,'Monthly P&amp;L'!$E$4:$AN$4,"&gt;"&amp;'Annual P&amp;L'!F$4,'Monthly P&amp;L'!$E$4:$AN$4,"&lt;="&amp;'Annual P&amp;L'!G$4)</f>
        <v>135.45273599999999</v>
      </c>
    </row>
    <row r="16" spans="1:7" x14ac:dyDescent="0.3">
      <c r="A16" s="123" t="s">
        <v>124</v>
      </c>
      <c r="B16" s="115"/>
      <c r="C16" s="115"/>
      <c r="D16" s="115"/>
      <c r="E16" s="106">
        <f>SUMIFS('Monthly P&amp;L'!$E16:$AN16,'Monthly P&amp;L'!$E$4:$AN$4,"&gt;"&amp;'Annual P&amp;L'!D$4,'Monthly P&amp;L'!$E$4:$AN$4,"&lt;="&amp;'Annual P&amp;L'!E$4)</f>
        <v>168.49888777360363</v>
      </c>
      <c r="F16" s="106">
        <f>SUMIFS('Monthly P&amp;L'!$E16:$AN16,'Monthly P&amp;L'!$E$4:$AN$4,"&gt;"&amp;'Annual P&amp;L'!E$4,'Monthly P&amp;L'!$E$4:$AN$4,"&lt;="&amp;'Annual P&amp;L'!F$4)</f>
        <v>273.4415209289316</v>
      </c>
      <c r="G16" s="106">
        <f>SUMIFS('Monthly P&amp;L'!$E16:$AN16,'Monthly P&amp;L'!$E$4:$AN$4,"&gt;"&amp;'Annual P&amp;L'!F$4,'Monthly P&amp;L'!$E$4:$AN$4,"&lt;="&amp;'Annual P&amp;L'!G$4)</f>
        <v>351.45880833292472</v>
      </c>
    </row>
    <row r="17" spans="1:9" x14ac:dyDescent="0.3">
      <c r="A17" s="81"/>
      <c r="E17" s="98"/>
      <c r="F17" s="98"/>
      <c r="G17" s="98"/>
    </row>
    <row r="18" spans="1:9" x14ac:dyDescent="0.3">
      <c r="A18" s="101" t="s">
        <v>122</v>
      </c>
      <c r="E18" s="98"/>
      <c r="F18" s="98"/>
      <c r="G18" s="98"/>
    </row>
    <row r="19" spans="1:9" x14ac:dyDescent="0.3">
      <c r="A19" s="99" t="s">
        <v>123</v>
      </c>
      <c r="E19" s="98">
        <f>SUMIFS('Monthly P&amp;L'!$E19:$AN19,'Monthly P&amp;L'!$E$4:$AN$4,"&gt;"&amp;'Annual P&amp;L'!D$4,'Monthly P&amp;L'!$E$4:$AN$4,"&lt;="&amp;'Annual P&amp;L'!E$4)</f>
        <v>34.200000000000003</v>
      </c>
      <c r="F19" s="98">
        <f>SUMIFS('Monthly P&amp;L'!$E19:$AN19,'Monthly P&amp;L'!$E$4:$AN$4,"&gt;"&amp;'Annual P&amp;L'!E$4,'Monthly P&amp;L'!$E$4:$AN$4,"&lt;="&amp;'Annual P&amp;L'!F$4)</f>
        <v>48.335999999999991</v>
      </c>
      <c r="G19" s="98">
        <f>SUMIFS('Monthly P&amp;L'!$E19:$AN19,'Monthly P&amp;L'!$E$4:$AN$4,"&gt;"&amp;'Annual P&amp;L'!F$4,'Monthly P&amp;L'!$E$4:$AN$4,"&lt;="&amp;'Annual P&amp;L'!G$4)</f>
        <v>52.202880000000022</v>
      </c>
      <c r="I19" t="s">
        <v>96</v>
      </c>
    </row>
    <row r="20" spans="1:9" x14ac:dyDescent="0.3">
      <c r="A20" t="str">
        <f>Assumptions!A52</f>
        <v>Royalty to brand (% of Revenue)</v>
      </c>
      <c r="E20" s="98">
        <f>SUMIFS('Monthly P&amp;L'!$E20:$AN20,'Monthly P&amp;L'!$E$4:$AN$4,"&gt;"&amp;'Annual P&amp;L'!D$4,'Monthly P&amp;L'!$E$4:$AN$4,"&lt;="&amp;'Annual P&amp;L'!E$4)</f>
        <v>12.235514059112925</v>
      </c>
      <c r="F20" s="98">
        <f>SUMIFS('Monthly P&amp;L'!$E20:$AN20,'Monthly P&amp;L'!$E$4:$AN$4,"&gt;"&amp;'Annual P&amp;L'!E$4,'Monthly P&amp;L'!$E$4:$AN$4,"&lt;="&amp;'Annual P&amp;L'!F$4)</f>
        <v>22.692536107043018</v>
      </c>
      <c r="G20" s="98">
        <f>SUMIFS('Monthly P&amp;L'!$E20:$AN20,'Monthly P&amp;L'!$E$4:$AN$4,"&gt;"&amp;'Annual P&amp;L'!F$4,'Monthly P&amp;L'!$E$4:$AN$4,"&lt;="&amp;'Annual P&amp;L'!G$4)</f>
        <v>33.093563978521196</v>
      </c>
    </row>
    <row r="21" spans="1:9" x14ac:dyDescent="0.3">
      <c r="A21" t="str">
        <f>Assumptions!A53</f>
        <v>Rent (as per contract) (% of Revenue)</v>
      </c>
      <c r="E21" s="98">
        <f>SUMIFS('Monthly P&amp;L'!$E21:$AN21,'Monthly P&amp;L'!$E$4:$AN$4,"&gt;"&amp;'Annual P&amp;L'!D$4,'Monthly P&amp;L'!$E$4:$AN$4,"&lt;="&amp;'Annual P&amp;L'!E$4)</f>
        <v>24.471028118225849</v>
      </c>
      <c r="F21" s="98">
        <f>SUMIFS('Monthly P&amp;L'!$E21:$AN21,'Monthly P&amp;L'!$E$4:$AN$4,"&gt;"&amp;'Annual P&amp;L'!E$4,'Monthly P&amp;L'!$E$4:$AN$4,"&lt;="&amp;'Annual P&amp;L'!F$4)</f>
        <v>45.385072214086037</v>
      </c>
      <c r="G21" s="98">
        <f>SUMIFS('Monthly P&amp;L'!$E21:$AN21,'Monthly P&amp;L'!$E$4:$AN$4,"&gt;"&amp;'Annual P&amp;L'!F$4,'Monthly P&amp;L'!$E$4:$AN$4,"&lt;="&amp;'Annual P&amp;L'!G$4)</f>
        <v>66.187127957042392</v>
      </c>
    </row>
    <row r="22" spans="1:9" x14ac:dyDescent="0.3">
      <c r="A22" t="str">
        <f>Assumptions!A54</f>
        <v>Water Cost (per month)</v>
      </c>
      <c r="E22" s="98">
        <f>SUMIFS('Monthly P&amp;L'!$E22:$AN22,'Monthly P&amp;L'!$E$4:$AN$4,"&gt;"&amp;'Annual P&amp;L'!D$4,'Monthly P&amp;L'!$E$4:$AN$4,"&lt;="&amp;'Annual P&amp;L'!E$4)</f>
        <v>0.89999999999999991</v>
      </c>
      <c r="F22" s="98">
        <f>SUMIFS('Monthly P&amp;L'!$E22:$AN22,'Monthly P&amp;L'!$E$4:$AN$4,"&gt;"&amp;'Annual P&amp;L'!E$4,'Monthly P&amp;L'!$E$4:$AN$4,"&lt;="&amp;'Annual P&amp;L'!F$4)</f>
        <v>1.2720000000000002</v>
      </c>
      <c r="G22" s="98">
        <f>SUMIFS('Monthly P&amp;L'!$E22:$AN22,'Monthly P&amp;L'!$E$4:$AN$4,"&gt;"&amp;'Annual P&amp;L'!F$4,'Monthly P&amp;L'!$E$4:$AN$4,"&lt;="&amp;'Annual P&amp;L'!G$4)</f>
        <v>1.3737600000000005</v>
      </c>
    </row>
    <row r="23" spans="1:9" x14ac:dyDescent="0.3">
      <c r="A23" t="str">
        <f>Assumptions!A55</f>
        <v>Maintenance (per month)</v>
      </c>
      <c r="E23" s="98">
        <f>SUMIFS('Monthly P&amp;L'!$E23:$AN23,'Monthly P&amp;L'!$E$4:$AN$4,"&gt;"&amp;'Annual P&amp;L'!D$4,'Monthly P&amp;L'!$E$4:$AN$4,"&lt;="&amp;'Annual P&amp;L'!E$4)</f>
        <v>4.5</v>
      </c>
      <c r="F23" s="98">
        <f>SUMIFS('Monthly P&amp;L'!$E23:$AN23,'Monthly P&amp;L'!$E$4:$AN$4,"&gt;"&amp;'Annual P&amp;L'!E$4,'Monthly P&amp;L'!$E$4:$AN$4,"&lt;="&amp;'Annual P&amp;L'!F$4)</f>
        <v>6.36</v>
      </c>
      <c r="G23" s="98">
        <f>SUMIFS('Monthly P&amp;L'!$E23:$AN23,'Monthly P&amp;L'!$E$4:$AN$4,"&gt;"&amp;'Annual P&amp;L'!F$4,'Monthly P&amp;L'!$E$4:$AN$4,"&lt;="&amp;'Annual P&amp;L'!G$4)</f>
        <v>6.8687999999999994</v>
      </c>
    </row>
    <row r="24" spans="1:9" x14ac:dyDescent="0.3">
      <c r="A24" t="str">
        <f>Assumptions!A56</f>
        <v>Marketing cost (per month)</v>
      </c>
      <c r="E24" s="98">
        <f>SUMIFS('Monthly P&amp;L'!$E24:$AN24,'Monthly P&amp;L'!$E$4:$AN$4,"&gt;"&amp;'Annual P&amp;L'!D$4,'Monthly P&amp;L'!$E$4:$AN$4,"&lt;="&amp;'Annual P&amp;L'!E$4)</f>
        <v>2.25</v>
      </c>
      <c r="F24" s="98">
        <f>SUMIFS('Monthly P&amp;L'!$E24:$AN24,'Monthly P&amp;L'!$E$4:$AN$4,"&gt;"&amp;'Annual P&amp;L'!E$4,'Monthly P&amp;L'!$E$4:$AN$4,"&lt;="&amp;'Annual P&amp;L'!F$4)</f>
        <v>3.18</v>
      </c>
      <c r="G24" s="98">
        <f>SUMIFS('Monthly P&amp;L'!$E24:$AN24,'Monthly P&amp;L'!$E$4:$AN$4,"&gt;"&amp;'Annual P&amp;L'!F$4,'Monthly P&amp;L'!$E$4:$AN$4,"&lt;="&amp;'Annual P&amp;L'!G$4)</f>
        <v>3.4343999999999997</v>
      </c>
    </row>
    <row r="25" spans="1:9" x14ac:dyDescent="0.3">
      <c r="A25" t="str">
        <f>Assumptions!A57</f>
        <v>Electricity (Based on area Rs/sq. Ft.)</v>
      </c>
      <c r="E25" s="98">
        <f>SUMIFS('Monthly P&amp;L'!$E25:$AN25,'Monthly P&amp;L'!$E$4:$AN$4,"&gt;"&amp;'Annual P&amp;L'!D$4,'Monthly P&amp;L'!$E$4:$AN$4,"&lt;="&amp;'Annual P&amp;L'!E$4)</f>
        <v>2.3940000000000001</v>
      </c>
      <c r="F25" s="98">
        <f>SUMIFS('Monthly P&amp;L'!$E25:$AN25,'Monthly P&amp;L'!$E$4:$AN$4,"&gt;"&amp;'Annual P&amp;L'!E$4,'Monthly P&amp;L'!$E$4:$AN$4,"&lt;="&amp;'Annual P&amp;L'!F$4)</f>
        <v>3.3835199999999999</v>
      </c>
      <c r="G25" s="98">
        <f>SUMIFS('Monthly P&amp;L'!$E25:$AN25,'Monthly P&amp;L'!$E$4:$AN$4,"&gt;"&amp;'Annual P&amp;L'!F$4,'Monthly P&amp;L'!$E$4:$AN$4,"&lt;="&amp;'Annual P&amp;L'!G$4)</f>
        <v>3.6542016000000004</v>
      </c>
    </row>
    <row r="26" spans="1:9" x14ac:dyDescent="0.3">
      <c r="A26" t="str">
        <f>Assumptions!A58</f>
        <v>Phone and internet (per month)</v>
      </c>
      <c r="E26" s="98">
        <f>SUMIFS('Monthly P&amp;L'!$E26:$AN26,'Monthly P&amp;L'!$E$4:$AN$4,"&gt;"&amp;'Annual P&amp;L'!D$4,'Monthly P&amp;L'!$E$4:$AN$4,"&lt;="&amp;'Annual P&amp;L'!E$4)</f>
        <v>1.3499999999999999</v>
      </c>
      <c r="F26" s="98">
        <f>SUMIFS('Monthly P&amp;L'!$E26:$AN26,'Monthly P&amp;L'!$E$4:$AN$4,"&gt;"&amp;'Annual P&amp;L'!E$4,'Monthly P&amp;L'!$E$4:$AN$4,"&lt;="&amp;'Annual P&amp;L'!F$4)</f>
        <v>1.9079999999999997</v>
      </c>
      <c r="G26" s="98">
        <f>SUMIFS('Monthly P&amp;L'!$E26:$AN26,'Monthly P&amp;L'!$E$4:$AN$4,"&gt;"&amp;'Annual P&amp;L'!F$4,'Monthly P&amp;L'!$E$4:$AN$4,"&lt;="&amp;'Annual P&amp;L'!G$4)</f>
        <v>2.0606400000000002</v>
      </c>
    </row>
    <row r="27" spans="1:9" x14ac:dyDescent="0.3">
      <c r="A27" t="str">
        <f>Assumptions!A59</f>
        <v>Housekeeping &amp; Consumables (% of revenue)</v>
      </c>
      <c r="E27" s="98">
        <f>SUMIFS('Monthly P&amp;L'!$E27:$AN27,'Monthly P&amp;L'!$E$4:$AN$4,"&gt;"&amp;'Annual P&amp;L'!D$4,'Monthly P&amp;L'!$E$4:$AN$4,"&lt;="&amp;'Annual P&amp;L'!E$4)</f>
        <v>4.8942056236451696</v>
      </c>
      <c r="F27" s="98">
        <f>SUMIFS('Monthly P&amp;L'!$E27:$AN27,'Monthly P&amp;L'!$E$4:$AN$4,"&gt;"&amp;'Annual P&amp;L'!E$4,'Monthly P&amp;L'!$E$4:$AN$4,"&lt;="&amp;'Annual P&amp;L'!F$4)</f>
        <v>9.077014442817207</v>
      </c>
      <c r="G27" s="98">
        <f>SUMIFS('Monthly P&amp;L'!$E27:$AN27,'Monthly P&amp;L'!$E$4:$AN$4,"&gt;"&amp;'Annual P&amp;L'!F$4,'Monthly P&amp;L'!$E$4:$AN$4,"&lt;="&amp;'Annual P&amp;L'!G$4)</f>
        <v>13.237425591408478</v>
      </c>
    </row>
    <row r="28" spans="1:9" x14ac:dyDescent="0.3">
      <c r="A28" t="str">
        <f>Assumptions!A60</f>
        <v>Payment Settlement Charges (% of revenue)</v>
      </c>
      <c r="E28" s="98">
        <f>SUMIFS('Monthly P&amp;L'!$E28:$AN28,'Monthly P&amp;L'!$E$4:$AN$4,"&gt;"&amp;'Annual P&amp;L'!D$4,'Monthly P&amp;L'!$E$4:$AN$4,"&lt;="&amp;'Annual P&amp;L'!E$4)</f>
        <v>1.8353271088669387</v>
      </c>
      <c r="F28" s="98">
        <f>SUMIFS('Monthly P&amp;L'!$E28:$AN28,'Monthly P&amp;L'!$E$4:$AN$4,"&gt;"&amp;'Annual P&amp;L'!E$4,'Monthly P&amp;L'!$E$4:$AN$4,"&lt;="&amp;'Annual P&amp;L'!F$4)</f>
        <v>3.4038804160564529</v>
      </c>
      <c r="G28" s="98">
        <f>SUMIFS('Monthly P&amp;L'!$E28:$AN28,'Monthly P&amp;L'!$E$4:$AN$4,"&gt;"&amp;'Annual P&amp;L'!F$4,'Monthly P&amp;L'!$E$4:$AN$4,"&lt;="&amp;'Annual P&amp;L'!G$4)</f>
        <v>4.9640345967781796</v>
      </c>
    </row>
    <row r="29" spans="1:9" x14ac:dyDescent="0.3">
      <c r="A29" s="123" t="s">
        <v>125</v>
      </c>
      <c r="B29" s="115"/>
      <c r="C29" s="115"/>
      <c r="D29" s="115"/>
      <c r="E29" s="106">
        <f>SUMIFS('Monthly P&amp;L'!$E29:$AN29,'Monthly P&amp;L'!$E$4:$AN$4,"&gt;"&amp;'Annual P&amp;L'!D$4,'Monthly P&amp;L'!$E$4:$AN$4,"&lt;="&amp;'Annual P&amp;L'!E$4)</f>
        <v>89.030074909850882</v>
      </c>
      <c r="F29" s="106">
        <f>SUMIFS('Monthly P&amp;L'!$E29:$AN29,'Monthly P&amp;L'!$E$4:$AN$4,"&gt;"&amp;'Annual P&amp;L'!E$4,'Monthly P&amp;L'!$E$4:$AN$4,"&lt;="&amp;'Annual P&amp;L'!F$4)</f>
        <v>144.99802318000272</v>
      </c>
      <c r="G29" s="106">
        <f>SUMIFS('Monthly P&amp;L'!$E29:$AN29,'Monthly P&amp;L'!$E$4:$AN$4,"&gt;"&amp;'Annual P&amp;L'!F$4,'Monthly P&amp;L'!$E$4:$AN$4,"&lt;="&amp;'Annual P&amp;L'!G$4)</f>
        <v>187.07683372375027</v>
      </c>
    </row>
    <row r="30" spans="1:9" x14ac:dyDescent="0.3">
      <c r="E30" s="98"/>
      <c r="F30" s="98"/>
      <c r="G30" s="98"/>
    </row>
    <row r="31" spans="1:9" x14ac:dyDescent="0.3">
      <c r="A31" s="88" t="s">
        <v>126</v>
      </c>
      <c r="B31" s="125"/>
      <c r="C31" s="125"/>
      <c r="D31" s="125"/>
      <c r="E31" s="100">
        <f>SUMIFS('Monthly P&amp;L'!$E31:$AN31,'Monthly P&amp;L'!$E$4:$AN$4,"&gt;"&amp;'Annual P&amp;L'!D$4,'Monthly P&amp;L'!$E$4:$AN$4,"&lt;="&amp;'Annual P&amp;L'!E$4)</f>
        <v>-12.818681501196002</v>
      </c>
      <c r="F31" s="100">
        <f>SUMIFS('Monthly P&amp;L'!$E31:$AN31,'Monthly P&amp;L'!$E$4:$AN$4,"&gt;"&amp;'Annual P&amp;L'!E$4,'Monthly P&amp;L'!$E$4:$AN$4,"&lt;="&amp;'Annual P&amp;L'!F$4)</f>
        <v>35.411178031926056</v>
      </c>
      <c r="G31" s="100">
        <f>SUMIFS('Monthly P&amp;L'!$E31:$AN31,'Monthly P&amp;L'!$E$4:$AN$4,"&gt;"&amp;'Annual P&amp;L'!F$4,'Monthly P&amp;L'!$E$4:$AN$4,"&lt;="&amp;'Annual P&amp;L'!G$4)</f>
        <v>123.33563751374891</v>
      </c>
    </row>
    <row r="32" spans="1:9" x14ac:dyDescent="0.3">
      <c r="A32" t="s">
        <v>140</v>
      </c>
      <c r="E32" s="83">
        <f>'Fixed Asset Schedule'!E9+'Fixed Asset Schedule'!E16+'Fixed Asset Schedule'!E23+'Fixed Asset Schedule'!E30</f>
        <v>17.277534246575343</v>
      </c>
      <c r="F32" s="83">
        <f>'Fixed Asset Schedule'!F9+'Fixed Asset Schedule'!F16+'Fixed Asset Schedule'!F23+'Fixed Asset Schedule'!F30</f>
        <v>20.923479452054796</v>
      </c>
      <c r="G32" s="83">
        <f>'Fixed Asset Schedule'!G9+'Fixed Asset Schedule'!G16+'Fixed Asset Schedule'!G23+'Fixed Asset Schedule'!G30</f>
        <v>18.298446575342464</v>
      </c>
    </row>
    <row r="33" spans="1:7" x14ac:dyDescent="0.3">
      <c r="E33" s="83"/>
      <c r="F33" s="83"/>
      <c r="G33" s="83"/>
    </row>
    <row r="34" spans="1:7" x14ac:dyDescent="0.3">
      <c r="A34" s="88" t="s">
        <v>146</v>
      </c>
      <c r="B34" s="125"/>
      <c r="C34" s="125"/>
      <c r="D34" s="125"/>
      <c r="E34" s="90">
        <f>E31-E32</f>
        <v>-30.096215747771346</v>
      </c>
      <c r="F34" s="90">
        <f t="shared" ref="F34:G34" si="1">F31-F32</f>
        <v>14.48769857987126</v>
      </c>
      <c r="G34" s="90">
        <f t="shared" si="1"/>
        <v>105.03719093840644</v>
      </c>
    </row>
    <row r="35" spans="1:7" x14ac:dyDescent="0.3">
      <c r="A35" t="s">
        <v>147</v>
      </c>
      <c r="E35" s="83">
        <f>0</f>
        <v>0</v>
      </c>
      <c r="F35" s="83">
        <f>0</f>
        <v>0</v>
      </c>
      <c r="G35" s="83">
        <f>0</f>
        <v>0</v>
      </c>
    </row>
    <row r="36" spans="1:7" x14ac:dyDescent="0.3">
      <c r="E36" s="83"/>
      <c r="F36" s="83"/>
      <c r="G36" s="83"/>
    </row>
    <row r="37" spans="1:7" x14ac:dyDescent="0.3">
      <c r="A37" s="88" t="s">
        <v>148</v>
      </c>
      <c r="B37" s="125"/>
      <c r="C37" s="125"/>
      <c r="D37" s="125"/>
      <c r="E37" s="90">
        <f>E34-E35</f>
        <v>-30.096215747771346</v>
      </c>
      <c r="F37" s="90">
        <f>F34-F35</f>
        <v>14.48769857987126</v>
      </c>
      <c r="G37" s="90">
        <f>G34-G35</f>
        <v>105.03719093840644</v>
      </c>
    </row>
    <row r="38" spans="1:7" x14ac:dyDescent="0.3">
      <c r="A38" t="s">
        <v>149</v>
      </c>
      <c r="E38" s="83">
        <f>E37*Assumptions!$G$105</f>
        <v>-7.5752175037140468</v>
      </c>
      <c r="F38" s="83">
        <f>F37*Assumptions!$G$105</f>
        <v>3.6465537325535959</v>
      </c>
      <c r="G38" s="83">
        <f>G37*Assumptions!$G$105</f>
        <v>26.4378609591969</v>
      </c>
    </row>
    <row r="39" spans="1:7" x14ac:dyDescent="0.3">
      <c r="E39" s="83"/>
      <c r="F39" s="83"/>
      <c r="G39" s="83"/>
    </row>
    <row r="40" spans="1:7" x14ac:dyDescent="0.3">
      <c r="A40" s="95" t="s">
        <v>150</v>
      </c>
      <c r="B40" s="115"/>
      <c r="C40" s="115"/>
      <c r="D40" s="115"/>
      <c r="E40" s="124">
        <f>E37-E38</f>
        <v>-22.520998244057299</v>
      </c>
      <c r="F40" s="124">
        <f t="shared" ref="F40:G40" si="2">F37-F38</f>
        <v>10.841144847317665</v>
      </c>
      <c r="G40" s="124">
        <f t="shared" si="2"/>
        <v>78.599329979209543</v>
      </c>
    </row>
    <row r="41" spans="1:7" x14ac:dyDescent="0.3">
      <c r="A41" t="s">
        <v>151</v>
      </c>
      <c r="E41" s="83"/>
      <c r="F41" s="83"/>
      <c r="G41" s="83"/>
    </row>
    <row r="42" spans="1:7" x14ac:dyDescent="0.3">
      <c r="E42" s="83"/>
      <c r="F42" s="83"/>
      <c r="G42" s="83"/>
    </row>
    <row r="43" spans="1:7" x14ac:dyDescent="0.3">
      <c r="A43" s="96" t="s">
        <v>152</v>
      </c>
      <c r="B43" s="1"/>
      <c r="C43" s="1"/>
      <c r="D43" s="1"/>
      <c r="E43" s="126">
        <f>E40/E9</f>
        <v>-9.2031271163812753E-2</v>
      </c>
      <c r="F43" s="126">
        <f t="shared" ref="F43:G43" si="3">F40/F9</f>
        <v>2.3887027867178154E-2</v>
      </c>
      <c r="G43" s="126">
        <f t="shared" si="3"/>
        <v>0.11875319628647894</v>
      </c>
    </row>
    <row r="45" spans="1:7" s="117" customFormat="1" x14ac:dyDescent="0.3">
      <c r="A45" s="116" t="s">
        <v>119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3"/>
  <sheetViews>
    <sheetView topLeftCell="A4" workbookViewId="0">
      <selection activeCell="D8" sqref="D8"/>
    </sheetView>
  </sheetViews>
  <sheetFormatPr defaultRowHeight="14.4" x14ac:dyDescent="0.3"/>
  <cols>
    <col min="1" max="1" width="14.5546875" bestFit="1" customWidth="1"/>
    <col min="2" max="2" width="5.5546875" bestFit="1" customWidth="1"/>
    <col min="5" max="7" width="9.6640625" bestFit="1" customWidth="1"/>
  </cols>
  <sheetData>
    <row r="1" spans="1:7" x14ac:dyDescent="0.3">
      <c r="A1" t="s">
        <v>109</v>
      </c>
      <c r="B1" s="66" t="str">
        <f>Convertor!C1</f>
        <v>Lakhs</v>
      </c>
    </row>
    <row r="3" spans="1:7" x14ac:dyDescent="0.3">
      <c r="E3" s="74">
        <v>1</v>
      </c>
      <c r="F3" s="74">
        <f>E3+1</f>
        <v>2</v>
      </c>
      <c r="G3" s="74">
        <f>F3+1</f>
        <v>3</v>
      </c>
    </row>
    <row r="4" spans="1:7" x14ac:dyDescent="0.3">
      <c r="E4" s="72">
        <f>EOMONTH(Assumptions!G3,11)</f>
        <v>44286</v>
      </c>
      <c r="F4" s="72">
        <f>EOMONTH(E4,12)</f>
        <v>44651</v>
      </c>
      <c r="G4" s="72">
        <f t="shared" ref="G4" si="0">EOMONTH(F4,12)</f>
        <v>45016</v>
      </c>
    </row>
    <row r="5" spans="1:7" x14ac:dyDescent="0.3">
      <c r="A5" s="76" t="s">
        <v>167</v>
      </c>
    </row>
    <row r="6" spans="1:7" x14ac:dyDescent="0.3">
      <c r="A6" s="120" t="s">
        <v>168</v>
      </c>
      <c r="E6">
        <f>'Capital Structure'!C17</f>
        <v>225</v>
      </c>
      <c r="F6">
        <f>E6</f>
        <v>225</v>
      </c>
      <c r="G6">
        <f>F6</f>
        <v>225</v>
      </c>
    </row>
    <row r="7" spans="1:7" x14ac:dyDescent="0.3">
      <c r="A7" s="120" t="s">
        <v>169</v>
      </c>
      <c r="E7" s="83">
        <f>D7+'Annual P&amp;L'!E40</f>
        <v>-22.520998244057299</v>
      </c>
      <c r="F7" s="83">
        <f>E7+'Annual P&amp;L'!F40</f>
        <v>-11.679853396739635</v>
      </c>
      <c r="G7" s="83">
        <f>F7+'Annual P&amp;L'!G40</f>
        <v>66.919476582469912</v>
      </c>
    </row>
    <row r="9" spans="1:7" x14ac:dyDescent="0.3">
      <c r="A9" s="88" t="s">
        <v>170</v>
      </c>
      <c r="B9" s="125"/>
      <c r="C9" s="125"/>
      <c r="D9" s="125"/>
      <c r="E9" s="90">
        <f>E6+E7</f>
        <v>202.4790017559427</v>
      </c>
      <c r="F9" s="90">
        <f t="shared" ref="F9:G9" si="1">F6+F7</f>
        <v>213.32014660326035</v>
      </c>
      <c r="G9" s="90">
        <f t="shared" si="1"/>
        <v>291.91947658246988</v>
      </c>
    </row>
    <row r="11" spans="1:7" x14ac:dyDescent="0.3">
      <c r="A11" s="76" t="s">
        <v>143</v>
      </c>
    </row>
    <row r="12" spans="1:7" x14ac:dyDescent="0.3">
      <c r="A12" s="120" t="str">
        <f>'Working capital'!A13</f>
        <v>Creditor for Expenses</v>
      </c>
      <c r="E12" s="128">
        <f>'Working capital'!E13</f>
        <v>10.457530855020687</v>
      </c>
      <c r="F12" s="128">
        <f>'Working capital'!F13</f>
        <v>13.338152849038556</v>
      </c>
      <c r="G12" s="128">
        <f>'Working capital'!G13</f>
        <v>16.788500985579741</v>
      </c>
    </row>
    <row r="13" spans="1:7" x14ac:dyDescent="0.3">
      <c r="A13" s="80" t="str">
        <f>'Working capital'!A14</f>
        <v>Creditor for raw material</v>
      </c>
      <c r="E13" s="128"/>
      <c r="F13" s="128"/>
      <c r="G13" s="128"/>
    </row>
    <row r="14" spans="1:7" x14ac:dyDescent="0.3">
      <c r="A14" s="120" t="str">
        <f>'Working capital'!A15</f>
        <v xml:space="preserve">Alcoholic Beverages </v>
      </c>
      <c r="E14" s="128">
        <f>'Working capital'!E15</f>
        <v>2.7922225506679901</v>
      </c>
      <c r="F14" s="128">
        <f>'Working capital'!F15</f>
        <v>4.1534533029475886</v>
      </c>
      <c r="G14" s="128">
        <f>'Working capital'!G15</f>
        <v>5.7836824648853318</v>
      </c>
    </row>
    <row r="15" spans="1:7" x14ac:dyDescent="0.3">
      <c r="A15" s="120" t="str">
        <f>'Working capital'!A16</f>
        <v xml:space="preserve">Non Alcoholic Beverages </v>
      </c>
      <c r="E15" s="128">
        <f>'Working capital'!E16</f>
        <v>1.5478789621650213</v>
      </c>
      <c r="F15" s="128">
        <f>'Working capital'!F16</f>
        <v>2.2555872373491046</v>
      </c>
      <c r="G15" s="128">
        <f>'Working capital'!G16</f>
        <v>3.1168503607627223</v>
      </c>
    </row>
    <row r="16" spans="1:7" x14ac:dyDescent="0.3">
      <c r="A16" s="120" t="str">
        <f>'Working capital'!A17</f>
        <v>Food</v>
      </c>
      <c r="E16" s="128">
        <f>'Working capital'!E17</f>
        <v>5.5582036790458789</v>
      </c>
      <c r="F16" s="128">
        <f>'Working capital'!F17</f>
        <v>8.0443298660258247</v>
      </c>
      <c r="G16" s="128">
        <f>'Working capital'!G17</f>
        <v>11.092838852860208</v>
      </c>
    </row>
    <row r="17" spans="1:7" x14ac:dyDescent="0.3">
      <c r="A17" s="120"/>
    </row>
    <row r="18" spans="1:7" x14ac:dyDescent="0.3">
      <c r="A18" s="88" t="s">
        <v>171</v>
      </c>
      <c r="B18" s="125"/>
      <c r="C18" s="125"/>
      <c r="D18" s="125"/>
      <c r="E18" s="100">
        <f>SUM(E12,E14:E16)</f>
        <v>20.355836046899576</v>
      </c>
      <c r="F18" s="100">
        <f t="shared" ref="F18:G18" si="2">SUM(F12,F14:F16)</f>
        <v>27.791523255361071</v>
      </c>
      <c r="G18" s="100">
        <f t="shared" si="2"/>
        <v>36.781872664087999</v>
      </c>
    </row>
    <row r="20" spans="1:7" x14ac:dyDescent="0.3">
      <c r="A20" s="95" t="s">
        <v>172</v>
      </c>
      <c r="B20" s="115"/>
      <c r="C20" s="115"/>
      <c r="D20" s="115"/>
      <c r="E20" s="106">
        <f>E9+E18</f>
        <v>222.83483780284229</v>
      </c>
      <c r="F20" s="106">
        <f t="shared" ref="F20:G20" si="3">F9+F18</f>
        <v>241.11166985862144</v>
      </c>
      <c r="G20" s="106">
        <f t="shared" si="3"/>
        <v>328.70134924655787</v>
      </c>
    </row>
    <row r="23" spans="1:7" x14ac:dyDescent="0.3">
      <c r="A23" s="76" t="s">
        <v>173</v>
      </c>
    </row>
    <row r="24" spans="1:7" x14ac:dyDescent="0.3">
      <c r="A24" s="2" t="s">
        <v>174</v>
      </c>
    </row>
    <row r="25" spans="1:7" x14ac:dyDescent="0.3">
      <c r="A25" s="129" t="s">
        <v>74</v>
      </c>
      <c r="E25" s="98">
        <f>'Fixed Asset Schedule'!E10</f>
        <v>26.634246575342466</v>
      </c>
      <c r="F25" s="98">
        <f>'Fixed Asset Schedule'!F10</f>
        <v>22.639109589041094</v>
      </c>
      <c r="G25" s="98">
        <f>'Fixed Asset Schedule'!G10</f>
        <v>19.243243150684933</v>
      </c>
    </row>
    <row r="26" spans="1:7" x14ac:dyDescent="0.3">
      <c r="A26" s="129" t="s">
        <v>128</v>
      </c>
      <c r="E26" s="98">
        <f>'Fixed Asset Schedule'!E17</f>
        <v>44.390410958904113</v>
      </c>
      <c r="F26" s="98">
        <f>'Fixed Asset Schedule'!F17</f>
        <v>37.731849315068494</v>
      </c>
      <c r="G26" s="98">
        <f>'Fixed Asset Schedule'!G17</f>
        <v>32.072071917808223</v>
      </c>
    </row>
    <row r="27" spans="1:7" x14ac:dyDescent="0.3">
      <c r="A27" s="129" t="s">
        <v>75</v>
      </c>
      <c r="E27" s="98">
        <f>'Fixed Asset Schedule'!E24</f>
        <v>47.185479452054793</v>
      </c>
      <c r="F27" s="98">
        <f>'Fixed Asset Schedule'!F24</f>
        <v>42.466931506849313</v>
      </c>
      <c r="G27" s="98">
        <f>'Fixed Asset Schedule'!G24</f>
        <v>38.22023835616438</v>
      </c>
    </row>
    <row r="28" spans="1:7" x14ac:dyDescent="0.3">
      <c r="A28" s="129" t="s">
        <v>76</v>
      </c>
      <c r="E28" s="98">
        <f>'Fixed Asset Schedule'!E31</f>
        <v>55.512328767123286</v>
      </c>
      <c r="F28" s="98">
        <f>'Fixed Asset Schedule'!F31</f>
        <v>49.961095890410959</v>
      </c>
      <c r="G28" s="98">
        <f>'Fixed Asset Schedule'!G31</f>
        <v>44.964986301369862</v>
      </c>
    </row>
    <row r="30" spans="1:7" x14ac:dyDescent="0.3">
      <c r="A30" s="130" t="s">
        <v>77</v>
      </c>
      <c r="E30">
        <f>'Capital Structure'!C11</f>
        <v>10</v>
      </c>
      <c r="F30">
        <f>E30</f>
        <v>10</v>
      </c>
      <c r="G30">
        <f>F30</f>
        <v>10</v>
      </c>
    </row>
    <row r="32" spans="1:7" x14ac:dyDescent="0.3">
      <c r="A32" s="76" t="s">
        <v>142</v>
      </c>
    </row>
    <row r="33" spans="1:7" x14ac:dyDescent="0.3">
      <c r="A33" s="131" t="str">
        <f>'Working capital'!A6</f>
        <v>Inventory</v>
      </c>
    </row>
    <row r="34" spans="1:7" x14ac:dyDescent="0.3">
      <c r="A34" s="120" t="str">
        <f>'Working capital'!A7</f>
        <v xml:space="preserve">Alcoholic Beverages </v>
      </c>
      <c r="E34" s="128">
        <f>'Working capital'!E7</f>
        <v>2.7922225506679901</v>
      </c>
      <c r="F34" s="128">
        <f>'Working capital'!F7</f>
        <v>4.1534533029475886</v>
      </c>
      <c r="G34" s="128">
        <f>'Working capital'!G7</f>
        <v>5.7836824648853318</v>
      </c>
    </row>
    <row r="35" spans="1:7" x14ac:dyDescent="0.3">
      <c r="A35" s="120" t="str">
        <f>'Working capital'!A8</f>
        <v xml:space="preserve">Non Alcoholic Beverages </v>
      </c>
      <c r="E35" s="128">
        <f>'Working capital'!E8</f>
        <v>0.77393948108251065</v>
      </c>
      <c r="F35" s="128">
        <f>'Working capital'!F8</f>
        <v>1.1277936186745523</v>
      </c>
      <c r="G35" s="128">
        <f>'Working capital'!G8</f>
        <v>1.5584251803813611</v>
      </c>
    </row>
    <row r="36" spans="1:7" x14ac:dyDescent="0.3">
      <c r="A36" s="120" t="str">
        <f>'Working capital'!A9</f>
        <v>Food</v>
      </c>
      <c r="E36" s="128">
        <f>'Working capital'!E9</f>
        <v>0.92636727984097988</v>
      </c>
      <c r="F36" s="128">
        <f>'Working capital'!F9</f>
        <v>1.3407216443376373</v>
      </c>
      <c r="G36" s="128">
        <f>'Working capital'!G9</f>
        <v>1.8488064754767013</v>
      </c>
    </row>
    <row r="37" spans="1:7" x14ac:dyDescent="0.3">
      <c r="A37" t="s">
        <v>175</v>
      </c>
      <c r="E37" s="98">
        <f>'Cash Flow Statement'!E24</f>
        <v>34.619842737826133</v>
      </c>
      <c r="F37" s="98">
        <f>'Cash Flow Statement'!F24</f>
        <v>71.690714991291799</v>
      </c>
      <c r="G37" s="98">
        <f>'Cash Flow Statement'!G24</f>
        <v>175.00989539978713</v>
      </c>
    </row>
    <row r="39" spans="1:7" x14ac:dyDescent="0.3">
      <c r="A39" s="95" t="s">
        <v>176</v>
      </c>
      <c r="B39" s="115"/>
      <c r="C39" s="115"/>
      <c r="D39" s="115"/>
      <c r="E39" s="106">
        <f>SUM(E25:E28,E30,E34:E37)</f>
        <v>222.83483780284229</v>
      </c>
      <c r="F39" s="106">
        <f t="shared" ref="F39:G39" si="4">SUM(F25:F28,F30,F34:F37)</f>
        <v>241.11166985862141</v>
      </c>
      <c r="G39" s="106">
        <f t="shared" si="4"/>
        <v>328.70134924655792</v>
      </c>
    </row>
    <row r="41" spans="1:7" x14ac:dyDescent="0.3">
      <c r="A41" t="s">
        <v>177</v>
      </c>
      <c r="E41" s="98">
        <f>E20-E39</f>
        <v>0</v>
      </c>
      <c r="F41" s="98">
        <f t="shared" ref="F41:G41" si="5">F20-F39</f>
        <v>0</v>
      </c>
      <c r="G41" s="98">
        <f t="shared" si="5"/>
        <v>0</v>
      </c>
    </row>
    <row r="43" spans="1:7" s="117" customFormat="1" x14ac:dyDescent="0.3">
      <c r="A43" s="116" t="s">
        <v>119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Assumptions</vt:lpstr>
      <vt:lpstr>Convertor</vt:lpstr>
      <vt:lpstr>Monthly Revenue</vt:lpstr>
      <vt:lpstr>Monthly P&amp;L</vt:lpstr>
      <vt:lpstr>Capital Structure</vt:lpstr>
      <vt:lpstr>Fixed Asset Schedule</vt:lpstr>
      <vt:lpstr>Working capital</vt:lpstr>
      <vt:lpstr>Annual P&amp;L</vt:lpstr>
      <vt:lpstr>Balance Sheet</vt:lpstr>
      <vt:lpstr>Cash Flow Statement</vt:lpstr>
      <vt:lpstr>den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HATKAR</dc:creator>
  <cp:lastModifiedBy>KARAN HATKAR</cp:lastModifiedBy>
  <cp:lastPrinted>2023-06-03T09:42:21Z</cp:lastPrinted>
  <dcterms:created xsi:type="dcterms:W3CDTF">2023-06-03T06:34:23Z</dcterms:created>
  <dcterms:modified xsi:type="dcterms:W3CDTF">2023-07-12T14:15:10Z</dcterms:modified>
</cp:coreProperties>
</file>