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30" yWindow="405" windowWidth="10875" windowHeight="4740" tabRatio="641"/>
  </bookViews>
  <sheets>
    <sheet name="7-1-1" sheetId="2" r:id="rId1"/>
    <sheet name="7-1-1圖表" sheetId="3" r:id="rId2"/>
    <sheet name="7-1-2A" sheetId="19" r:id="rId3"/>
    <sheet name="7-1-2B" sheetId="20" r:id="rId4"/>
    <sheet name="7-1-3" sheetId="10" r:id="rId5"/>
    <sheet name="7-1-4" sheetId="4" r:id="rId6"/>
    <sheet name="7-2-1" sheetId="5" r:id="rId7"/>
    <sheet name="7-2-2" sheetId="6" r:id="rId8"/>
    <sheet name="7-2-3" sheetId="7" r:id="rId9"/>
    <sheet name="7-3-1A" sheetId="12" r:id="rId10"/>
    <sheet name="7-3-1B" sheetId="13" r:id="rId11"/>
    <sheet name="7-3-2" sheetId="11" r:id="rId12"/>
    <sheet name="7-3-3債券分析" sheetId="18" r:id="rId13"/>
    <sheet name="7-4-1" sheetId="17" r:id="rId14"/>
    <sheet name="7-4-2" sheetId="9" r:id="rId15"/>
    <sheet name="Sheet1" sheetId="21" r:id="rId16"/>
  </sheets>
  <definedNames>
    <definedName name="Life">#REF!</definedName>
    <definedName name="LoanAmt">'7-2-3'!#REF!</definedName>
    <definedName name="LoanDate">'7-2-3'!#REF!</definedName>
    <definedName name="利率">'7-2-3'!$B$1</definedName>
  </definedNames>
  <calcPr calcId="124519" iterate="1"/>
</workbook>
</file>

<file path=xl/calcChain.xml><?xml version="1.0" encoding="utf-8"?>
<calcChain xmlns="http://schemas.openxmlformats.org/spreadsheetml/2006/main">
  <c r="D5" i="21"/>
  <c r="D4"/>
  <c r="D3"/>
  <c r="B6"/>
  <c r="E6" i="7"/>
  <c r="E5"/>
  <c r="H5"/>
  <c r="H4"/>
  <c r="D5" s="1"/>
  <c r="D10"/>
  <c r="E10" s="1"/>
  <c r="D15"/>
  <c r="E15" s="1"/>
  <c r="F5"/>
  <c r="F6" s="1"/>
  <c r="F7" s="1"/>
  <c r="F8" s="1"/>
  <c r="F9" s="1"/>
  <c r="A6"/>
  <c r="A7"/>
  <c r="A8"/>
  <c r="A1" i="19"/>
  <c r="F5" i="17"/>
  <c r="E5"/>
  <c r="D5"/>
  <c r="C5"/>
  <c r="D11" i="18"/>
  <c r="D5"/>
  <c r="C16" i="11"/>
  <c r="C20" i="13"/>
  <c r="B11" i="6"/>
  <c r="B11" i="5"/>
  <c r="B12" s="1"/>
  <c r="B13" s="1"/>
  <c r="B6"/>
  <c r="B7" s="1"/>
  <c r="B8" s="1"/>
  <c r="E3" i="19"/>
  <c r="C9" i="20"/>
  <c r="D9"/>
  <c r="A9" i="7"/>
  <c r="A11"/>
  <c r="A12" s="1"/>
  <c r="A13" s="1"/>
  <c r="A14" s="1"/>
  <c r="A17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D41"/>
  <c r="E41" s="1"/>
  <c r="D40"/>
  <c r="E40" s="1"/>
  <c r="D39"/>
  <c r="E39" s="1"/>
  <c r="D38"/>
  <c r="E38" s="1"/>
  <c r="D37"/>
  <c r="E37" s="1"/>
  <c r="D36"/>
  <c r="E36" s="1"/>
  <c r="D35"/>
  <c r="E35" s="1"/>
  <c r="D34"/>
  <c r="E34" s="1"/>
  <c r="D33"/>
  <c r="B6" i="6"/>
  <c r="B6" i="9"/>
  <c r="C17" i="17"/>
  <c r="C18"/>
  <c r="C6"/>
  <c r="C19"/>
  <c r="D17"/>
  <c r="D18"/>
  <c r="D6"/>
  <c r="D19"/>
  <c r="E17"/>
  <c r="E18"/>
  <c r="E6"/>
  <c r="E19"/>
  <c r="F17"/>
  <c r="F18"/>
  <c r="F6"/>
  <c r="F19"/>
  <c r="C7"/>
  <c r="C20"/>
  <c r="D7"/>
  <c r="D20"/>
  <c r="E7"/>
  <c r="E20"/>
  <c r="F7"/>
  <c r="F20"/>
  <c r="C8"/>
  <c r="C21"/>
  <c r="D8"/>
  <c r="D21"/>
  <c r="E8"/>
  <c r="E21"/>
  <c r="F8"/>
  <c r="F21"/>
  <c r="C9"/>
  <c r="C22"/>
  <c r="D9"/>
  <c r="D22"/>
  <c r="E9"/>
  <c r="E22"/>
  <c r="F9"/>
  <c r="F22"/>
  <c r="C10"/>
  <c r="C23"/>
  <c r="D10"/>
  <c r="D23"/>
  <c r="E10"/>
  <c r="E23"/>
  <c r="F10"/>
  <c r="F23"/>
  <c r="C11"/>
  <c r="C24"/>
  <c r="D11"/>
  <c r="D24"/>
  <c r="E11"/>
  <c r="E24"/>
  <c r="F11"/>
  <c r="F24"/>
  <c r="C12"/>
  <c r="C25"/>
  <c r="D12"/>
  <c r="D25"/>
  <c r="E12"/>
  <c r="E25"/>
  <c r="F12"/>
  <c r="F25"/>
  <c r="C13"/>
  <c r="C26"/>
  <c r="D13"/>
  <c r="D26"/>
  <c r="E13"/>
  <c r="E26"/>
  <c r="F13"/>
  <c r="F26"/>
  <c r="C14"/>
  <c r="C27"/>
  <c r="D14"/>
  <c r="D27"/>
  <c r="E14"/>
  <c r="E27"/>
  <c r="F14"/>
  <c r="F27"/>
  <c r="F18" i="13"/>
  <c r="F19" s="1"/>
  <c r="C7"/>
  <c r="B8"/>
  <c r="F7"/>
  <c r="F8" s="1"/>
  <c r="F9"/>
  <c r="C8" i="10"/>
  <c r="F1"/>
  <c r="B8" i="3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C8"/>
  <c r="D8"/>
  <c r="G9" i="20"/>
  <c r="H9"/>
  <c r="C10"/>
  <c r="D10"/>
  <c r="B7" i="12"/>
  <c r="B8" s="1"/>
  <c r="A9" i="13"/>
  <c r="A10" s="1"/>
  <c r="A11" s="1"/>
  <c r="A12" s="1"/>
  <c r="A13" s="1"/>
  <c r="A14" s="1"/>
  <c r="A15" s="1"/>
  <c r="A16" s="1"/>
  <c r="A17" s="1"/>
  <c r="A18" s="1"/>
  <c r="A19" s="1"/>
  <c r="C12" i="11"/>
  <c r="C13"/>
  <c r="C14"/>
  <c r="C15"/>
  <c r="C17"/>
  <c r="D8" i="10"/>
  <c r="E8"/>
  <c r="C9"/>
  <c r="D9"/>
  <c r="E9" s="1"/>
  <c r="C10"/>
  <c r="D10" s="1"/>
  <c r="E10"/>
  <c r="C11"/>
  <c r="D11"/>
  <c r="E11" s="1"/>
  <c r="C12"/>
  <c r="D12" s="1"/>
  <c r="E12"/>
  <c r="C13"/>
  <c r="D13"/>
  <c r="E13" s="1"/>
  <c r="C14"/>
  <c r="D14" s="1"/>
  <c r="E14"/>
  <c r="C15"/>
  <c r="D15"/>
  <c r="E15" s="1"/>
  <c r="C16"/>
  <c r="D16" s="1"/>
  <c r="E16"/>
  <c r="C17"/>
  <c r="D17"/>
  <c r="E17" s="1"/>
  <c r="E33" i="7"/>
  <c r="H33" s="1"/>
  <c r="F33"/>
  <c r="G33"/>
  <c r="G34" s="1"/>
  <c r="G35" s="1"/>
  <c r="G36" s="1"/>
  <c r="G37" s="1"/>
  <c r="G38" s="1"/>
  <c r="G39" s="1"/>
  <c r="G40" s="1"/>
  <c r="G41" s="1"/>
  <c r="F34"/>
  <c r="F35" s="1"/>
  <c r="F36"/>
  <c r="F37" s="1"/>
  <c r="F38" s="1"/>
  <c r="F39" s="1"/>
  <c r="F40" s="1"/>
  <c r="F41" s="1"/>
  <c r="B7" i="6"/>
  <c r="B8" s="1"/>
  <c r="D11"/>
  <c r="E11" s="1"/>
  <c r="F11" s="1"/>
  <c r="G11" s="1"/>
  <c r="H11" s="1"/>
  <c r="I11" s="1"/>
  <c r="B13"/>
  <c r="B14" s="1"/>
  <c r="B15"/>
  <c r="B16" s="1"/>
  <c r="B17" s="1"/>
  <c r="D10" i="5"/>
  <c r="E10"/>
  <c r="F10" s="1"/>
  <c r="G10"/>
  <c r="H10" s="1"/>
  <c r="I10" s="1"/>
  <c r="B9" i="4"/>
  <c r="C9" s="1"/>
  <c r="A9"/>
  <c r="H8"/>
  <c r="A10"/>
  <c r="B11"/>
  <c r="B10"/>
  <c r="D10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A9" i="3"/>
  <c r="D9" s="1"/>
  <c r="A10"/>
  <c r="D10" s="1"/>
  <c r="F4" i="2"/>
  <c r="F2"/>
  <c r="F3"/>
  <c r="F10" i="7" l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H34"/>
  <c r="D6"/>
  <c r="H6" s="1"/>
  <c r="G5"/>
  <c r="C10" i="4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G1" i="10"/>
  <c r="F2"/>
  <c r="F3" s="1"/>
  <c r="F10" i="4"/>
  <c r="A11"/>
  <c r="F9"/>
  <c r="G9" s="1"/>
  <c r="G10" s="1"/>
  <c r="D9"/>
  <c r="E9" s="1"/>
  <c r="E10" s="1"/>
  <c r="C8" i="13"/>
  <c r="H35" i="7"/>
  <c r="H36" s="1"/>
  <c r="H37" s="1"/>
  <c r="H38" s="1"/>
  <c r="H39" s="1"/>
  <c r="H40" s="1"/>
  <c r="H41" s="1"/>
  <c r="C10" i="3"/>
  <c r="A11"/>
  <c r="C9"/>
  <c r="G6" i="7" l="1"/>
  <c r="D7"/>
  <c r="E7" s="1"/>
  <c r="D11" i="4"/>
  <c r="E11" s="1"/>
  <c r="A12"/>
  <c r="F11"/>
  <c r="H9"/>
  <c r="H10" s="1"/>
  <c r="D11" i="3"/>
  <c r="C11"/>
  <c r="A12"/>
  <c r="B9" i="13"/>
  <c r="G11" i="4"/>
  <c r="H7" i="7" l="1"/>
  <c r="G7"/>
  <c r="D12" i="3"/>
  <c r="A13"/>
  <c r="C12"/>
  <c r="F12" i="4"/>
  <c r="G12" s="1"/>
  <c r="A13"/>
  <c r="D12"/>
  <c r="E12" s="1"/>
  <c r="C9" i="13"/>
  <c r="H11" i="4"/>
  <c r="D8" i="7" l="1"/>
  <c r="H12" i="4"/>
  <c r="D13" i="3"/>
  <c r="C13"/>
  <c r="A14"/>
  <c r="B10" i="13"/>
  <c r="C10" s="1"/>
  <c r="F13" i="4"/>
  <c r="G13" s="1"/>
  <c r="D13"/>
  <c r="E13" s="1"/>
  <c r="A14"/>
  <c r="E8" i="7" l="1"/>
  <c r="H8" s="1"/>
  <c r="D9" s="1"/>
  <c r="E9" s="1"/>
  <c r="G8"/>
  <c r="F14" i="4"/>
  <c r="G14" s="1"/>
  <c r="A15"/>
  <c r="D14"/>
  <c r="E14" s="1"/>
  <c r="B11" i="13"/>
  <c r="C11" s="1"/>
  <c r="H13" i="4"/>
  <c r="D14" i="3"/>
  <c r="A15"/>
  <c r="C14"/>
  <c r="H9" i="7" l="1"/>
  <c r="G9"/>
  <c r="G10" s="1"/>
  <c r="B12" i="13"/>
  <c r="C12" s="1"/>
  <c r="D15" i="3"/>
  <c r="C15"/>
  <c r="A16"/>
  <c r="A16" i="4"/>
  <c r="D15"/>
  <c r="E15" s="1"/>
  <c r="F15"/>
  <c r="G15" s="1"/>
  <c r="H14"/>
  <c r="H15" s="1"/>
  <c r="H10" i="7" l="1"/>
  <c r="D11"/>
  <c r="E11" s="1"/>
  <c r="H11" s="1"/>
  <c r="B13" i="13"/>
  <c r="C13" s="1"/>
  <c r="D16" i="3"/>
  <c r="A17"/>
  <c r="C16"/>
  <c r="F16" i="4"/>
  <c r="G16" s="1"/>
  <c r="A17"/>
  <c r="D16"/>
  <c r="E16" s="1"/>
  <c r="G11" i="7" l="1"/>
  <c r="H16" i="4"/>
  <c r="B14" i="13"/>
  <c r="C14" s="1"/>
  <c r="F17" i="4"/>
  <c r="G17" s="1"/>
  <c r="D17"/>
  <c r="E17" s="1"/>
  <c r="A18"/>
  <c r="D12" i="7"/>
  <c r="D17" i="3"/>
  <c r="C17"/>
  <c r="A18"/>
  <c r="H17" i="4"/>
  <c r="B15" i="13" l="1"/>
  <c r="C15" s="1"/>
  <c r="F18" i="4"/>
  <c r="G18" s="1"/>
  <c r="A19"/>
  <c r="D18"/>
  <c r="E18" s="1"/>
  <c r="D18" i="3"/>
  <c r="A19"/>
  <c r="C18"/>
  <c r="E12" i="7"/>
  <c r="H12" s="1"/>
  <c r="G12"/>
  <c r="B16" i="13" l="1"/>
  <c r="C16" s="1"/>
  <c r="D13" i="7"/>
  <c r="E13" s="1"/>
  <c r="H13" s="1"/>
  <c r="D19" i="3"/>
  <c r="C19"/>
  <c r="A20"/>
  <c r="A20" i="4"/>
  <c r="D19"/>
  <c r="E19" s="1"/>
  <c r="F19"/>
  <c r="G19" s="1"/>
  <c r="H18"/>
  <c r="H19" s="1"/>
  <c r="B17" i="13" l="1"/>
  <c r="C17" s="1"/>
  <c r="D14" i="7"/>
  <c r="E14" s="1"/>
  <c r="H14" s="1"/>
  <c r="H15" s="1"/>
  <c r="F20" i="4"/>
  <c r="G20" s="1"/>
  <c r="A21"/>
  <c r="D20"/>
  <c r="E20" s="1"/>
  <c r="G13" i="7"/>
  <c r="D20" i="3"/>
  <c r="A21"/>
  <c r="C20"/>
  <c r="G14" i="7" l="1"/>
  <c r="G15" s="1"/>
  <c r="B18" i="13"/>
  <c r="C18" s="1"/>
  <c r="D16" i="7"/>
  <c r="E16" s="1"/>
  <c r="H16" s="1"/>
  <c r="D21" i="3"/>
  <c r="C21"/>
  <c r="A22"/>
  <c r="F21" i="4"/>
  <c r="G21" s="1"/>
  <c r="D21"/>
  <c r="E21" s="1"/>
  <c r="A22"/>
  <c r="H20"/>
  <c r="H21" s="1"/>
  <c r="G16" i="7" l="1"/>
  <c r="D22" i="3"/>
  <c r="A23"/>
  <c r="C22"/>
  <c r="D17" i="7"/>
  <c r="E17" s="1"/>
  <c r="H17" s="1"/>
  <c r="B19" i="13"/>
  <c r="B20" s="1"/>
  <c r="F22" i="4"/>
  <c r="G22" s="1"/>
  <c r="A23"/>
  <c r="D22"/>
  <c r="E22" s="1"/>
  <c r="G17" i="7" l="1"/>
  <c r="D18"/>
  <c r="E18" s="1"/>
  <c r="H18" s="1"/>
  <c r="A24" i="4"/>
  <c r="D23"/>
  <c r="E23" s="1"/>
  <c r="F23"/>
  <c r="G23" s="1"/>
  <c r="D23" i="3"/>
  <c r="C23"/>
  <c r="A24"/>
  <c r="H22" i="4"/>
  <c r="H23" s="1"/>
  <c r="C19" i="13"/>
  <c r="G18" i="7" l="1"/>
  <c r="D19"/>
  <c r="E19" s="1"/>
  <c r="H19" s="1"/>
  <c r="F24" i="4"/>
  <c r="G24" s="1"/>
  <c r="A25"/>
  <c r="D24"/>
  <c r="E24" s="1"/>
  <c r="D24" i="3"/>
  <c r="A25"/>
  <c r="C24"/>
  <c r="G19" i="7" l="1"/>
  <c r="H24" i="4"/>
  <c r="D20" i="7"/>
  <c r="E20" s="1"/>
  <c r="H20" s="1"/>
  <c r="D25" i="3"/>
  <c r="C25"/>
  <c r="A26"/>
  <c r="F25" i="4"/>
  <c r="G25" s="1"/>
  <c r="D25"/>
  <c r="E25" s="1"/>
  <c r="A26"/>
  <c r="H25"/>
  <c r="G20" i="7" l="1"/>
  <c r="D21"/>
  <c r="E21" s="1"/>
  <c r="H21" s="1"/>
  <c r="D26" i="3"/>
  <c r="A27"/>
  <c r="C26"/>
  <c r="F26" i="4"/>
  <c r="G26" s="1"/>
  <c r="A27"/>
  <c r="D26"/>
  <c r="E26" s="1"/>
  <c r="H26" l="1"/>
  <c r="G21" i="7"/>
  <c r="D22"/>
  <c r="E22" s="1"/>
  <c r="H22" s="1"/>
  <c r="A28" i="4"/>
  <c r="D27"/>
  <c r="E27" s="1"/>
  <c r="F27"/>
  <c r="G27" s="1"/>
  <c r="D27" i="3"/>
  <c r="C27"/>
  <c r="A28"/>
  <c r="H27" i="4"/>
  <c r="G22" i="7" l="1"/>
  <c r="D23"/>
  <c r="E23" s="1"/>
  <c r="H23" s="1"/>
  <c r="F28" i="4"/>
  <c r="G28" s="1"/>
  <c r="A29"/>
  <c r="D28"/>
  <c r="E28" s="1"/>
  <c r="D28" i="3"/>
  <c r="A29"/>
  <c r="C28"/>
  <c r="H28" i="4"/>
  <c r="G23" i="7" l="1"/>
  <c r="D24"/>
  <c r="E24" s="1"/>
  <c r="H24" s="1"/>
  <c r="D29" i="3"/>
  <c r="C29"/>
  <c r="A30"/>
  <c r="F29" i="4"/>
  <c r="G29" s="1"/>
  <c r="D29"/>
  <c r="E29" s="1"/>
  <c r="A30"/>
  <c r="G24" i="7" l="1"/>
  <c r="D25"/>
  <c r="E25" s="1"/>
  <c r="H25" s="1"/>
  <c r="F30" i="4"/>
  <c r="G30" s="1"/>
  <c r="A31"/>
  <c r="D30"/>
  <c r="E30" s="1"/>
  <c r="D30" i="3"/>
  <c r="A31"/>
  <c r="C30"/>
  <c r="H29" i="4"/>
  <c r="H30" s="1"/>
  <c r="G25" i="7" l="1"/>
  <c r="D26"/>
  <c r="E26" s="1"/>
  <c r="H26" s="1"/>
  <c r="A32" i="4"/>
  <c r="D31"/>
  <c r="E31" s="1"/>
  <c r="F31"/>
  <c r="G31" s="1"/>
  <c r="D31" i="3"/>
  <c r="C31"/>
  <c r="A32"/>
  <c r="H31" i="4"/>
  <c r="G26" i="7" l="1"/>
  <c r="D27"/>
  <c r="E27" s="1"/>
  <c r="H27" s="1"/>
  <c r="D32" i="3"/>
  <c r="A33"/>
  <c r="C32"/>
  <c r="F32" i="4"/>
  <c r="G32" s="1"/>
  <c r="A33"/>
  <c r="D32"/>
  <c r="E32" s="1"/>
  <c r="G27" i="7" l="1"/>
  <c r="H32" i="4"/>
  <c r="D28" i="7"/>
  <c r="E28" s="1"/>
  <c r="H28" s="1"/>
  <c r="F33" i="4"/>
  <c r="G33" s="1"/>
  <c r="D33"/>
  <c r="E33" s="1"/>
  <c r="A34"/>
  <c r="D33" i="3"/>
  <c r="C33"/>
  <c r="A34"/>
  <c r="H33" i="4"/>
  <c r="G28" i="7" l="1"/>
  <c r="D29"/>
  <c r="E29" s="1"/>
  <c r="H29" s="1"/>
  <c r="F34" i="4"/>
  <c r="G34" s="1"/>
  <c r="A35"/>
  <c r="D34"/>
  <c r="E34" s="1"/>
  <c r="D34" i="3"/>
  <c r="A35"/>
  <c r="C34"/>
  <c r="H34" i="4"/>
  <c r="G29" i="7" l="1"/>
  <c r="D30"/>
  <c r="E30" s="1"/>
  <c r="H30" s="1"/>
  <c r="D35" i="3"/>
  <c r="C35"/>
  <c r="A36"/>
  <c r="A36" i="4"/>
  <c r="D35"/>
  <c r="E35" s="1"/>
  <c r="F35"/>
  <c r="G35" s="1"/>
  <c r="G30" i="7" l="1"/>
  <c r="D31"/>
  <c r="E31" s="1"/>
  <c r="H31" s="1"/>
  <c r="F36" i="4"/>
  <c r="G36" s="1"/>
  <c r="A37"/>
  <c r="D36"/>
  <c r="E36" s="1"/>
  <c r="D36" i="3"/>
  <c r="A37"/>
  <c r="C36"/>
  <c r="H35" i="4"/>
  <c r="G31" i="7" l="1"/>
  <c r="H36" i="4"/>
  <c r="D37" i="3"/>
  <c r="C37"/>
  <c r="A38"/>
  <c r="F37" i="4"/>
  <c r="G37" s="1"/>
  <c r="D37"/>
  <c r="E37" s="1"/>
  <c r="A38"/>
  <c r="H37"/>
  <c r="D38" i="3" l="1"/>
  <c r="A39"/>
  <c r="C38"/>
  <c r="F38" i="4"/>
  <c r="G38" s="1"/>
  <c r="A39"/>
  <c r="D38"/>
  <c r="E38" s="1"/>
  <c r="H38" l="1"/>
  <c r="A40"/>
  <c r="D39"/>
  <c r="E39" s="1"/>
  <c r="F39"/>
  <c r="G39" s="1"/>
  <c r="D39" i="3"/>
  <c r="C39"/>
  <c r="A40"/>
  <c r="H39" i="4"/>
  <c r="F40" l="1"/>
  <c r="G40" s="1"/>
  <c r="A41"/>
  <c r="D40"/>
  <c r="E40" s="1"/>
  <c r="D40" i="3"/>
  <c r="A41"/>
  <c r="C40"/>
  <c r="H40" i="4"/>
  <c r="D41" i="3" l="1"/>
  <c r="C41"/>
  <c r="A42"/>
  <c r="F41" i="4"/>
  <c r="G41" s="1"/>
  <c r="D41"/>
  <c r="E41" s="1"/>
  <c r="A42"/>
  <c r="H41" l="1"/>
  <c r="F42"/>
  <c r="G42" s="1"/>
  <c r="A43"/>
  <c r="D42"/>
  <c r="E42" s="1"/>
  <c r="D42" i="3"/>
  <c r="A43"/>
  <c r="C42"/>
  <c r="A44" i="4" l="1"/>
  <c r="D43"/>
  <c r="E43" s="1"/>
  <c r="F43"/>
  <c r="G43" s="1"/>
  <c r="H42"/>
  <c r="H43" s="1"/>
  <c r="D43" i="3"/>
  <c r="C43"/>
  <c r="F44" i="4" l="1"/>
  <c r="G44" s="1"/>
  <c r="D44"/>
  <c r="E44" s="1"/>
  <c r="H44"/>
</calcChain>
</file>

<file path=xl/sharedStrings.xml><?xml version="1.0" encoding="utf-8"?>
<sst xmlns="http://schemas.openxmlformats.org/spreadsheetml/2006/main" count="178" uniqueCount="139">
  <si>
    <t>計算現值</t>
    <phoneticPr fontId="10" type="noConversion"/>
  </si>
  <si>
    <t>計算終值</t>
    <phoneticPr fontId="10" type="noConversion"/>
  </si>
  <si>
    <t>甲案</t>
    <phoneticPr fontId="10" type="noConversion"/>
  </si>
  <si>
    <t>乙案</t>
    <phoneticPr fontId="10" type="noConversion"/>
  </si>
  <si>
    <t>期末存入</t>
    <phoneticPr fontId="10" type="noConversion"/>
  </si>
  <si>
    <t>期初存入</t>
    <phoneticPr fontId="10" type="noConversion"/>
  </si>
  <si>
    <t>頭期款</t>
    <phoneticPr fontId="10" type="noConversion"/>
  </si>
  <si>
    <t>期初或期末</t>
    <phoneticPr fontId="10" type="noConversion"/>
  </si>
  <si>
    <t>RATE (年利率 )</t>
    <phoneticPr fontId="10" type="noConversion"/>
  </si>
  <si>
    <t>NPER (期數)</t>
    <phoneticPr fontId="10" type="noConversion"/>
  </si>
  <si>
    <t>Pmt (每期付款)</t>
    <phoneticPr fontId="10" type="noConversion"/>
  </si>
  <si>
    <t>Pmt (每期存款)</t>
    <phoneticPr fontId="10" type="noConversion"/>
  </si>
  <si>
    <t>PV (現值)</t>
    <phoneticPr fontId="10" type="noConversion"/>
  </si>
  <si>
    <t>FV (終值)</t>
    <phoneticPr fontId="10" type="noConversion"/>
  </si>
  <si>
    <t>總付款額</t>
    <phoneticPr fontId="10" type="noConversion"/>
  </si>
  <si>
    <t>每期應付本利金額</t>
    <phoneticPr fontId="3" type="noConversion"/>
  </si>
  <si>
    <t>年利率</t>
    <phoneticPr fontId="3" type="noConversion"/>
  </si>
  <si>
    <t>貸款總金額：</t>
    <phoneticPr fontId="3" type="noConversion"/>
  </si>
  <si>
    <t>年利率：</t>
    <phoneticPr fontId="3" type="noConversion"/>
  </si>
  <si>
    <t>還款週期(月)：</t>
    <phoneticPr fontId="3" type="noConversion"/>
  </si>
  <si>
    <t>貸款總期數：</t>
    <phoneticPr fontId="3" type="noConversion"/>
  </si>
  <si>
    <t>每期應付本金：</t>
    <phoneticPr fontId="3" type="noConversion"/>
  </si>
  <si>
    <t>每期應付利息：</t>
    <phoneticPr fontId="3" type="noConversion"/>
  </si>
  <si>
    <t>還款期數</t>
    <phoneticPr fontId="3" type="noConversion"/>
  </si>
  <si>
    <t>每期應付利息</t>
    <phoneticPr fontId="3" type="noConversion"/>
  </si>
  <si>
    <t>每期應付本金</t>
    <phoneticPr fontId="3" type="noConversion"/>
  </si>
  <si>
    <t>每期應付本利</t>
    <phoneticPr fontId="3" type="noConversion"/>
  </si>
  <si>
    <t>總支付利息</t>
    <phoneticPr fontId="3" type="noConversion"/>
  </si>
  <si>
    <t>信用卡帳單：</t>
    <phoneticPr fontId="3" type="noConversion"/>
  </si>
  <si>
    <t>年利率：</t>
    <phoneticPr fontId="3" type="noConversion"/>
  </si>
  <si>
    <t>每月最低應繳金額：</t>
    <phoneticPr fontId="3" type="noConversion"/>
  </si>
  <si>
    <t>每月實付最低金額：</t>
    <phoneticPr fontId="3" type="noConversion"/>
  </si>
  <si>
    <t>總繳費金額：</t>
    <phoneticPr fontId="3" type="noConversion"/>
  </si>
  <si>
    <t>總支付利息：</t>
    <phoneticPr fontId="3" type="noConversion"/>
  </si>
  <si>
    <t>總繳費金額</t>
    <phoneticPr fontId="3" type="noConversion"/>
  </si>
  <si>
    <t>總價</t>
    <phoneticPr fontId="10" type="noConversion"/>
  </si>
  <si>
    <t>5年後淨現值</t>
    <phoneticPr fontId="10" type="noConversion"/>
  </si>
  <si>
    <t>第 1 年回收</t>
    <phoneticPr fontId="10" type="noConversion"/>
  </si>
  <si>
    <t>第 2 年回收</t>
  </si>
  <si>
    <t>第 3 年回收</t>
  </si>
  <si>
    <t>第 4 年回收</t>
  </si>
  <si>
    <t>第 5 年回收</t>
  </si>
  <si>
    <t>每期應付
本利金額</t>
    <phoneticPr fontId="3" type="noConversion"/>
  </si>
  <si>
    <t>每期所付
利息金額</t>
    <phoneticPr fontId="3" type="noConversion"/>
  </si>
  <si>
    <t>每期所付
本金金額</t>
    <phoneticPr fontId="3" type="noConversion"/>
  </si>
  <si>
    <t>累    計
已付金額</t>
    <phoneticPr fontId="3" type="noConversion"/>
  </si>
  <si>
    <t>累    計
已付利息</t>
    <phoneticPr fontId="3" type="noConversion"/>
  </si>
  <si>
    <t>累    計
已付本金</t>
    <phoneticPr fontId="3" type="noConversion"/>
  </si>
  <si>
    <t>本    金
未還餘額</t>
    <phoneticPr fontId="3" type="noConversion"/>
  </si>
  <si>
    <t>本利總金額</t>
    <phoneticPr fontId="3" type="noConversion"/>
  </si>
  <si>
    <t>利息總金額</t>
    <phoneticPr fontId="3" type="noConversion"/>
  </si>
  <si>
    <t>貸款總金額：</t>
    <phoneticPr fontId="3" type="noConversion"/>
  </si>
  <si>
    <t>還款週期(月)：</t>
    <phoneticPr fontId="3" type="noConversion"/>
  </si>
  <si>
    <t>貸款總期數：</t>
    <phoneticPr fontId="3" type="noConversion"/>
  </si>
  <si>
    <t>各種借貸總金額</t>
    <phoneticPr fontId="3" type="noConversion"/>
  </si>
  <si>
    <t>各種利率</t>
    <phoneticPr fontId="3" type="noConversion"/>
  </si>
  <si>
    <t>每    期
所付本利</t>
    <phoneticPr fontId="3" type="noConversion"/>
  </si>
  <si>
    <t>還款日期</t>
    <phoneticPr fontId="3" type="noConversion"/>
  </si>
  <si>
    <t>利息</t>
    <phoneticPr fontId="3" type="noConversion"/>
  </si>
  <si>
    <t>本金</t>
    <phoneticPr fontId="3" type="noConversion"/>
  </si>
  <si>
    <t>累計利息</t>
    <phoneticPr fontId="3" type="noConversion"/>
  </si>
  <si>
    <t>還款期數</t>
    <phoneticPr fontId="3" type="noConversion"/>
  </si>
  <si>
    <t>累計本利
總金額</t>
    <phoneticPr fontId="3" type="noConversion"/>
  </si>
  <si>
    <t>借貸餘額</t>
    <phoneticPr fontId="3" type="noConversion"/>
  </si>
  <si>
    <t>額外增加貸款</t>
    <phoneticPr fontId="3" type="noConversion"/>
  </si>
  <si>
    <t>原始貸款</t>
    <phoneticPr fontId="3" type="noConversion"/>
  </si>
  <si>
    <t>貸款利率</t>
    <phoneticPr fontId="3" type="noConversion"/>
  </si>
  <si>
    <t>簡單的利息計算</t>
    <phoneticPr fontId="3" type="noConversion"/>
  </si>
  <si>
    <t>投資金額</t>
    <phoneticPr fontId="3" type="noConversion"/>
  </si>
  <si>
    <t>投資期間</t>
    <phoneticPr fontId="3" type="noConversion"/>
  </si>
  <si>
    <t>投資總合</t>
    <phoneticPr fontId="3" type="noConversion"/>
  </si>
  <si>
    <t>投資總額</t>
    <phoneticPr fontId="3" type="noConversion"/>
  </si>
  <si>
    <t>月</t>
    <phoneticPr fontId="3" type="noConversion"/>
  </si>
  <si>
    <t>每月穫利</t>
    <phoneticPr fontId="3" type="noConversion"/>
  </si>
  <si>
    <t>淨值</t>
    <phoneticPr fontId="3" type="noConversion"/>
  </si>
  <si>
    <t>期初投資</t>
    <phoneticPr fontId="3" type="noConversion"/>
  </si>
  <si>
    <t>投資總額</t>
    <phoneticPr fontId="3" type="noConversion"/>
  </si>
  <si>
    <t>年利率：</t>
    <phoneticPr fontId="3" type="noConversion"/>
  </si>
  <si>
    <t>投資期數（月）</t>
    <phoneticPr fontId="3" type="noConversion"/>
  </si>
  <si>
    <t>投資期數（年）</t>
    <phoneticPr fontId="3" type="noConversion"/>
  </si>
  <si>
    <t>每年複利週期</t>
    <phoneticPr fontId="3" type="noConversion"/>
  </si>
  <si>
    <t>原始投資</t>
    <phoneticPr fontId="3" type="noConversion"/>
  </si>
  <si>
    <t>投資相關條件</t>
    <phoneticPr fontId="3" type="noConversion"/>
  </si>
  <si>
    <t>計算結果</t>
    <phoneticPr fontId="3" type="noConversion"/>
  </si>
  <si>
    <t>總投資金額</t>
    <phoneticPr fontId="3" type="noConversion"/>
  </si>
  <si>
    <t>定期總投資金額</t>
    <phoneticPr fontId="3" type="noConversion"/>
  </si>
  <si>
    <t>投資期末淨值</t>
    <phoneticPr fontId="3" type="noConversion"/>
  </si>
  <si>
    <t>投資報酬率</t>
    <phoneticPr fontId="3" type="noConversion"/>
  </si>
  <si>
    <t>投資總獲利</t>
    <phoneticPr fontId="3" type="noConversion"/>
  </si>
  <si>
    <t>單期利率</t>
    <phoneticPr fontId="3" type="noConversion"/>
  </si>
  <si>
    <t>原始投資</t>
    <phoneticPr fontId="3" type="noConversion"/>
  </si>
  <si>
    <t>單期利率</t>
    <phoneticPr fontId="3" type="noConversion"/>
  </si>
  <si>
    <t>投資期末淨值</t>
    <phoneticPr fontId="3" type="noConversion"/>
  </si>
  <si>
    <t>投資期末報酬</t>
    <phoneticPr fontId="3" type="noConversion"/>
  </si>
  <si>
    <t>每期投資金額</t>
    <phoneticPr fontId="3" type="noConversion"/>
  </si>
  <si>
    <t>每年投資期數</t>
    <phoneticPr fontId="3" type="noConversion"/>
  </si>
  <si>
    <t>期初存入投資金融？</t>
    <phoneticPr fontId="3" type="noConversion"/>
  </si>
  <si>
    <t>投資期限(年)</t>
    <phoneticPr fontId="3" type="noConversion"/>
  </si>
  <si>
    <t>年利率</t>
    <phoneticPr fontId="3" type="noConversion"/>
  </si>
  <si>
    <t>發行日期</t>
    <phoneticPr fontId="10" type="noConversion"/>
  </si>
  <si>
    <t>到期日期</t>
    <phoneticPr fontId="10" type="noConversion"/>
  </si>
  <si>
    <t>債券年利率</t>
    <phoneticPr fontId="10" type="noConversion"/>
  </si>
  <si>
    <t>市場有效利率</t>
    <phoneticPr fontId="10" type="noConversion"/>
  </si>
  <si>
    <t>計息次數</t>
    <phoneticPr fontId="10" type="noConversion"/>
  </si>
  <si>
    <t>每百元收益利率：</t>
    <phoneticPr fontId="10" type="noConversion"/>
  </si>
  <si>
    <t>每百元投資價格：</t>
    <phoneticPr fontId="10" type="noConversion"/>
  </si>
  <si>
    <t>每百元價格</t>
    <phoneticPr fontId="10" type="noConversion"/>
  </si>
  <si>
    <t>問題說明</t>
    <phoneticPr fontId="10" type="noConversion"/>
  </si>
  <si>
    <t>Cost (總價)</t>
    <phoneticPr fontId="10" type="noConversion"/>
  </si>
  <si>
    <t>Slvage (殘值)</t>
    <phoneticPr fontId="10" type="noConversion"/>
  </si>
  <si>
    <t>Life ( 使用期限)</t>
    <phoneticPr fontId="10" type="noConversion"/>
  </si>
  <si>
    <t>Month (購買月份)</t>
    <phoneticPr fontId="10" type="noConversion"/>
  </si>
  <si>
    <t>定律遞減法(DB)</t>
    <phoneticPr fontId="10" type="noConversion"/>
  </si>
  <si>
    <t>倍數餘額遞減法(DDB)</t>
    <phoneticPr fontId="10" type="noConversion"/>
  </si>
  <si>
    <t>年數合計法(SYD)</t>
    <phoneticPr fontId="10" type="noConversion"/>
  </si>
  <si>
    <t>直線折線率(SLN)</t>
    <phoneticPr fontId="10" type="noConversion"/>
  </si>
  <si>
    <t>電腦系統</t>
    <phoneticPr fontId="10" type="noConversion"/>
  </si>
  <si>
    <t>Period (折舊期)</t>
    <phoneticPr fontId="10" type="noConversion"/>
  </si>
  <si>
    <t>年度</t>
    <phoneticPr fontId="10" type="noConversion"/>
  </si>
  <si>
    <t>殘值(SLN)</t>
    <phoneticPr fontId="10" type="noConversion"/>
  </si>
  <si>
    <t>殘值(DB)</t>
    <phoneticPr fontId="10" type="noConversion"/>
  </si>
  <si>
    <t>殘值(DDB)</t>
    <phoneticPr fontId="10" type="noConversion"/>
  </si>
  <si>
    <t>殘值(SYD)</t>
    <phoneticPr fontId="10" type="noConversion"/>
  </si>
  <si>
    <t>啟始點</t>
    <phoneticPr fontId="10" type="noConversion"/>
  </si>
  <si>
    <t>終止點</t>
    <phoneticPr fontId="10" type="noConversion"/>
  </si>
  <si>
    <t>指定餘額
遞減速率</t>
    <phoneticPr fontId="3" type="noConversion"/>
  </si>
  <si>
    <t>折舊數額
計算區間</t>
    <phoneticPr fontId="10" type="noConversion"/>
  </si>
  <si>
    <t>特定時段的折舊總金額(VDB)</t>
    <phoneticPr fontId="3" type="noConversion"/>
  </si>
  <si>
    <t>年金的計算(定時定額)</t>
    <phoneticPr fontId="3" type="noConversion"/>
  </si>
  <si>
    <t>每年折扣率</t>
    <phoneticPr fontId="10" type="noConversion"/>
  </si>
  <si>
    <t>每期應付本利金額：</t>
    <phoneticPr fontId="3" type="noConversion"/>
  </si>
  <si>
    <r>
      <t>貸款期限</t>
    </r>
    <r>
      <rPr>
        <b/>
        <sz val="11"/>
        <rFont val="Arial"/>
        <family val="2"/>
      </rPr>
      <t>(</t>
    </r>
    <r>
      <rPr>
        <b/>
        <sz val="11"/>
        <rFont val="細明體"/>
        <family val="3"/>
        <charset val="136"/>
      </rPr>
      <t>年</t>
    </r>
    <r>
      <rPr>
        <b/>
        <sz val="11"/>
        <rFont val="Arial"/>
        <family val="2"/>
      </rPr>
      <t>)</t>
    </r>
    <r>
      <rPr>
        <b/>
        <sz val="11"/>
        <rFont val="細明體"/>
        <family val="3"/>
        <charset val="136"/>
      </rPr>
      <t>：</t>
    </r>
    <phoneticPr fontId="3" type="noConversion"/>
  </si>
  <si>
    <r>
      <t>需繳費總期數</t>
    </r>
    <r>
      <rPr>
        <b/>
        <sz val="11"/>
        <color indexed="9"/>
        <rFont val="Arial"/>
        <family val="2"/>
      </rPr>
      <t>(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)</t>
    </r>
    <r>
      <rPr>
        <b/>
        <sz val="11"/>
        <color indexed="9"/>
        <rFont val="細明體"/>
        <family val="3"/>
        <charset val="136"/>
      </rPr>
      <t>：</t>
    </r>
    <phoneticPr fontId="3" type="noConversion"/>
  </si>
  <si>
    <r>
      <t>各種繳費總期數</t>
    </r>
    <r>
      <rPr>
        <b/>
        <sz val="11"/>
        <color indexed="9"/>
        <rFont val="Arial"/>
        <family val="2"/>
      </rPr>
      <t>(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)</t>
    </r>
    <phoneticPr fontId="3" type="noConversion"/>
  </si>
  <si>
    <t>還款
週期</t>
    <phoneticPr fontId="3" type="noConversion"/>
  </si>
  <si>
    <t>複利的計算(使用公式)</t>
    <phoneticPr fontId="3" type="noConversion"/>
  </si>
  <si>
    <t>複利的計算(使用FV函數)</t>
    <phoneticPr fontId="3" type="noConversion"/>
  </si>
  <si>
    <t>複利連續計算方法(使用EXP函數)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</si>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</sst>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>
  <numFmts count="19">
    <numFmt numFmtId="6" formatCode="&quot;$&quot;#,##0;[Red]\-&quot;$&quot;#,##0"/>
    <numFmt numFmtId="8" formatCode="&quot;$&quot;#,##0.00;[Red]\-&quot;$&quot;#,##0.00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.00_);_(&quot;$&quot;* \(#,##0.00\);_(&quot;$&quot;* &quot;-&quot;??_);_(@_)"/>
    <numFmt numFmtId="181" formatCode="_(* #,##0.00_);_(* \(#,##0.00\);_(* &quot;-&quot;??_);_(@_)"/>
    <numFmt numFmtId="182" formatCode="0.0%"/>
    <numFmt numFmtId="183" formatCode="_(* #,##0_);_(* \(#,##0\);_(* &quot;-&quot;??_);_(@_)"/>
    <numFmt numFmtId="184" formatCode="mm/dd/yy"/>
    <numFmt numFmtId="185" formatCode="0.0"/>
    <numFmt numFmtId="186" formatCode="0.00_ "/>
    <numFmt numFmtId="187" formatCode="0_ &quot;年&quot;"/>
    <numFmt numFmtId="188" formatCode="0_ &quot;期&quot;"/>
    <numFmt numFmtId="189" formatCode="yyyy/m/d;@"/>
    <numFmt numFmtId="190" formatCode="0.0\ &quot;年&quot;"/>
    <numFmt numFmtId="191" formatCode="yyyy/mm/dd"/>
    <numFmt numFmtId="192" formatCode="0_);[Red]\(0\)"/>
  </numFmts>
  <fonts count="3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1"/>
      <name val="Arial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細明體"/>
      <family val="3"/>
      <charset val="136"/>
    </font>
    <font>
      <sz val="10"/>
      <color indexed="9"/>
      <name val="細明體"/>
      <family val="3"/>
      <charset val="136"/>
    </font>
    <font>
      <b/>
      <sz val="10"/>
      <color indexed="9"/>
      <name val="細明體"/>
      <family val="3"/>
      <charset val="136"/>
    </font>
    <font>
      <sz val="10"/>
      <color indexed="9"/>
      <name val="Arial"/>
      <family val="2"/>
    </font>
    <font>
      <sz val="12"/>
      <color indexed="9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4"/>
      <name val="細明體"/>
      <family val="3"/>
      <charset val="136"/>
    </font>
    <font>
      <b/>
      <sz val="10"/>
      <color indexed="60"/>
      <name val="細明體"/>
      <family val="3"/>
      <charset val="136"/>
    </font>
    <font>
      <b/>
      <sz val="10"/>
      <color indexed="9"/>
      <name val="新細明體"/>
      <family val="1"/>
      <charset val="136"/>
    </font>
    <font>
      <b/>
      <sz val="11"/>
      <color indexed="60"/>
      <name val="細明體"/>
      <family val="3"/>
      <charset val="136"/>
    </font>
    <font>
      <b/>
      <sz val="11"/>
      <color indexed="53"/>
      <name val="Arial"/>
      <family val="2"/>
    </font>
    <font>
      <b/>
      <sz val="11"/>
      <color indexed="9"/>
      <name val="細明體"/>
      <family val="3"/>
      <charset val="136"/>
    </font>
    <font>
      <b/>
      <sz val="11"/>
      <color indexed="9"/>
      <name val="Arial"/>
      <family val="2"/>
    </font>
    <font>
      <b/>
      <sz val="11"/>
      <name val="細明體"/>
      <family val="3"/>
      <charset val="136"/>
    </font>
    <font>
      <b/>
      <sz val="11"/>
      <name val="Arial"/>
      <family val="2"/>
    </font>
    <font>
      <b/>
      <sz val="11"/>
      <color indexed="10"/>
      <name val="細明體"/>
      <family val="3"/>
      <charset val="136"/>
    </font>
    <font>
      <b/>
      <sz val="11"/>
      <color indexed="10"/>
      <name val="Arial"/>
      <family val="2"/>
    </font>
    <font>
      <b/>
      <sz val="12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64"/>
      </bottom>
      <diagonal/>
    </border>
  </borders>
  <cellStyleXfs count="5">
    <xf numFmtId="0" fontId="0" fillId="0" borderId="0"/>
    <xf numFmtId="0" fontId="9" fillId="0" borderId="0">
      <alignment vertical="center"/>
    </xf>
    <xf numFmtId="18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252">
    <xf numFmtId="0" fontId="0" fillId="0" borderId="0" xfId="0"/>
    <xf numFmtId="182" fontId="0" fillId="0" borderId="0" xfId="0" applyNumberFormat="1"/>
    <xf numFmtId="0" fontId="0" fillId="0" borderId="0" xfId="0" applyNumberFormat="1"/>
    <xf numFmtId="179" fontId="0" fillId="0" borderId="0" xfId="0" applyNumberFormat="1"/>
    <xf numFmtId="181" fontId="0" fillId="0" borderId="0" xfId="0" applyNumberFormat="1"/>
    <xf numFmtId="178" fontId="0" fillId="0" borderId="0" xfId="0" applyNumberFormat="1"/>
    <xf numFmtId="181" fontId="1" fillId="0" borderId="0" xfId="2"/>
    <xf numFmtId="181" fontId="1" fillId="0" borderId="0" xfId="2" applyFo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184" fontId="0" fillId="0" borderId="0" xfId="0" applyNumberFormat="1"/>
    <xf numFmtId="179" fontId="1" fillId="0" borderId="0" xfId="2" applyNumberFormat="1"/>
    <xf numFmtId="2" fontId="0" fillId="0" borderId="0" xfId="0" applyNumberFormat="1"/>
    <xf numFmtId="14" fontId="0" fillId="0" borderId="0" xfId="0" applyNumberFormat="1"/>
    <xf numFmtId="0" fontId="0" fillId="0" borderId="2" xfId="0" applyBorder="1"/>
    <xf numFmtId="0" fontId="0" fillId="0" borderId="0" xfId="0" applyFill="1"/>
    <xf numFmtId="0" fontId="0" fillId="0" borderId="0" xfId="0" applyAlignment="1">
      <alignment horizontal="center"/>
    </xf>
    <xf numFmtId="10" fontId="1" fillId="0" borderId="0" xfId="3" applyNumberFormat="1"/>
    <xf numFmtId="0" fontId="9" fillId="0" borderId="0" xfId="1">
      <alignment vertical="center"/>
    </xf>
    <xf numFmtId="0" fontId="9" fillId="0" borderId="0" xfId="1" applyAlignment="1">
      <alignment horizontal="center" vertical="center"/>
    </xf>
    <xf numFmtId="8" fontId="9" fillId="0" borderId="0" xfId="1" applyNumberFormat="1">
      <alignment vertical="center"/>
    </xf>
    <xf numFmtId="189" fontId="9" fillId="0" borderId="0" xfId="1" applyNumberFormat="1">
      <alignment vertical="center"/>
    </xf>
    <xf numFmtId="189" fontId="9" fillId="0" borderId="3" xfId="1" applyNumberFormat="1" applyBorder="1" applyAlignment="1">
      <alignment horizontal="center" vertical="center"/>
    </xf>
    <xf numFmtId="189" fontId="9" fillId="0" borderId="0" xfId="1" applyNumberFormat="1" applyBorder="1" applyAlignment="1">
      <alignment horizontal="center" vertical="center"/>
    </xf>
    <xf numFmtId="10" fontId="9" fillId="0" borderId="0" xfId="3" applyNumberFormat="1" applyFont="1" applyBorder="1" applyAlignment="1">
      <alignment vertical="center"/>
    </xf>
    <xf numFmtId="0" fontId="9" fillId="0" borderId="4" xfId="1" applyBorder="1">
      <alignment vertical="center"/>
    </xf>
    <xf numFmtId="0" fontId="9" fillId="0" borderId="3" xfId="1" applyBorder="1">
      <alignment vertical="center"/>
    </xf>
    <xf numFmtId="0" fontId="9" fillId="0" borderId="0" xfId="1" applyBorder="1">
      <alignment vertical="center"/>
    </xf>
    <xf numFmtId="0" fontId="9" fillId="0" borderId="0" xfId="3" applyNumberFormat="1" applyFont="1" applyBorder="1" applyAlignment="1">
      <alignment vertical="center"/>
    </xf>
    <xf numFmtId="6" fontId="9" fillId="0" borderId="0" xfId="1" applyNumberFormat="1">
      <alignment vertical="center"/>
    </xf>
    <xf numFmtId="6" fontId="9" fillId="0" borderId="0" xfId="1" applyNumberFormat="1" applyAlignment="1">
      <alignment horizontal="right" vertical="center"/>
    </xf>
    <xf numFmtId="0" fontId="9" fillId="0" borderId="0" xfId="1" applyBorder="1" applyAlignment="1">
      <alignment horizontal="center" vertical="center"/>
    </xf>
    <xf numFmtId="10" fontId="9" fillId="0" borderId="0" xfId="1" applyNumberFormat="1">
      <alignment vertical="center"/>
    </xf>
    <xf numFmtId="10" fontId="9" fillId="0" borderId="0" xfId="3" applyNumberFormat="1" applyFont="1" applyAlignment="1">
      <alignment vertical="center"/>
    </xf>
    <xf numFmtId="188" fontId="9" fillId="0" borderId="0" xfId="1" applyNumberFormat="1">
      <alignment vertical="center"/>
    </xf>
    <xf numFmtId="187" fontId="9" fillId="0" borderId="0" xfId="1" applyNumberFormat="1">
      <alignment vertical="center"/>
    </xf>
    <xf numFmtId="6" fontId="9" fillId="2" borderId="5" xfId="1" applyNumberFormat="1" applyFill="1" applyBorder="1">
      <alignment vertical="center"/>
    </xf>
    <xf numFmtId="8" fontId="9" fillId="2" borderId="5" xfId="1" applyNumberFormat="1" applyFill="1" applyBorder="1">
      <alignment vertical="center"/>
    </xf>
    <xf numFmtId="6" fontId="9" fillId="2" borderId="6" xfId="1" applyNumberFormat="1" applyFill="1" applyBorder="1">
      <alignment vertical="center"/>
    </xf>
    <xf numFmtId="8" fontId="9" fillId="2" borderId="6" xfId="1" applyNumberFormat="1" applyFill="1" applyBorder="1">
      <alignment vertical="center"/>
    </xf>
    <xf numFmtId="0" fontId="13" fillId="4" borderId="9" xfId="0" applyFont="1" applyFill="1" applyBorder="1"/>
    <xf numFmtId="0" fontId="13" fillId="5" borderId="7" xfId="0" applyFont="1" applyFill="1" applyBorder="1"/>
    <xf numFmtId="0" fontId="11" fillId="0" borderId="0" xfId="0" applyFont="1"/>
    <xf numFmtId="0" fontId="0" fillId="7" borderId="2" xfId="0" applyFill="1" applyBorder="1"/>
    <xf numFmtId="10" fontId="0" fillId="8" borderId="2" xfId="0" applyNumberFormat="1" applyFill="1" applyBorder="1"/>
    <xf numFmtId="0" fontId="13" fillId="3" borderId="2" xfId="0" applyFont="1" applyFill="1" applyBorder="1"/>
    <xf numFmtId="6" fontId="15" fillId="5" borderId="2" xfId="1" applyNumberFormat="1" applyFont="1" applyFill="1" applyBorder="1" applyAlignment="1">
      <alignment horizontal="center" vertical="center"/>
    </xf>
    <xf numFmtId="0" fontId="9" fillId="7" borderId="2" xfId="1" applyFill="1" applyBorder="1">
      <alignment vertical="center"/>
    </xf>
    <xf numFmtId="9" fontId="9" fillId="7" borderId="2" xfId="3" applyFont="1" applyFill="1" applyBorder="1" applyAlignment="1">
      <alignment vertical="center"/>
    </xf>
    <xf numFmtId="0" fontId="16" fillId="4" borderId="2" xfId="1" applyFont="1" applyFill="1" applyBorder="1">
      <alignment vertical="center"/>
    </xf>
    <xf numFmtId="0" fontId="9" fillId="0" borderId="0" xfId="1" applyFont="1">
      <alignment vertical="center"/>
    </xf>
    <xf numFmtId="6" fontId="9" fillId="6" borderId="2" xfId="1" applyNumberFormat="1" applyFill="1" applyBorder="1">
      <alignment vertical="center"/>
    </xf>
    <xf numFmtId="6" fontId="9" fillId="0" borderId="0" xfId="1" applyNumberFormat="1" applyFont="1">
      <alignment vertical="center"/>
    </xf>
    <xf numFmtId="10" fontId="2" fillId="6" borderId="2" xfId="0" applyNumberFormat="1" applyFont="1" applyFill="1" applyBorder="1"/>
    <xf numFmtId="0" fontId="2" fillId="6" borderId="2" xfId="0" applyNumberFormat="1" applyFont="1" applyFill="1" applyBorder="1"/>
    <xf numFmtId="0" fontId="2" fillId="6" borderId="2" xfId="0" applyFont="1" applyFill="1" applyBorder="1"/>
    <xf numFmtId="0" fontId="12" fillId="9" borderId="7" xfId="0" applyFont="1" applyFill="1" applyBorder="1"/>
    <xf numFmtId="0" fontId="12" fillId="9" borderId="8" xfId="0" applyFont="1" applyFill="1" applyBorder="1"/>
    <xf numFmtId="0" fontId="12" fillId="9" borderId="9" xfId="0" applyFont="1" applyFill="1" applyBorder="1"/>
    <xf numFmtId="178" fontId="1" fillId="8" borderId="2" xfId="2" applyNumberFormat="1" applyFont="1" applyFill="1" applyBorder="1"/>
    <xf numFmtId="10" fontId="1" fillId="8" borderId="2" xfId="0" applyNumberFormat="1" applyFont="1" applyFill="1" applyBorder="1"/>
    <xf numFmtId="0" fontId="1" fillId="8" borderId="2" xfId="0" applyNumberFormat="1" applyFont="1" applyFill="1" applyBorder="1"/>
    <xf numFmtId="0" fontId="1" fillId="8" borderId="2" xfId="0" applyFont="1" applyFill="1" applyBorder="1"/>
    <xf numFmtId="179" fontId="0" fillId="6" borderId="10" xfId="0" applyNumberFormat="1" applyFill="1" applyBorder="1"/>
    <xf numFmtId="178" fontId="1" fillId="7" borderId="2" xfId="2" applyNumberFormat="1" applyFont="1" applyFill="1" applyBorder="1"/>
    <xf numFmtId="0" fontId="13" fillId="3" borderId="7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10" fontId="14" fillId="0" borderId="2" xfId="0" applyNumberFormat="1" applyFont="1" applyFill="1" applyBorder="1"/>
    <xf numFmtId="0" fontId="13" fillId="5" borderId="12" xfId="0" applyFont="1" applyFill="1" applyBorder="1"/>
    <xf numFmtId="10" fontId="4" fillId="8" borderId="13" xfId="0" applyNumberFormat="1" applyFont="1" applyFill="1" applyBorder="1"/>
    <xf numFmtId="10" fontId="4" fillId="8" borderId="2" xfId="0" applyNumberFormat="1" applyFont="1" applyFill="1" applyBorder="1"/>
    <xf numFmtId="0" fontId="13" fillId="5" borderId="2" xfId="0" applyFont="1" applyFill="1" applyBorder="1" applyAlignment="1">
      <alignment horizontal="center" vertical="center" wrapText="1"/>
    </xf>
    <xf numFmtId="0" fontId="3" fillId="0" borderId="0" xfId="0" applyFont="1"/>
    <xf numFmtId="191" fontId="0" fillId="0" borderId="0" xfId="0" applyNumberFormat="1"/>
    <xf numFmtId="10" fontId="5" fillId="8" borderId="2" xfId="0" applyNumberFormat="1" applyFont="1" applyFill="1" applyBorder="1"/>
    <xf numFmtId="0" fontId="11" fillId="0" borderId="0" xfId="0" applyFont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wrapText="1"/>
    </xf>
    <xf numFmtId="0" fontId="0" fillId="8" borderId="2" xfId="0" applyFill="1" applyBorder="1"/>
    <xf numFmtId="0" fontId="13" fillId="3" borderId="14" xfId="0" applyFont="1" applyFill="1" applyBorder="1"/>
    <xf numFmtId="179" fontId="0" fillId="8" borderId="14" xfId="0" applyNumberFormat="1" applyFill="1" applyBorder="1"/>
    <xf numFmtId="0" fontId="13" fillId="3" borderId="12" xfId="0" applyFont="1" applyFill="1" applyBorder="1"/>
    <xf numFmtId="179" fontId="0" fillId="8" borderId="15" xfId="0" applyNumberFormat="1" applyFill="1" applyBorder="1"/>
    <xf numFmtId="10" fontId="0" fillId="8" borderId="1" xfId="0" applyNumberFormat="1" applyFill="1" applyBorder="1"/>
    <xf numFmtId="0" fontId="0" fillId="8" borderId="1" xfId="0" applyFill="1" applyBorder="1"/>
    <xf numFmtId="0" fontId="0" fillId="0" borderId="3" xfId="0" applyBorder="1"/>
    <xf numFmtId="0" fontId="0" fillId="0" borderId="4" xfId="0" applyBorder="1"/>
    <xf numFmtId="10" fontId="1" fillId="7" borderId="1" xfId="3" applyNumberFormat="1" applyFill="1" applyBorder="1"/>
    <xf numFmtId="179" fontId="0" fillId="6" borderId="1" xfId="0" applyNumberFormat="1" applyFill="1" applyBorder="1"/>
    <xf numFmtId="0" fontId="13" fillId="3" borderId="16" xfId="0" applyFont="1" applyFill="1" applyBorder="1"/>
    <xf numFmtId="179" fontId="0" fillId="8" borderId="4" xfId="0" applyNumberFormat="1" applyFill="1" applyBorder="1"/>
    <xf numFmtId="10" fontId="1" fillId="6" borderId="10" xfId="3" applyNumberFormat="1" applyFill="1" applyBorder="1"/>
    <xf numFmtId="0" fontId="1" fillId="8" borderId="1" xfId="2" applyNumberFormat="1" applyFont="1" applyFill="1" applyBorder="1"/>
    <xf numFmtId="0" fontId="1" fillId="8" borderId="1" xfId="0" applyFont="1" applyFill="1" applyBorder="1" applyAlignment="1"/>
    <xf numFmtId="0" fontId="1" fillId="8" borderId="1" xfId="0" applyFont="1" applyFill="1" applyBorder="1"/>
    <xf numFmtId="10" fontId="1" fillId="8" borderId="10" xfId="0" applyNumberFormat="1" applyFont="1" applyFill="1" applyBorder="1"/>
    <xf numFmtId="0" fontId="13" fillId="4" borderId="8" xfId="0" applyFont="1" applyFill="1" applyBorder="1"/>
    <xf numFmtId="0" fontId="13" fillId="10" borderId="8" xfId="0" applyFont="1" applyFill="1" applyBorder="1"/>
    <xf numFmtId="0" fontId="13" fillId="3" borderId="8" xfId="0" applyFont="1" applyFill="1" applyBorder="1" applyAlignment="1"/>
    <xf numFmtId="0" fontId="13" fillId="3" borderId="9" xfId="0" applyFont="1" applyFill="1" applyBorder="1" applyAlignment="1"/>
    <xf numFmtId="10" fontId="1" fillId="7" borderId="2" xfId="3" applyNumberFormat="1" applyFont="1" applyFill="1" applyBorder="1" applyAlignment="1"/>
    <xf numFmtId="10" fontId="9" fillId="6" borderId="17" xfId="3" applyNumberFormat="1" applyFont="1" applyFill="1" applyBorder="1" applyAlignment="1">
      <alignment vertical="center"/>
    </xf>
    <xf numFmtId="10" fontId="9" fillId="0" borderId="18" xfId="3" applyNumberFormat="1" applyFont="1" applyFill="1" applyBorder="1" applyAlignment="1">
      <alignment vertical="center"/>
    </xf>
    <xf numFmtId="0" fontId="9" fillId="0" borderId="19" xfId="1" applyFill="1" applyBorder="1" applyAlignment="1">
      <alignment horizontal="left" vertical="center"/>
    </xf>
    <xf numFmtId="186" fontId="9" fillId="6" borderId="17" xfId="1" applyNumberFormat="1" applyFill="1" applyBorder="1">
      <alignment vertical="center"/>
    </xf>
    <xf numFmtId="0" fontId="9" fillId="0" borderId="17" xfId="1" applyFill="1" applyBorder="1">
      <alignment vertical="center"/>
    </xf>
    <xf numFmtId="0" fontId="9" fillId="0" borderId="19" xfId="1" applyFill="1" applyBorder="1">
      <alignment vertical="center"/>
    </xf>
    <xf numFmtId="0" fontId="19" fillId="5" borderId="20" xfId="1" applyFont="1" applyFill="1" applyBorder="1">
      <alignment vertical="center"/>
    </xf>
    <xf numFmtId="0" fontId="19" fillId="5" borderId="21" xfId="1" applyFont="1" applyFill="1" applyBorder="1">
      <alignment vertical="center"/>
    </xf>
    <xf numFmtId="0" fontId="19" fillId="5" borderId="21" xfId="1" applyFont="1" applyFill="1" applyBorder="1" applyAlignment="1">
      <alignment horizontal="center" vertical="center"/>
    </xf>
    <xf numFmtId="0" fontId="19" fillId="5" borderId="22" xfId="1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/>
    </xf>
    <xf numFmtId="6" fontId="9" fillId="0" borderId="0" xfId="1" applyNumberFormat="1" applyAlignment="1">
      <alignment horizontal="center" vertical="center"/>
    </xf>
    <xf numFmtId="0" fontId="7" fillId="9" borderId="23" xfId="1" applyFont="1" applyFill="1" applyBorder="1">
      <alignment vertical="center"/>
    </xf>
    <xf numFmtId="0" fontId="7" fillId="9" borderId="24" xfId="1" applyFont="1" applyFill="1" applyBorder="1">
      <alignment vertical="center"/>
    </xf>
    <xf numFmtId="0" fontId="7" fillId="9" borderId="25" xfId="1" applyFont="1" applyFill="1" applyBorder="1">
      <alignment vertical="center"/>
    </xf>
    <xf numFmtId="0" fontId="6" fillId="2" borderId="26" xfId="1" applyFont="1" applyFill="1" applyBorder="1">
      <alignment vertical="center"/>
    </xf>
    <xf numFmtId="0" fontId="6" fillId="2" borderId="27" xfId="1" applyFont="1" applyFill="1" applyBorder="1">
      <alignment vertical="center"/>
    </xf>
    <xf numFmtId="0" fontId="6" fillId="2" borderId="28" xfId="1" applyFont="1" applyFill="1" applyBorder="1">
      <alignment vertical="center"/>
    </xf>
    <xf numFmtId="177" fontId="8" fillId="6" borderId="2" xfId="0" applyNumberFormat="1" applyFont="1" applyFill="1" applyBorder="1"/>
    <xf numFmtId="177" fontId="6" fillId="6" borderId="2" xfId="1" applyNumberFormat="1" applyFont="1" applyFill="1" applyBorder="1">
      <alignment vertical="center"/>
    </xf>
    <xf numFmtId="0" fontId="6" fillId="7" borderId="9" xfId="1" applyFont="1" applyFill="1" applyBorder="1" applyAlignment="1">
      <alignment horizontal="center" vertical="center"/>
    </xf>
    <xf numFmtId="0" fontId="6" fillId="7" borderId="29" xfId="1" applyFont="1" applyFill="1" applyBorder="1" applyAlignment="1">
      <alignment horizontal="center" vertical="center"/>
    </xf>
    <xf numFmtId="0" fontId="9" fillId="7" borderId="29" xfId="1" applyFill="1" applyBorder="1">
      <alignment vertical="center"/>
    </xf>
    <xf numFmtId="0" fontId="9" fillId="7" borderId="10" xfId="1" applyFill="1" applyBorder="1">
      <alignment vertical="center"/>
    </xf>
    <xf numFmtId="0" fontId="19" fillId="5" borderId="30" xfId="1" applyFont="1" applyFill="1" applyBorder="1" applyAlignment="1">
      <alignment horizontal="center" vertical="center"/>
    </xf>
    <xf numFmtId="176" fontId="2" fillId="6" borderId="2" xfId="2" applyNumberFormat="1" applyFont="1" applyFill="1" applyBorder="1"/>
    <xf numFmtId="192" fontId="13" fillId="11" borderId="31" xfId="0" applyNumberFormat="1" applyFont="1" applyFill="1" applyBorder="1" applyAlignment="1">
      <alignment horizontal="center" vertical="center" wrapText="1"/>
    </xf>
    <xf numFmtId="192" fontId="0" fillId="0" borderId="0" xfId="0" applyNumberFormat="1"/>
    <xf numFmtId="176" fontId="4" fillId="7" borderId="2" xfId="0" applyNumberFormat="1" applyFont="1" applyFill="1" applyBorder="1"/>
    <xf numFmtId="176" fontId="0" fillId="6" borderId="2" xfId="0" applyNumberFormat="1" applyFill="1" applyBorder="1"/>
    <xf numFmtId="177" fontId="0" fillId="0" borderId="0" xfId="0" applyNumberFormat="1"/>
    <xf numFmtId="177" fontId="1" fillId="0" borderId="0" xfId="2" applyNumberFormat="1"/>
    <xf numFmtId="176" fontId="1" fillId="8" borderId="1" xfId="4" applyNumberFormat="1" applyFont="1" applyFill="1" applyBorder="1"/>
    <xf numFmtId="176" fontId="1" fillId="7" borderId="2" xfId="4" applyNumberFormat="1" applyFont="1" applyFill="1" applyBorder="1"/>
    <xf numFmtId="177" fontId="1" fillId="6" borderId="2" xfId="4" applyNumberFormat="1" applyFont="1" applyFill="1" applyBorder="1"/>
    <xf numFmtId="6" fontId="9" fillId="0" borderId="0" xfId="1" applyNumberFormat="1" applyFont="1" applyAlignment="1">
      <alignment horizontal="center" vertical="center"/>
    </xf>
    <xf numFmtId="176" fontId="1" fillId="7" borderId="2" xfId="2" applyNumberFormat="1" applyFont="1" applyFill="1" applyBorder="1"/>
    <xf numFmtId="10" fontId="0" fillId="0" borderId="0" xfId="3" applyNumberFormat="1" applyFont="1"/>
    <xf numFmtId="8" fontId="0" fillId="0" borderId="0" xfId="0" applyNumberFormat="1"/>
    <xf numFmtId="10" fontId="9" fillId="8" borderId="2" xfId="3" applyNumberFormat="1" applyFont="1" applyFill="1" applyBorder="1" applyAlignment="1">
      <alignment vertical="center"/>
    </xf>
    <xf numFmtId="0" fontId="16" fillId="3" borderId="7" xfId="1" applyFont="1" applyFill="1" applyBorder="1" applyAlignment="1">
      <alignment horizontal="center" vertical="center"/>
    </xf>
    <xf numFmtId="0" fontId="16" fillId="3" borderId="32" xfId="1" applyFont="1" applyFill="1" applyBorder="1" applyAlignment="1">
      <alignment horizontal="center" vertical="center"/>
    </xf>
    <xf numFmtId="0" fontId="16" fillId="3" borderId="32" xfId="1" applyFont="1" applyFill="1" applyBorder="1">
      <alignment vertical="center"/>
    </xf>
    <xf numFmtId="0" fontId="16" fillId="3" borderId="11" xfId="1" applyFont="1" applyFill="1" applyBorder="1" applyAlignment="1">
      <alignment horizontal="center" vertical="center"/>
    </xf>
    <xf numFmtId="0" fontId="9" fillId="8" borderId="1" xfId="1" applyFill="1" applyBorder="1">
      <alignment vertical="center"/>
    </xf>
    <xf numFmtId="189" fontId="9" fillId="7" borderId="2" xfId="1" applyNumberFormat="1" applyFill="1" applyBorder="1" applyAlignment="1">
      <alignment horizontal="center" vertical="center"/>
    </xf>
    <xf numFmtId="10" fontId="9" fillId="7" borderId="2" xfId="3" applyNumberFormat="1" applyFont="1" applyFill="1" applyBorder="1" applyAlignment="1">
      <alignment vertical="center"/>
    </xf>
    <xf numFmtId="0" fontId="9" fillId="7" borderId="2" xfId="3" applyNumberFormat="1" applyFont="1" applyFill="1" applyBorder="1" applyAlignment="1">
      <alignment vertical="center"/>
    </xf>
    <xf numFmtId="0" fontId="16" fillId="5" borderId="7" xfId="1" applyFont="1" applyFill="1" applyBorder="1" applyAlignment="1">
      <alignment horizontal="center" vertical="center"/>
    </xf>
    <xf numFmtId="0" fontId="16" fillId="5" borderId="32" xfId="1" applyFont="1" applyFill="1" applyBorder="1" applyAlignment="1">
      <alignment horizontal="center" vertical="center"/>
    </xf>
    <xf numFmtId="0" fontId="16" fillId="5" borderId="32" xfId="1" applyFont="1" applyFill="1" applyBorder="1">
      <alignment vertical="center"/>
    </xf>
    <xf numFmtId="0" fontId="16" fillId="5" borderId="11" xfId="1" applyFont="1" applyFill="1" applyBorder="1" applyAlignment="1">
      <alignment horizontal="center" vertical="center"/>
    </xf>
    <xf numFmtId="189" fontId="9" fillId="7" borderId="8" xfId="1" applyNumberFormat="1" applyFill="1" applyBorder="1" applyAlignment="1">
      <alignment horizontal="center" vertical="center"/>
    </xf>
    <xf numFmtId="0" fontId="9" fillId="7" borderId="1" xfId="1" applyFill="1" applyBorder="1">
      <alignment vertical="center"/>
    </xf>
    <xf numFmtId="0" fontId="8" fillId="0" borderId="0" xfId="0" applyFont="1"/>
    <xf numFmtId="181" fontId="8" fillId="8" borderId="11" xfId="2" applyFont="1" applyFill="1" applyBorder="1"/>
    <xf numFmtId="0" fontId="22" fillId="5" borderId="7" xfId="0" applyFont="1" applyFill="1" applyBorder="1"/>
    <xf numFmtId="182" fontId="8" fillId="8" borderId="1" xfId="0" applyNumberFormat="1" applyFont="1" applyFill="1" applyBorder="1"/>
    <xf numFmtId="0" fontId="8" fillId="8" borderId="1" xfId="0" applyNumberFormat="1" applyFont="1" applyFill="1" applyBorder="1"/>
    <xf numFmtId="0" fontId="8" fillId="8" borderId="1" xfId="0" applyFont="1" applyFill="1" applyBorder="1"/>
    <xf numFmtId="0" fontId="8" fillId="8" borderId="10" xfId="0" applyFont="1" applyFill="1" applyBorder="1"/>
    <xf numFmtId="179" fontId="8" fillId="0" borderId="0" xfId="0" applyNumberFormat="1" applyFont="1"/>
    <xf numFmtId="0" fontId="22" fillId="13" borderId="8" xfId="0" applyFont="1" applyFill="1" applyBorder="1"/>
    <xf numFmtId="0" fontId="24" fillId="14" borderId="9" xfId="0" applyFont="1" applyFill="1" applyBorder="1"/>
    <xf numFmtId="0" fontId="22" fillId="3" borderId="7" xfId="0" applyFont="1" applyFill="1" applyBorder="1"/>
    <xf numFmtId="0" fontId="22" fillId="3" borderId="8" xfId="0" applyFont="1" applyFill="1" applyBorder="1"/>
    <xf numFmtId="0" fontId="22" fillId="3" borderId="9" xfId="0" applyFont="1" applyFill="1" applyBorder="1"/>
    <xf numFmtId="179" fontId="8" fillId="15" borderId="11" xfId="0" applyNumberFormat="1" applyFont="1" applyFill="1" applyBorder="1"/>
    <xf numFmtId="179" fontId="8" fillId="15" borderId="1" xfId="0" applyNumberFormat="1" applyFont="1" applyFill="1" applyBorder="1"/>
    <xf numFmtId="179" fontId="8" fillId="15" borderId="10" xfId="0" applyNumberFormat="1" applyFont="1" applyFill="1" applyBorder="1"/>
    <xf numFmtId="0" fontId="22" fillId="18" borderId="8" xfId="0" applyFont="1" applyFill="1" applyBorder="1"/>
    <xf numFmtId="0" fontId="22" fillId="19" borderId="7" xfId="0" applyFont="1" applyFill="1" applyBorder="1"/>
    <xf numFmtId="0" fontId="24" fillId="17" borderId="8" xfId="0" applyFont="1" applyFill="1" applyBorder="1"/>
    <xf numFmtId="0" fontId="24" fillId="20" borderId="8" xfId="0" applyFont="1" applyFill="1" applyBorder="1"/>
    <xf numFmtId="0" fontId="24" fillId="16" borderId="9" xfId="0" applyFont="1" applyFill="1" applyBorder="1"/>
    <xf numFmtId="183" fontId="8" fillId="0" borderId="11" xfId="2" applyNumberFormat="1" applyFont="1" applyBorder="1"/>
    <xf numFmtId="182" fontId="8" fillId="0" borderId="1" xfId="0" applyNumberFormat="1" applyFont="1" applyBorder="1"/>
    <xf numFmtId="0" fontId="8" fillId="0" borderId="1" xfId="0" applyNumberFormat="1" applyFont="1" applyBorder="1"/>
    <xf numFmtId="0" fontId="8" fillId="0" borderId="10" xfId="0" applyFont="1" applyBorder="1"/>
    <xf numFmtId="0" fontId="24" fillId="0" borderId="0" xfId="0" applyFont="1"/>
    <xf numFmtId="0" fontId="22" fillId="4" borderId="9" xfId="0" applyFont="1" applyFill="1" applyBorder="1"/>
    <xf numFmtId="0" fontId="22" fillId="5" borderId="8" xfId="0" applyFont="1" applyFill="1" applyBorder="1"/>
    <xf numFmtId="0" fontId="22" fillId="5" borderId="9" xfId="0" applyFont="1" applyFill="1" applyBorder="1"/>
    <xf numFmtId="0" fontId="8" fillId="0" borderId="0" xfId="0" applyNumberFormat="1" applyFont="1"/>
    <xf numFmtId="14" fontId="8" fillId="0" borderId="0" xfId="0" applyNumberFormat="1" applyFont="1"/>
    <xf numFmtId="0" fontId="22" fillId="3" borderId="2" xfId="0" applyFont="1" applyFill="1" applyBorder="1"/>
    <xf numFmtId="177" fontId="8" fillId="8" borderId="2" xfId="0" applyNumberFormat="1" applyFont="1" applyFill="1" applyBorder="1"/>
    <xf numFmtId="0" fontId="22" fillId="5" borderId="2" xfId="0" applyFont="1" applyFill="1" applyBorder="1"/>
    <xf numFmtId="185" fontId="8" fillId="7" borderId="2" xfId="0" applyNumberFormat="1" applyFont="1" applyFill="1" applyBorder="1"/>
    <xf numFmtId="190" fontId="8" fillId="7" borderId="2" xfId="0" applyNumberFormat="1" applyFont="1" applyFill="1" applyBorder="1"/>
    <xf numFmtId="10" fontId="8" fillId="8" borderId="2" xfId="0" applyNumberFormat="1" applyFont="1" applyFill="1" applyBorder="1"/>
    <xf numFmtId="179" fontId="8" fillId="7" borderId="2" xfId="0" applyNumberFormat="1" applyFont="1" applyFill="1" applyBorder="1"/>
    <xf numFmtId="0" fontId="8" fillId="7" borderId="2" xfId="0" applyFont="1" applyFill="1" applyBorder="1"/>
    <xf numFmtId="0" fontId="22" fillId="5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79" fontId="8" fillId="6" borderId="2" xfId="0" applyNumberFormat="1" applyFont="1" applyFill="1" applyBorder="1"/>
    <xf numFmtId="176" fontId="8" fillId="8" borderId="2" xfId="2" applyNumberFormat="1" applyFont="1" applyFill="1" applyBorder="1"/>
    <xf numFmtId="0" fontId="8" fillId="8" borderId="2" xfId="0" applyNumberFormat="1" applyFont="1" applyFill="1" applyBorder="1"/>
    <xf numFmtId="0" fontId="8" fillId="8" borderId="2" xfId="0" applyFont="1" applyFill="1" applyBorder="1"/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/>
    <xf numFmtId="178" fontId="8" fillId="7" borderId="2" xfId="2" applyNumberFormat="1" applyFont="1" applyFill="1" applyBorder="1"/>
    <xf numFmtId="178" fontId="8" fillId="0" borderId="0" xfId="0" applyNumberFormat="1" applyFont="1"/>
    <xf numFmtId="176" fontId="27" fillId="0" borderId="2" xfId="0" applyNumberFormat="1" applyFont="1" applyFill="1" applyBorder="1"/>
    <xf numFmtId="10" fontId="25" fillId="8" borderId="2" xfId="0" applyNumberFormat="1" applyFont="1" applyFill="1" applyBorder="1"/>
    <xf numFmtId="176" fontId="25" fillId="8" borderId="2" xfId="0" applyNumberFormat="1" applyFont="1" applyFill="1" applyBorder="1"/>
    <xf numFmtId="176" fontId="8" fillId="6" borderId="2" xfId="0" applyNumberFormat="1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179" fontId="29" fillId="0" borderId="0" xfId="0" applyNumberFormat="1" applyFont="1"/>
    <xf numFmtId="10" fontId="29" fillId="0" borderId="0" xfId="0" applyNumberFormat="1" applyFont="1"/>
    <xf numFmtId="14" fontId="9" fillId="8" borderId="8" xfId="1" applyNumberFormat="1" applyFill="1" applyBorder="1" applyAlignment="1">
      <alignment horizontal="center" vertical="center"/>
    </xf>
    <xf numFmtId="14" fontId="9" fillId="8" borderId="2" xfId="1" applyNumberFormat="1" applyFill="1" applyBorder="1" applyAlignment="1">
      <alignment horizontal="center" vertical="center"/>
    </xf>
    <xf numFmtId="0" fontId="16" fillId="12" borderId="20" xfId="1" applyFont="1" applyFill="1" applyBorder="1" applyAlignment="1">
      <alignment horizontal="center" vertical="center"/>
    </xf>
    <xf numFmtId="0" fontId="16" fillId="12" borderId="21" xfId="1" applyFont="1" applyFill="1" applyBorder="1" applyAlignment="1">
      <alignment horizontal="center" vertical="center"/>
    </xf>
    <xf numFmtId="0" fontId="16" fillId="12" borderId="22" xfId="1" applyFont="1" applyFill="1" applyBorder="1" applyAlignment="1">
      <alignment horizontal="center" vertical="center"/>
    </xf>
    <xf numFmtId="0" fontId="16" fillId="9" borderId="20" xfId="1" applyFont="1" applyFill="1" applyBorder="1" applyAlignment="1">
      <alignment horizontal="center" vertical="center"/>
    </xf>
    <xf numFmtId="0" fontId="16" fillId="9" borderId="21" xfId="1" applyFont="1" applyFill="1" applyBorder="1" applyAlignment="1">
      <alignment horizontal="center" vertical="center"/>
    </xf>
    <xf numFmtId="0" fontId="16" fillId="9" borderId="22" xfId="1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34" xfId="0" applyFont="1" applyFill="1" applyBorder="1" applyAlignment="1">
      <alignment horizontal="center"/>
    </xf>
    <xf numFmtId="0" fontId="18" fillId="0" borderId="35" xfId="0" applyFont="1" applyFill="1" applyBorder="1" applyAlignment="1">
      <alignment horizontal="center"/>
    </xf>
    <xf numFmtId="0" fontId="18" fillId="0" borderId="36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5" fillId="4" borderId="37" xfId="1" applyFont="1" applyFill="1" applyBorder="1" applyAlignment="1">
      <alignment horizontal="left" vertical="center"/>
    </xf>
    <xf numFmtId="0" fontId="15" fillId="4" borderId="17" xfId="1" applyFont="1" applyFill="1" applyBorder="1" applyAlignment="1">
      <alignment horizontal="left" vertical="center"/>
    </xf>
    <xf numFmtId="0" fontId="16" fillId="4" borderId="37" xfId="1" applyFont="1" applyFill="1" applyBorder="1" applyAlignment="1">
      <alignment horizontal="left" vertical="center"/>
    </xf>
    <xf numFmtId="0" fontId="16" fillId="4" borderId="17" xfId="1" applyFont="1" applyFill="1" applyBorder="1" applyAlignment="1">
      <alignment horizontal="left" vertical="center"/>
    </xf>
    <xf numFmtId="0" fontId="20" fillId="0" borderId="38" xfId="0" applyFont="1" applyFill="1" applyBorder="1" applyAlignment="1">
      <alignment horizontal="center" vertical="center"/>
    </xf>
    <xf numFmtId="0" fontId="20" fillId="0" borderId="39" xfId="0" applyFont="1" applyFill="1" applyBorder="1" applyAlignment="1">
      <alignment horizontal="center" vertical="center"/>
    </xf>
    <xf numFmtId="0" fontId="20" fillId="0" borderId="40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6" fontId="9" fillId="6" borderId="42" xfId="1" applyNumberFormat="1" applyFill="1" applyBorder="1" applyAlignment="1">
      <alignment horizontal="center" vertical="center"/>
    </xf>
    <xf numFmtId="6" fontId="9" fillId="6" borderId="21" xfId="1" applyNumberFormat="1" applyFill="1" applyBorder="1" applyAlignment="1">
      <alignment horizontal="center" vertical="center"/>
    </xf>
    <xf numFmtId="6" fontId="9" fillId="6" borderId="22" xfId="1" applyNumberForma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 wrapText="1"/>
    </xf>
    <xf numFmtId="0" fontId="19" fillId="5" borderId="23" xfId="1" applyFont="1" applyFill="1" applyBorder="1" applyAlignment="1">
      <alignment horizontal="center" vertical="center"/>
    </xf>
    <xf numFmtId="0" fontId="19" fillId="5" borderId="43" xfId="1" applyFont="1" applyFill="1" applyBorder="1" applyAlignment="1">
      <alignment horizontal="center" vertical="center"/>
    </xf>
    <xf numFmtId="0" fontId="19" fillId="5" borderId="24" xfId="1" applyFont="1" applyFill="1" applyBorder="1" applyAlignment="1">
      <alignment horizontal="center" vertical="center"/>
    </xf>
    <xf numFmtId="0" fontId="19" fillId="5" borderId="30" xfId="1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 wrapText="1"/>
    </xf>
    <xf numFmtId="0" fontId="13" fillId="5" borderId="44" xfId="0" applyFont="1" applyFill="1" applyBorder="1" applyAlignment="1">
      <alignment horizontal="center" vertical="center" wrapText="1"/>
    </xf>
  </cellXfs>
  <cellStyles count="5">
    <cellStyle name="一般" xfId="0" builtinId="0"/>
    <cellStyle name="一般_Ch07函數的應用" xfId="1"/>
    <cellStyle name="千分位" xfId="2" builtinId="3"/>
    <cellStyle name="百分比" xfId="3" builtinId="5"/>
    <cellStyle name="貨幣" xfId="4" builtinId="4"/>
  </cellStyles>
  <dxfs count="1"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0.13743230941341741"/>
          <c:y val="7.2580835698178386E-2"/>
          <c:w val="0.84086873522683059"/>
          <c:h val="0.80376555087982771"/>
        </c:manualLayout>
      </c:layout>
      <c:lineChart>
        <c:grouping val="standard"/>
        <c:ser>
          <c:idx val="2"/>
          <c:order val="0"/>
          <c:tx>
            <c:strRef>
              <c:f>'7-1-1圖表'!$C$7</c:f>
              <c:strCache>
                <c:ptCount val="1"/>
                <c:pt idx="0">
                  <c:v>每期應付本金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x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'7-1-1圖表'!$A$8:$A$43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'7-1-1圖表'!$C$8:$C$43</c:f>
              <c:numCache>
                <c:formatCode>"$"#,##0.00_);[Red]\("$"#,##0.00\)</c:formatCode>
                <c:ptCount val="36"/>
                <c:pt idx="0">
                  <c:v>2411.6283074115381</c:v>
                </c:pt>
                <c:pt idx="1">
                  <c:v>2430.7203648452123</c:v>
                </c:pt>
                <c:pt idx="2">
                  <c:v>2449.96356773357</c:v>
                </c:pt>
                <c:pt idx="3">
                  <c:v>2469.3591126447941</c:v>
                </c:pt>
                <c:pt idx="4">
                  <c:v>2488.9082056198986</c:v>
                </c:pt>
                <c:pt idx="5">
                  <c:v>2508.6120622477224</c:v>
                </c:pt>
                <c:pt idx="6">
                  <c:v>2528.4719077405166</c:v>
                </c:pt>
                <c:pt idx="7">
                  <c:v>2548.488977010129</c:v>
                </c:pt>
                <c:pt idx="8">
                  <c:v>2568.6645147447921</c:v>
                </c:pt>
                <c:pt idx="9">
                  <c:v>2588.9997754865212</c:v>
                </c:pt>
                <c:pt idx="10">
                  <c:v>2609.4960237091227</c:v>
                </c:pt>
                <c:pt idx="11">
                  <c:v>2630.1545338968199</c:v>
                </c:pt>
                <c:pt idx="12">
                  <c:v>2650.9765906235025</c:v>
                </c:pt>
                <c:pt idx="13">
                  <c:v>2671.9634886326048</c:v>
                </c:pt>
                <c:pt idx="14">
                  <c:v>2693.1165329176129</c:v>
                </c:pt>
                <c:pt idx="15">
                  <c:v>2714.4370388032103</c:v>
                </c:pt>
                <c:pt idx="16">
                  <c:v>2735.9263320270688</c:v>
                </c:pt>
                <c:pt idx="17">
                  <c:v>2757.5857488222828</c:v>
                </c:pt>
                <c:pt idx="18">
                  <c:v>2779.4166360004592</c:v>
                </c:pt>
                <c:pt idx="19">
                  <c:v>2801.4203510354628</c:v>
                </c:pt>
                <c:pt idx="20">
                  <c:v>2823.5982621478256</c:v>
                </c:pt>
                <c:pt idx="21">
                  <c:v>2845.9517483898294</c:v>
                </c:pt>
                <c:pt idx="22">
                  <c:v>2868.4821997312483</c:v>
                </c:pt>
                <c:pt idx="23">
                  <c:v>2891.1910171457871</c:v>
                </c:pt>
                <c:pt idx="24">
                  <c:v>2914.0796126981909</c:v>
                </c:pt>
                <c:pt idx="25">
                  <c:v>2937.1494096320512</c:v>
                </c:pt>
                <c:pt idx="26">
                  <c:v>2960.4018424583046</c:v>
                </c:pt>
                <c:pt idx="27">
                  <c:v>2983.838357044433</c:v>
                </c:pt>
                <c:pt idx="28">
                  <c:v>3007.4604107043674</c:v>
                </c:pt>
                <c:pt idx="29">
                  <c:v>3031.2694722891106</c:v>
                </c:pt>
                <c:pt idx="30">
                  <c:v>3055.2670222780653</c:v>
                </c:pt>
                <c:pt idx="31">
                  <c:v>3079.4545528710996</c:v>
                </c:pt>
                <c:pt idx="32">
                  <c:v>3103.8335680813288</c:v>
                </c:pt>
                <c:pt idx="33">
                  <c:v>3128.4055838286395</c:v>
                </c:pt>
                <c:pt idx="34">
                  <c:v>3153.1721280339493</c:v>
                </c:pt>
                <c:pt idx="35">
                  <c:v>3178.134740714218</c:v>
                </c:pt>
              </c:numCache>
            </c:numRef>
          </c:val>
        </c:ser>
        <c:ser>
          <c:idx val="3"/>
          <c:order val="1"/>
          <c:tx>
            <c:strRef>
              <c:f>'7-1-1圖表'!$D$7</c:f>
              <c:strCache>
                <c:ptCount val="1"/>
                <c:pt idx="0">
                  <c:v>每期應付利息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'7-1-1圖表'!$A$8:$A$43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'7-1-1圖表'!$D$8:$D$43</c:f>
              <c:numCache>
                <c:formatCode>"$"#,##0.00_);[Red]\("$"#,##0.00\)</c:formatCode>
                <c:ptCount val="36"/>
                <c:pt idx="0">
                  <c:v>791.66666666666652</c:v>
                </c:pt>
                <c:pt idx="1">
                  <c:v>772.57460923299209</c:v>
                </c:pt>
                <c:pt idx="2">
                  <c:v>753.33140634463439</c:v>
                </c:pt>
                <c:pt idx="3">
                  <c:v>733.93586143341042</c:v>
                </c:pt>
                <c:pt idx="4">
                  <c:v>714.38676845830628</c:v>
                </c:pt>
                <c:pt idx="5">
                  <c:v>694.68291183048234</c:v>
                </c:pt>
                <c:pt idx="6">
                  <c:v>674.82306633768815</c:v>
                </c:pt>
                <c:pt idx="7">
                  <c:v>654.80599706807573</c:v>
                </c:pt>
                <c:pt idx="8">
                  <c:v>634.63045933341266</c:v>
                </c:pt>
                <c:pt idx="9">
                  <c:v>614.29519859168352</c:v>
                </c:pt>
                <c:pt idx="10">
                  <c:v>593.79895036908181</c:v>
                </c:pt>
                <c:pt idx="11">
                  <c:v>573.14044018138497</c:v>
                </c:pt>
                <c:pt idx="12">
                  <c:v>552.31838345470226</c:v>
                </c:pt>
                <c:pt idx="13">
                  <c:v>531.33148544559958</c:v>
                </c:pt>
                <c:pt idx="14">
                  <c:v>510.17844116059189</c:v>
                </c:pt>
                <c:pt idx="15">
                  <c:v>488.85793527499436</c:v>
                </c:pt>
                <c:pt idx="16">
                  <c:v>467.36864205113591</c:v>
                </c:pt>
                <c:pt idx="17">
                  <c:v>445.70922525592187</c:v>
                </c:pt>
                <c:pt idx="18">
                  <c:v>423.87833807774552</c:v>
                </c:pt>
                <c:pt idx="19">
                  <c:v>401.87462304274192</c:v>
                </c:pt>
                <c:pt idx="20">
                  <c:v>379.69671193037891</c:v>
                </c:pt>
                <c:pt idx="21">
                  <c:v>357.34322568837536</c:v>
                </c:pt>
                <c:pt idx="22">
                  <c:v>334.81277434695636</c:v>
                </c:pt>
                <c:pt idx="23">
                  <c:v>312.10395693241742</c:v>
                </c:pt>
                <c:pt idx="24">
                  <c:v>289.21536138001375</c:v>
                </c:pt>
                <c:pt idx="25">
                  <c:v>266.14556444615357</c:v>
                </c:pt>
                <c:pt idx="26">
                  <c:v>242.8931316198998</c:v>
                </c:pt>
                <c:pt idx="27">
                  <c:v>219.45661703377155</c:v>
                </c:pt>
                <c:pt idx="28">
                  <c:v>195.83456337383709</c:v>
                </c:pt>
                <c:pt idx="29">
                  <c:v>172.02550178909414</c:v>
                </c:pt>
                <c:pt idx="30">
                  <c:v>148.02795180013933</c:v>
                </c:pt>
                <c:pt idx="31">
                  <c:v>123.84042120710494</c:v>
                </c:pt>
                <c:pt idx="32">
                  <c:v>99.461405996875612</c:v>
                </c:pt>
                <c:pt idx="33">
                  <c:v>74.889390249565068</c:v>
                </c:pt>
                <c:pt idx="34">
                  <c:v>50.122846044255205</c:v>
                </c:pt>
                <c:pt idx="35">
                  <c:v>25.160233363986624</c:v>
                </c:pt>
              </c:numCache>
            </c:numRef>
          </c:val>
        </c:ser>
        <c:marker val="1"/>
        <c:axId val="77154560"/>
        <c:axId val="77157120"/>
      </c:lineChart>
      <c:catAx>
        <c:axId val="7715456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77157120"/>
        <c:crosses val="autoZero"/>
        <c:auto val="1"/>
        <c:lblAlgn val="ctr"/>
        <c:lblOffset val="100"/>
        <c:tickLblSkip val="2"/>
        <c:tickMarkSkip val="1"/>
      </c:catAx>
      <c:valAx>
        <c:axId val="77157120"/>
        <c:scaling>
          <c:orientation val="minMax"/>
        </c:scaling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numFmt formatCode="\$#,##0_);[Red]\(\$#,##0\)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771545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417786344536162"/>
          <c:y val="0.25268883539365844"/>
          <c:w val="0.21699838328434345"/>
          <c:h val="0.131720775896694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033" r="0.75000000000000033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0.12693508046442703"/>
          <c:y val="0.12012987012987013"/>
          <c:w val="0.67182713318977227"/>
          <c:h val="0.71428571428571463"/>
        </c:manualLayout>
      </c:layout>
      <c:lineChart>
        <c:grouping val="standard"/>
        <c:ser>
          <c:idx val="1"/>
          <c:order val="0"/>
          <c:tx>
            <c:strRef>
              <c:f>'7-4-1'!$C$16</c:f>
              <c:strCache>
                <c:ptCount val="1"/>
                <c:pt idx="0">
                  <c:v>殘值(SLN)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'7-4-1'!$C$17:$C$27</c:f>
              <c:numCache>
                <c:formatCode>"$"#,##0_);[Red]\("$"#,##0\)</c:formatCode>
                <c:ptCount val="11"/>
                <c:pt idx="0">
                  <c:v>1000000</c:v>
                </c:pt>
                <c:pt idx="1">
                  <c:v>915000</c:v>
                </c:pt>
                <c:pt idx="2">
                  <c:v>830000</c:v>
                </c:pt>
                <c:pt idx="3">
                  <c:v>745000</c:v>
                </c:pt>
                <c:pt idx="4">
                  <c:v>660000</c:v>
                </c:pt>
                <c:pt idx="5">
                  <c:v>575000</c:v>
                </c:pt>
                <c:pt idx="6">
                  <c:v>490000</c:v>
                </c:pt>
                <c:pt idx="7">
                  <c:v>405000</c:v>
                </c:pt>
                <c:pt idx="8">
                  <c:v>320000</c:v>
                </c:pt>
                <c:pt idx="9">
                  <c:v>235000</c:v>
                </c:pt>
                <c:pt idx="10">
                  <c:v>150000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'7-4-1'!$D$16</c:f>
              <c:strCache>
                <c:ptCount val="1"/>
                <c:pt idx="0">
                  <c:v>殘值(DB)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'7-4-1'!$D$17:$D$27</c:f>
              <c:numCache>
                <c:formatCode>"$"#,##0_);[Red]\("$"#,##0\)</c:formatCode>
                <c:ptCount val="11"/>
                <c:pt idx="0">
                  <c:v>1000000</c:v>
                </c:pt>
                <c:pt idx="1">
                  <c:v>884666.66666666663</c:v>
                </c:pt>
                <c:pt idx="2">
                  <c:v>731619.33333333326</c:v>
                </c:pt>
                <c:pt idx="3">
                  <c:v>605049.18866666663</c:v>
                </c:pt>
                <c:pt idx="4">
                  <c:v>500375.67902733327</c:v>
                </c:pt>
                <c:pt idx="5">
                  <c:v>413810.68655560463</c:v>
                </c:pt>
                <c:pt idx="6">
                  <c:v>342221.43778148503</c:v>
                </c:pt>
                <c:pt idx="7">
                  <c:v>283017.12904528814</c:v>
                </c:pt>
                <c:pt idx="8">
                  <c:v>234055.16572045328</c:v>
                </c:pt>
                <c:pt idx="9">
                  <c:v>193563.62205081485</c:v>
                </c:pt>
                <c:pt idx="10">
                  <c:v>160077.11543602389</c:v>
                </c:pt>
              </c:numCache>
            </c:numRef>
          </c:val>
        </c:ser>
        <c:ser>
          <c:idx val="3"/>
          <c:order val="2"/>
          <c:tx>
            <c:strRef>
              <c:f>'7-4-1'!$E$16</c:f>
              <c:strCache>
                <c:ptCount val="1"/>
                <c:pt idx="0">
                  <c:v>殘值(DDB)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'7-4-1'!$E$17:$E$27</c:f>
              <c:numCache>
                <c:formatCode>"$"#,##0_);[Red]\("$"#,##0\)</c:formatCode>
                <c:ptCount val="11"/>
                <c:pt idx="0">
                  <c:v>1000000</c:v>
                </c:pt>
                <c:pt idx="1">
                  <c:v>800000</c:v>
                </c:pt>
                <c:pt idx="2">
                  <c:v>640000</c:v>
                </c:pt>
                <c:pt idx="3">
                  <c:v>512000</c:v>
                </c:pt>
                <c:pt idx="4">
                  <c:v>409600</c:v>
                </c:pt>
                <c:pt idx="5">
                  <c:v>327679.99999999994</c:v>
                </c:pt>
                <c:pt idx="6">
                  <c:v>262143.99999999988</c:v>
                </c:pt>
                <c:pt idx="7">
                  <c:v>209715.19999999984</c:v>
                </c:pt>
                <c:pt idx="8">
                  <c:v>167772.1599999998</c:v>
                </c:pt>
                <c:pt idx="9">
                  <c:v>149999.99999999965</c:v>
                </c:pt>
                <c:pt idx="10">
                  <c:v>149999.99999999965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'7-4-1'!$F$16</c:f>
              <c:strCache>
                <c:ptCount val="1"/>
                <c:pt idx="0">
                  <c:v>殘值(SYD)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'7-4-1'!$F$17:$F$27</c:f>
              <c:numCache>
                <c:formatCode>"$"#,##0_);[Red]\("$"#,##0\)</c:formatCode>
                <c:ptCount val="11"/>
                <c:pt idx="0">
                  <c:v>1000000</c:v>
                </c:pt>
                <c:pt idx="1">
                  <c:v>845454.54545454541</c:v>
                </c:pt>
                <c:pt idx="2">
                  <c:v>706363.63636363635</c:v>
                </c:pt>
                <c:pt idx="3">
                  <c:v>582727.27272727271</c:v>
                </c:pt>
                <c:pt idx="4">
                  <c:v>474545.45454545453</c:v>
                </c:pt>
                <c:pt idx="5">
                  <c:v>381818.18181818182</c:v>
                </c:pt>
                <c:pt idx="6">
                  <c:v>304545.45454545453</c:v>
                </c:pt>
                <c:pt idx="7">
                  <c:v>242727.27272727271</c:v>
                </c:pt>
                <c:pt idx="8">
                  <c:v>196363.63636363635</c:v>
                </c:pt>
                <c:pt idx="9">
                  <c:v>165454.54545454544</c:v>
                </c:pt>
                <c:pt idx="10">
                  <c:v>150000</c:v>
                </c:pt>
              </c:numCache>
            </c:numRef>
          </c:val>
        </c:ser>
        <c:marker val="1"/>
        <c:axId val="124872576"/>
        <c:axId val="124905728"/>
      </c:lineChart>
      <c:catAx>
        <c:axId val="124872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年度</a:t>
                </a:r>
              </a:p>
            </c:rich>
          </c:tx>
          <c:layout>
            <c:manualLayout>
              <c:xMode val="edge"/>
              <c:yMode val="edge"/>
              <c:x val="0.81888606787416851"/>
              <c:y val="0.8603896103896109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4905728"/>
        <c:crosses val="autoZero"/>
        <c:auto val="1"/>
        <c:lblAlgn val="ctr"/>
        <c:lblOffset val="100"/>
        <c:tickLblSkip val="1"/>
        <c:tickMarkSkip val="1"/>
      </c:catAx>
      <c:valAx>
        <c:axId val="124905728"/>
        <c:scaling>
          <c:orientation val="minMax"/>
          <c:max val="1000000"/>
        </c:scaling>
        <c:axPos val="l"/>
        <c:title>
          <c:tx>
            <c:rich>
              <a:bodyPr/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殘值</a:t>
                </a:r>
              </a:p>
            </c:rich>
          </c:tx>
          <c:layout>
            <c:manualLayout>
              <c:xMode val="edge"/>
              <c:yMode val="edge"/>
              <c:x val="1.7027876647667039E-2"/>
              <c:y val="0.51623376623376627"/>
            </c:manualLayout>
          </c:layout>
          <c:spPr>
            <a:noFill/>
            <a:ln w="25400">
              <a:noFill/>
            </a:ln>
          </c:spPr>
        </c:title>
        <c:numFmt formatCode="&quot;$&quot;#,##0_);[Red]\(&quot;$&quot;#,##0\)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4872576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6.8111506590668072E-2"/>
                <c:y val="1.6233766233766243E-2"/>
              </c:manualLayout>
            </c:layout>
            <c:spPr>
              <a:noFill/>
              <a:ln w="25400">
                <a:noFill/>
              </a:ln>
            </c:spPr>
            <c:txPr>
              <a:bodyPr rot="0" vert="wordArtVertRtl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</c:dispUnitsLbl>
        </c:dispUnits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28179669495327"/>
          <c:y val="0.42207792207792222"/>
          <c:w val="0.15479887861515471"/>
          <c:h val="0.2889610389610388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6</xdr:row>
      <xdr:rowOff>9525</xdr:rowOff>
    </xdr:from>
    <xdr:to>
      <xdr:col>14</xdr:col>
      <xdr:colOff>285749</xdr:colOff>
      <xdr:row>25</xdr:row>
      <xdr:rowOff>66675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9525</xdr:rowOff>
    </xdr:from>
    <xdr:to>
      <xdr:col>6</xdr:col>
      <xdr:colOff>9525</xdr:colOff>
      <xdr:row>42</xdr:row>
      <xdr:rowOff>9525</xdr:rowOff>
    </xdr:to>
    <xdr:graphicFrame macro="">
      <xdr:nvGraphicFramePr>
        <xdr:cNvPr id="5125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tabSelected="1" workbookViewId="0">
      <selection activeCell="F4" sqref="F4"/>
    </sheetView>
  </sheetViews>
  <sheetFormatPr defaultRowHeight="14.25"/>
  <cols>
    <col min="1" max="1" width="5.42578125" style="156" customWidth="1"/>
    <col min="2" max="2" width="22.85546875" style="156" customWidth="1"/>
    <col min="3" max="3" width="14.28515625" style="156" customWidth="1"/>
    <col min="4" max="4" width="9.140625" style="156"/>
    <col min="5" max="5" width="23.85546875" style="156" customWidth="1"/>
    <col min="6" max="6" width="12.7109375" style="156" customWidth="1"/>
    <col min="7" max="16384" width="9.140625" style="156"/>
  </cols>
  <sheetData>
    <row r="1" spans="2:6" ht="15" thickBot="1"/>
    <row r="2" spans="2:6" ht="15.75">
      <c r="B2" s="173" t="s">
        <v>17</v>
      </c>
      <c r="C2" s="157">
        <v>10000</v>
      </c>
      <c r="E2" s="158" t="s">
        <v>21</v>
      </c>
      <c r="F2" s="169">
        <f>PPMT(C3*(C4/12),C6,C5,-C2)</f>
        <v>244.99635677335698</v>
      </c>
    </row>
    <row r="3" spans="2:6" ht="15.75">
      <c r="B3" s="172" t="s">
        <v>18</v>
      </c>
      <c r="C3" s="159">
        <v>9.5000000000000001E-2</v>
      </c>
      <c r="E3" s="164" t="s">
        <v>22</v>
      </c>
      <c r="F3" s="170">
        <f>IPMT(C3*(C4/12),C6,C5,-C2)</f>
        <v>75.333140634463447</v>
      </c>
    </row>
    <row r="4" spans="2:6" ht="16.5" thickBot="1">
      <c r="B4" s="174" t="s">
        <v>19</v>
      </c>
      <c r="C4" s="160">
        <v>1</v>
      </c>
      <c r="E4" s="165" t="s">
        <v>130</v>
      </c>
      <c r="F4" s="171">
        <f>PMT(C3*(C4/12),C5,-C2)</f>
        <v>320.32949740782044</v>
      </c>
    </row>
    <row r="5" spans="2:6" ht="15.75">
      <c r="B5" s="175" t="s">
        <v>20</v>
      </c>
      <c r="C5" s="161">
        <v>36</v>
      </c>
    </row>
    <row r="6" spans="2:6" ht="16.5" thickBot="1">
      <c r="B6" s="176" t="s">
        <v>131</v>
      </c>
      <c r="C6" s="162">
        <v>3</v>
      </c>
    </row>
    <row r="7" spans="2:6">
      <c r="C7" s="163"/>
    </row>
    <row r="8" spans="2:6">
      <c r="C8" s="163"/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showGridLines="0" workbookViewId="0"/>
  </sheetViews>
  <sheetFormatPr defaultRowHeight="14.25"/>
  <cols>
    <col min="1" max="1" width="16.42578125" style="156" bestFit="1" customWidth="1"/>
    <col min="2" max="2" width="20" style="156" bestFit="1" customWidth="1"/>
    <col min="3" max="4" width="15.140625" style="156" bestFit="1" customWidth="1"/>
    <col min="5" max="7" width="9.140625" style="156"/>
    <col min="8" max="8" width="11" style="156" bestFit="1" customWidth="1"/>
    <col min="9" max="9" width="9.85546875" style="156" bestFit="1" customWidth="1"/>
    <col min="10" max="16384" width="9.140625" style="156"/>
  </cols>
  <sheetData>
    <row r="1" spans="1:4" ht="15.75">
      <c r="A1" s="166" t="s">
        <v>17</v>
      </c>
      <c r="B1" s="177">
        <v>100000</v>
      </c>
    </row>
    <row r="2" spans="1:4" ht="15.75">
      <c r="A2" s="167" t="s">
        <v>18</v>
      </c>
      <c r="B2" s="178">
        <v>9.5000000000000001E-2</v>
      </c>
    </row>
    <row r="3" spans="1:4" ht="15.75">
      <c r="A3" s="167" t="s">
        <v>19</v>
      </c>
      <c r="B3" s="179">
        <v>1</v>
      </c>
    </row>
    <row r="4" spans="1:4" ht="16.5" thickBot="1">
      <c r="A4" s="168" t="s">
        <v>20</v>
      </c>
      <c r="B4" s="180">
        <v>36</v>
      </c>
    </row>
    <row r="6" spans="1:4">
      <c r="B6" s="163"/>
    </row>
    <row r="7" spans="1:4" ht="16.5" thickBot="1">
      <c r="A7" s="181" t="s">
        <v>23</v>
      </c>
      <c r="B7" s="182" t="s">
        <v>15</v>
      </c>
      <c r="C7" s="183" t="s">
        <v>25</v>
      </c>
      <c r="D7" s="184" t="s">
        <v>24</v>
      </c>
    </row>
    <row r="8" spans="1:4">
      <c r="A8" s="185">
        <v>1</v>
      </c>
      <c r="B8" s="163">
        <f t="shared" ref="B8:B43" si="0">PMT($B$2*($B$3/12),$B$4,-$B$1)</f>
        <v>3203.2949740782046</v>
      </c>
      <c r="C8" s="163">
        <f t="shared" ref="C8:C43" si="1">PPMT($B$2*($B$3/12),A8,$B$4,-$B$1)</f>
        <v>2411.6283074115381</v>
      </c>
      <c r="D8" s="163">
        <f t="shared" ref="D8:D43" si="2">IPMT($B$2*($B$3/12),A8,$B$4,-$B$1)</f>
        <v>791.66666666666652</v>
      </c>
    </row>
    <row r="9" spans="1:4">
      <c r="A9" s="156">
        <f t="shared" ref="A9:A43" si="3">A8+1</f>
        <v>2</v>
      </c>
      <c r="B9" s="163">
        <f t="shared" si="0"/>
        <v>3203.2949740782046</v>
      </c>
      <c r="C9" s="163">
        <f t="shared" si="1"/>
        <v>2430.7203648452123</v>
      </c>
      <c r="D9" s="163">
        <f t="shared" si="2"/>
        <v>772.57460923299209</v>
      </c>
    </row>
    <row r="10" spans="1:4">
      <c r="A10" s="156">
        <f t="shared" si="3"/>
        <v>3</v>
      </c>
      <c r="B10" s="163">
        <f t="shared" si="0"/>
        <v>3203.2949740782046</v>
      </c>
      <c r="C10" s="163">
        <f t="shared" si="1"/>
        <v>2449.96356773357</v>
      </c>
      <c r="D10" s="163">
        <f t="shared" si="2"/>
        <v>753.33140634463439</v>
      </c>
    </row>
    <row r="11" spans="1:4">
      <c r="A11" s="156">
        <f t="shared" si="3"/>
        <v>4</v>
      </c>
      <c r="B11" s="163">
        <f t="shared" si="0"/>
        <v>3203.2949740782046</v>
      </c>
      <c r="C11" s="163">
        <f t="shared" si="1"/>
        <v>2469.3591126447941</v>
      </c>
      <c r="D11" s="163">
        <f t="shared" si="2"/>
        <v>733.93586143341042</v>
      </c>
    </row>
    <row r="12" spans="1:4">
      <c r="A12" s="156">
        <f t="shared" si="3"/>
        <v>5</v>
      </c>
      <c r="B12" s="163">
        <f t="shared" si="0"/>
        <v>3203.2949740782046</v>
      </c>
      <c r="C12" s="163">
        <f t="shared" si="1"/>
        <v>2488.9082056198986</v>
      </c>
      <c r="D12" s="163">
        <f t="shared" si="2"/>
        <v>714.38676845830628</v>
      </c>
    </row>
    <row r="13" spans="1:4">
      <c r="A13" s="156">
        <f t="shared" si="3"/>
        <v>6</v>
      </c>
      <c r="B13" s="163">
        <f t="shared" si="0"/>
        <v>3203.2949740782046</v>
      </c>
      <c r="C13" s="163">
        <f t="shared" si="1"/>
        <v>2508.6120622477224</v>
      </c>
      <c r="D13" s="163">
        <f t="shared" si="2"/>
        <v>694.68291183048234</v>
      </c>
    </row>
    <row r="14" spans="1:4">
      <c r="A14" s="156">
        <f t="shared" si="3"/>
        <v>7</v>
      </c>
      <c r="B14" s="163">
        <f t="shared" si="0"/>
        <v>3203.2949740782046</v>
      </c>
      <c r="C14" s="163">
        <f t="shared" si="1"/>
        <v>2528.4719077405166</v>
      </c>
      <c r="D14" s="163">
        <f t="shared" si="2"/>
        <v>674.82306633768815</v>
      </c>
    </row>
    <row r="15" spans="1:4">
      <c r="A15" s="156">
        <f t="shared" si="3"/>
        <v>8</v>
      </c>
      <c r="B15" s="163">
        <f t="shared" si="0"/>
        <v>3203.2949740782046</v>
      </c>
      <c r="C15" s="163">
        <f t="shared" si="1"/>
        <v>2548.488977010129</v>
      </c>
      <c r="D15" s="163">
        <f t="shared" si="2"/>
        <v>654.80599706807573</v>
      </c>
    </row>
    <row r="16" spans="1:4">
      <c r="A16" s="156">
        <f t="shared" si="3"/>
        <v>9</v>
      </c>
      <c r="B16" s="163">
        <f t="shared" si="0"/>
        <v>3203.2949740782046</v>
      </c>
      <c r="C16" s="163">
        <f t="shared" si="1"/>
        <v>2568.6645147447921</v>
      </c>
      <c r="D16" s="163">
        <f t="shared" si="2"/>
        <v>634.63045933341266</v>
      </c>
    </row>
    <row r="17" spans="1:9">
      <c r="A17" s="156">
        <f t="shared" si="3"/>
        <v>10</v>
      </c>
      <c r="B17" s="163">
        <f t="shared" si="0"/>
        <v>3203.2949740782046</v>
      </c>
      <c r="C17" s="163">
        <f t="shared" si="1"/>
        <v>2588.9997754865212</v>
      </c>
      <c r="D17" s="163">
        <f t="shared" si="2"/>
        <v>614.29519859168352</v>
      </c>
    </row>
    <row r="18" spans="1:9">
      <c r="A18" s="156">
        <f t="shared" si="3"/>
        <v>11</v>
      </c>
      <c r="B18" s="163">
        <f t="shared" si="0"/>
        <v>3203.2949740782046</v>
      </c>
      <c r="C18" s="163">
        <f t="shared" si="1"/>
        <v>2609.4960237091227</v>
      </c>
      <c r="D18" s="163">
        <f t="shared" si="2"/>
        <v>593.79895036908181</v>
      </c>
    </row>
    <row r="19" spans="1:9">
      <c r="A19" s="156">
        <f t="shared" si="3"/>
        <v>12</v>
      </c>
      <c r="B19" s="163">
        <f t="shared" si="0"/>
        <v>3203.2949740782046</v>
      </c>
      <c r="C19" s="163">
        <f t="shared" si="1"/>
        <v>2630.1545338968199</v>
      </c>
      <c r="D19" s="163">
        <f t="shared" si="2"/>
        <v>573.14044018138497</v>
      </c>
    </row>
    <row r="20" spans="1:9">
      <c r="A20" s="156">
        <f t="shared" si="3"/>
        <v>13</v>
      </c>
      <c r="B20" s="163">
        <f t="shared" si="0"/>
        <v>3203.2949740782046</v>
      </c>
      <c r="C20" s="163">
        <f t="shared" si="1"/>
        <v>2650.9765906235025</v>
      </c>
      <c r="D20" s="163">
        <f t="shared" si="2"/>
        <v>552.31838345470226</v>
      </c>
    </row>
    <row r="21" spans="1:9">
      <c r="A21" s="156">
        <f t="shared" si="3"/>
        <v>14</v>
      </c>
      <c r="B21" s="163">
        <f t="shared" si="0"/>
        <v>3203.2949740782046</v>
      </c>
      <c r="C21" s="163">
        <f t="shared" si="1"/>
        <v>2671.9634886326048</v>
      </c>
      <c r="D21" s="163">
        <f t="shared" si="2"/>
        <v>531.33148544559958</v>
      </c>
    </row>
    <row r="22" spans="1:9">
      <c r="A22" s="156">
        <f t="shared" si="3"/>
        <v>15</v>
      </c>
      <c r="B22" s="163">
        <f t="shared" si="0"/>
        <v>3203.2949740782046</v>
      </c>
      <c r="C22" s="163">
        <f t="shared" si="1"/>
        <v>2693.1165329176129</v>
      </c>
      <c r="D22" s="163">
        <f t="shared" si="2"/>
        <v>510.17844116059189</v>
      </c>
    </row>
    <row r="23" spans="1:9">
      <c r="A23" s="156">
        <f t="shared" si="3"/>
        <v>16</v>
      </c>
      <c r="B23" s="163">
        <f t="shared" si="0"/>
        <v>3203.2949740782046</v>
      </c>
      <c r="C23" s="163">
        <f t="shared" si="1"/>
        <v>2714.4370388032103</v>
      </c>
      <c r="D23" s="163">
        <f t="shared" si="2"/>
        <v>488.85793527499436</v>
      </c>
    </row>
    <row r="24" spans="1:9">
      <c r="A24" s="156">
        <f t="shared" si="3"/>
        <v>17</v>
      </c>
      <c r="B24" s="163">
        <f t="shared" si="0"/>
        <v>3203.2949740782046</v>
      </c>
      <c r="C24" s="163">
        <f t="shared" si="1"/>
        <v>2735.9263320270688</v>
      </c>
      <c r="D24" s="163">
        <f t="shared" si="2"/>
        <v>467.36864205113591</v>
      </c>
      <c r="G24" s="186"/>
      <c r="I24" s="186"/>
    </row>
    <row r="25" spans="1:9">
      <c r="A25" s="156">
        <f t="shared" si="3"/>
        <v>18</v>
      </c>
      <c r="B25" s="163">
        <f t="shared" si="0"/>
        <v>3203.2949740782046</v>
      </c>
      <c r="C25" s="163">
        <f t="shared" si="1"/>
        <v>2757.5857488222828</v>
      </c>
      <c r="D25" s="163">
        <f t="shared" si="2"/>
        <v>445.70922525592187</v>
      </c>
      <c r="G25" s="186"/>
      <c r="H25" s="185"/>
      <c r="I25" s="186"/>
    </row>
    <row r="26" spans="1:9">
      <c r="A26" s="156">
        <f t="shared" si="3"/>
        <v>19</v>
      </c>
      <c r="B26" s="163">
        <f t="shared" si="0"/>
        <v>3203.2949740782046</v>
      </c>
      <c r="C26" s="163">
        <f t="shared" si="1"/>
        <v>2779.4166360004592</v>
      </c>
      <c r="D26" s="163">
        <f t="shared" si="2"/>
        <v>423.87833807774552</v>
      </c>
      <c r="G26" s="186"/>
      <c r="I26" s="186"/>
    </row>
    <row r="27" spans="1:9">
      <c r="A27" s="156">
        <f t="shared" si="3"/>
        <v>20</v>
      </c>
      <c r="B27" s="163">
        <f t="shared" si="0"/>
        <v>3203.2949740782046</v>
      </c>
      <c r="C27" s="163">
        <f t="shared" si="1"/>
        <v>2801.4203510354628</v>
      </c>
      <c r="D27" s="163">
        <f t="shared" si="2"/>
        <v>401.87462304274192</v>
      </c>
      <c r="G27" s="186"/>
      <c r="H27" s="185"/>
      <c r="I27" s="186"/>
    </row>
    <row r="28" spans="1:9">
      <c r="A28" s="156">
        <f t="shared" si="3"/>
        <v>21</v>
      </c>
      <c r="B28" s="163">
        <f t="shared" si="0"/>
        <v>3203.2949740782046</v>
      </c>
      <c r="C28" s="163">
        <f t="shared" si="1"/>
        <v>2823.5982621478256</v>
      </c>
      <c r="D28" s="163">
        <f t="shared" si="2"/>
        <v>379.69671193037891</v>
      </c>
      <c r="G28" s="186"/>
      <c r="I28" s="186"/>
    </row>
    <row r="29" spans="1:9">
      <c r="A29" s="156">
        <f t="shared" si="3"/>
        <v>22</v>
      </c>
      <c r="B29" s="163">
        <f t="shared" si="0"/>
        <v>3203.2949740782046</v>
      </c>
      <c r="C29" s="163">
        <f t="shared" si="1"/>
        <v>2845.9517483898294</v>
      </c>
      <c r="D29" s="163">
        <f t="shared" si="2"/>
        <v>357.34322568837536</v>
      </c>
      <c r="G29" s="186"/>
      <c r="H29" s="185"/>
      <c r="I29" s="186"/>
    </row>
    <row r="30" spans="1:9">
      <c r="A30" s="156">
        <f t="shared" si="3"/>
        <v>23</v>
      </c>
      <c r="B30" s="163">
        <f t="shared" si="0"/>
        <v>3203.2949740782046</v>
      </c>
      <c r="C30" s="163">
        <f t="shared" si="1"/>
        <v>2868.4821997312483</v>
      </c>
      <c r="D30" s="163">
        <f t="shared" si="2"/>
        <v>334.81277434695636</v>
      </c>
      <c r="G30" s="186"/>
      <c r="I30" s="186"/>
    </row>
    <row r="31" spans="1:9">
      <c r="A31" s="156">
        <f t="shared" si="3"/>
        <v>24</v>
      </c>
      <c r="B31" s="163">
        <f t="shared" si="0"/>
        <v>3203.2949740782046</v>
      </c>
      <c r="C31" s="163">
        <f t="shared" si="1"/>
        <v>2891.1910171457871</v>
      </c>
      <c r="D31" s="163">
        <f t="shared" si="2"/>
        <v>312.10395693241742</v>
      </c>
      <c r="G31" s="186"/>
      <c r="I31" s="186"/>
    </row>
    <row r="32" spans="1:9">
      <c r="A32" s="156">
        <f t="shared" si="3"/>
        <v>25</v>
      </c>
      <c r="B32" s="163">
        <f t="shared" si="0"/>
        <v>3203.2949740782046</v>
      </c>
      <c r="C32" s="163">
        <f t="shared" si="1"/>
        <v>2914.0796126981909</v>
      </c>
      <c r="D32" s="163">
        <f t="shared" si="2"/>
        <v>289.21536138001375</v>
      </c>
      <c r="G32" s="186"/>
      <c r="H32" s="185"/>
      <c r="I32" s="186"/>
    </row>
    <row r="33" spans="1:4">
      <c r="A33" s="156">
        <f t="shared" si="3"/>
        <v>26</v>
      </c>
      <c r="B33" s="163">
        <f t="shared" si="0"/>
        <v>3203.2949740782046</v>
      </c>
      <c r="C33" s="163">
        <f t="shared" si="1"/>
        <v>2937.1494096320512</v>
      </c>
      <c r="D33" s="163">
        <f t="shared" si="2"/>
        <v>266.14556444615357</v>
      </c>
    </row>
    <row r="34" spans="1:4">
      <c r="A34" s="156">
        <f t="shared" si="3"/>
        <v>27</v>
      </c>
      <c r="B34" s="163">
        <f t="shared" si="0"/>
        <v>3203.2949740782046</v>
      </c>
      <c r="C34" s="163">
        <f t="shared" si="1"/>
        <v>2960.4018424583046</v>
      </c>
      <c r="D34" s="163">
        <f t="shared" si="2"/>
        <v>242.8931316198998</v>
      </c>
    </row>
    <row r="35" spans="1:4">
      <c r="A35" s="156">
        <f t="shared" si="3"/>
        <v>28</v>
      </c>
      <c r="B35" s="163">
        <f t="shared" si="0"/>
        <v>3203.2949740782046</v>
      </c>
      <c r="C35" s="163">
        <f t="shared" si="1"/>
        <v>2983.838357044433</v>
      </c>
      <c r="D35" s="163">
        <f t="shared" si="2"/>
        <v>219.45661703377155</v>
      </c>
    </row>
    <row r="36" spans="1:4">
      <c r="A36" s="156">
        <f t="shared" si="3"/>
        <v>29</v>
      </c>
      <c r="B36" s="163">
        <f t="shared" si="0"/>
        <v>3203.2949740782046</v>
      </c>
      <c r="C36" s="163">
        <f t="shared" si="1"/>
        <v>3007.4604107043674</v>
      </c>
      <c r="D36" s="163">
        <f t="shared" si="2"/>
        <v>195.83456337383709</v>
      </c>
    </row>
    <row r="37" spans="1:4">
      <c r="A37" s="156">
        <f t="shared" si="3"/>
        <v>30</v>
      </c>
      <c r="B37" s="163">
        <f t="shared" si="0"/>
        <v>3203.2949740782046</v>
      </c>
      <c r="C37" s="163">
        <f t="shared" si="1"/>
        <v>3031.2694722891106</v>
      </c>
      <c r="D37" s="163">
        <f t="shared" si="2"/>
        <v>172.02550178909414</v>
      </c>
    </row>
    <row r="38" spans="1:4">
      <c r="A38" s="156">
        <f t="shared" si="3"/>
        <v>31</v>
      </c>
      <c r="B38" s="163">
        <f t="shared" si="0"/>
        <v>3203.2949740782046</v>
      </c>
      <c r="C38" s="163">
        <f t="shared" si="1"/>
        <v>3055.2670222780653</v>
      </c>
      <c r="D38" s="163">
        <f t="shared" si="2"/>
        <v>148.02795180013933</v>
      </c>
    </row>
    <row r="39" spans="1:4">
      <c r="A39" s="156">
        <f t="shared" si="3"/>
        <v>32</v>
      </c>
      <c r="B39" s="163">
        <f t="shared" si="0"/>
        <v>3203.2949740782046</v>
      </c>
      <c r="C39" s="163">
        <f t="shared" si="1"/>
        <v>3079.4545528710996</v>
      </c>
      <c r="D39" s="163">
        <f t="shared" si="2"/>
        <v>123.84042120710494</v>
      </c>
    </row>
    <row r="40" spans="1:4">
      <c r="A40" s="156">
        <f t="shared" si="3"/>
        <v>33</v>
      </c>
      <c r="B40" s="163">
        <f t="shared" si="0"/>
        <v>3203.2949740782046</v>
      </c>
      <c r="C40" s="163">
        <f t="shared" si="1"/>
        <v>3103.8335680813288</v>
      </c>
      <c r="D40" s="163">
        <f t="shared" si="2"/>
        <v>99.461405996875612</v>
      </c>
    </row>
    <row r="41" spans="1:4">
      <c r="A41" s="156">
        <f t="shared" si="3"/>
        <v>34</v>
      </c>
      <c r="B41" s="163">
        <f t="shared" si="0"/>
        <v>3203.2949740782046</v>
      </c>
      <c r="C41" s="163">
        <f t="shared" si="1"/>
        <v>3128.4055838286395</v>
      </c>
      <c r="D41" s="163">
        <f t="shared" si="2"/>
        <v>74.889390249565068</v>
      </c>
    </row>
    <row r="42" spans="1:4">
      <c r="A42" s="156">
        <f t="shared" si="3"/>
        <v>35</v>
      </c>
      <c r="B42" s="163">
        <f t="shared" si="0"/>
        <v>3203.2949740782046</v>
      </c>
      <c r="C42" s="163">
        <f t="shared" si="1"/>
        <v>3153.1721280339493</v>
      </c>
      <c r="D42" s="163">
        <f t="shared" si="2"/>
        <v>50.122846044255205</v>
      </c>
    </row>
    <row r="43" spans="1:4">
      <c r="A43" s="156">
        <f t="shared" si="3"/>
        <v>36</v>
      </c>
      <c r="B43" s="163">
        <f t="shared" si="0"/>
        <v>3203.2949740782046</v>
      </c>
      <c r="C43" s="163">
        <f t="shared" si="1"/>
        <v>3178.134740714218</v>
      </c>
      <c r="D43" s="163">
        <f t="shared" si="2"/>
        <v>25.160233363986624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10.28515625" defaultRowHeight="16.5"/>
  <cols>
    <col min="1" max="1" width="13.42578125" style="18" customWidth="1"/>
    <col min="2" max="2" width="13.42578125" style="29" customWidth="1"/>
    <col min="3" max="3" width="13.42578125" style="18" customWidth="1"/>
    <col min="4" max="4" width="3.42578125" style="18" customWidth="1"/>
    <col min="5" max="5" width="14.5703125" style="18" bestFit="1" customWidth="1"/>
    <col min="6" max="8" width="13.42578125" style="18" customWidth="1"/>
    <col min="9" max="16384" width="10.28515625" style="18"/>
  </cols>
  <sheetData>
    <row r="1" spans="1:5">
      <c r="A1" s="20">
        <f>NPV(15%,150000,150000,150000,150000,150000)</f>
        <v>502823.26470171043</v>
      </c>
    </row>
    <row r="2" spans="1:5">
      <c r="B2" s="46" t="s">
        <v>35</v>
      </c>
      <c r="C2" s="47">
        <v>-500000</v>
      </c>
      <c r="E2" s="49" t="s">
        <v>36</v>
      </c>
    </row>
    <row r="3" spans="1:5">
      <c r="A3" s="50"/>
      <c r="B3" s="46" t="s">
        <v>129</v>
      </c>
      <c r="C3" s="48">
        <v>0.15</v>
      </c>
      <c r="E3" s="51">
        <f>NPV(C3,C4:C8)+C2</f>
        <v>2823.2647017104318</v>
      </c>
    </row>
    <row r="4" spans="1:5">
      <c r="B4" s="137" t="s">
        <v>37</v>
      </c>
      <c r="C4" s="18">
        <v>150000</v>
      </c>
    </row>
    <row r="5" spans="1:5">
      <c r="B5" s="52" t="s">
        <v>38</v>
      </c>
      <c r="C5" s="18">
        <v>150000</v>
      </c>
    </row>
    <row r="6" spans="1:5">
      <c r="B6" s="52" t="s">
        <v>39</v>
      </c>
      <c r="C6" s="18">
        <v>150000</v>
      </c>
    </row>
    <row r="7" spans="1:5">
      <c r="B7" s="52" t="s">
        <v>40</v>
      </c>
      <c r="C7" s="18">
        <v>150000</v>
      </c>
    </row>
    <row r="8" spans="1:5">
      <c r="B8" s="52" t="s">
        <v>41</v>
      </c>
      <c r="C8" s="18">
        <v>150000</v>
      </c>
    </row>
    <row r="10" spans="1:5">
      <c r="B10" s="30"/>
    </row>
  </sheetData>
  <phoneticPr fontId="1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ColWidth="10.28515625" defaultRowHeight="16.5"/>
  <cols>
    <col min="1" max="1" width="5.28515625" style="18" customWidth="1"/>
    <col min="2" max="2" width="17" style="29" customWidth="1"/>
    <col min="3" max="4" width="17" style="18" customWidth="1"/>
    <col min="5" max="5" width="9" style="18" customWidth="1"/>
    <col min="6" max="6" width="17.28515625" style="18" bestFit="1" customWidth="1"/>
    <col min="7" max="8" width="14.140625" style="18" bestFit="1" customWidth="1"/>
    <col min="12" max="16384" width="10.28515625" style="18"/>
  </cols>
  <sheetData>
    <row r="1" spans="1:8" ht="17.25" thickBot="1">
      <c r="A1" s="20"/>
    </row>
    <row r="2" spans="1:8" ht="17.25" thickBot="1">
      <c r="B2" s="216" t="s">
        <v>0</v>
      </c>
      <c r="C2" s="217"/>
      <c r="D2" s="218"/>
      <c r="F2" s="219" t="s">
        <v>1</v>
      </c>
      <c r="G2" s="220"/>
      <c r="H2" s="221"/>
    </row>
    <row r="3" spans="1:8">
      <c r="B3" s="31"/>
      <c r="C3" s="31" t="s">
        <v>2</v>
      </c>
      <c r="D3" s="31" t="s">
        <v>3</v>
      </c>
      <c r="F3" s="31"/>
      <c r="G3" s="31" t="s">
        <v>4</v>
      </c>
      <c r="H3" s="31" t="s">
        <v>5</v>
      </c>
    </row>
    <row r="4" spans="1:8">
      <c r="B4" s="29" t="s">
        <v>6</v>
      </c>
      <c r="C4" s="18">
        <v>100000</v>
      </c>
      <c r="D4" s="18">
        <v>200000</v>
      </c>
      <c r="F4" s="18" t="s">
        <v>7</v>
      </c>
      <c r="G4" s="18">
        <v>0</v>
      </c>
      <c r="H4" s="18">
        <v>1</v>
      </c>
    </row>
    <row r="5" spans="1:8">
      <c r="B5" s="29" t="s">
        <v>8</v>
      </c>
      <c r="C5" s="32">
        <v>0.09</v>
      </c>
      <c r="D5" s="33">
        <v>9.5000000000000001E-2</v>
      </c>
      <c r="F5" s="29" t="s">
        <v>8</v>
      </c>
      <c r="G5" s="32">
        <v>0.06</v>
      </c>
      <c r="H5" s="32">
        <v>0.06</v>
      </c>
    </row>
    <row r="6" spans="1:8">
      <c r="B6" s="29" t="s">
        <v>9</v>
      </c>
      <c r="C6" s="34">
        <v>10</v>
      </c>
      <c r="D6" s="34">
        <v>36</v>
      </c>
      <c r="F6" s="29" t="s">
        <v>9</v>
      </c>
      <c r="G6" s="35">
        <v>10</v>
      </c>
      <c r="H6" s="35">
        <v>10</v>
      </c>
    </row>
    <row r="7" spans="1:8">
      <c r="B7" s="29" t="s">
        <v>10</v>
      </c>
      <c r="C7" s="18">
        <v>-50000</v>
      </c>
      <c r="D7" s="18">
        <v>-15000</v>
      </c>
      <c r="F7" s="29" t="s">
        <v>11</v>
      </c>
      <c r="G7" s="18">
        <v>-50000</v>
      </c>
      <c r="H7" s="18">
        <v>-50000</v>
      </c>
    </row>
    <row r="9" spans="1:8">
      <c r="B9" s="36" t="s">
        <v>12</v>
      </c>
      <c r="C9" s="37">
        <f>PV(C5/12,C6,C7)</f>
        <v>479978.97885306698</v>
      </c>
      <c r="D9" s="37">
        <f>PV(D5/12,D6,D7)</f>
        <v>468267.83425764489</v>
      </c>
      <c r="E9" s="20"/>
      <c r="F9" s="36" t="s">
        <v>13</v>
      </c>
      <c r="G9" s="36">
        <f>FV(G5,G6,G7,,G4)</f>
        <v>659039.74711904547</v>
      </c>
      <c r="H9" s="36">
        <f>FV(H5,H6,H7,,H4)</f>
        <v>698582.13194618828</v>
      </c>
    </row>
    <row r="10" spans="1:8" ht="17.25" thickBot="1">
      <c r="B10" s="38" t="s">
        <v>14</v>
      </c>
      <c r="C10" s="39">
        <f>C9+C4</f>
        <v>579978.97885306692</v>
      </c>
      <c r="D10" s="39">
        <f>D9+D4</f>
        <v>668267.83425764483</v>
      </c>
      <c r="F10" s="38"/>
      <c r="G10" s="38"/>
      <c r="H10" s="38"/>
    </row>
    <row r="11" spans="1:8" ht="17.25" thickTop="1"/>
    <row r="12" spans="1:8">
      <c r="B12" s="30"/>
    </row>
  </sheetData>
  <mergeCells count="2">
    <mergeCell ref="B2:D2"/>
    <mergeCell ref="F2:H2"/>
  </mergeCells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7"/>
  <sheetViews>
    <sheetView workbookViewId="0">
      <selection activeCell="B1" sqref="B1"/>
    </sheetView>
  </sheetViews>
  <sheetFormatPr defaultRowHeight="14.25"/>
  <cols>
    <col min="1" max="1" width="2.5703125" style="156" customWidth="1"/>
    <col min="2" max="2" width="22.7109375" style="156" customWidth="1"/>
    <col min="3" max="3" width="14.7109375" style="156" customWidth="1"/>
    <col min="4" max="4" width="15" style="156" customWidth="1"/>
    <col min="5" max="5" width="18.85546875" style="156" bestFit="1" customWidth="1"/>
    <col min="6" max="6" width="13" style="156" bestFit="1" customWidth="1"/>
    <col min="7" max="7" width="7.7109375" style="156" customWidth="1"/>
    <col min="8" max="16384" width="9.140625" style="156"/>
  </cols>
  <sheetData>
    <row r="1" spans="2:7" ht="15.75">
      <c r="B1" s="187" t="s">
        <v>28</v>
      </c>
      <c r="C1" s="188">
        <v>10000</v>
      </c>
      <c r="E1" s="189" t="s">
        <v>132</v>
      </c>
      <c r="F1" s="190">
        <f>NPER(C2/12,C4,-C1,0)</f>
        <v>94.664671979979545</v>
      </c>
      <c r="G1" s="191">
        <f>F1/12</f>
        <v>7.8887226649982951</v>
      </c>
    </row>
    <row r="2" spans="2:7" ht="15.75">
      <c r="B2" s="187" t="s">
        <v>18</v>
      </c>
      <c r="C2" s="192">
        <v>0.1825</v>
      </c>
      <c r="E2" s="189" t="s">
        <v>32</v>
      </c>
      <c r="F2" s="193">
        <f>F1*C4</f>
        <v>18932.934395995908</v>
      </c>
      <c r="G2" s="194"/>
    </row>
    <row r="3" spans="2:7" ht="15.75">
      <c r="B3" s="187" t="s">
        <v>30</v>
      </c>
      <c r="C3" s="188">
        <v>200</v>
      </c>
      <c r="E3" s="189" t="s">
        <v>33</v>
      </c>
      <c r="F3" s="193">
        <f>F2-C1</f>
        <v>8932.9343959959078</v>
      </c>
      <c r="G3" s="194"/>
    </row>
    <row r="4" spans="2:7" ht="15.75">
      <c r="B4" s="187" t="s">
        <v>31</v>
      </c>
      <c r="C4" s="188">
        <v>200</v>
      </c>
    </row>
    <row r="7" spans="2:7" ht="15.75">
      <c r="B7" s="195" t="s">
        <v>133</v>
      </c>
      <c r="C7" s="195" t="s">
        <v>26</v>
      </c>
      <c r="D7" s="195" t="s">
        <v>34</v>
      </c>
      <c r="E7" s="195" t="s">
        <v>27</v>
      </c>
    </row>
    <row r="8" spans="2:7">
      <c r="B8" s="196">
        <v>12</v>
      </c>
      <c r="C8" s="197">
        <f>PMT($C$2/12,B8,-$C$1)</f>
        <v>917.9901327311502</v>
      </c>
      <c r="D8" s="197">
        <f t="shared" ref="D8:D17" si="0">B8*C8</f>
        <v>11015.881592773803</v>
      </c>
      <c r="E8" s="197">
        <f t="shared" ref="E8:E17" si="1">D8-$C$1</f>
        <v>1015.8815927738033</v>
      </c>
    </row>
    <row r="9" spans="2:7">
      <c r="B9" s="196">
        <v>24</v>
      </c>
      <c r="C9" s="197">
        <f t="shared" ref="C9:C17" si="2">PMT($C$2/12,B9,-$C$1)</f>
        <v>500.44980052687265</v>
      </c>
      <c r="D9" s="197">
        <f t="shared" si="0"/>
        <v>12010.795212644944</v>
      </c>
      <c r="E9" s="197">
        <f t="shared" si="1"/>
        <v>2010.7952126449436</v>
      </c>
    </row>
    <row r="10" spans="2:7">
      <c r="B10" s="196">
        <v>36</v>
      </c>
      <c r="C10" s="197">
        <f t="shared" si="2"/>
        <v>362.77931416653291</v>
      </c>
      <c r="D10" s="197">
        <f t="shared" si="0"/>
        <v>13060.055309995185</v>
      </c>
      <c r="E10" s="197">
        <f t="shared" si="1"/>
        <v>3060.0553099951849</v>
      </c>
    </row>
    <row r="11" spans="2:7">
      <c r="B11" s="196">
        <v>48</v>
      </c>
      <c r="C11" s="197">
        <f t="shared" si="2"/>
        <v>295.0579676329686</v>
      </c>
      <c r="D11" s="197">
        <f t="shared" si="0"/>
        <v>14162.782446382493</v>
      </c>
      <c r="E11" s="197">
        <f t="shared" si="1"/>
        <v>4162.7824463824927</v>
      </c>
    </row>
    <row r="12" spans="2:7">
      <c r="B12" s="196">
        <v>60</v>
      </c>
      <c r="C12" s="197">
        <f t="shared" si="2"/>
        <v>255.29622781800904</v>
      </c>
      <c r="D12" s="197">
        <f t="shared" si="0"/>
        <v>15317.773669080543</v>
      </c>
      <c r="E12" s="197">
        <f t="shared" si="1"/>
        <v>5317.7736690805432</v>
      </c>
    </row>
    <row r="13" spans="2:7">
      <c r="B13" s="196">
        <v>72</v>
      </c>
      <c r="C13" s="197">
        <f t="shared" si="2"/>
        <v>229.4934619410264</v>
      </c>
      <c r="D13" s="197">
        <f t="shared" si="0"/>
        <v>16523.529259753901</v>
      </c>
      <c r="E13" s="197">
        <f t="shared" si="1"/>
        <v>6523.529259753901</v>
      </c>
    </row>
    <row r="14" spans="2:7">
      <c r="B14" s="196">
        <v>84</v>
      </c>
      <c r="C14" s="197">
        <f t="shared" si="2"/>
        <v>211.64625103153259</v>
      </c>
      <c r="D14" s="197">
        <f t="shared" si="0"/>
        <v>17778.285086648739</v>
      </c>
      <c r="E14" s="197">
        <f t="shared" si="1"/>
        <v>7778.2850866487388</v>
      </c>
    </row>
    <row r="15" spans="2:7">
      <c r="B15" s="196">
        <v>96</v>
      </c>
      <c r="C15" s="197">
        <f t="shared" si="2"/>
        <v>198.75051281478127</v>
      </c>
      <c r="D15" s="197">
        <f t="shared" si="0"/>
        <v>19080.049230219003</v>
      </c>
      <c r="E15" s="197">
        <f t="shared" si="1"/>
        <v>9080.0492302190032</v>
      </c>
    </row>
    <row r="16" spans="2:7">
      <c r="B16" s="196">
        <v>108</v>
      </c>
      <c r="C16" s="197">
        <f t="shared" si="2"/>
        <v>189.13556900402716</v>
      </c>
      <c r="D16" s="197">
        <f t="shared" si="0"/>
        <v>20426.641452434935</v>
      </c>
      <c r="E16" s="197">
        <f t="shared" si="1"/>
        <v>10426.641452434935</v>
      </c>
    </row>
    <row r="17" spans="2:5">
      <c r="B17" s="196">
        <v>120</v>
      </c>
      <c r="C17" s="197">
        <f t="shared" si="2"/>
        <v>181.79778388756691</v>
      </c>
      <c r="D17" s="197">
        <f t="shared" si="0"/>
        <v>21815.73406650803</v>
      </c>
      <c r="E17" s="197">
        <f t="shared" si="1"/>
        <v>11815.73406650803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C1" sqref="C1"/>
    </sheetView>
  </sheetViews>
  <sheetFormatPr defaultRowHeight="12.75"/>
  <cols>
    <col min="1" max="1" width="6" bestFit="1" customWidth="1"/>
    <col min="2" max="2" width="12.7109375" customWidth="1"/>
    <col min="3" max="3" width="12.7109375" bestFit="1" customWidth="1"/>
    <col min="4" max="4" width="11.85546875" customWidth="1"/>
    <col min="5" max="5" width="12.7109375" bestFit="1" customWidth="1"/>
    <col min="6" max="6" width="11.7109375" customWidth="1"/>
    <col min="7" max="7" width="11.5703125" bestFit="1" customWidth="1"/>
    <col min="8" max="8" width="14.42578125" bestFit="1" customWidth="1"/>
    <col min="9" max="9" width="10.42578125" customWidth="1"/>
  </cols>
  <sheetData>
    <row r="1" spans="1:8" ht="14.25">
      <c r="B1" s="56" t="s">
        <v>17</v>
      </c>
      <c r="C1" s="127">
        <v>2500000</v>
      </c>
      <c r="D1" s="7"/>
    </row>
    <row r="2" spans="1:8" ht="14.25">
      <c r="B2" s="57" t="s">
        <v>18</v>
      </c>
      <c r="C2" s="53">
        <v>6.25E-2</v>
      </c>
      <c r="D2" s="1"/>
    </row>
    <row r="3" spans="1:8" ht="14.25">
      <c r="B3" s="57" t="s">
        <v>19</v>
      </c>
      <c r="C3" s="54">
        <v>1</v>
      </c>
      <c r="D3" s="2"/>
    </row>
    <row r="4" spans="1:8" ht="15" thickBot="1">
      <c r="B4" s="58" t="s">
        <v>20</v>
      </c>
      <c r="C4" s="55">
        <v>36</v>
      </c>
    </row>
    <row r="7" spans="1:8" ht="28.5">
      <c r="A7" s="128" t="s">
        <v>134</v>
      </c>
      <c r="B7" s="128" t="s">
        <v>42</v>
      </c>
      <c r="C7" s="128" t="s">
        <v>45</v>
      </c>
      <c r="D7" s="128" t="s">
        <v>43</v>
      </c>
      <c r="E7" s="128" t="s">
        <v>46</v>
      </c>
      <c r="F7" s="128" t="s">
        <v>44</v>
      </c>
      <c r="G7" s="128" t="s">
        <v>47</v>
      </c>
      <c r="H7" s="128" t="s">
        <v>48</v>
      </c>
    </row>
    <row r="8" spans="1:8">
      <c r="A8" s="129"/>
      <c r="B8" s="129"/>
      <c r="C8" s="129"/>
      <c r="D8" s="129"/>
      <c r="E8" s="129"/>
      <c r="F8" s="129"/>
      <c r="G8" s="129"/>
      <c r="H8" s="129">
        <f>C1</f>
        <v>2500000</v>
      </c>
    </row>
    <row r="9" spans="1:8">
      <c r="A9" s="129">
        <f>A8+1</f>
        <v>1</v>
      </c>
      <c r="B9" s="129">
        <f t="shared" ref="B9:B44" si="0">PMT($C$2*($C$3/12),$C$4,-$C$1)</f>
        <v>76338.353791637754</v>
      </c>
      <c r="C9" s="129">
        <f>C8+B9</f>
        <v>76338.353791637754</v>
      </c>
      <c r="D9" s="129">
        <f t="shared" ref="D9:D44" si="1">IPMT($C$2*($C$3/12),A9,$C$4,-$C$1)</f>
        <v>13020.833333333332</v>
      </c>
      <c r="E9" s="129">
        <f>E8+D9</f>
        <v>13020.833333333332</v>
      </c>
      <c r="F9" s="129">
        <f t="shared" ref="F9:F44" si="2">PPMT($C$2*($C$3/12),A9,$C$4,-$C$1)</f>
        <v>63317.520458304425</v>
      </c>
      <c r="G9" s="129">
        <f>G8+F9</f>
        <v>63317.520458304425</v>
      </c>
      <c r="H9" s="129">
        <f>H8-F9</f>
        <v>2436682.4795416957</v>
      </c>
    </row>
    <row r="10" spans="1:8">
      <c r="A10" s="129">
        <f>A9+1</f>
        <v>2</v>
      </c>
      <c r="B10" s="129">
        <f t="shared" si="0"/>
        <v>76338.353791637754</v>
      </c>
      <c r="C10" s="129">
        <f>C9+B10</f>
        <v>152676.70758327551</v>
      </c>
      <c r="D10" s="129">
        <f t="shared" si="1"/>
        <v>12691.054580946333</v>
      </c>
      <c r="E10" s="129">
        <f>E9+D10</f>
        <v>25711.887914279665</v>
      </c>
      <c r="F10" s="129">
        <f t="shared" si="2"/>
        <v>63647.299210691417</v>
      </c>
      <c r="G10" s="129">
        <f>G9+F10</f>
        <v>126964.81966899584</v>
      </c>
      <c r="H10" s="129">
        <f>H9-F10</f>
        <v>2373035.1803310043</v>
      </c>
    </row>
    <row r="11" spans="1:8">
      <c r="A11" s="129">
        <f t="shared" ref="A11:A44" si="3">A10+1</f>
        <v>3</v>
      </c>
      <c r="B11" s="129">
        <f t="shared" si="0"/>
        <v>76338.353791637754</v>
      </c>
      <c r="C11" s="129">
        <f t="shared" ref="C11:C44" si="4">C10+B11</f>
        <v>229015.06137491326</v>
      </c>
      <c r="D11" s="129">
        <f t="shared" si="1"/>
        <v>12359.558230890652</v>
      </c>
      <c r="E11" s="129">
        <f t="shared" ref="E11:E44" si="5">E10+D11</f>
        <v>38071.446145170317</v>
      </c>
      <c r="F11" s="129">
        <f t="shared" si="2"/>
        <v>63978.795560747101</v>
      </c>
      <c r="G11" s="129">
        <f t="shared" ref="G11:G44" si="6">G10+F11</f>
        <v>190943.61522974295</v>
      </c>
      <c r="H11" s="129">
        <f t="shared" ref="H11:H44" si="7">H10-F11</f>
        <v>2309056.3847702574</v>
      </c>
    </row>
    <row r="12" spans="1:8">
      <c r="A12" s="129">
        <f t="shared" si="3"/>
        <v>4</v>
      </c>
      <c r="B12" s="129">
        <f t="shared" si="0"/>
        <v>76338.353791637754</v>
      </c>
      <c r="C12" s="129">
        <f t="shared" si="4"/>
        <v>305353.41516655101</v>
      </c>
      <c r="D12" s="129">
        <f t="shared" si="1"/>
        <v>12026.335337345095</v>
      </c>
      <c r="E12" s="129">
        <f t="shared" si="5"/>
        <v>50097.781482515413</v>
      </c>
      <c r="F12" s="129">
        <f t="shared" si="2"/>
        <v>64312.018454292658</v>
      </c>
      <c r="G12" s="129">
        <f t="shared" si="6"/>
        <v>255255.63368403562</v>
      </c>
      <c r="H12" s="129">
        <f t="shared" si="7"/>
        <v>2244744.3663159646</v>
      </c>
    </row>
    <row r="13" spans="1:8">
      <c r="A13" s="129">
        <f t="shared" si="3"/>
        <v>5</v>
      </c>
      <c r="B13" s="129">
        <f t="shared" si="0"/>
        <v>76338.353791637754</v>
      </c>
      <c r="C13" s="129">
        <f t="shared" si="4"/>
        <v>381691.76895818877</v>
      </c>
      <c r="D13" s="129">
        <f t="shared" si="1"/>
        <v>11691.376907895661</v>
      </c>
      <c r="E13" s="129">
        <f t="shared" si="5"/>
        <v>61789.158390411074</v>
      </c>
      <c r="F13" s="129">
        <f t="shared" si="2"/>
        <v>64646.976883742092</v>
      </c>
      <c r="G13" s="129">
        <f t="shared" si="6"/>
        <v>319902.61056777771</v>
      </c>
      <c r="H13" s="129">
        <f t="shared" si="7"/>
        <v>2180097.3894322226</v>
      </c>
    </row>
    <row r="14" spans="1:8">
      <c r="A14" s="129">
        <f t="shared" si="3"/>
        <v>6</v>
      </c>
      <c r="B14" s="129">
        <f t="shared" si="0"/>
        <v>76338.353791637754</v>
      </c>
      <c r="C14" s="129">
        <f t="shared" si="4"/>
        <v>458030.12274982652</v>
      </c>
      <c r="D14" s="129">
        <f t="shared" si="1"/>
        <v>11354.673903292845</v>
      </c>
      <c r="E14" s="129">
        <f t="shared" si="5"/>
        <v>73143.832293703919</v>
      </c>
      <c r="F14" s="129">
        <f t="shared" si="2"/>
        <v>64983.679888344908</v>
      </c>
      <c r="G14" s="129">
        <f t="shared" si="6"/>
        <v>384886.2904561226</v>
      </c>
      <c r="H14" s="129">
        <f t="shared" si="7"/>
        <v>2115113.7095438777</v>
      </c>
    </row>
    <row r="15" spans="1:8">
      <c r="A15" s="129">
        <f t="shared" si="3"/>
        <v>7</v>
      </c>
      <c r="B15" s="129">
        <f t="shared" si="0"/>
        <v>76338.353791637754</v>
      </c>
      <c r="C15" s="129">
        <f t="shared" si="4"/>
        <v>534368.47654146422</v>
      </c>
      <c r="D15" s="129">
        <f t="shared" si="1"/>
        <v>11016.217237207713</v>
      </c>
      <c r="E15" s="129">
        <f t="shared" si="5"/>
        <v>84160.049530911638</v>
      </c>
      <c r="F15" s="129">
        <f t="shared" si="2"/>
        <v>65322.136554430042</v>
      </c>
      <c r="G15" s="129">
        <f t="shared" si="6"/>
        <v>450208.42701055267</v>
      </c>
      <c r="H15" s="129">
        <f t="shared" si="7"/>
        <v>2049791.5729894477</v>
      </c>
    </row>
    <row r="16" spans="1:8">
      <c r="A16" s="129">
        <f t="shared" si="3"/>
        <v>8</v>
      </c>
      <c r="B16" s="129">
        <f t="shared" si="0"/>
        <v>76338.353791637754</v>
      </c>
      <c r="C16" s="129">
        <f t="shared" si="4"/>
        <v>610706.83033310203</v>
      </c>
      <c r="D16" s="129">
        <f t="shared" si="1"/>
        <v>10675.997775986722</v>
      </c>
      <c r="E16" s="129">
        <f t="shared" si="5"/>
        <v>94836.047306898356</v>
      </c>
      <c r="F16" s="129">
        <f t="shared" si="2"/>
        <v>65662.356015651036</v>
      </c>
      <c r="G16" s="129">
        <f t="shared" si="6"/>
        <v>515870.78302620369</v>
      </c>
      <c r="H16" s="129">
        <f t="shared" si="7"/>
        <v>1984129.2169737967</v>
      </c>
    </row>
    <row r="17" spans="1:8">
      <c r="A17" s="129">
        <f t="shared" si="3"/>
        <v>9</v>
      </c>
      <c r="B17" s="129">
        <f t="shared" si="0"/>
        <v>76338.353791637754</v>
      </c>
      <c r="C17" s="129">
        <f t="shared" si="4"/>
        <v>687045.18412473984</v>
      </c>
      <c r="D17" s="129">
        <f t="shared" si="1"/>
        <v>10334.006338405212</v>
      </c>
      <c r="E17" s="129">
        <f t="shared" si="5"/>
        <v>105170.05364530356</v>
      </c>
      <c r="F17" s="129">
        <f t="shared" si="2"/>
        <v>66004.347453232534</v>
      </c>
      <c r="G17" s="129">
        <f t="shared" si="6"/>
        <v>581875.13047943625</v>
      </c>
      <c r="H17" s="129">
        <f t="shared" si="7"/>
        <v>1918124.8695205641</v>
      </c>
    </row>
    <row r="18" spans="1:8">
      <c r="A18" s="129">
        <f t="shared" si="3"/>
        <v>10</v>
      </c>
      <c r="B18" s="129">
        <f t="shared" si="0"/>
        <v>76338.353791637754</v>
      </c>
      <c r="C18" s="129">
        <f t="shared" si="4"/>
        <v>763383.53791637765</v>
      </c>
      <c r="D18" s="129">
        <f t="shared" si="1"/>
        <v>9990.2336954196326</v>
      </c>
      <c r="E18" s="129">
        <f t="shared" si="5"/>
        <v>115160.2873407232</v>
      </c>
      <c r="F18" s="129">
        <f t="shared" si="2"/>
        <v>66348.120096218117</v>
      </c>
      <c r="G18" s="129">
        <f t="shared" si="6"/>
        <v>648223.25057565433</v>
      </c>
      <c r="H18" s="129">
        <f t="shared" si="7"/>
        <v>1851776.749424346</v>
      </c>
    </row>
    <row r="19" spans="1:8">
      <c r="A19" s="129">
        <f t="shared" si="3"/>
        <v>11</v>
      </c>
      <c r="B19" s="129">
        <f t="shared" si="0"/>
        <v>76338.353791637754</v>
      </c>
      <c r="C19" s="129">
        <f t="shared" si="4"/>
        <v>839721.89170801546</v>
      </c>
      <c r="D19" s="129">
        <f t="shared" si="1"/>
        <v>9644.6705699184913</v>
      </c>
      <c r="E19" s="129">
        <f t="shared" si="5"/>
        <v>124804.95791064169</v>
      </c>
      <c r="F19" s="129">
        <f t="shared" si="2"/>
        <v>66693.683221719257</v>
      </c>
      <c r="G19" s="129">
        <f t="shared" si="6"/>
        <v>714916.93379737355</v>
      </c>
      <c r="H19" s="129">
        <f t="shared" si="7"/>
        <v>1785083.0662026268</v>
      </c>
    </row>
    <row r="20" spans="1:8">
      <c r="A20" s="129">
        <f t="shared" si="3"/>
        <v>12</v>
      </c>
      <c r="B20" s="129">
        <f t="shared" si="0"/>
        <v>76338.353791637754</v>
      </c>
      <c r="C20" s="129">
        <f t="shared" si="4"/>
        <v>916060.24549965328</v>
      </c>
      <c r="D20" s="129">
        <f t="shared" si="1"/>
        <v>9297.3076364720509</v>
      </c>
      <c r="E20" s="129">
        <f t="shared" si="5"/>
        <v>134102.26554711376</v>
      </c>
      <c r="F20" s="129">
        <f t="shared" si="2"/>
        <v>67041.046155165706</v>
      </c>
      <c r="G20" s="129">
        <f t="shared" si="6"/>
        <v>781957.97995253932</v>
      </c>
      <c r="H20" s="129">
        <f t="shared" si="7"/>
        <v>1718042.0200474611</v>
      </c>
    </row>
    <row r="21" spans="1:8">
      <c r="A21" s="129">
        <f t="shared" si="3"/>
        <v>13</v>
      </c>
      <c r="B21" s="129">
        <f t="shared" si="0"/>
        <v>76338.353791637754</v>
      </c>
      <c r="C21" s="129">
        <f t="shared" si="4"/>
        <v>992398.59929129109</v>
      </c>
      <c r="D21" s="129">
        <f t="shared" si="1"/>
        <v>8948.1355210805596</v>
      </c>
      <c r="E21" s="129">
        <f t="shared" si="5"/>
        <v>143050.4010681943</v>
      </c>
      <c r="F21" s="129">
        <f t="shared" si="2"/>
        <v>67390.21827055719</v>
      </c>
      <c r="G21" s="129">
        <f t="shared" si="6"/>
        <v>849348.19822309655</v>
      </c>
      <c r="H21" s="129">
        <f t="shared" si="7"/>
        <v>1650651.8017769039</v>
      </c>
    </row>
    <row r="22" spans="1:8">
      <c r="A22" s="129">
        <f t="shared" si="3"/>
        <v>14</v>
      </c>
      <c r="B22" s="129">
        <f t="shared" si="0"/>
        <v>76338.353791637754</v>
      </c>
      <c r="C22" s="129">
        <f t="shared" si="4"/>
        <v>1068736.9530829289</v>
      </c>
      <c r="D22" s="129">
        <f t="shared" si="1"/>
        <v>8597.1448009214218</v>
      </c>
      <c r="E22" s="129">
        <f t="shared" si="5"/>
        <v>151647.54586911574</v>
      </c>
      <c r="F22" s="129">
        <f t="shared" si="2"/>
        <v>67741.208990716332</v>
      </c>
      <c r="G22" s="129">
        <f t="shared" si="6"/>
        <v>917089.40721381293</v>
      </c>
      <c r="H22" s="129">
        <f t="shared" si="7"/>
        <v>1582910.5927861875</v>
      </c>
    </row>
    <row r="23" spans="1:8">
      <c r="A23" s="129">
        <f t="shared" si="3"/>
        <v>15</v>
      </c>
      <c r="B23" s="129">
        <f t="shared" si="0"/>
        <v>76338.353791637754</v>
      </c>
      <c r="C23" s="129">
        <f t="shared" si="4"/>
        <v>1145075.3068745667</v>
      </c>
      <c r="D23" s="129">
        <f t="shared" si="1"/>
        <v>8244.326004094768</v>
      </c>
      <c r="E23" s="129">
        <f t="shared" si="5"/>
        <v>159891.8718732105</v>
      </c>
      <c r="F23" s="129">
        <f t="shared" si="2"/>
        <v>68094.027787542989</v>
      </c>
      <c r="G23" s="129">
        <f t="shared" si="6"/>
        <v>985183.43500135595</v>
      </c>
      <c r="H23" s="129">
        <f t="shared" si="7"/>
        <v>1514816.5649986446</v>
      </c>
    </row>
    <row r="24" spans="1:8">
      <c r="A24" s="129">
        <f t="shared" si="3"/>
        <v>16</v>
      </c>
      <c r="B24" s="129">
        <f t="shared" si="0"/>
        <v>76338.353791637754</v>
      </c>
      <c r="C24" s="129">
        <f t="shared" si="4"/>
        <v>1221413.6606662045</v>
      </c>
      <c r="D24" s="129">
        <f t="shared" si="1"/>
        <v>7889.6696093679793</v>
      </c>
      <c r="E24" s="129">
        <f t="shared" si="5"/>
        <v>167781.5414825785</v>
      </c>
      <c r="F24" s="129">
        <f t="shared" si="2"/>
        <v>68448.684182269775</v>
      </c>
      <c r="G24" s="129">
        <f t="shared" si="6"/>
        <v>1053632.1191836258</v>
      </c>
      <c r="H24" s="129">
        <f t="shared" si="7"/>
        <v>1446367.8808163749</v>
      </c>
    </row>
    <row r="25" spans="1:8">
      <c r="A25" s="129">
        <f t="shared" si="3"/>
        <v>17</v>
      </c>
      <c r="B25" s="129">
        <f t="shared" si="0"/>
        <v>76338.353791637754</v>
      </c>
      <c r="C25" s="129">
        <f t="shared" si="4"/>
        <v>1297752.0144578423</v>
      </c>
      <c r="D25" s="129">
        <f t="shared" si="1"/>
        <v>7533.1660459186696</v>
      </c>
      <c r="E25" s="129">
        <f t="shared" si="5"/>
        <v>175314.70752849718</v>
      </c>
      <c r="F25" s="129">
        <f t="shared" si="2"/>
        <v>68805.187745719086</v>
      </c>
      <c r="G25" s="129">
        <f t="shared" si="6"/>
        <v>1122437.3069293448</v>
      </c>
      <c r="H25" s="129">
        <f t="shared" si="7"/>
        <v>1377562.6930706559</v>
      </c>
    </row>
    <row r="26" spans="1:8">
      <c r="A26" s="129">
        <f t="shared" si="3"/>
        <v>18</v>
      </c>
      <c r="B26" s="129">
        <f t="shared" si="0"/>
        <v>76338.353791637754</v>
      </c>
      <c r="C26" s="129">
        <f t="shared" si="4"/>
        <v>1374090.3682494801</v>
      </c>
      <c r="D26" s="129">
        <f t="shared" si="1"/>
        <v>7174.8056930763823</v>
      </c>
      <c r="E26" s="129">
        <f t="shared" si="5"/>
        <v>182489.51322157355</v>
      </c>
      <c r="F26" s="129">
        <f t="shared" si="2"/>
        <v>69163.548098561369</v>
      </c>
      <c r="G26" s="129">
        <f t="shared" si="6"/>
        <v>1191600.8550279061</v>
      </c>
      <c r="H26" s="129">
        <f t="shared" si="7"/>
        <v>1308399.1449720946</v>
      </c>
    </row>
    <row r="27" spans="1:8">
      <c r="A27" s="129">
        <f t="shared" si="3"/>
        <v>19</v>
      </c>
      <c r="B27" s="129">
        <f t="shared" si="0"/>
        <v>76338.353791637754</v>
      </c>
      <c r="C27" s="129">
        <f t="shared" si="4"/>
        <v>1450428.722041118</v>
      </c>
      <c r="D27" s="129">
        <f t="shared" si="1"/>
        <v>6814.5788800630526</v>
      </c>
      <c r="E27" s="129">
        <f t="shared" si="5"/>
        <v>189304.0921016366</v>
      </c>
      <c r="F27" s="129">
        <f t="shared" si="2"/>
        <v>69523.774911574699</v>
      </c>
      <c r="G27" s="129">
        <f t="shared" si="6"/>
        <v>1261124.6299394809</v>
      </c>
      <c r="H27" s="129">
        <f t="shared" si="7"/>
        <v>1238875.3700605198</v>
      </c>
    </row>
    <row r="28" spans="1:8">
      <c r="A28" s="129">
        <f t="shared" si="3"/>
        <v>20</v>
      </c>
      <c r="B28" s="129">
        <f t="shared" si="0"/>
        <v>76338.353791637754</v>
      </c>
      <c r="C28" s="129">
        <f t="shared" si="4"/>
        <v>1526767.0758327558</v>
      </c>
      <c r="D28" s="129">
        <f t="shared" si="1"/>
        <v>6452.4758857319321</v>
      </c>
      <c r="E28" s="129">
        <f t="shared" si="5"/>
        <v>195756.56798736853</v>
      </c>
      <c r="F28" s="129">
        <f t="shared" si="2"/>
        <v>69885.877905905829</v>
      </c>
      <c r="G28" s="129">
        <f t="shared" si="6"/>
        <v>1331010.5078453869</v>
      </c>
      <c r="H28" s="129">
        <f t="shared" si="7"/>
        <v>1168989.4921546141</v>
      </c>
    </row>
    <row r="29" spans="1:8">
      <c r="A29" s="129">
        <f t="shared" si="3"/>
        <v>21</v>
      </c>
      <c r="B29" s="129">
        <f t="shared" si="0"/>
        <v>76338.353791637754</v>
      </c>
      <c r="C29" s="129">
        <f t="shared" si="4"/>
        <v>1603105.4296243936</v>
      </c>
      <c r="D29" s="129">
        <f t="shared" si="1"/>
        <v>6088.4869383053483</v>
      </c>
      <c r="E29" s="129">
        <f t="shared" si="5"/>
        <v>201845.05492567387</v>
      </c>
      <c r="F29" s="129">
        <f t="shared" si="2"/>
        <v>70249.866853332409</v>
      </c>
      <c r="G29" s="129">
        <f t="shared" si="6"/>
        <v>1401260.3746987192</v>
      </c>
      <c r="H29" s="129">
        <f t="shared" si="7"/>
        <v>1098739.6253012817</v>
      </c>
    </row>
    <row r="30" spans="1:8">
      <c r="A30" s="129">
        <f t="shared" si="3"/>
        <v>22</v>
      </c>
      <c r="B30" s="129">
        <f t="shared" si="0"/>
        <v>76338.353791637754</v>
      </c>
      <c r="C30" s="129">
        <f t="shared" si="4"/>
        <v>1679443.7834160314</v>
      </c>
      <c r="D30" s="129">
        <f t="shared" si="1"/>
        <v>5722.6022151109146</v>
      </c>
      <c r="E30" s="129">
        <f t="shared" si="5"/>
        <v>207567.65714078478</v>
      </c>
      <c r="F30" s="129">
        <f t="shared" si="2"/>
        <v>70615.751576526833</v>
      </c>
      <c r="G30" s="129">
        <f t="shared" si="6"/>
        <v>1471876.126275246</v>
      </c>
      <c r="H30" s="129">
        <f t="shared" si="7"/>
        <v>1028123.8737247549</v>
      </c>
    </row>
    <row r="31" spans="1:8">
      <c r="A31" s="129">
        <f t="shared" si="3"/>
        <v>23</v>
      </c>
      <c r="B31" s="129">
        <f t="shared" si="0"/>
        <v>76338.353791637754</v>
      </c>
      <c r="C31" s="129">
        <f t="shared" si="4"/>
        <v>1755782.1372076692</v>
      </c>
      <c r="D31" s="129">
        <f t="shared" si="1"/>
        <v>5354.8118423164979</v>
      </c>
      <c r="E31" s="129">
        <f t="shared" si="5"/>
        <v>212922.46898310128</v>
      </c>
      <c r="F31" s="129">
        <f t="shared" si="2"/>
        <v>70983.541949321254</v>
      </c>
      <c r="G31" s="129">
        <f t="shared" si="6"/>
        <v>1542859.6682245673</v>
      </c>
      <c r="H31" s="129">
        <f t="shared" si="7"/>
        <v>957140.33177543362</v>
      </c>
    </row>
    <row r="32" spans="1:8">
      <c r="A32" s="129">
        <f t="shared" si="3"/>
        <v>24</v>
      </c>
      <c r="B32" s="129">
        <f t="shared" si="0"/>
        <v>76338.353791637754</v>
      </c>
      <c r="C32" s="129">
        <f t="shared" si="4"/>
        <v>1832120.490999307</v>
      </c>
      <c r="D32" s="129">
        <f t="shared" si="1"/>
        <v>4985.1058946637859</v>
      </c>
      <c r="E32" s="129">
        <f t="shared" si="5"/>
        <v>217907.57487776506</v>
      </c>
      <c r="F32" s="129">
        <f t="shared" si="2"/>
        <v>71353.247896973975</v>
      </c>
      <c r="G32" s="129">
        <f t="shared" si="6"/>
        <v>1614212.9161215413</v>
      </c>
      <c r="H32" s="129">
        <f t="shared" si="7"/>
        <v>885787.08387845964</v>
      </c>
    </row>
    <row r="33" spans="1:8">
      <c r="A33" s="129">
        <f t="shared" si="3"/>
        <v>25</v>
      </c>
      <c r="B33" s="129">
        <f t="shared" si="0"/>
        <v>76338.353791637754</v>
      </c>
      <c r="C33" s="129">
        <f t="shared" si="4"/>
        <v>1908458.8447909448</v>
      </c>
      <c r="D33" s="129">
        <f t="shared" si="1"/>
        <v>4613.4743952003901</v>
      </c>
      <c r="E33" s="129">
        <f t="shared" si="5"/>
        <v>222521.04927296544</v>
      </c>
      <c r="F33" s="129">
        <f t="shared" si="2"/>
        <v>71724.879396437362</v>
      </c>
      <c r="G33" s="129">
        <f t="shared" si="6"/>
        <v>1685937.7955179787</v>
      </c>
      <c r="H33" s="129">
        <f t="shared" si="7"/>
        <v>814062.20448202232</v>
      </c>
    </row>
    <row r="34" spans="1:8">
      <c r="A34" s="129">
        <f t="shared" si="3"/>
        <v>26</v>
      </c>
      <c r="B34" s="129">
        <f t="shared" si="0"/>
        <v>76338.353791637754</v>
      </c>
      <c r="C34" s="129">
        <f t="shared" si="4"/>
        <v>1984797.1985825826</v>
      </c>
      <c r="D34" s="129">
        <f t="shared" si="1"/>
        <v>4239.9073150106178</v>
      </c>
      <c r="E34" s="129">
        <f t="shared" si="5"/>
        <v>226760.95658797605</v>
      </c>
      <c r="F34" s="129">
        <f t="shared" si="2"/>
        <v>72098.446476627141</v>
      </c>
      <c r="G34" s="129">
        <f t="shared" si="6"/>
        <v>1758036.2419946059</v>
      </c>
      <c r="H34" s="129">
        <f t="shared" si="7"/>
        <v>741963.75800539518</v>
      </c>
    </row>
    <row r="35" spans="1:8">
      <c r="A35" s="129">
        <f t="shared" si="3"/>
        <v>27</v>
      </c>
      <c r="B35" s="129">
        <f t="shared" si="0"/>
        <v>76338.353791637754</v>
      </c>
      <c r="C35" s="129">
        <f t="shared" si="4"/>
        <v>2061135.5523742205</v>
      </c>
      <c r="D35" s="129">
        <f t="shared" si="1"/>
        <v>3864.3945729448483</v>
      </c>
      <c r="E35" s="129">
        <f t="shared" si="5"/>
        <v>230625.35116092089</v>
      </c>
      <c r="F35" s="129">
        <f t="shared" si="2"/>
        <v>72473.959218692908</v>
      </c>
      <c r="G35" s="129">
        <f t="shared" si="6"/>
        <v>1830510.2012132988</v>
      </c>
      <c r="H35" s="129">
        <f t="shared" si="7"/>
        <v>669489.79878670233</v>
      </c>
    </row>
    <row r="36" spans="1:8">
      <c r="A36" s="129">
        <f t="shared" si="3"/>
        <v>28</v>
      </c>
      <c r="B36" s="129">
        <f t="shared" si="0"/>
        <v>76338.353791637754</v>
      </c>
      <c r="C36" s="129">
        <f t="shared" si="4"/>
        <v>2137473.9061658583</v>
      </c>
      <c r="D36" s="129">
        <f t="shared" si="1"/>
        <v>3486.9260353475038</v>
      </c>
      <c r="E36" s="129">
        <f t="shared" si="5"/>
        <v>234112.27719626841</v>
      </c>
      <c r="F36" s="129">
        <f t="shared" si="2"/>
        <v>72851.427756290243</v>
      </c>
      <c r="G36" s="129">
        <f t="shared" si="6"/>
        <v>1903361.628969589</v>
      </c>
      <c r="H36" s="129">
        <f t="shared" si="7"/>
        <v>596638.37103041215</v>
      </c>
    </row>
    <row r="37" spans="1:8">
      <c r="A37" s="129">
        <f t="shared" si="3"/>
        <v>29</v>
      </c>
      <c r="B37" s="129">
        <f t="shared" si="0"/>
        <v>76338.353791637754</v>
      </c>
      <c r="C37" s="129">
        <f t="shared" si="4"/>
        <v>2213812.2599574961</v>
      </c>
      <c r="D37" s="129">
        <f t="shared" si="1"/>
        <v>3107.4915157834812</v>
      </c>
      <c r="E37" s="129">
        <f t="shared" si="5"/>
        <v>237219.76871205188</v>
      </c>
      <c r="F37" s="129">
        <f t="shared" si="2"/>
        <v>73230.862275854277</v>
      </c>
      <c r="G37" s="129">
        <f t="shared" si="6"/>
        <v>1976592.4912454432</v>
      </c>
      <c r="H37" s="129">
        <f t="shared" si="7"/>
        <v>523407.50875455787</v>
      </c>
    </row>
    <row r="38" spans="1:8">
      <c r="A38" s="129">
        <f t="shared" si="3"/>
        <v>30</v>
      </c>
      <c r="B38" s="129">
        <f t="shared" si="0"/>
        <v>76338.353791637754</v>
      </c>
      <c r="C38" s="129">
        <f t="shared" si="4"/>
        <v>2290150.6137491339</v>
      </c>
      <c r="D38" s="129">
        <f t="shared" si="1"/>
        <v>2726.0807747634217</v>
      </c>
      <c r="E38" s="129">
        <f t="shared" si="5"/>
        <v>239945.84948681531</v>
      </c>
      <c r="F38" s="129">
        <f t="shared" si="2"/>
        <v>73612.273016874329</v>
      </c>
      <c r="G38" s="129">
        <f t="shared" si="6"/>
        <v>2050204.7642623177</v>
      </c>
      <c r="H38" s="129">
        <f t="shared" si="7"/>
        <v>449795.23573768354</v>
      </c>
    </row>
    <row r="39" spans="1:8">
      <c r="A39" s="129">
        <f t="shared" si="3"/>
        <v>31</v>
      </c>
      <c r="B39" s="129">
        <f t="shared" si="0"/>
        <v>76338.353791637754</v>
      </c>
      <c r="C39" s="129">
        <f t="shared" si="4"/>
        <v>2366488.9675407717</v>
      </c>
      <c r="D39" s="129">
        <f t="shared" si="1"/>
        <v>2342.6835194671994</v>
      </c>
      <c r="E39" s="129">
        <f t="shared" si="5"/>
        <v>242288.53300628249</v>
      </c>
      <c r="F39" s="129">
        <f t="shared" si="2"/>
        <v>73995.670272170551</v>
      </c>
      <c r="G39" s="129">
        <f t="shared" si="6"/>
        <v>2124200.4345344882</v>
      </c>
      <c r="H39" s="129">
        <f t="shared" si="7"/>
        <v>375799.56546551298</v>
      </c>
    </row>
    <row r="40" spans="1:8">
      <c r="A40" s="129">
        <f t="shared" si="3"/>
        <v>32</v>
      </c>
      <c r="B40" s="129">
        <f t="shared" si="0"/>
        <v>76338.353791637754</v>
      </c>
      <c r="C40" s="129">
        <f t="shared" si="4"/>
        <v>2442827.3213324095</v>
      </c>
      <c r="D40" s="129">
        <f t="shared" si="1"/>
        <v>1957.2894034663113</v>
      </c>
      <c r="E40" s="129">
        <f t="shared" si="5"/>
        <v>244245.8224097488</v>
      </c>
      <c r="F40" s="129">
        <f t="shared" si="2"/>
        <v>74381.06438817145</v>
      </c>
      <c r="G40" s="129">
        <f t="shared" si="6"/>
        <v>2198581.4989226595</v>
      </c>
      <c r="H40" s="129">
        <f t="shared" si="7"/>
        <v>301418.5010773415</v>
      </c>
    </row>
    <row r="41" spans="1:8">
      <c r="A41" s="129">
        <f t="shared" si="3"/>
        <v>33</v>
      </c>
      <c r="B41" s="129">
        <f t="shared" si="0"/>
        <v>76338.353791637754</v>
      </c>
      <c r="C41" s="129">
        <f t="shared" si="4"/>
        <v>2519165.6751240473</v>
      </c>
      <c r="D41" s="129">
        <f t="shared" si="1"/>
        <v>1569.8880264445907</v>
      </c>
      <c r="E41" s="129">
        <f t="shared" si="5"/>
        <v>245815.71043619339</v>
      </c>
      <c r="F41" s="129">
        <f t="shared" si="2"/>
        <v>74768.465765193163</v>
      </c>
      <c r="G41" s="129">
        <f t="shared" si="6"/>
        <v>2273349.9646878527</v>
      </c>
      <c r="H41" s="129">
        <f t="shared" si="7"/>
        <v>226650.03531214833</v>
      </c>
    </row>
    <row r="42" spans="1:8">
      <c r="A42" s="129">
        <f t="shared" si="3"/>
        <v>34</v>
      </c>
      <c r="B42" s="129">
        <f t="shared" si="0"/>
        <v>76338.353791637754</v>
      </c>
      <c r="C42" s="129">
        <f t="shared" si="4"/>
        <v>2595504.0289156851</v>
      </c>
      <c r="D42" s="129">
        <f t="shared" si="1"/>
        <v>1180.4689339175552</v>
      </c>
      <c r="E42" s="129">
        <f t="shared" si="5"/>
        <v>246996.17937011094</v>
      </c>
      <c r="F42" s="129">
        <f t="shared" si="2"/>
        <v>75157.884857720201</v>
      </c>
      <c r="G42" s="129">
        <f t="shared" si="6"/>
        <v>2348507.8495455729</v>
      </c>
      <c r="H42" s="129">
        <f t="shared" si="7"/>
        <v>151492.15045442813</v>
      </c>
    </row>
    <row r="43" spans="1:8">
      <c r="A43" s="129">
        <f t="shared" si="3"/>
        <v>35</v>
      </c>
      <c r="B43" s="129">
        <f t="shared" si="0"/>
        <v>76338.353791637754</v>
      </c>
      <c r="C43" s="129">
        <f t="shared" si="4"/>
        <v>2671842.3827073229</v>
      </c>
      <c r="D43" s="129">
        <f t="shared" si="1"/>
        <v>789.02161695025029</v>
      </c>
      <c r="E43" s="129">
        <f t="shared" si="5"/>
        <v>247785.20098706119</v>
      </c>
      <c r="F43" s="129">
        <f t="shared" si="2"/>
        <v>75549.332174687501</v>
      </c>
      <c r="G43" s="129">
        <f t="shared" si="6"/>
        <v>2424057.1817202605</v>
      </c>
      <c r="H43" s="129">
        <f t="shared" si="7"/>
        <v>75942.818279740633</v>
      </c>
    </row>
    <row r="44" spans="1:8">
      <c r="A44" s="129">
        <f t="shared" si="3"/>
        <v>36</v>
      </c>
      <c r="B44" s="129">
        <f t="shared" si="0"/>
        <v>76338.353791637754</v>
      </c>
      <c r="C44" s="129">
        <f t="shared" si="4"/>
        <v>2748180.7364989608</v>
      </c>
      <c r="D44" s="129">
        <f t="shared" si="1"/>
        <v>395.53551187376672</v>
      </c>
      <c r="E44" s="129">
        <f t="shared" si="5"/>
        <v>248180.73649893497</v>
      </c>
      <c r="F44" s="129">
        <f t="shared" si="2"/>
        <v>75942.818279763989</v>
      </c>
      <c r="G44" s="129">
        <f t="shared" si="6"/>
        <v>2500000.0000000247</v>
      </c>
      <c r="H44" s="129">
        <f t="shared" si="7"/>
        <v>-2.3355823941528797E-8</v>
      </c>
    </row>
  </sheetData>
  <phoneticPr fontId="3" type="noConversion"/>
  <conditionalFormatting sqref="A8:H44">
    <cfRule type="expression" dxfId="0" priority="2" stopIfTrue="1">
      <formula>$A8&gt;$C$4</formula>
    </cfRule>
  </conditionalFormatting>
  <pageMargins left="0.75" right="0.75" top="1" bottom="1" header="0.5" footer="0.5"/>
  <pageSetup orientation="portrait" verticalDpi="0" r:id="rId1"/>
  <headerFooter alignWithMargins="0"/>
  <ignoredErrors>
    <ignoredError sqref="D9:D44 F9:F4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10" sqref="B10"/>
    </sheetView>
  </sheetViews>
  <sheetFormatPr defaultRowHeight="12.75"/>
  <cols>
    <col min="1" max="1" width="17.85546875" customWidth="1"/>
    <col min="2" max="2" width="11.5703125" bestFit="1" customWidth="1"/>
    <col min="3" max="9" width="8.85546875" bestFit="1" customWidth="1"/>
  </cols>
  <sheetData>
    <row r="1" spans="1:9" ht="14.25">
      <c r="A1" s="65" t="s">
        <v>51</v>
      </c>
      <c r="B1" s="59">
        <v>10000</v>
      </c>
    </row>
    <row r="2" spans="1:9" ht="14.25">
      <c r="A2" s="66" t="s">
        <v>29</v>
      </c>
      <c r="B2" s="60">
        <v>5.2499999999999998E-2</v>
      </c>
    </row>
    <row r="3" spans="1:9" ht="14.25">
      <c r="A3" s="66" t="s">
        <v>52</v>
      </c>
      <c r="B3" s="61">
        <v>1</v>
      </c>
    </row>
    <row r="4" spans="1:9" ht="15" thickBot="1">
      <c r="A4" s="67" t="s">
        <v>53</v>
      </c>
      <c r="B4" s="62">
        <v>36</v>
      </c>
    </row>
    <row r="5" spans="1:9" ht="13.5" thickBot="1">
      <c r="A5" s="8"/>
      <c r="B5" s="9"/>
    </row>
    <row r="6" spans="1:9" ht="15" thickBot="1">
      <c r="A6" s="41" t="s">
        <v>26</v>
      </c>
      <c r="B6" s="64">
        <f>PMT($B$2*($B$3/12),$B$4,-$B$1)</f>
        <v>300.83270514640583</v>
      </c>
      <c r="C6" s="5"/>
      <c r="D6" s="5"/>
      <c r="E6" s="5"/>
      <c r="F6" s="5"/>
      <c r="G6" s="5"/>
      <c r="H6" s="5"/>
      <c r="I6" s="5"/>
    </row>
    <row r="7" spans="1:9" ht="15" thickBot="1">
      <c r="A7" s="41" t="s">
        <v>49</v>
      </c>
      <c r="B7" s="138">
        <f>B6*B4</f>
        <v>10829.977385270609</v>
      </c>
      <c r="C7" s="5"/>
      <c r="D7" s="5"/>
      <c r="E7" s="5"/>
      <c r="F7" s="5"/>
      <c r="G7" s="5"/>
      <c r="H7" s="5"/>
      <c r="I7" s="5"/>
    </row>
    <row r="8" spans="1:9" ht="14.25">
      <c r="A8" s="41" t="s">
        <v>50</v>
      </c>
      <c r="B8" s="64">
        <f>B7-B1</f>
        <v>829.97738527060937</v>
      </c>
      <c r="C8" s="5"/>
      <c r="D8" s="5"/>
      <c r="E8" s="5"/>
      <c r="F8" s="5"/>
      <c r="G8" s="5"/>
      <c r="H8" s="5"/>
      <c r="I8" s="5"/>
    </row>
    <row r="10" spans="1:9">
      <c r="A10" s="14"/>
      <c r="B10" s="68"/>
      <c r="C10" s="70">
        <v>0.05</v>
      </c>
      <c r="D10" s="71">
        <f t="shared" ref="D10:I10" si="0">C10+0.25%</f>
        <v>5.2500000000000005E-2</v>
      </c>
      <c r="E10" s="71">
        <f t="shared" si="0"/>
        <v>5.5000000000000007E-2</v>
      </c>
      <c r="F10" s="71">
        <f t="shared" si="0"/>
        <v>5.7500000000000009E-2</v>
      </c>
      <c r="G10" s="71">
        <f t="shared" si="0"/>
        <v>6.0000000000000012E-2</v>
      </c>
      <c r="H10" s="71">
        <f t="shared" si="0"/>
        <v>6.2500000000000014E-2</v>
      </c>
      <c r="I10" s="71">
        <f t="shared" si="0"/>
        <v>6.5000000000000016E-2</v>
      </c>
    </row>
    <row r="11" spans="1:9" ht="15" thickBot="1">
      <c r="A11" s="69" t="s">
        <v>26</v>
      </c>
      <c r="B11" s="64">
        <f>PMT($B$2*($B$3/12),$B$4,-$B$1)</f>
        <v>300.83270514640583</v>
      </c>
      <c r="C11" s="131">
        <f t="dataTable" ref="C11:I13" dt2D="0" dtr="1" r1="B2"/>
        <v>299.70897104665374</v>
      </c>
      <c r="D11" s="131">
        <v>300.83270514640589</v>
      </c>
      <c r="E11" s="131">
        <v>301.95901804310233</v>
      </c>
      <c r="F11" s="131">
        <v>303.08790831568865</v>
      </c>
      <c r="G11" s="131">
        <v>304.21937451555976</v>
      </c>
      <c r="H11" s="131">
        <v>305.35341516655109</v>
      </c>
      <c r="I11" s="131">
        <v>306.49002876510087</v>
      </c>
    </row>
    <row r="12" spans="1:9" ht="15" thickBot="1">
      <c r="A12" s="41" t="s">
        <v>49</v>
      </c>
      <c r="B12" s="130">
        <f>B11*B4</f>
        <v>10829.977385270609</v>
      </c>
      <c r="C12" s="131">
        <v>10789.522957679535</v>
      </c>
      <c r="D12" s="131">
        <v>10829.977385270611</v>
      </c>
      <c r="E12" s="131">
        <v>10870.524649551684</v>
      </c>
      <c r="F12" s="131">
        <v>10911.164699364792</v>
      </c>
      <c r="G12" s="131">
        <v>10951.897482560151</v>
      </c>
      <c r="H12" s="131">
        <v>10992.72294599584</v>
      </c>
      <c r="I12" s="131">
        <v>11033.641035543631</v>
      </c>
    </row>
    <row r="13" spans="1:9" ht="14.25">
      <c r="A13" s="41" t="s">
        <v>50</v>
      </c>
      <c r="B13" s="130">
        <f>B12-B1</f>
        <v>829.97738527060937</v>
      </c>
      <c r="C13" s="131">
        <v>789.52295767953547</v>
      </c>
      <c r="D13" s="131">
        <v>829.97738527061119</v>
      </c>
      <c r="E13" s="131">
        <v>870.52464955168398</v>
      </c>
      <c r="F13" s="131">
        <v>911.16469936479189</v>
      </c>
      <c r="G13" s="131">
        <v>951.89748256015082</v>
      </c>
      <c r="H13" s="131">
        <v>992.72294599583984</v>
      </c>
      <c r="I13" s="131">
        <v>1033.641035543631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1" sqref="B11"/>
    </sheetView>
  </sheetViews>
  <sheetFormatPr defaultRowHeight="14.25"/>
  <cols>
    <col min="1" max="1" width="20.28515625" style="156" bestFit="1" customWidth="1"/>
    <col min="2" max="2" width="13" style="156" bestFit="1" customWidth="1"/>
    <col min="3" max="9" width="7.5703125" style="156" bestFit="1" customWidth="1"/>
    <col min="10" max="16384" width="9.140625" style="156"/>
  </cols>
  <sheetData>
    <row r="1" spans="1:9" ht="15.75">
      <c r="A1" s="166" t="s">
        <v>17</v>
      </c>
      <c r="B1" s="198">
        <v>10000</v>
      </c>
    </row>
    <row r="2" spans="1:9" ht="15.75">
      <c r="A2" s="167" t="s">
        <v>18</v>
      </c>
      <c r="B2" s="192">
        <v>0.05</v>
      </c>
    </row>
    <row r="3" spans="1:9" ht="15.75">
      <c r="A3" s="167" t="s">
        <v>19</v>
      </c>
      <c r="B3" s="199">
        <v>1</v>
      </c>
    </row>
    <row r="4" spans="1:9" ht="16.5" thickBot="1">
      <c r="A4" s="168" t="s">
        <v>20</v>
      </c>
      <c r="B4" s="200">
        <v>36</v>
      </c>
    </row>
    <row r="5" spans="1:9" ht="15" thickBot="1">
      <c r="A5" s="201"/>
      <c r="B5" s="202"/>
    </row>
    <row r="6" spans="1:9" ht="16.5" thickBot="1">
      <c r="A6" s="158" t="s">
        <v>26</v>
      </c>
      <c r="B6" s="203">
        <f>PMT(B2*(B3/12),B4,-B1)</f>
        <v>299.70897104665374</v>
      </c>
      <c r="C6" s="204"/>
      <c r="D6" s="204"/>
      <c r="E6" s="204"/>
      <c r="F6" s="204"/>
      <c r="G6" s="204"/>
      <c r="H6" s="204"/>
      <c r="I6" s="204"/>
    </row>
    <row r="7" spans="1:9" ht="16.5" thickBot="1">
      <c r="A7" s="158" t="s">
        <v>49</v>
      </c>
      <c r="B7" s="203">
        <f>B6*B4</f>
        <v>10789.522957679535</v>
      </c>
      <c r="C7" s="204"/>
      <c r="D7" s="204"/>
      <c r="E7" s="204"/>
      <c r="F7" s="204"/>
      <c r="G7" s="204"/>
      <c r="H7" s="204"/>
      <c r="I7" s="204"/>
    </row>
    <row r="8" spans="1:9" ht="15.75">
      <c r="A8" s="158" t="s">
        <v>50</v>
      </c>
      <c r="B8" s="203">
        <f>B7-B1</f>
        <v>789.52295767953547</v>
      </c>
      <c r="C8" s="204"/>
      <c r="D8" s="204"/>
      <c r="E8" s="204"/>
      <c r="F8" s="204"/>
      <c r="G8" s="204"/>
      <c r="H8" s="204"/>
      <c r="I8" s="204"/>
    </row>
    <row r="9" spans="1:9">
      <c r="A9" s="204"/>
      <c r="B9" s="204"/>
      <c r="C9" s="204"/>
      <c r="D9" s="204"/>
      <c r="E9" s="204"/>
      <c r="F9" s="204"/>
      <c r="G9" s="204"/>
    </row>
    <row r="10" spans="1:9" ht="15.75">
      <c r="C10" s="223" t="s">
        <v>55</v>
      </c>
      <c r="D10" s="224"/>
      <c r="E10" s="224"/>
      <c r="F10" s="224"/>
      <c r="G10" s="224"/>
      <c r="H10" s="224"/>
      <c r="I10" s="224"/>
    </row>
    <row r="11" spans="1:9" ht="12.75" customHeight="1">
      <c r="B11" s="205">
        <f>PMT(B2*(B3/12),B4,-B1)</f>
        <v>299.70897104665374</v>
      </c>
      <c r="C11" s="206">
        <v>0.05</v>
      </c>
      <c r="D11" s="206">
        <f t="shared" ref="D11:I11" si="0">C11+0.25%</f>
        <v>5.2500000000000005E-2</v>
      </c>
      <c r="E11" s="206">
        <f t="shared" si="0"/>
        <v>5.5000000000000007E-2</v>
      </c>
      <c r="F11" s="206">
        <f t="shared" si="0"/>
        <v>5.7500000000000009E-2</v>
      </c>
      <c r="G11" s="206">
        <f t="shared" si="0"/>
        <v>6.0000000000000012E-2</v>
      </c>
      <c r="H11" s="206">
        <f t="shared" si="0"/>
        <v>6.2500000000000014E-2</v>
      </c>
      <c r="I11" s="206">
        <f t="shared" si="0"/>
        <v>6.5000000000000016E-2</v>
      </c>
    </row>
    <row r="12" spans="1:9" ht="14.25" customHeight="1">
      <c r="A12" s="222" t="s">
        <v>54</v>
      </c>
      <c r="B12" s="207">
        <v>9000</v>
      </c>
      <c r="C12" s="208">
        <f t="dataTable" ref="C12:I17" dt2D="1" dtr="1" r1="B2" r2="B1"/>
        <v>269.73807394198832</v>
      </c>
      <c r="D12" s="208">
        <v>270.74943463176533</v>
      </c>
      <c r="E12" s="208">
        <v>271.76311623879207</v>
      </c>
      <c r="F12" s="208">
        <v>272.77911748411975</v>
      </c>
      <c r="G12" s="208">
        <v>273.79743706400382</v>
      </c>
      <c r="H12" s="208">
        <v>274.81807364989601</v>
      </c>
      <c r="I12" s="208">
        <v>275.84102588859076</v>
      </c>
    </row>
    <row r="13" spans="1:9" ht="15">
      <c r="A13" s="222"/>
      <c r="B13" s="207">
        <f>B12+500</f>
        <v>9500</v>
      </c>
      <c r="C13" s="208">
        <v>284.72352249432106</v>
      </c>
      <c r="D13" s="208">
        <v>285.79106988908558</v>
      </c>
      <c r="E13" s="208">
        <v>286.86106714094723</v>
      </c>
      <c r="F13" s="208">
        <v>287.9335128999042</v>
      </c>
      <c r="G13" s="208">
        <v>289.00840578978182</v>
      </c>
      <c r="H13" s="208">
        <v>290.08574440822355</v>
      </c>
      <c r="I13" s="208">
        <v>291.16552732684579</v>
      </c>
    </row>
    <row r="14" spans="1:9" ht="15">
      <c r="A14" s="222"/>
      <c r="B14" s="207">
        <f>B13+500</f>
        <v>10000</v>
      </c>
      <c r="C14" s="208">
        <v>299.70897104665374</v>
      </c>
      <c r="D14" s="208">
        <v>300.83270514640589</v>
      </c>
      <c r="E14" s="208">
        <v>301.95901804310233</v>
      </c>
      <c r="F14" s="208">
        <v>303.08790831568865</v>
      </c>
      <c r="G14" s="208">
        <v>304.21937451555976</v>
      </c>
      <c r="H14" s="208">
        <v>305.35341516655109</v>
      </c>
      <c r="I14" s="208">
        <v>306.49002876510087</v>
      </c>
    </row>
    <row r="15" spans="1:9" ht="15">
      <c r="A15" s="222"/>
      <c r="B15" s="207">
        <f>B14+500</f>
        <v>10500</v>
      </c>
      <c r="C15" s="208">
        <v>314.69441959898637</v>
      </c>
      <c r="D15" s="208">
        <v>315.87434040372619</v>
      </c>
      <c r="E15" s="208">
        <v>317.05696894525744</v>
      </c>
      <c r="F15" s="208">
        <v>318.24230373147304</v>
      </c>
      <c r="G15" s="208">
        <v>319.43034324133777</v>
      </c>
      <c r="H15" s="208">
        <v>320.62108592487863</v>
      </c>
      <c r="I15" s="208">
        <v>321.8145302033559</v>
      </c>
    </row>
    <row r="16" spans="1:9" ht="15">
      <c r="A16" s="222"/>
      <c r="B16" s="207">
        <f>B15+500</f>
        <v>11000</v>
      </c>
      <c r="C16" s="208">
        <v>329.67986815131911</v>
      </c>
      <c r="D16" s="208">
        <v>330.9159756610465</v>
      </c>
      <c r="E16" s="208">
        <v>332.15491984741254</v>
      </c>
      <c r="F16" s="208">
        <v>333.39669914725749</v>
      </c>
      <c r="G16" s="208">
        <v>334.64131196711583</v>
      </c>
      <c r="H16" s="208">
        <v>335.88875668320617</v>
      </c>
      <c r="I16" s="208">
        <v>337.13903164161093</v>
      </c>
    </row>
    <row r="17" spans="1:9" ht="15">
      <c r="A17" s="222"/>
      <c r="B17" s="207">
        <f>B16+500</f>
        <v>11500</v>
      </c>
      <c r="C17" s="208">
        <v>344.6653167036518</v>
      </c>
      <c r="D17" s="208">
        <v>345.95761091836681</v>
      </c>
      <c r="E17" s="208">
        <v>347.25287074956765</v>
      </c>
      <c r="F17" s="208">
        <v>348.55109456304189</v>
      </c>
      <c r="G17" s="208">
        <v>349.85228069289377</v>
      </c>
      <c r="H17" s="208">
        <v>351.15642744153371</v>
      </c>
      <c r="I17" s="208">
        <v>352.46353307986601</v>
      </c>
    </row>
  </sheetData>
  <mergeCells count="2">
    <mergeCell ref="A12:A17"/>
    <mergeCell ref="C10:I10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01"/>
  <sheetViews>
    <sheetView workbookViewId="0">
      <pane xSplit="1" ySplit="3" topLeftCell="B18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2.75"/>
  <cols>
    <col min="1" max="1" width="18" bestFit="1" customWidth="1"/>
    <col min="2" max="2" width="12.140625" customWidth="1"/>
    <col min="3" max="3" width="11.28515625" customWidth="1"/>
    <col min="4" max="4" width="7.42578125" customWidth="1"/>
    <col min="5" max="5" width="7.85546875" bestFit="1" customWidth="1"/>
    <col min="6" max="6" width="12.140625" customWidth="1"/>
    <col min="7" max="7" width="10.28515625" bestFit="1" customWidth="1"/>
    <col min="8" max="8" width="11.5703125" bestFit="1" customWidth="1"/>
  </cols>
  <sheetData>
    <row r="1" spans="1:10" ht="17.25" customHeight="1">
      <c r="A1" s="45" t="s">
        <v>66</v>
      </c>
      <c r="B1" s="75">
        <v>5.5E-2</v>
      </c>
      <c r="C1" s="139"/>
      <c r="J1" s="140"/>
    </row>
    <row r="3" spans="1:10" ht="29.25" customHeight="1">
      <c r="A3" s="72" t="s">
        <v>61</v>
      </c>
      <c r="B3" s="72" t="s">
        <v>56</v>
      </c>
      <c r="C3" s="72" t="s">
        <v>57</v>
      </c>
      <c r="D3" s="72" t="s">
        <v>58</v>
      </c>
      <c r="E3" s="72" t="s">
        <v>59</v>
      </c>
      <c r="F3" s="72" t="s">
        <v>62</v>
      </c>
      <c r="G3" s="72" t="s">
        <v>60</v>
      </c>
      <c r="H3" s="72" t="s">
        <v>63</v>
      </c>
    </row>
    <row r="4" spans="1:10" ht="14.25">
      <c r="A4" s="42" t="s">
        <v>65</v>
      </c>
      <c r="B4" s="132">
        <v>-10000</v>
      </c>
      <c r="C4" s="74">
        <v>39264</v>
      </c>
      <c r="D4" s="11"/>
      <c r="E4" s="3"/>
      <c r="F4" s="3"/>
      <c r="G4" s="11"/>
      <c r="H4" s="132">
        <f>-B4</f>
        <v>10000</v>
      </c>
    </row>
    <row r="5" spans="1:10">
      <c r="A5">
        <v>1</v>
      </c>
      <c r="B5" s="132">
        <v>200</v>
      </c>
      <c r="C5" s="74">
        <v>39281</v>
      </c>
      <c r="D5" s="133">
        <f t="shared" ref="D5:D10" si="0">IF(B5&gt;0,(((C5-C4)/365)*H4)*利率,0)</f>
        <v>25.616438356164384</v>
      </c>
      <c r="E5" s="132">
        <f>B5-D5</f>
        <v>174.38356164383561</v>
      </c>
      <c r="F5" s="132">
        <f t="shared" ref="F5:F41" si="1">IF(B5&gt;0,F4+B5,F4)</f>
        <v>200</v>
      </c>
      <c r="G5" s="133">
        <f t="shared" ref="G5:G41" si="2">IF(B5&gt;0,G4+D5,G4)</f>
        <v>25.616438356164384</v>
      </c>
      <c r="H5" s="132">
        <f>H4-E5</f>
        <v>9825.6164383561645</v>
      </c>
    </row>
    <row r="6" spans="1:10">
      <c r="A6">
        <f>+A5+1</f>
        <v>2</v>
      </c>
      <c r="B6" s="132">
        <v>500</v>
      </c>
      <c r="C6" s="74">
        <v>39296</v>
      </c>
      <c r="D6" s="133">
        <f t="shared" si="0"/>
        <v>22.208585100394068</v>
      </c>
      <c r="E6" s="132">
        <f t="shared" ref="E6:E9" si="3">B6-D6</f>
        <v>477.79141489960591</v>
      </c>
      <c r="F6" s="132">
        <f t="shared" si="1"/>
        <v>700</v>
      </c>
      <c r="G6" s="133">
        <f t="shared" si="2"/>
        <v>47.825023456558455</v>
      </c>
      <c r="H6" s="132">
        <f t="shared" ref="H6:H9" si="4">H5-E6</f>
        <v>9347.8250234565585</v>
      </c>
    </row>
    <row r="7" spans="1:10">
      <c r="A7">
        <f>+A6+1</f>
        <v>3</v>
      </c>
      <c r="B7" s="132">
        <v>200</v>
      </c>
      <c r="C7" s="74">
        <v>39330</v>
      </c>
      <c r="D7" s="133">
        <f t="shared" si="0"/>
        <v>47.891596695517165</v>
      </c>
      <c r="E7" s="132">
        <f t="shared" si="3"/>
        <v>152.10840330448283</v>
      </c>
      <c r="F7" s="132">
        <f t="shared" si="1"/>
        <v>900</v>
      </c>
      <c r="G7" s="133">
        <f t="shared" si="2"/>
        <v>95.71662015207562</v>
      </c>
      <c r="H7" s="132">
        <f t="shared" si="4"/>
        <v>9195.7166201520758</v>
      </c>
    </row>
    <row r="8" spans="1:10">
      <c r="A8">
        <f>+A7+1</f>
        <v>4</v>
      </c>
      <c r="B8" s="132">
        <v>150</v>
      </c>
      <c r="C8" s="74">
        <v>39421</v>
      </c>
      <c r="D8" s="133">
        <f t="shared" si="0"/>
        <v>126.09468954482503</v>
      </c>
      <c r="E8" s="132">
        <f t="shared" si="3"/>
        <v>23.90531045517497</v>
      </c>
      <c r="F8" s="132">
        <f t="shared" si="1"/>
        <v>1050</v>
      </c>
      <c r="G8" s="133">
        <f t="shared" si="2"/>
        <v>221.81130969690065</v>
      </c>
      <c r="H8" s="132">
        <f t="shared" si="4"/>
        <v>9171.8113096969009</v>
      </c>
    </row>
    <row r="9" spans="1:10">
      <c r="A9">
        <f>+A8+1</f>
        <v>5</v>
      </c>
      <c r="B9" s="132">
        <v>250</v>
      </c>
      <c r="C9" s="74">
        <v>39459</v>
      </c>
      <c r="D9" s="133">
        <f t="shared" si="0"/>
        <v>52.518042841826087</v>
      </c>
      <c r="E9" s="132">
        <f t="shared" si="3"/>
        <v>197.48195715817391</v>
      </c>
      <c r="F9" s="132">
        <f t="shared" si="1"/>
        <v>1300</v>
      </c>
      <c r="G9" s="133">
        <f t="shared" si="2"/>
        <v>274.32935253872677</v>
      </c>
      <c r="H9" s="132">
        <f t="shared" si="4"/>
        <v>8974.3293525387271</v>
      </c>
    </row>
    <row r="10" spans="1:10">
      <c r="A10" s="73" t="s">
        <v>64</v>
      </c>
      <c r="B10" s="132">
        <v>-500</v>
      </c>
      <c r="C10" s="74">
        <v>39469</v>
      </c>
      <c r="D10" s="133">
        <f t="shared" si="0"/>
        <v>0</v>
      </c>
      <c r="E10" s="132">
        <f t="shared" ref="E10:E41" si="5">B10-D10</f>
        <v>-500</v>
      </c>
      <c r="F10" s="132">
        <f t="shared" si="1"/>
        <v>1300</v>
      </c>
      <c r="G10" s="133">
        <f t="shared" si="2"/>
        <v>274.32935253872677</v>
      </c>
      <c r="H10" s="132">
        <f t="shared" ref="H10:H41" si="6">H9-E10</f>
        <v>9474.3293525387271</v>
      </c>
    </row>
    <row r="11" spans="1:10">
      <c r="A11">
        <f>+A9+1</f>
        <v>6</v>
      </c>
      <c r="B11" s="132">
        <v>200</v>
      </c>
      <c r="C11" s="74">
        <v>39501</v>
      </c>
      <c r="D11" s="133">
        <f>IF(B11&gt;0,(((C11-C9)/365)*H9)*利率,0)</f>
        <v>56.796440559902628</v>
      </c>
      <c r="E11" s="132">
        <f t="shared" si="5"/>
        <v>143.20355944009737</v>
      </c>
      <c r="F11" s="132">
        <f>IF(B11&gt;0,F10+B11,F10)</f>
        <v>1500</v>
      </c>
      <c r="G11" s="133">
        <f>IF(B11&gt;0,G10+D11,G10)</f>
        <v>331.1257930986294</v>
      </c>
      <c r="H11" s="132">
        <f>H10-E11</f>
        <v>9331.1257930986303</v>
      </c>
    </row>
    <row r="12" spans="1:10">
      <c r="A12">
        <f t="shared" ref="A12:A31" si="7">+A11+1</f>
        <v>7</v>
      </c>
      <c r="B12" s="132">
        <v>100</v>
      </c>
      <c r="C12" s="74">
        <v>39506</v>
      </c>
      <c r="D12" s="133">
        <f t="shared" ref="D12:D31" si="8">IF(B12&gt;0,(((C12-C11)/365)*H11)*利率,0)</f>
        <v>7.0303002550743097</v>
      </c>
      <c r="E12" s="132">
        <f t="shared" si="5"/>
        <v>92.969699744925691</v>
      </c>
      <c r="F12" s="132">
        <f t="shared" si="1"/>
        <v>1600</v>
      </c>
      <c r="G12" s="133">
        <f t="shared" si="2"/>
        <v>338.15609335370374</v>
      </c>
      <c r="H12" s="132">
        <f t="shared" si="6"/>
        <v>9238.1560933537039</v>
      </c>
    </row>
    <row r="13" spans="1:10">
      <c r="A13">
        <f t="shared" si="7"/>
        <v>8</v>
      </c>
      <c r="B13" s="132">
        <v>200</v>
      </c>
      <c r="C13" s="74">
        <v>39509</v>
      </c>
      <c r="D13" s="133">
        <f t="shared" si="8"/>
        <v>4.1761527545297561</v>
      </c>
      <c r="E13" s="132">
        <f t="shared" si="5"/>
        <v>195.82384724547023</v>
      </c>
      <c r="F13" s="132">
        <f t="shared" si="1"/>
        <v>1800</v>
      </c>
      <c r="G13" s="133">
        <f t="shared" si="2"/>
        <v>342.33224610823351</v>
      </c>
      <c r="H13" s="132">
        <f t="shared" si="6"/>
        <v>9042.3322461082334</v>
      </c>
    </row>
    <row r="14" spans="1:10">
      <c r="A14">
        <f>+A13+1</f>
        <v>9</v>
      </c>
      <c r="B14" s="132">
        <v>300</v>
      </c>
      <c r="C14" s="74">
        <v>39522</v>
      </c>
      <c r="D14" s="133">
        <f t="shared" si="8"/>
        <v>17.713061797170923</v>
      </c>
      <c r="E14" s="132">
        <f t="shared" si="5"/>
        <v>282.28693820282911</v>
      </c>
      <c r="F14" s="132">
        <f>IF(B14&gt;0,F13+B14,F13)</f>
        <v>2100</v>
      </c>
      <c r="G14" s="133">
        <f>IF(B14&gt;0,G13+D14,G13)</f>
        <v>360.04530790540446</v>
      </c>
      <c r="H14" s="132">
        <f>H13-E14</f>
        <v>8760.0453079054041</v>
      </c>
    </row>
    <row r="15" spans="1:10">
      <c r="A15" s="73" t="s">
        <v>64</v>
      </c>
      <c r="B15" s="132">
        <v>-200</v>
      </c>
      <c r="C15" s="74">
        <v>39539</v>
      </c>
      <c r="D15" s="133">
        <f t="shared" si="8"/>
        <v>0</v>
      </c>
      <c r="E15" s="132">
        <f t="shared" si="5"/>
        <v>-200</v>
      </c>
      <c r="F15" s="132">
        <f t="shared" si="1"/>
        <v>2100</v>
      </c>
      <c r="G15" s="133">
        <f t="shared" si="2"/>
        <v>360.04530790540446</v>
      </c>
      <c r="H15" s="132">
        <f t="shared" si="6"/>
        <v>8960.0453079054041</v>
      </c>
    </row>
    <row r="16" spans="1:10">
      <c r="A16">
        <v>10</v>
      </c>
      <c r="B16" s="132">
        <v>200</v>
      </c>
      <c r="C16" s="74">
        <v>39558</v>
      </c>
      <c r="D16" s="133">
        <f>IF(B16&gt;0,(((C16-C15)/365)*H15)*利率,0)</f>
        <v>25.652732456879857</v>
      </c>
      <c r="E16" s="132">
        <f t="shared" si="5"/>
        <v>174.34726754312015</v>
      </c>
      <c r="F16" s="132">
        <f>IF(B16&gt;0,F15+B16,F15)</f>
        <v>2300</v>
      </c>
      <c r="G16" s="133">
        <f>IF(B16&gt;0,G15+D16,G15)</f>
        <v>385.6980403622843</v>
      </c>
      <c r="H16" s="132">
        <f>H15-E16</f>
        <v>8785.6980403622838</v>
      </c>
    </row>
    <row r="17" spans="1:8">
      <c r="A17">
        <f t="shared" si="7"/>
        <v>11</v>
      </c>
      <c r="B17" s="132">
        <v>200</v>
      </c>
      <c r="C17" s="74">
        <v>39571</v>
      </c>
      <c r="D17" s="133">
        <f t="shared" si="8"/>
        <v>17.210339996874062</v>
      </c>
      <c r="E17" s="132">
        <f t="shared" si="5"/>
        <v>182.78966000312593</v>
      </c>
      <c r="F17" s="132">
        <f t="shared" si="1"/>
        <v>2500</v>
      </c>
      <c r="G17" s="133">
        <f t="shared" si="2"/>
        <v>402.90838035915834</v>
      </c>
      <c r="H17" s="132">
        <f t="shared" si="6"/>
        <v>8602.9083803591584</v>
      </c>
    </row>
    <row r="18" spans="1:8">
      <c r="A18">
        <f>+A17+1</f>
        <v>12</v>
      </c>
      <c r="B18" s="132">
        <v>200</v>
      </c>
      <c r="C18" s="74">
        <v>39586</v>
      </c>
      <c r="D18" s="133">
        <f t="shared" si="8"/>
        <v>19.444929900811793</v>
      </c>
      <c r="E18" s="132">
        <f t="shared" si="5"/>
        <v>180.55507009918821</v>
      </c>
      <c r="F18" s="132">
        <f>IF(B18&gt;0,F17+B18,F17)</f>
        <v>2700</v>
      </c>
      <c r="G18" s="133">
        <f>IF(B18&gt;0,G17+D18,G17)</f>
        <v>422.35331025997016</v>
      </c>
      <c r="H18" s="132">
        <f>H17-E18</f>
        <v>8422.3533102599704</v>
      </c>
    </row>
    <row r="19" spans="1:8">
      <c r="A19">
        <f t="shared" si="7"/>
        <v>13</v>
      </c>
      <c r="B19" s="132">
        <v>100</v>
      </c>
      <c r="C19" s="74">
        <v>39601</v>
      </c>
      <c r="D19" s="133">
        <f t="shared" si="8"/>
        <v>19.036825975245137</v>
      </c>
      <c r="E19" s="132">
        <f t="shared" si="5"/>
        <v>80.963174024754863</v>
      </c>
      <c r="F19" s="132">
        <f t="shared" si="1"/>
        <v>2800</v>
      </c>
      <c r="G19" s="133">
        <f t="shared" si="2"/>
        <v>441.39013623521532</v>
      </c>
      <c r="H19" s="132">
        <f t="shared" si="6"/>
        <v>8341.3901362352153</v>
      </c>
    </row>
    <row r="20" spans="1:8">
      <c r="A20">
        <f t="shared" si="7"/>
        <v>14</v>
      </c>
      <c r="B20" s="132">
        <v>200</v>
      </c>
      <c r="C20" s="74">
        <v>38887</v>
      </c>
      <c r="D20" s="133">
        <f t="shared" si="8"/>
        <v>-897.44216616426547</v>
      </c>
      <c r="E20" s="132">
        <f t="shared" si="5"/>
        <v>1097.4421661642655</v>
      </c>
      <c r="F20" s="132">
        <f t="shared" si="1"/>
        <v>3000</v>
      </c>
      <c r="G20" s="133">
        <f t="shared" si="2"/>
        <v>-456.05202992905015</v>
      </c>
      <c r="H20" s="132">
        <f t="shared" si="6"/>
        <v>7243.9479700709499</v>
      </c>
    </row>
    <row r="21" spans="1:8">
      <c r="A21">
        <f t="shared" si="7"/>
        <v>15</v>
      </c>
      <c r="B21" s="132">
        <v>100</v>
      </c>
      <c r="C21" s="74">
        <v>39630</v>
      </c>
      <c r="D21" s="133">
        <f t="shared" si="8"/>
        <v>811.02447615602568</v>
      </c>
      <c r="E21" s="132">
        <f t="shared" si="5"/>
        <v>-711.02447615602568</v>
      </c>
      <c r="F21" s="132">
        <f t="shared" si="1"/>
        <v>3100</v>
      </c>
      <c r="G21" s="133">
        <f t="shared" si="2"/>
        <v>354.97244622697553</v>
      </c>
      <c r="H21" s="132">
        <f t="shared" si="6"/>
        <v>7954.9724462269751</v>
      </c>
    </row>
    <row r="22" spans="1:8">
      <c r="A22">
        <f t="shared" si="7"/>
        <v>16</v>
      </c>
      <c r="B22" s="132">
        <v>150</v>
      </c>
      <c r="C22" s="74">
        <v>39643</v>
      </c>
      <c r="D22" s="133">
        <f t="shared" si="8"/>
        <v>15.583028216581608</v>
      </c>
      <c r="E22" s="132">
        <f t="shared" si="5"/>
        <v>134.4169717834184</v>
      </c>
      <c r="F22" s="132">
        <f t="shared" si="1"/>
        <v>3250</v>
      </c>
      <c r="G22" s="133">
        <f t="shared" si="2"/>
        <v>370.55547444355716</v>
      </c>
      <c r="H22" s="132">
        <f t="shared" si="6"/>
        <v>7820.5554744435567</v>
      </c>
    </row>
    <row r="23" spans="1:8">
      <c r="A23">
        <f t="shared" si="7"/>
        <v>17</v>
      </c>
      <c r="B23" s="132">
        <v>100</v>
      </c>
      <c r="C23" s="74">
        <v>39680</v>
      </c>
      <c r="D23" s="133">
        <f t="shared" si="8"/>
        <v>43.602275042445584</v>
      </c>
      <c r="E23" s="132">
        <f t="shared" si="5"/>
        <v>56.397724957554416</v>
      </c>
      <c r="F23" s="132">
        <f t="shared" si="1"/>
        <v>3350</v>
      </c>
      <c r="G23" s="133">
        <f t="shared" si="2"/>
        <v>414.15774948600273</v>
      </c>
      <c r="H23" s="132">
        <f t="shared" si="6"/>
        <v>7764.1577494860021</v>
      </c>
    </row>
    <row r="24" spans="1:8">
      <c r="A24">
        <f t="shared" si="7"/>
        <v>18</v>
      </c>
      <c r="B24" s="132">
        <v>200</v>
      </c>
      <c r="C24" s="74">
        <v>39706</v>
      </c>
      <c r="D24" s="133">
        <f t="shared" si="8"/>
        <v>30.418481045931461</v>
      </c>
      <c r="E24" s="132">
        <f t="shared" si="5"/>
        <v>169.58151895406854</v>
      </c>
      <c r="F24" s="132">
        <f>IF(B24&gt;0,F23+B24,F23)</f>
        <v>3550</v>
      </c>
      <c r="G24" s="133">
        <f>IF(B24&gt;0,G23+D24,G23)</f>
        <v>444.57623053193419</v>
      </c>
      <c r="H24" s="132">
        <f>H23-E24</f>
        <v>7594.5762305319331</v>
      </c>
    </row>
    <row r="25" spans="1:8">
      <c r="A25">
        <f t="shared" si="7"/>
        <v>19</v>
      </c>
      <c r="B25" s="132">
        <v>100</v>
      </c>
      <c r="C25" s="74">
        <v>39731</v>
      </c>
      <c r="D25" s="133">
        <f t="shared" si="8"/>
        <v>28.609704978031257</v>
      </c>
      <c r="E25" s="132">
        <f t="shared" si="5"/>
        <v>71.39029502196874</v>
      </c>
      <c r="F25" s="132">
        <f t="shared" si="1"/>
        <v>3650</v>
      </c>
      <c r="G25" s="133">
        <f t="shared" si="2"/>
        <v>473.18593550996542</v>
      </c>
      <c r="H25" s="132">
        <f t="shared" si="6"/>
        <v>7523.1859355099641</v>
      </c>
    </row>
    <row r="26" spans="1:8">
      <c r="A26">
        <f t="shared" si="7"/>
        <v>20</v>
      </c>
      <c r="B26" s="132">
        <v>200</v>
      </c>
      <c r="C26" s="74">
        <v>39777</v>
      </c>
      <c r="D26" s="133">
        <f t="shared" si="8"/>
        <v>52.147014840658109</v>
      </c>
      <c r="E26" s="132">
        <f t="shared" si="5"/>
        <v>147.8529851593419</v>
      </c>
      <c r="F26" s="132">
        <f t="shared" si="1"/>
        <v>3850</v>
      </c>
      <c r="G26" s="133">
        <f t="shared" si="2"/>
        <v>525.33295035062349</v>
      </c>
      <c r="H26" s="132">
        <f t="shared" si="6"/>
        <v>7375.332950350622</v>
      </c>
    </row>
    <row r="27" spans="1:8">
      <c r="A27">
        <f t="shared" si="7"/>
        <v>21</v>
      </c>
      <c r="B27" s="132">
        <v>150</v>
      </c>
      <c r="C27" s="74">
        <v>39787</v>
      </c>
      <c r="D27" s="133">
        <f t="shared" si="8"/>
        <v>11.113515404637923</v>
      </c>
      <c r="E27" s="132">
        <f t="shared" si="5"/>
        <v>138.88648459536208</v>
      </c>
      <c r="F27" s="132">
        <f t="shared" si="1"/>
        <v>4000</v>
      </c>
      <c r="G27" s="133">
        <f t="shared" si="2"/>
        <v>536.44646575526144</v>
      </c>
      <c r="H27" s="132">
        <f t="shared" si="6"/>
        <v>7236.4464657552599</v>
      </c>
    </row>
    <row r="28" spans="1:8">
      <c r="A28">
        <f t="shared" si="7"/>
        <v>22</v>
      </c>
      <c r="B28" s="132">
        <v>1800</v>
      </c>
      <c r="C28" s="74">
        <v>39818</v>
      </c>
      <c r="D28" s="133">
        <f t="shared" si="8"/>
        <v>33.80312664140471</v>
      </c>
      <c r="E28" s="132">
        <f t="shared" si="5"/>
        <v>1766.1968733585952</v>
      </c>
      <c r="F28" s="132">
        <f t="shared" si="1"/>
        <v>5800</v>
      </c>
      <c r="G28" s="133">
        <f t="shared" si="2"/>
        <v>570.24959239666612</v>
      </c>
      <c r="H28" s="132">
        <f t="shared" si="6"/>
        <v>5470.2495923966644</v>
      </c>
    </row>
    <row r="29" spans="1:8">
      <c r="A29">
        <f t="shared" si="7"/>
        <v>23</v>
      </c>
      <c r="B29" s="132">
        <v>2000</v>
      </c>
      <c r="C29" s="74">
        <v>39849</v>
      </c>
      <c r="D29" s="133">
        <f t="shared" si="8"/>
        <v>25.552809739825513</v>
      </c>
      <c r="E29" s="132">
        <f t="shared" si="5"/>
        <v>1974.4471902601745</v>
      </c>
      <c r="F29" s="132">
        <f t="shared" si="1"/>
        <v>7800</v>
      </c>
      <c r="G29" s="133">
        <f t="shared" si="2"/>
        <v>595.80240213649165</v>
      </c>
      <c r="H29" s="132">
        <f t="shared" si="6"/>
        <v>3495.8024021364899</v>
      </c>
    </row>
    <row r="30" spans="1:8">
      <c r="A30">
        <f t="shared" si="7"/>
        <v>24</v>
      </c>
      <c r="B30" s="132">
        <v>2000</v>
      </c>
      <c r="C30" s="74">
        <v>39877</v>
      </c>
      <c r="D30" s="133">
        <f t="shared" si="8"/>
        <v>14.749412874767657</v>
      </c>
      <c r="E30" s="132">
        <f t="shared" si="5"/>
        <v>1985.2505871252324</v>
      </c>
      <c r="F30" s="132">
        <f t="shared" si="1"/>
        <v>9800</v>
      </c>
      <c r="G30" s="133">
        <f t="shared" si="2"/>
        <v>610.55181501125935</v>
      </c>
      <c r="H30" s="132">
        <f t="shared" si="6"/>
        <v>1510.5518150112575</v>
      </c>
    </row>
    <row r="31" spans="1:8">
      <c r="A31">
        <f t="shared" si="7"/>
        <v>25</v>
      </c>
      <c r="B31" s="132">
        <v>1518</v>
      </c>
      <c r="C31" s="74">
        <v>39908</v>
      </c>
      <c r="D31" s="133">
        <f t="shared" si="8"/>
        <v>7.0561393002580655</v>
      </c>
      <c r="E31" s="132">
        <f t="shared" si="5"/>
        <v>1510.9438606997419</v>
      </c>
      <c r="F31" s="132">
        <f t="shared" si="1"/>
        <v>11318</v>
      </c>
      <c r="G31" s="133">
        <f t="shared" si="2"/>
        <v>617.60795431151746</v>
      </c>
      <c r="H31" s="132">
        <f t="shared" si="6"/>
        <v>-0.39204568848435883</v>
      </c>
    </row>
    <row r="32" spans="1:8">
      <c r="A32">
        <f t="shared" ref="A32:A41" si="9">+A31+1</f>
        <v>26</v>
      </c>
      <c r="B32" s="132"/>
      <c r="C32" s="74"/>
      <c r="D32" s="133"/>
      <c r="E32" s="132"/>
      <c r="F32" s="132"/>
      <c r="G32" s="133"/>
      <c r="H32" s="132"/>
    </row>
    <row r="33" spans="1:8">
      <c r="A33">
        <f t="shared" si="9"/>
        <v>27</v>
      </c>
      <c r="B33" s="132"/>
      <c r="C33" s="74"/>
      <c r="D33" s="133">
        <f t="shared" ref="D33:D41" si="10">IF(B33&gt;0,(((C33-C32)/365)*H32)*利率,0)</f>
        <v>0</v>
      </c>
      <c r="E33" s="132">
        <f t="shared" si="5"/>
        <v>0</v>
      </c>
      <c r="F33" s="132">
        <f t="shared" si="1"/>
        <v>0</v>
      </c>
      <c r="G33" s="133">
        <f t="shared" si="2"/>
        <v>0</v>
      </c>
      <c r="H33" s="132">
        <f t="shared" si="6"/>
        <v>0</v>
      </c>
    </row>
    <row r="34" spans="1:8">
      <c r="A34">
        <f t="shared" si="9"/>
        <v>28</v>
      </c>
      <c r="B34" s="132"/>
      <c r="C34" s="10"/>
      <c r="D34" s="133">
        <f t="shared" si="10"/>
        <v>0</v>
      </c>
      <c r="E34" s="132">
        <f t="shared" si="5"/>
        <v>0</v>
      </c>
      <c r="F34" s="132">
        <f t="shared" si="1"/>
        <v>0</v>
      </c>
      <c r="G34" s="133">
        <f t="shared" si="2"/>
        <v>0</v>
      </c>
      <c r="H34" s="132">
        <f t="shared" si="6"/>
        <v>0</v>
      </c>
    </row>
    <row r="35" spans="1:8">
      <c r="A35">
        <f t="shared" si="9"/>
        <v>29</v>
      </c>
      <c r="B35" s="132"/>
      <c r="C35" s="10"/>
      <c r="D35" s="133">
        <f t="shared" si="10"/>
        <v>0</v>
      </c>
      <c r="E35" s="132">
        <f t="shared" si="5"/>
        <v>0</v>
      </c>
      <c r="F35" s="132">
        <f t="shared" si="1"/>
        <v>0</v>
      </c>
      <c r="G35" s="133">
        <f t="shared" si="2"/>
        <v>0</v>
      </c>
      <c r="H35" s="132">
        <f t="shared" si="6"/>
        <v>0</v>
      </c>
    </row>
    <row r="36" spans="1:8">
      <c r="A36">
        <f t="shared" si="9"/>
        <v>30</v>
      </c>
      <c r="B36" s="132"/>
      <c r="C36" s="10"/>
      <c r="D36" s="133">
        <f t="shared" si="10"/>
        <v>0</v>
      </c>
      <c r="E36" s="132">
        <f t="shared" si="5"/>
        <v>0</v>
      </c>
      <c r="F36" s="132">
        <f t="shared" si="1"/>
        <v>0</v>
      </c>
      <c r="G36" s="133">
        <f t="shared" si="2"/>
        <v>0</v>
      </c>
      <c r="H36" s="132">
        <f t="shared" si="6"/>
        <v>0</v>
      </c>
    </row>
    <row r="37" spans="1:8">
      <c r="A37">
        <f t="shared" si="9"/>
        <v>31</v>
      </c>
      <c r="B37" s="132"/>
      <c r="C37" s="10"/>
      <c r="D37" s="133">
        <f t="shared" si="10"/>
        <v>0</v>
      </c>
      <c r="E37" s="132">
        <f t="shared" si="5"/>
        <v>0</v>
      </c>
      <c r="F37" s="132">
        <f t="shared" si="1"/>
        <v>0</v>
      </c>
      <c r="G37" s="133">
        <f t="shared" si="2"/>
        <v>0</v>
      </c>
      <c r="H37" s="132">
        <f t="shared" si="6"/>
        <v>0</v>
      </c>
    </row>
    <row r="38" spans="1:8">
      <c r="A38">
        <f t="shared" si="9"/>
        <v>32</v>
      </c>
      <c r="B38" s="132"/>
      <c r="C38" s="10"/>
      <c r="D38" s="133">
        <f t="shared" si="10"/>
        <v>0</v>
      </c>
      <c r="E38" s="132">
        <f t="shared" si="5"/>
        <v>0</v>
      </c>
      <c r="F38" s="132">
        <f t="shared" si="1"/>
        <v>0</v>
      </c>
      <c r="G38" s="133">
        <f t="shared" si="2"/>
        <v>0</v>
      </c>
      <c r="H38" s="132">
        <f t="shared" si="6"/>
        <v>0</v>
      </c>
    </row>
    <row r="39" spans="1:8">
      <c r="A39">
        <f t="shared" si="9"/>
        <v>33</v>
      </c>
      <c r="B39" s="132"/>
      <c r="C39" s="10"/>
      <c r="D39" s="133">
        <f t="shared" si="10"/>
        <v>0</v>
      </c>
      <c r="E39" s="132">
        <f t="shared" si="5"/>
        <v>0</v>
      </c>
      <c r="F39" s="132">
        <f t="shared" si="1"/>
        <v>0</v>
      </c>
      <c r="G39" s="133">
        <f t="shared" si="2"/>
        <v>0</v>
      </c>
      <c r="H39" s="132">
        <f t="shared" si="6"/>
        <v>0</v>
      </c>
    </row>
    <row r="40" spans="1:8">
      <c r="A40">
        <f t="shared" si="9"/>
        <v>34</v>
      </c>
      <c r="B40" s="132"/>
      <c r="C40" s="10"/>
      <c r="D40" s="133">
        <f t="shared" si="10"/>
        <v>0</v>
      </c>
      <c r="E40" s="132">
        <f t="shared" si="5"/>
        <v>0</v>
      </c>
      <c r="F40" s="132">
        <f t="shared" si="1"/>
        <v>0</v>
      </c>
      <c r="G40" s="133">
        <f t="shared" si="2"/>
        <v>0</v>
      </c>
      <c r="H40" s="132">
        <f t="shared" si="6"/>
        <v>0</v>
      </c>
    </row>
    <row r="41" spans="1:8">
      <c r="A41">
        <f t="shared" si="9"/>
        <v>35</v>
      </c>
      <c r="B41" s="132"/>
      <c r="C41" s="10"/>
      <c r="D41" s="133">
        <f t="shared" si="10"/>
        <v>0</v>
      </c>
      <c r="E41" s="132">
        <f t="shared" si="5"/>
        <v>0</v>
      </c>
      <c r="F41" s="132">
        <f t="shared" si="1"/>
        <v>0</v>
      </c>
      <c r="G41" s="133">
        <f t="shared" si="2"/>
        <v>0</v>
      </c>
      <c r="H41" s="132">
        <f t="shared" si="6"/>
        <v>0</v>
      </c>
    </row>
    <row r="42" spans="1:8">
      <c r="B42" s="12"/>
      <c r="C42" s="13"/>
      <c r="D42" s="6"/>
      <c r="E42" s="6"/>
      <c r="F42" s="4"/>
      <c r="H42" s="132"/>
    </row>
    <row r="43" spans="1:8">
      <c r="B43" s="12"/>
      <c r="C43" s="13"/>
      <c r="D43" s="6"/>
      <c r="E43" s="6"/>
      <c r="F43" s="4"/>
      <c r="H43" s="132"/>
    </row>
    <row r="44" spans="1:8">
      <c r="B44" s="12"/>
      <c r="C44" s="13"/>
      <c r="D44" s="6"/>
      <c r="E44" s="6"/>
      <c r="F44" s="4"/>
      <c r="H44" s="132"/>
    </row>
    <row r="45" spans="1:8">
      <c r="B45" s="12"/>
      <c r="C45" s="13"/>
      <c r="D45" s="6"/>
      <c r="E45" s="6"/>
      <c r="F45" s="4"/>
      <c r="H45" s="132"/>
    </row>
    <row r="46" spans="1:8">
      <c r="B46" s="12"/>
      <c r="C46" s="13"/>
      <c r="D46" s="6"/>
      <c r="E46" s="6"/>
      <c r="F46" s="4"/>
      <c r="H46" s="132"/>
    </row>
    <row r="47" spans="1:8">
      <c r="B47" s="12"/>
      <c r="C47" s="13"/>
      <c r="D47" s="6"/>
      <c r="E47" s="6"/>
      <c r="F47" s="4"/>
      <c r="H47" s="132"/>
    </row>
    <row r="48" spans="1:8">
      <c r="B48" s="12"/>
      <c r="C48" s="13"/>
      <c r="D48" s="6"/>
      <c r="E48" s="6"/>
      <c r="F48" s="4"/>
      <c r="H48" s="132"/>
    </row>
    <row r="49" spans="2:8">
      <c r="B49" s="12"/>
      <c r="C49" s="13"/>
      <c r="D49" s="6"/>
      <c r="E49" s="6"/>
      <c r="F49" s="4"/>
      <c r="H49" s="132"/>
    </row>
    <row r="50" spans="2:8">
      <c r="B50" s="12"/>
      <c r="C50" s="13"/>
      <c r="D50" s="6"/>
      <c r="E50" s="6"/>
      <c r="F50" s="4"/>
      <c r="H50" s="132"/>
    </row>
    <row r="51" spans="2:8">
      <c r="B51" s="12"/>
      <c r="C51" s="13"/>
      <c r="D51" s="6"/>
      <c r="E51" s="6"/>
      <c r="F51" s="4"/>
    </row>
    <row r="52" spans="2:8">
      <c r="B52" s="12"/>
      <c r="C52" s="13"/>
      <c r="D52" s="6"/>
      <c r="E52" s="6"/>
      <c r="F52" s="4"/>
    </row>
    <row r="53" spans="2:8">
      <c r="B53" s="12"/>
      <c r="C53" s="13"/>
      <c r="D53" s="6"/>
      <c r="E53" s="6"/>
      <c r="F53" s="4"/>
    </row>
    <row r="54" spans="2:8">
      <c r="B54" s="12"/>
      <c r="C54" s="13"/>
      <c r="D54" s="6"/>
      <c r="E54" s="6"/>
      <c r="F54" s="4"/>
    </row>
    <row r="55" spans="2:8">
      <c r="B55" s="12"/>
      <c r="C55" s="13"/>
      <c r="D55" s="6"/>
      <c r="E55" s="6"/>
      <c r="F55" s="4"/>
    </row>
    <row r="56" spans="2:8">
      <c r="B56" s="12"/>
      <c r="C56" s="13"/>
      <c r="D56" s="6"/>
      <c r="E56" s="6"/>
      <c r="F56" s="4"/>
    </row>
    <row r="57" spans="2:8">
      <c r="B57" s="12"/>
      <c r="C57" s="13"/>
      <c r="D57" s="6"/>
      <c r="E57" s="6"/>
      <c r="F57" s="4"/>
    </row>
    <row r="58" spans="2:8">
      <c r="B58" s="12"/>
      <c r="C58" s="13"/>
      <c r="D58" s="6"/>
      <c r="E58" s="6"/>
      <c r="F58" s="4"/>
    </row>
    <row r="59" spans="2:8">
      <c r="B59" s="12"/>
      <c r="C59" s="13"/>
      <c r="D59" s="6"/>
      <c r="E59" s="6"/>
      <c r="F59" s="4"/>
    </row>
    <row r="60" spans="2:8">
      <c r="B60" s="12"/>
      <c r="C60" s="13"/>
      <c r="D60" s="6"/>
      <c r="E60" s="6"/>
      <c r="F60" s="4"/>
    </row>
    <row r="61" spans="2:8">
      <c r="B61" s="12"/>
      <c r="C61" s="13"/>
      <c r="D61" s="6"/>
      <c r="E61" s="6"/>
      <c r="F61" s="4"/>
    </row>
    <row r="62" spans="2:8">
      <c r="B62" s="12"/>
      <c r="C62" s="13"/>
      <c r="D62" s="6"/>
      <c r="E62" s="6"/>
      <c r="F62" s="4"/>
    </row>
    <row r="63" spans="2:8">
      <c r="B63" s="12"/>
      <c r="C63" s="13"/>
      <c r="D63" s="6"/>
      <c r="E63" s="6"/>
      <c r="F63" s="4"/>
    </row>
    <row r="64" spans="2:8">
      <c r="B64" s="12"/>
      <c r="C64" s="13"/>
      <c r="D64" s="6"/>
      <c r="E64" s="6"/>
      <c r="F64" s="4"/>
    </row>
    <row r="65" spans="2:6">
      <c r="B65" s="12"/>
      <c r="C65" s="13"/>
      <c r="D65" s="6"/>
      <c r="E65" s="6"/>
      <c r="F65" s="4"/>
    </row>
    <row r="66" spans="2:6">
      <c r="B66" s="12"/>
      <c r="C66" s="13"/>
      <c r="D66" s="6"/>
      <c r="E66" s="6"/>
      <c r="F66" s="4"/>
    </row>
    <row r="67" spans="2:6">
      <c r="B67" s="12"/>
      <c r="C67" s="13"/>
      <c r="D67" s="6"/>
      <c r="E67" s="6"/>
      <c r="F67" s="4"/>
    </row>
    <row r="68" spans="2:6">
      <c r="B68" s="12"/>
      <c r="C68" s="13"/>
      <c r="D68" s="6"/>
      <c r="E68" s="6"/>
      <c r="F68" s="4"/>
    </row>
    <row r="69" spans="2:6">
      <c r="B69" s="12"/>
      <c r="C69" s="13"/>
      <c r="D69" s="6"/>
      <c r="E69" s="6"/>
      <c r="F69" s="4"/>
    </row>
    <row r="70" spans="2:6">
      <c r="B70" s="12"/>
      <c r="C70" s="13"/>
      <c r="D70" s="6"/>
      <c r="E70" s="6"/>
      <c r="F70" s="4"/>
    </row>
    <row r="71" spans="2:6">
      <c r="B71" s="12"/>
      <c r="C71" s="13"/>
      <c r="D71" s="6"/>
      <c r="E71" s="6"/>
      <c r="F71" s="4"/>
    </row>
    <row r="72" spans="2:6">
      <c r="B72" s="12"/>
      <c r="C72" s="13"/>
      <c r="D72" s="6"/>
      <c r="E72" s="6"/>
      <c r="F72" s="4"/>
    </row>
    <row r="73" spans="2:6">
      <c r="B73" s="12"/>
      <c r="C73" s="13"/>
      <c r="D73" s="6"/>
      <c r="E73" s="6"/>
      <c r="F73" s="4"/>
    </row>
    <row r="74" spans="2:6">
      <c r="B74" s="12"/>
      <c r="C74" s="13"/>
      <c r="D74" s="6"/>
      <c r="E74" s="6"/>
      <c r="F74" s="4"/>
    </row>
    <row r="75" spans="2:6">
      <c r="B75" s="12"/>
      <c r="C75" s="13"/>
      <c r="D75" s="6"/>
      <c r="E75" s="6"/>
      <c r="F75" s="4"/>
    </row>
    <row r="76" spans="2:6">
      <c r="B76" s="12"/>
      <c r="C76" s="13"/>
      <c r="D76" s="6"/>
      <c r="E76" s="6"/>
      <c r="F76" s="4"/>
    </row>
    <row r="77" spans="2:6">
      <c r="B77" s="12"/>
      <c r="C77" s="13"/>
      <c r="D77" s="6"/>
      <c r="E77" s="6"/>
      <c r="F77" s="4"/>
    </row>
    <row r="78" spans="2:6">
      <c r="B78" s="12"/>
      <c r="C78" s="13"/>
      <c r="D78" s="6"/>
      <c r="E78" s="6"/>
      <c r="F78" s="4"/>
    </row>
    <row r="79" spans="2:6">
      <c r="B79" s="12"/>
      <c r="C79" s="13"/>
      <c r="D79" s="6"/>
      <c r="E79" s="6"/>
      <c r="F79" s="4"/>
    </row>
    <row r="80" spans="2:6">
      <c r="B80" s="12"/>
      <c r="C80" s="13"/>
      <c r="D80" s="6"/>
      <c r="E80" s="6"/>
      <c r="F80" s="4"/>
    </row>
    <row r="81" spans="2:6">
      <c r="B81" s="12"/>
      <c r="C81" s="13"/>
      <c r="D81" s="6"/>
      <c r="E81" s="6"/>
      <c r="F81" s="4"/>
    </row>
    <row r="82" spans="2:6">
      <c r="B82" s="12"/>
      <c r="C82" s="13"/>
      <c r="D82" s="6"/>
      <c r="E82" s="6"/>
      <c r="F82" s="4"/>
    </row>
    <row r="83" spans="2:6">
      <c r="B83" s="12"/>
      <c r="C83" s="13"/>
      <c r="D83" s="6"/>
      <c r="E83" s="6"/>
      <c r="F83" s="4"/>
    </row>
    <row r="84" spans="2:6">
      <c r="B84" s="12"/>
      <c r="C84" s="13"/>
      <c r="D84" s="6"/>
      <c r="E84" s="6"/>
      <c r="F84" s="4"/>
    </row>
    <row r="85" spans="2:6">
      <c r="B85" s="12"/>
      <c r="C85" s="13"/>
      <c r="D85" s="6"/>
      <c r="E85" s="6"/>
      <c r="F85" s="4"/>
    </row>
    <row r="86" spans="2:6">
      <c r="B86" s="12"/>
      <c r="C86" s="13"/>
      <c r="D86" s="6"/>
      <c r="E86" s="6"/>
      <c r="F86" s="4"/>
    </row>
    <row r="87" spans="2:6">
      <c r="B87" s="12"/>
      <c r="C87" s="13"/>
      <c r="D87" s="6"/>
      <c r="E87" s="6"/>
      <c r="F87" s="4"/>
    </row>
    <row r="88" spans="2:6">
      <c r="B88" s="12"/>
      <c r="C88" s="13"/>
      <c r="D88" s="6"/>
      <c r="E88" s="6"/>
      <c r="F88" s="4"/>
    </row>
    <row r="89" spans="2:6">
      <c r="B89" s="12"/>
      <c r="C89" s="13"/>
      <c r="D89" s="6"/>
      <c r="E89" s="6"/>
      <c r="F89" s="4"/>
    </row>
    <row r="90" spans="2:6">
      <c r="B90" s="12"/>
      <c r="C90" s="13"/>
      <c r="D90" s="6"/>
      <c r="E90" s="6"/>
      <c r="F90" s="4"/>
    </row>
    <row r="91" spans="2:6">
      <c r="B91" s="12"/>
      <c r="C91" s="13"/>
      <c r="D91" s="6"/>
      <c r="E91" s="6"/>
      <c r="F91" s="4"/>
    </row>
    <row r="92" spans="2:6">
      <c r="B92" s="12"/>
      <c r="C92" s="13"/>
      <c r="D92" s="6"/>
      <c r="E92" s="6"/>
      <c r="F92" s="4"/>
    </row>
    <row r="93" spans="2:6">
      <c r="B93" s="12"/>
      <c r="C93" s="13"/>
      <c r="D93" s="6"/>
      <c r="E93" s="6"/>
      <c r="F93" s="4"/>
    </row>
    <row r="94" spans="2:6">
      <c r="B94" s="12"/>
      <c r="C94" s="13"/>
      <c r="D94" s="6"/>
      <c r="E94" s="6"/>
      <c r="F94" s="4"/>
    </row>
    <row r="95" spans="2:6">
      <c r="B95" s="12"/>
      <c r="C95" s="13"/>
      <c r="D95" s="6"/>
      <c r="E95" s="6"/>
      <c r="F95" s="4"/>
    </row>
    <row r="96" spans="2:6">
      <c r="B96" s="12"/>
      <c r="C96" s="13"/>
      <c r="D96" s="6"/>
      <c r="E96" s="6"/>
      <c r="F96" s="4"/>
    </row>
    <row r="97" spans="2:6">
      <c r="B97" s="12"/>
      <c r="C97" s="13"/>
      <c r="D97" s="6"/>
      <c r="E97" s="6"/>
      <c r="F97" s="4"/>
    </row>
    <row r="98" spans="2:6">
      <c r="B98" s="12"/>
      <c r="C98" s="13"/>
      <c r="D98" s="6"/>
      <c r="E98" s="6"/>
      <c r="F98" s="4"/>
    </row>
    <row r="99" spans="2:6">
      <c r="B99" s="12"/>
      <c r="C99" s="13"/>
      <c r="D99" s="6"/>
      <c r="E99" s="6"/>
      <c r="F99" s="4"/>
    </row>
    <row r="100" spans="2:6">
      <c r="B100" s="12"/>
      <c r="C100" s="13"/>
      <c r="D100" s="6"/>
      <c r="E100" s="6"/>
      <c r="F100" s="4"/>
    </row>
    <row r="101" spans="2:6">
      <c r="B101" s="12"/>
      <c r="C101" s="13"/>
      <c r="D101" s="6"/>
      <c r="E101" s="6"/>
      <c r="F101" s="4"/>
    </row>
  </sheetData>
  <phoneticPr fontId="3" type="noConversion"/>
  <pageMargins left="0.75" right="0.75" top="1" bottom="1" header="0.5" footer="0.5"/>
  <pageSetup scale="87" orientation="portrait" horizontalDpi="300" verticalDpi="300" r:id="rId1"/>
  <headerFooter alignWithMargins="0"/>
  <colBreaks count="1" manualBreakCount="1">
    <brk id="7" max="1048575" man="1"/>
  </colBreaks>
  <ignoredErrors>
    <ignoredError sqref="D11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"/>
  <dimension ref="A1:B10"/>
  <sheetViews>
    <sheetView workbookViewId="0">
      <selection activeCell="B8" sqref="B8"/>
    </sheetView>
  </sheetViews>
  <sheetFormatPr defaultColWidth="24.140625" defaultRowHeight="15"/>
  <cols>
    <col min="1" max="1" width="20" style="210" bestFit="1" customWidth="1"/>
    <col min="2" max="16384" width="24.140625" style="210"/>
  </cols>
  <sheetData>
    <row r="1" spans="1:2" ht="16.5">
      <c r="A1" s="209" t="s">
        <v>67</v>
      </c>
    </row>
    <row r="3" spans="1:2" ht="16.5">
      <c r="A3" s="211" t="s">
        <v>68</v>
      </c>
      <c r="B3" s="212">
        <v>1000</v>
      </c>
    </row>
    <row r="4" spans="1:2" ht="16.5">
      <c r="A4" s="211" t="s">
        <v>16</v>
      </c>
      <c r="B4" s="213">
        <v>0.05</v>
      </c>
    </row>
    <row r="5" spans="1:2" ht="16.5">
      <c r="A5" s="211" t="s">
        <v>69</v>
      </c>
      <c r="B5" s="210">
        <v>1</v>
      </c>
    </row>
    <row r="7" spans="1:2" ht="16.5">
      <c r="A7" s="211" t="s">
        <v>58</v>
      </c>
      <c r="B7" s="212">
        <f>B3*B4*B5</f>
        <v>50</v>
      </c>
    </row>
    <row r="8" spans="1:2" ht="16.5">
      <c r="A8" s="211" t="s">
        <v>70</v>
      </c>
      <c r="B8" s="212">
        <f>B3+B7</f>
        <v>1050</v>
      </c>
    </row>
    <row r="10" spans="1:2">
      <c r="B10" s="212"/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"/>
  <dimension ref="A1:F63"/>
  <sheetViews>
    <sheetView workbookViewId="0">
      <selection activeCell="F16" sqref="F16"/>
    </sheetView>
  </sheetViews>
  <sheetFormatPr defaultRowHeight="12.75"/>
  <cols>
    <col min="1" max="1" width="17.5703125" bestFit="1" customWidth="1"/>
    <col min="2" max="3" width="10.42578125" bestFit="1" customWidth="1"/>
    <col min="4" max="4" width="8" customWidth="1"/>
    <col min="5" max="5" width="24.7109375" customWidth="1"/>
    <col min="6" max="6" width="19" customWidth="1"/>
  </cols>
  <sheetData>
    <row r="1" spans="1:6" ht="15" thickBot="1">
      <c r="A1" s="225" t="s">
        <v>135</v>
      </c>
      <c r="B1" s="226"/>
      <c r="E1" s="225" t="s">
        <v>136</v>
      </c>
      <c r="F1" s="226"/>
    </row>
    <row r="2" spans="1:6" ht="14.25">
      <c r="A2" s="80" t="s">
        <v>76</v>
      </c>
      <c r="B2" s="81">
        <v>5000</v>
      </c>
      <c r="E2" s="82" t="s">
        <v>71</v>
      </c>
      <c r="F2" s="83">
        <v>5000</v>
      </c>
    </row>
    <row r="3" spans="1:6" ht="14.25">
      <c r="A3" s="45" t="s">
        <v>77</v>
      </c>
      <c r="B3" s="44">
        <v>5.7500000000000002E-2</v>
      </c>
      <c r="E3" s="66" t="s">
        <v>29</v>
      </c>
      <c r="F3" s="84">
        <v>5.7500000000000002E-2</v>
      </c>
    </row>
    <row r="4" spans="1:6" ht="14.25">
      <c r="A4" s="45" t="s">
        <v>78</v>
      </c>
      <c r="B4" s="79">
        <v>12</v>
      </c>
      <c r="E4" s="66" t="s">
        <v>80</v>
      </c>
      <c r="F4" s="85">
        <v>4</v>
      </c>
    </row>
    <row r="5" spans="1:6" ht="14.25">
      <c r="E5" s="66" t="s">
        <v>79</v>
      </c>
      <c r="F5" s="85">
        <v>3</v>
      </c>
    </row>
    <row r="6" spans="1:6" ht="14.25">
      <c r="A6" s="77" t="s">
        <v>72</v>
      </c>
      <c r="B6" s="78" t="s">
        <v>73</v>
      </c>
      <c r="C6" s="77" t="s">
        <v>74</v>
      </c>
      <c r="E6" s="86"/>
      <c r="F6" s="87"/>
    </row>
    <row r="7" spans="1:6" ht="14.25">
      <c r="A7" s="76" t="s">
        <v>75</v>
      </c>
      <c r="C7" s="3">
        <f>B2</f>
        <v>5000</v>
      </c>
      <c r="E7" s="98" t="s">
        <v>89</v>
      </c>
      <c r="F7" s="88">
        <f>F3*(1/F4)</f>
        <v>1.4375000000000001E-2</v>
      </c>
    </row>
    <row r="8" spans="1:6" ht="14.25">
      <c r="A8" s="16">
        <v>1</v>
      </c>
      <c r="B8" s="3">
        <f t="shared" ref="B8:B19" si="0">C7*($B$3*(1/12))</f>
        <v>23.958333333333332</v>
      </c>
      <c r="C8" s="3">
        <f t="shared" ref="C8:C19" si="1">C7+B8</f>
        <v>5023.958333333333</v>
      </c>
      <c r="E8" s="97" t="s">
        <v>86</v>
      </c>
      <c r="F8" s="89">
        <f>FV(F7,F4*F5,,-F2)</f>
        <v>5934.0670664831559</v>
      </c>
    </row>
    <row r="9" spans="1:6" ht="15" thickBot="1">
      <c r="A9" s="16">
        <f t="shared" ref="A9:A19" si="2">A8+1</f>
        <v>2</v>
      </c>
      <c r="B9" s="3">
        <f t="shared" si="0"/>
        <v>24.073133680555554</v>
      </c>
      <c r="C9" s="3">
        <f t="shared" si="1"/>
        <v>5048.0314670138887</v>
      </c>
      <c r="E9" s="40" t="s">
        <v>88</v>
      </c>
      <c r="F9" s="63">
        <f>F8-F2</f>
        <v>934.06706648315594</v>
      </c>
    </row>
    <row r="10" spans="1:6">
      <c r="A10" s="16">
        <f t="shared" si="2"/>
        <v>3</v>
      </c>
      <c r="B10" s="3">
        <f t="shared" si="0"/>
        <v>24.18848411277488</v>
      </c>
      <c r="C10" s="3">
        <f t="shared" si="1"/>
        <v>5072.2199511266635</v>
      </c>
    </row>
    <row r="11" spans="1:6">
      <c r="A11" s="16">
        <f t="shared" si="2"/>
        <v>4</v>
      </c>
      <c r="B11" s="3">
        <f t="shared" si="0"/>
        <v>24.304387265815262</v>
      </c>
      <c r="C11" s="3">
        <f t="shared" si="1"/>
        <v>5096.524338392479</v>
      </c>
    </row>
    <row r="12" spans="1:6" ht="13.5" thickBot="1">
      <c r="A12" s="16">
        <f t="shared" si="2"/>
        <v>5</v>
      </c>
      <c r="B12" s="3">
        <f t="shared" si="0"/>
        <v>24.420845788130627</v>
      </c>
      <c r="C12" s="3">
        <f t="shared" si="1"/>
        <v>5120.9451841806094</v>
      </c>
      <c r="F12" s="17"/>
    </row>
    <row r="13" spans="1:6" ht="15" thickBot="1">
      <c r="A13" s="16">
        <f t="shared" si="2"/>
        <v>6</v>
      </c>
      <c r="B13" s="3">
        <f t="shared" si="0"/>
        <v>24.53786234086542</v>
      </c>
      <c r="C13" s="3">
        <f t="shared" si="1"/>
        <v>5145.4830465214745</v>
      </c>
      <c r="E13" s="225" t="s">
        <v>137</v>
      </c>
      <c r="F13" s="226"/>
    </row>
    <row r="14" spans="1:6" ht="14.25">
      <c r="A14" s="16">
        <f t="shared" si="2"/>
        <v>7</v>
      </c>
      <c r="B14" s="3">
        <f t="shared" si="0"/>
        <v>24.655439597915397</v>
      </c>
      <c r="C14" s="3">
        <f t="shared" si="1"/>
        <v>5170.1384861193901</v>
      </c>
      <c r="E14" s="90" t="s">
        <v>71</v>
      </c>
      <c r="F14" s="91">
        <v>160000</v>
      </c>
    </row>
    <row r="15" spans="1:6" ht="14.25">
      <c r="A15" s="16">
        <f t="shared" si="2"/>
        <v>8</v>
      </c>
      <c r="B15" s="3">
        <f t="shared" si="0"/>
        <v>24.773580245988743</v>
      </c>
      <c r="C15" s="3">
        <f t="shared" si="1"/>
        <v>5194.9120663653785</v>
      </c>
      <c r="E15" s="66" t="s">
        <v>29</v>
      </c>
      <c r="F15" s="84">
        <v>7.0000000000000007E-2</v>
      </c>
    </row>
    <row r="16" spans="1:6" ht="14.25">
      <c r="A16" s="16">
        <f t="shared" si="2"/>
        <v>9</v>
      </c>
      <c r="B16" s="3">
        <f t="shared" si="0"/>
        <v>24.892286984667436</v>
      </c>
      <c r="C16" s="3">
        <f t="shared" si="1"/>
        <v>5219.8043533500459</v>
      </c>
      <c r="E16" s="66" t="s">
        <v>79</v>
      </c>
      <c r="F16" s="85">
        <v>10</v>
      </c>
    </row>
    <row r="17" spans="1:6">
      <c r="A17" s="16">
        <f t="shared" si="2"/>
        <v>10</v>
      </c>
      <c r="B17" s="3">
        <f t="shared" si="0"/>
        <v>25.011562526468968</v>
      </c>
      <c r="C17" s="3">
        <f t="shared" si="1"/>
        <v>5244.8159158765147</v>
      </c>
      <c r="E17" s="86"/>
      <c r="F17" s="87"/>
    </row>
    <row r="18" spans="1:6" ht="14.25">
      <c r="A18" s="16">
        <f t="shared" si="2"/>
        <v>11</v>
      </c>
      <c r="B18" s="3">
        <f t="shared" si="0"/>
        <v>25.131409596908298</v>
      </c>
      <c r="C18" s="3">
        <f t="shared" si="1"/>
        <v>5269.947325473423</v>
      </c>
      <c r="E18" s="97" t="s">
        <v>86</v>
      </c>
      <c r="F18" s="89">
        <f>F14*EXP(F15*F16)</f>
        <v>322200.43319527624</v>
      </c>
    </row>
    <row r="19" spans="1:6" ht="15" thickBot="1">
      <c r="A19" s="16">
        <f t="shared" si="2"/>
        <v>12</v>
      </c>
      <c r="B19" s="3">
        <f t="shared" si="0"/>
        <v>25.25183093456015</v>
      </c>
      <c r="C19" s="3">
        <f t="shared" si="1"/>
        <v>5295.1991564079835</v>
      </c>
      <c r="E19" s="40" t="s">
        <v>87</v>
      </c>
      <c r="F19" s="92">
        <f>(F18-F14)/F14</f>
        <v>1.0137527074704766</v>
      </c>
    </row>
    <row r="20" spans="1:6">
      <c r="A20" s="16"/>
      <c r="B20" s="3">
        <f>SUM(B8:B19)</f>
        <v>295.19915640798405</v>
      </c>
      <c r="C20" s="3">
        <f>FV((B3/12),B4,,-B2)</f>
        <v>5295.1991564079863</v>
      </c>
    </row>
    <row r="21" spans="1:6">
      <c r="A21" s="16"/>
      <c r="B21" s="3"/>
      <c r="C21" s="3"/>
    </row>
    <row r="22" spans="1:6">
      <c r="A22" s="16"/>
      <c r="B22" s="3"/>
      <c r="C22" s="3"/>
    </row>
    <row r="23" spans="1:6">
      <c r="A23" s="16"/>
      <c r="B23" s="3"/>
      <c r="C23" s="3"/>
    </row>
    <row r="24" spans="1:6">
      <c r="A24" s="16"/>
      <c r="B24" s="3"/>
      <c r="C24" s="3"/>
    </row>
    <row r="25" spans="1:6">
      <c r="A25" s="16"/>
      <c r="B25" s="3"/>
      <c r="C25" s="3"/>
    </row>
    <row r="26" spans="1:6">
      <c r="A26" s="16"/>
      <c r="B26" s="3"/>
      <c r="C26" s="3"/>
    </row>
    <row r="27" spans="1:6">
      <c r="A27" s="16"/>
      <c r="B27" s="3"/>
      <c r="C27" s="3"/>
    </row>
    <row r="28" spans="1:6">
      <c r="A28" s="16"/>
      <c r="B28" s="3"/>
      <c r="C28" s="3"/>
    </row>
    <row r="29" spans="1:6">
      <c r="A29" s="16"/>
      <c r="B29" s="3"/>
      <c r="C29" s="3"/>
    </row>
    <row r="30" spans="1:6">
      <c r="A30" s="16"/>
      <c r="B30" s="3"/>
      <c r="C30" s="3"/>
    </row>
    <row r="31" spans="1:6">
      <c r="A31" s="16"/>
      <c r="B31" s="3"/>
      <c r="C31" s="3"/>
    </row>
    <row r="32" spans="1:6">
      <c r="A32" s="16"/>
      <c r="B32" s="3"/>
      <c r="C32" s="3"/>
    </row>
    <row r="33" spans="1:3">
      <c r="A33" s="16"/>
      <c r="B33" s="3"/>
      <c r="C33" s="3"/>
    </row>
    <row r="34" spans="1:3">
      <c r="A34" s="16"/>
      <c r="B34" s="3"/>
      <c r="C34" s="3"/>
    </row>
    <row r="35" spans="1:3">
      <c r="A35" s="16"/>
      <c r="B35" s="3"/>
      <c r="C35" s="3"/>
    </row>
    <row r="36" spans="1:3">
      <c r="A36" s="16"/>
      <c r="B36" s="3"/>
      <c r="C36" s="3"/>
    </row>
    <row r="37" spans="1:3">
      <c r="A37" s="16"/>
      <c r="B37" s="3"/>
      <c r="C37" s="3"/>
    </row>
    <row r="38" spans="1:3">
      <c r="A38" s="16"/>
      <c r="B38" s="3"/>
      <c r="C38" s="3"/>
    </row>
    <row r="39" spans="1:3">
      <c r="A39" s="16"/>
      <c r="B39" s="3"/>
      <c r="C39" s="3"/>
    </row>
    <row r="40" spans="1:3">
      <c r="A40" s="16"/>
      <c r="B40" s="3"/>
      <c r="C40" s="3"/>
    </row>
    <row r="41" spans="1:3">
      <c r="A41" s="16"/>
      <c r="B41" s="3"/>
      <c r="C41" s="3"/>
    </row>
    <row r="42" spans="1:3">
      <c r="A42" s="16"/>
      <c r="B42" s="3"/>
      <c r="C42" s="3"/>
    </row>
    <row r="43" spans="1:3">
      <c r="A43" s="16"/>
      <c r="B43" s="3"/>
      <c r="C43" s="3"/>
    </row>
    <row r="44" spans="1:3">
      <c r="A44" s="16"/>
      <c r="B44" s="3"/>
      <c r="C44" s="3"/>
    </row>
    <row r="45" spans="1:3">
      <c r="A45" s="16"/>
      <c r="B45" s="3"/>
      <c r="C45" s="3"/>
    </row>
    <row r="46" spans="1:3">
      <c r="A46" s="16"/>
      <c r="B46" s="3"/>
      <c r="C46" s="3"/>
    </row>
    <row r="47" spans="1:3">
      <c r="A47" s="16"/>
      <c r="B47" s="3"/>
      <c r="C47" s="3"/>
    </row>
    <row r="48" spans="1:3">
      <c r="A48" s="16"/>
      <c r="B48" s="3"/>
      <c r="C48" s="3"/>
    </row>
    <row r="49" spans="1:3">
      <c r="A49" s="16"/>
      <c r="B49" s="3"/>
      <c r="C49" s="3"/>
    </row>
    <row r="50" spans="1:3">
      <c r="A50" s="16"/>
      <c r="B50" s="3"/>
      <c r="C50" s="3"/>
    </row>
    <row r="51" spans="1:3">
      <c r="A51" s="16"/>
      <c r="B51" s="3"/>
      <c r="C51" s="3"/>
    </row>
    <row r="52" spans="1:3">
      <c r="A52" s="16"/>
      <c r="B52" s="3"/>
      <c r="C52" s="3"/>
    </row>
    <row r="53" spans="1:3">
      <c r="A53" s="16"/>
      <c r="B53" s="3"/>
      <c r="C53" s="3"/>
    </row>
    <row r="54" spans="1:3">
      <c r="A54" s="16"/>
      <c r="B54" s="3"/>
      <c r="C54" s="3"/>
    </row>
    <row r="55" spans="1:3">
      <c r="A55" s="16"/>
      <c r="B55" s="3"/>
      <c r="C55" s="3"/>
    </row>
    <row r="56" spans="1:3">
      <c r="A56" s="16"/>
      <c r="B56" s="3"/>
      <c r="C56" s="3"/>
    </row>
    <row r="57" spans="1:3">
      <c r="A57" s="16"/>
      <c r="B57" s="3"/>
      <c r="C57" s="3"/>
    </row>
    <row r="58" spans="1:3">
      <c r="A58" s="16"/>
      <c r="B58" s="3"/>
      <c r="C58" s="3"/>
    </row>
    <row r="59" spans="1:3">
      <c r="A59" s="16"/>
      <c r="B59" s="3"/>
      <c r="C59" s="3"/>
    </row>
    <row r="60" spans="1:3">
      <c r="A60" s="16"/>
      <c r="B60" s="3"/>
      <c r="C60" s="3"/>
    </row>
    <row r="61" spans="1:3">
      <c r="A61" s="16"/>
      <c r="B61" s="3"/>
      <c r="C61" s="3"/>
    </row>
    <row r="62" spans="1:3">
      <c r="A62" s="16"/>
      <c r="B62" s="3"/>
      <c r="C62" s="3"/>
    </row>
    <row r="63" spans="1:3">
      <c r="A63" s="16"/>
      <c r="B63" s="3"/>
      <c r="C63" s="3"/>
    </row>
  </sheetData>
  <mergeCells count="3">
    <mergeCell ref="A1:B1"/>
    <mergeCell ref="E1:F1"/>
    <mergeCell ref="E13:F13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"/>
  <dimension ref="B1:E21"/>
  <sheetViews>
    <sheetView showGridLines="0" workbookViewId="0">
      <selection activeCell="C16" sqref="C16"/>
    </sheetView>
  </sheetViews>
  <sheetFormatPr defaultRowHeight="12.75"/>
  <cols>
    <col min="1" max="1" width="6" customWidth="1"/>
    <col min="2" max="2" width="25.85546875" customWidth="1"/>
    <col min="3" max="3" width="19.28515625" customWidth="1"/>
    <col min="5" max="5" width="9.7109375" bestFit="1" customWidth="1"/>
  </cols>
  <sheetData>
    <row r="1" spans="2:3" ht="19.5">
      <c r="B1" s="231" t="s">
        <v>128</v>
      </c>
      <c r="C1" s="231"/>
    </row>
    <row r="2" spans="2:3" ht="13.5" thickBot="1"/>
    <row r="3" spans="2:3" ht="14.25">
      <c r="B3" s="227" t="s">
        <v>82</v>
      </c>
      <c r="C3" s="228"/>
    </row>
    <row r="4" spans="2:3" ht="14.25">
      <c r="B4" s="99" t="s">
        <v>90</v>
      </c>
      <c r="C4" s="134">
        <v>0</v>
      </c>
    </row>
    <row r="5" spans="2:3" ht="14.25">
      <c r="B5" s="99" t="s">
        <v>94</v>
      </c>
      <c r="C5" s="134">
        <v>5000</v>
      </c>
    </row>
    <row r="6" spans="2:3" ht="14.25">
      <c r="B6" s="99" t="s">
        <v>95</v>
      </c>
      <c r="C6" s="93">
        <v>12</v>
      </c>
    </row>
    <row r="7" spans="2:3" ht="14.25">
      <c r="B7" s="99" t="s">
        <v>96</v>
      </c>
      <c r="C7" s="94" t="b">
        <v>1</v>
      </c>
    </row>
    <row r="8" spans="2:3" ht="14.25">
      <c r="B8" s="99" t="s">
        <v>97</v>
      </c>
      <c r="C8" s="95">
        <v>10</v>
      </c>
    </row>
    <row r="9" spans="2:3" ht="15" thickBot="1">
      <c r="B9" s="100" t="s">
        <v>98</v>
      </c>
      <c r="C9" s="96">
        <v>4.2500000000000003E-2</v>
      </c>
    </row>
    <row r="10" spans="2:3">
      <c r="B10" s="15"/>
      <c r="C10" s="15"/>
    </row>
    <row r="11" spans="2:3" ht="14.25">
      <c r="B11" s="229" t="s">
        <v>83</v>
      </c>
      <c r="C11" s="230"/>
    </row>
    <row r="12" spans="2:3" ht="14.25">
      <c r="B12" s="98" t="s">
        <v>81</v>
      </c>
      <c r="C12" s="135">
        <f>C4</f>
        <v>0</v>
      </c>
    </row>
    <row r="13" spans="2:3" ht="14.25">
      <c r="B13" s="98" t="s">
        <v>85</v>
      </c>
      <c r="C13" s="135">
        <f>C5*C6*C8</f>
        <v>600000</v>
      </c>
    </row>
    <row r="14" spans="2:3" ht="14.25">
      <c r="B14" s="98" t="s">
        <v>84</v>
      </c>
      <c r="C14" s="135">
        <f>C12+C13</f>
        <v>600000</v>
      </c>
    </row>
    <row r="15" spans="2:3" ht="14.25">
      <c r="B15" s="98" t="s">
        <v>91</v>
      </c>
      <c r="C15" s="101">
        <f>C9*(1/C6)</f>
        <v>3.5416666666666669E-3</v>
      </c>
    </row>
    <row r="16" spans="2:3" ht="14.25">
      <c r="B16" s="97" t="s">
        <v>92</v>
      </c>
      <c r="C16" s="136">
        <f>FV(C15,C6*C8,-C5,-C4,IF(C7,1,0))</f>
        <v>748678.52078346384</v>
      </c>
    </row>
    <row r="17" spans="2:5" ht="14.25">
      <c r="B17" s="97" t="s">
        <v>93</v>
      </c>
      <c r="C17" s="136">
        <f>C16-C14</f>
        <v>148678.52078346384</v>
      </c>
    </row>
    <row r="20" spans="2:5">
      <c r="C20" s="3"/>
    </row>
    <row r="21" spans="2:5">
      <c r="E21" s="3"/>
    </row>
  </sheetData>
  <mergeCells count="3">
    <mergeCell ref="B3:C3"/>
    <mergeCell ref="B11:C11"/>
    <mergeCell ref="B1:C1"/>
  </mergeCells>
  <phoneticPr fontId="3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B1:F11"/>
  <sheetViews>
    <sheetView workbookViewId="0">
      <selection activeCell="D5" sqref="D5"/>
    </sheetView>
  </sheetViews>
  <sheetFormatPr defaultColWidth="10.28515625" defaultRowHeight="16.5"/>
  <cols>
    <col min="1" max="1" width="10.42578125" style="18" customWidth="1"/>
    <col min="2" max="2" width="11.85546875" style="21" customWidth="1"/>
    <col min="3" max="3" width="11.85546875" style="18" customWidth="1"/>
    <col min="4" max="4" width="13.28515625" style="18" bestFit="1" customWidth="1"/>
    <col min="5" max="5" width="15.85546875" style="18" bestFit="1" customWidth="1"/>
    <col min="6" max="6" width="10.85546875" style="18" bestFit="1" customWidth="1"/>
    <col min="7" max="16384" width="10.28515625" style="18"/>
  </cols>
  <sheetData>
    <row r="1" spans="2:6" ht="17.25" thickBot="1"/>
    <row r="2" spans="2:6">
      <c r="B2" s="142" t="s">
        <v>99</v>
      </c>
      <c r="C2" s="143" t="s">
        <v>100</v>
      </c>
      <c r="D2" s="144" t="s">
        <v>101</v>
      </c>
      <c r="E2" s="144" t="s">
        <v>102</v>
      </c>
      <c r="F2" s="145" t="s">
        <v>103</v>
      </c>
    </row>
    <row r="3" spans="2:6">
      <c r="B3" s="214">
        <v>38718</v>
      </c>
      <c r="C3" s="215">
        <v>40544</v>
      </c>
      <c r="D3" s="141">
        <v>0.08</v>
      </c>
      <c r="E3" s="141">
        <v>0.09</v>
      </c>
      <c r="F3" s="146">
        <v>2</v>
      </c>
    </row>
    <row r="4" spans="2:6">
      <c r="B4" s="26"/>
      <c r="C4" s="27"/>
      <c r="D4" s="27"/>
      <c r="E4" s="27"/>
      <c r="F4" s="25"/>
    </row>
    <row r="5" spans="2:6" ht="17.25" thickBot="1">
      <c r="B5" s="232" t="s">
        <v>105</v>
      </c>
      <c r="C5" s="233"/>
      <c r="D5" s="105">
        <f>PRICE(B3,C3,D3,E3,100,F3,0)</f>
        <v>96.04364091144501</v>
      </c>
      <c r="E5" s="106"/>
      <c r="F5" s="107"/>
    </row>
    <row r="7" spans="2:6" ht="17.25" thickBot="1"/>
    <row r="8" spans="2:6">
      <c r="B8" s="150" t="s">
        <v>99</v>
      </c>
      <c r="C8" s="151" t="s">
        <v>100</v>
      </c>
      <c r="D8" s="152" t="s">
        <v>101</v>
      </c>
      <c r="E8" s="152" t="s">
        <v>106</v>
      </c>
      <c r="F8" s="153" t="s">
        <v>103</v>
      </c>
    </row>
    <row r="9" spans="2:6">
      <c r="B9" s="154">
        <v>38718</v>
      </c>
      <c r="C9" s="147">
        <v>40544</v>
      </c>
      <c r="D9" s="148">
        <v>0.08</v>
      </c>
      <c r="E9" s="149">
        <v>95</v>
      </c>
      <c r="F9" s="155">
        <v>2</v>
      </c>
    </row>
    <row r="10" spans="2:6">
      <c r="B10" s="22"/>
      <c r="C10" s="23"/>
      <c r="D10" s="24"/>
      <c r="E10" s="28"/>
      <c r="F10" s="25"/>
    </row>
    <row r="11" spans="2:6" ht="17.25" thickBot="1">
      <c r="B11" s="234" t="s">
        <v>104</v>
      </c>
      <c r="C11" s="235"/>
      <c r="D11" s="102">
        <f>YIELD(B9,C9,D9,E9,100,F9,0)</f>
        <v>9.2722610855582685E-2</v>
      </c>
      <c r="E11" s="103"/>
      <c r="F11" s="104"/>
    </row>
  </sheetData>
  <mergeCells count="2">
    <mergeCell ref="B5:C5"/>
    <mergeCell ref="B11:C11"/>
  </mergeCells>
  <phoneticPr fontId="1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A3" sqref="A3"/>
    </sheetView>
  </sheetViews>
  <sheetFormatPr defaultColWidth="10.28515625" defaultRowHeight="16.5"/>
  <cols>
    <col min="1" max="1" width="6.140625" style="18" customWidth="1"/>
    <col min="2" max="3" width="16.140625" style="18" customWidth="1"/>
    <col min="4" max="4" width="16.5703125" style="18" bestFit="1" customWidth="1"/>
    <col min="5" max="5" width="22.7109375" style="18" bestFit="1" customWidth="1"/>
    <col min="6" max="6" width="20.5703125" style="18" bestFit="1" customWidth="1"/>
    <col min="7" max="7" width="19.5703125" style="18" bestFit="1" customWidth="1"/>
    <col min="8" max="8" width="4.5703125" style="18" customWidth="1"/>
    <col min="9" max="9" width="13.28515625" style="18" bestFit="1" customWidth="1"/>
    <col min="10" max="16384" width="10.28515625" style="18"/>
  </cols>
  <sheetData>
    <row r="1" spans="1:7">
      <c r="B1" s="114" t="s">
        <v>107</v>
      </c>
      <c r="C1" s="115" t="s">
        <v>108</v>
      </c>
      <c r="D1" s="115" t="s">
        <v>109</v>
      </c>
      <c r="E1" s="115" t="s">
        <v>110</v>
      </c>
      <c r="F1" s="116" t="s">
        <v>111</v>
      </c>
    </row>
    <row r="2" spans="1:7" ht="17.25" thickBot="1">
      <c r="B2" s="117" t="s">
        <v>116</v>
      </c>
      <c r="C2" s="118">
        <v>1000000</v>
      </c>
      <c r="D2" s="118">
        <v>150000</v>
      </c>
      <c r="E2" s="118">
        <v>10</v>
      </c>
      <c r="F2" s="119">
        <v>8</v>
      </c>
    </row>
    <row r="3" spans="1:7" ht="17.25" thickBot="1">
      <c r="A3" s="29"/>
    </row>
    <row r="4" spans="1:7" ht="17.25" thickBot="1">
      <c r="B4" s="108" t="s">
        <v>117</v>
      </c>
      <c r="C4" s="109" t="s">
        <v>115</v>
      </c>
      <c r="D4" s="110" t="s">
        <v>112</v>
      </c>
      <c r="E4" s="110" t="s">
        <v>113</v>
      </c>
      <c r="F4" s="111" t="s">
        <v>114</v>
      </c>
    </row>
    <row r="5" spans="1:7">
      <c r="B5" s="19">
        <v>1</v>
      </c>
      <c r="C5" s="113">
        <f>SLN($C$2,$D$2,$E$2)</f>
        <v>85000</v>
      </c>
      <c r="D5" s="29">
        <f>DB($C$2,$D$2,$E$2,B5,$F$2)</f>
        <v>115333.33333333333</v>
      </c>
      <c r="E5" s="29">
        <f>DDB($C$2,$D$2,$E$2,B5)</f>
        <v>200000</v>
      </c>
      <c r="F5" s="29">
        <f>SYD($C$2,$D$2,$E$2,B5)</f>
        <v>154545.45454545456</v>
      </c>
      <c r="G5" s="20"/>
    </row>
    <row r="6" spans="1:7">
      <c r="B6" s="19">
        <v>2</v>
      </c>
      <c r="C6" s="113">
        <f t="shared" ref="C6:C14" si="0">SLN($C$2,$D$2,$E$2)</f>
        <v>85000</v>
      </c>
      <c r="D6" s="29">
        <f t="shared" ref="D6:D14" si="1">DB($C$2,$D$2,$E$2,B6,$F$2)</f>
        <v>153047.33333333331</v>
      </c>
      <c r="E6" s="29">
        <f t="shared" ref="E6:E14" si="2">DDB($C$2,$D$2,$E$2,B6)</f>
        <v>160000</v>
      </c>
      <c r="F6" s="29">
        <f t="shared" ref="F6:F14" si="3">SYD($C$2,$D$2,$E$2,B6)</f>
        <v>139090.90909090909</v>
      </c>
      <c r="G6" s="20"/>
    </row>
    <row r="7" spans="1:7">
      <c r="B7" s="19">
        <v>3</v>
      </c>
      <c r="C7" s="113">
        <f t="shared" si="0"/>
        <v>85000</v>
      </c>
      <c r="D7" s="29">
        <f t="shared" si="1"/>
        <v>126570.14466666665</v>
      </c>
      <c r="E7" s="29">
        <f t="shared" si="2"/>
        <v>128000.00000000003</v>
      </c>
      <c r="F7" s="29">
        <f t="shared" si="3"/>
        <v>123636.36363636363</v>
      </c>
      <c r="G7" s="20"/>
    </row>
    <row r="8" spans="1:7">
      <c r="B8" s="19">
        <v>4</v>
      </c>
      <c r="C8" s="113">
        <f t="shared" si="0"/>
        <v>85000</v>
      </c>
      <c r="D8" s="29">
        <f t="shared" si="1"/>
        <v>104673.50963933332</v>
      </c>
      <c r="E8" s="29">
        <f t="shared" si="2"/>
        <v>102400.00000000003</v>
      </c>
      <c r="F8" s="29">
        <f t="shared" si="3"/>
        <v>108181.81818181818</v>
      </c>
      <c r="G8" s="20"/>
    </row>
    <row r="9" spans="1:7">
      <c r="B9" s="19">
        <v>5</v>
      </c>
      <c r="C9" s="113">
        <f t="shared" si="0"/>
        <v>85000</v>
      </c>
      <c r="D9" s="29">
        <f t="shared" si="1"/>
        <v>86564.992471728649</v>
      </c>
      <c r="E9" s="29">
        <f t="shared" si="2"/>
        <v>81920.000000000044</v>
      </c>
      <c r="F9" s="29">
        <f t="shared" si="3"/>
        <v>92727.272727272721</v>
      </c>
    </row>
    <row r="10" spans="1:7">
      <c r="B10" s="19">
        <v>6</v>
      </c>
      <c r="C10" s="113">
        <f t="shared" si="0"/>
        <v>85000</v>
      </c>
      <c r="D10" s="29">
        <f t="shared" si="1"/>
        <v>71589.248774119595</v>
      </c>
      <c r="E10" s="29">
        <f t="shared" si="2"/>
        <v>65536.000000000044</v>
      </c>
      <c r="F10" s="29">
        <f t="shared" si="3"/>
        <v>77272.727272727279</v>
      </c>
    </row>
    <row r="11" spans="1:7">
      <c r="B11" s="19">
        <v>7</v>
      </c>
      <c r="C11" s="113">
        <f t="shared" si="0"/>
        <v>85000</v>
      </c>
      <c r="D11" s="29">
        <f t="shared" si="1"/>
        <v>59204.308736196908</v>
      </c>
      <c r="E11" s="29">
        <f t="shared" si="2"/>
        <v>52428.800000000039</v>
      </c>
      <c r="F11" s="29">
        <f t="shared" si="3"/>
        <v>61818.181818181816</v>
      </c>
      <c r="G11" s="20"/>
    </row>
    <row r="12" spans="1:7">
      <c r="B12" s="19">
        <v>8</v>
      </c>
      <c r="C12" s="113">
        <f t="shared" si="0"/>
        <v>85000</v>
      </c>
      <c r="D12" s="29">
        <f t="shared" si="1"/>
        <v>48961.963324834847</v>
      </c>
      <c r="E12" s="29">
        <f t="shared" si="2"/>
        <v>41943.040000000037</v>
      </c>
      <c r="F12" s="29">
        <f t="shared" si="3"/>
        <v>46363.63636363636</v>
      </c>
    </row>
    <row r="13" spans="1:7">
      <c r="B13" s="19">
        <v>9</v>
      </c>
      <c r="C13" s="113">
        <f t="shared" si="0"/>
        <v>85000</v>
      </c>
      <c r="D13" s="29">
        <f t="shared" si="1"/>
        <v>40491.543669638413</v>
      </c>
      <c r="E13" s="29">
        <f t="shared" si="2"/>
        <v>17772.160000000149</v>
      </c>
      <c r="F13" s="29">
        <f t="shared" si="3"/>
        <v>30909.090909090908</v>
      </c>
    </row>
    <row r="14" spans="1:7">
      <c r="B14" s="19">
        <v>10</v>
      </c>
      <c r="C14" s="113">
        <f t="shared" si="0"/>
        <v>85000</v>
      </c>
      <c r="D14" s="29">
        <f t="shared" si="1"/>
        <v>33486.506614790967</v>
      </c>
      <c r="E14" s="29">
        <f t="shared" si="2"/>
        <v>0</v>
      </c>
      <c r="F14" s="29">
        <f t="shared" si="3"/>
        <v>15454.545454545454</v>
      </c>
    </row>
    <row r="16" spans="1:7">
      <c r="B16" s="112" t="s">
        <v>118</v>
      </c>
      <c r="C16" s="77" t="s">
        <v>119</v>
      </c>
      <c r="D16" s="77" t="s">
        <v>120</v>
      </c>
      <c r="E16" s="77" t="s">
        <v>121</v>
      </c>
      <c r="F16" s="77" t="s">
        <v>122</v>
      </c>
    </row>
    <row r="17" spans="2:6">
      <c r="B17" s="43">
        <v>0</v>
      </c>
      <c r="C17" s="120">
        <f>$C$2</f>
        <v>1000000</v>
      </c>
      <c r="D17" s="120">
        <f>$C$2</f>
        <v>1000000</v>
      </c>
      <c r="E17" s="120">
        <f>$C$2</f>
        <v>1000000</v>
      </c>
      <c r="F17" s="120">
        <f>$C$2</f>
        <v>1000000</v>
      </c>
    </row>
    <row r="18" spans="2:6">
      <c r="B18" s="47">
        <v>1</v>
      </c>
      <c r="C18" s="121">
        <f>C17-C5</f>
        <v>915000</v>
      </c>
      <c r="D18" s="121">
        <f>D17-D5</f>
        <v>884666.66666666663</v>
      </c>
      <c r="E18" s="121">
        <f>E17-E5</f>
        <v>800000</v>
      </c>
      <c r="F18" s="121">
        <f>F17-F5</f>
        <v>845454.54545454541</v>
      </c>
    </row>
    <row r="19" spans="2:6">
      <c r="B19" s="43">
        <v>2</v>
      </c>
      <c r="C19" s="121">
        <f t="shared" ref="C19:C27" si="4">C18-C6</f>
        <v>830000</v>
      </c>
      <c r="D19" s="121">
        <f t="shared" ref="D19:D27" si="5">D18-D6</f>
        <v>731619.33333333326</v>
      </c>
      <c r="E19" s="121">
        <f t="shared" ref="E19:E27" si="6">E18-E6</f>
        <v>640000</v>
      </c>
      <c r="F19" s="121">
        <f t="shared" ref="F19:F27" si="7">F18-F6</f>
        <v>706363.63636363635</v>
      </c>
    </row>
    <row r="20" spans="2:6">
      <c r="B20" s="47">
        <v>3</v>
      </c>
      <c r="C20" s="121">
        <f t="shared" si="4"/>
        <v>745000</v>
      </c>
      <c r="D20" s="121">
        <f t="shared" si="5"/>
        <v>605049.18866666663</v>
      </c>
      <c r="E20" s="121">
        <f t="shared" si="6"/>
        <v>512000</v>
      </c>
      <c r="F20" s="121">
        <f t="shared" si="7"/>
        <v>582727.27272727271</v>
      </c>
    </row>
    <row r="21" spans="2:6">
      <c r="B21" s="43">
        <v>4</v>
      </c>
      <c r="C21" s="121">
        <f t="shared" si="4"/>
        <v>660000</v>
      </c>
      <c r="D21" s="121">
        <f t="shared" si="5"/>
        <v>500375.67902733327</v>
      </c>
      <c r="E21" s="121">
        <f t="shared" si="6"/>
        <v>409600</v>
      </c>
      <c r="F21" s="121">
        <f t="shared" si="7"/>
        <v>474545.45454545453</v>
      </c>
    </row>
    <row r="22" spans="2:6">
      <c r="B22" s="47">
        <v>5</v>
      </c>
      <c r="C22" s="121">
        <f t="shared" si="4"/>
        <v>575000</v>
      </c>
      <c r="D22" s="121">
        <f t="shared" si="5"/>
        <v>413810.68655560463</v>
      </c>
      <c r="E22" s="121">
        <f t="shared" si="6"/>
        <v>327679.99999999994</v>
      </c>
      <c r="F22" s="121">
        <f t="shared" si="7"/>
        <v>381818.18181818182</v>
      </c>
    </row>
    <row r="23" spans="2:6">
      <c r="B23" s="43">
        <v>6</v>
      </c>
      <c r="C23" s="121">
        <f t="shared" si="4"/>
        <v>490000</v>
      </c>
      <c r="D23" s="121">
        <f t="shared" si="5"/>
        <v>342221.43778148503</v>
      </c>
      <c r="E23" s="121">
        <f t="shared" si="6"/>
        <v>262143.99999999988</v>
      </c>
      <c r="F23" s="121">
        <f t="shared" si="7"/>
        <v>304545.45454545453</v>
      </c>
    </row>
    <row r="24" spans="2:6">
      <c r="B24" s="47">
        <v>7</v>
      </c>
      <c r="C24" s="121">
        <f t="shared" si="4"/>
        <v>405000</v>
      </c>
      <c r="D24" s="121">
        <f t="shared" si="5"/>
        <v>283017.12904528814</v>
      </c>
      <c r="E24" s="121">
        <f t="shared" si="6"/>
        <v>209715.19999999984</v>
      </c>
      <c r="F24" s="121">
        <f t="shared" si="7"/>
        <v>242727.27272727271</v>
      </c>
    </row>
    <row r="25" spans="2:6">
      <c r="B25" s="43">
        <v>8</v>
      </c>
      <c r="C25" s="121">
        <f t="shared" si="4"/>
        <v>320000</v>
      </c>
      <c r="D25" s="121">
        <f t="shared" si="5"/>
        <v>234055.16572045328</v>
      </c>
      <c r="E25" s="121">
        <f t="shared" si="6"/>
        <v>167772.1599999998</v>
      </c>
      <c r="F25" s="121">
        <f t="shared" si="7"/>
        <v>196363.63636363635</v>
      </c>
    </row>
    <row r="26" spans="2:6">
      <c r="B26" s="47">
        <v>9</v>
      </c>
      <c r="C26" s="121">
        <f t="shared" si="4"/>
        <v>235000</v>
      </c>
      <c r="D26" s="121">
        <f t="shared" si="5"/>
        <v>193563.62205081485</v>
      </c>
      <c r="E26" s="121">
        <f t="shared" si="6"/>
        <v>149999.99999999965</v>
      </c>
      <c r="F26" s="121">
        <f t="shared" si="7"/>
        <v>165454.54545454544</v>
      </c>
    </row>
    <row r="27" spans="2:6">
      <c r="B27" s="43">
        <v>10</v>
      </c>
      <c r="C27" s="121">
        <f t="shared" si="4"/>
        <v>150000</v>
      </c>
      <c r="D27" s="121">
        <f t="shared" si="5"/>
        <v>160077.11543602389</v>
      </c>
      <c r="E27" s="121">
        <f t="shared" si="6"/>
        <v>149999.99999999965</v>
      </c>
      <c r="F27" s="121">
        <f t="shared" si="7"/>
        <v>150000</v>
      </c>
    </row>
  </sheetData>
  <phoneticPr fontId="10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8" sqref="E8"/>
    </sheetView>
  </sheetViews>
  <sheetFormatPr defaultRowHeight="12.75"/>
  <cols>
    <col min="1" max="1" width="4.85546875" customWidth="1"/>
    <col min="2" max="2" width="14.85546875" customWidth="1"/>
    <col min="3" max="3" width="11.5703125" bestFit="1" customWidth="1"/>
    <col min="4" max="4" width="13.5703125" bestFit="1" customWidth="1"/>
    <col min="5" max="5" width="16.28515625" bestFit="1" customWidth="1"/>
    <col min="6" max="7" width="7.7109375" bestFit="1" customWidth="1"/>
    <col min="8" max="8" width="10.28515625" bestFit="1" customWidth="1"/>
  </cols>
  <sheetData>
    <row r="1" spans="1:8" ht="13.5" thickBot="1"/>
    <row r="2" spans="1:8" ht="16.5" thickBot="1">
      <c r="B2" s="236" t="s">
        <v>127</v>
      </c>
      <c r="C2" s="237"/>
      <c r="D2" s="237"/>
      <c r="E2" s="237"/>
      <c r="F2" s="237"/>
      <c r="G2" s="237"/>
      <c r="H2" s="238"/>
    </row>
    <row r="3" spans="1:8" ht="29.25" customHeight="1">
      <c r="B3" s="246" t="s">
        <v>107</v>
      </c>
      <c r="C3" s="248" t="s">
        <v>108</v>
      </c>
      <c r="D3" s="248" t="s">
        <v>109</v>
      </c>
      <c r="E3" s="248" t="s">
        <v>110</v>
      </c>
      <c r="F3" s="245" t="s">
        <v>126</v>
      </c>
      <c r="G3" s="245"/>
      <c r="H3" s="250" t="s">
        <v>125</v>
      </c>
    </row>
    <row r="4" spans="1:8" ht="14.25">
      <c r="B4" s="247"/>
      <c r="C4" s="249"/>
      <c r="D4" s="249"/>
      <c r="E4" s="249"/>
      <c r="F4" s="126" t="s">
        <v>123</v>
      </c>
      <c r="G4" s="126" t="s">
        <v>124</v>
      </c>
      <c r="H4" s="251"/>
    </row>
    <row r="5" spans="1:8" ht="17.25" thickBot="1">
      <c r="A5" s="18"/>
      <c r="B5" s="122" t="s">
        <v>116</v>
      </c>
      <c r="C5" s="123">
        <v>1000000</v>
      </c>
      <c r="D5" s="123">
        <v>150000</v>
      </c>
      <c r="E5" s="123">
        <v>10</v>
      </c>
      <c r="F5" s="124">
        <v>2</v>
      </c>
      <c r="G5" s="124">
        <v>5</v>
      </c>
      <c r="H5" s="125">
        <v>1.5</v>
      </c>
    </row>
    <row r="6" spans="1:8" ht="23.25" customHeight="1" thickBot="1">
      <c r="B6" s="239" t="str">
        <f>"第"  &amp; F5 &amp;"年至第" &amp; G5 &amp; "年，折舊總金額"</f>
        <v>第2年至第5年，折舊總金額</v>
      </c>
      <c r="C6" s="240"/>
      <c r="D6" s="240"/>
      <c r="E6" s="241"/>
      <c r="F6" s="242" t="s">
        <v>138</v>
      </c>
      <c r="G6" s="243"/>
      <c r="H6" s="244"/>
    </row>
    <row r="8" spans="1:8" ht="16.5">
      <c r="A8" s="18"/>
      <c r="C8" s="18"/>
      <c r="E8" t="s">
        <v>138</v>
      </c>
    </row>
    <row r="9" spans="1:8" ht="16.5">
      <c r="C9" s="18"/>
      <c r="D9" s="18"/>
    </row>
  </sheetData>
  <mergeCells count="9">
    <mergeCell ref="B2:H2"/>
    <mergeCell ref="B6:E6"/>
    <mergeCell ref="F6:H6"/>
    <mergeCell ref="F3:G3"/>
    <mergeCell ref="B3:B4"/>
    <mergeCell ref="C3:C4"/>
    <mergeCell ref="D3:D4"/>
    <mergeCell ref="E3:E4"/>
    <mergeCell ref="H3:H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B3:D6"/>
  <sheetViews>
    <sheetView workbookViewId="0">
      <selection activeCell="B6" sqref="B6"/>
    </sheetView>
  </sheetViews>
  <sheetFormatPr defaultRowHeight="12.75"/>
  <sheetData>
    <row r="3" spans="2:4">
      <c r="B3">
        <v>5.25</v>
      </c>
      <c r="C3">
        <v>60000</v>
      </c>
      <c r="D3">
        <f>C3*B3</f>
        <v>315000</v>
      </c>
    </row>
    <row r="4" spans="2:4">
      <c r="B4">
        <v>14.5</v>
      </c>
      <c r="C4">
        <v>60000</v>
      </c>
      <c r="D4">
        <f>C4*B4</f>
        <v>870000</v>
      </c>
    </row>
    <row r="5" spans="2:4">
      <c r="B5">
        <v>17</v>
      </c>
      <c r="C5">
        <v>60000</v>
      </c>
      <c r="D5">
        <f>C5*B5</f>
        <v>1020000</v>
      </c>
    </row>
    <row r="6" spans="2:4">
      <c r="B6">
        <f>(B4/B3)-1</f>
        <v>1.7619047619047619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已命名的範圍</vt:lpstr>
      </vt:variant>
      <vt:variant>
        <vt:i4>1</vt:i4>
      </vt:variant>
    </vt:vector>
  </HeadingPairs>
  <TitlesOfParts>
    <vt:vector size="17" baseType="lpstr">
      <vt:lpstr>7-1-1</vt:lpstr>
      <vt:lpstr>7-1-1圖表</vt:lpstr>
      <vt:lpstr>7-1-2A</vt:lpstr>
      <vt:lpstr>7-1-2B</vt:lpstr>
      <vt:lpstr>7-1-3</vt:lpstr>
      <vt:lpstr>7-1-4</vt:lpstr>
      <vt:lpstr>7-2-1</vt:lpstr>
      <vt:lpstr>7-2-2</vt:lpstr>
      <vt:lpstr>7-2-3</vt:lpstr>
      <vt:lpstr>7-3-1A</vt:lpstr>
      <vt:lpstr>7-3-1B</vt:lpstr>
      <vt:lpstr>7-3-2</vt:lpstr>
      <vt:lpstr>7-3-3債券分析</vt:lpstr>
      <vt:lpstr>7-4-1</vt:lpstr>
      <vt:lpstr>7-4-2</vt:lpstr>
      <vt:lpstr>Sheet1</vt:lpstr>
      <vt:lpstr>利率</vt:lpstr>
    </vt:vector>
  </TitlesOfParts>
  <Company>JWalk And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CKJ</cp:lastModifiedBy>
  <dcterms:created xsi:type="dcterms:W3CDTF">1999-04-17T15:31:25Z</dcterms:created>
  <dcterms:modified xsi:type="dcterms:W3CDTF">2007-05-27T17:41:57Z</dcterms:modified>
</cp:coreProperties>
</file>